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531"/>
  <workbookPr/>
  <mc:AlternateContent xmlns:mc="http://schemas.openxmlformats.org/markup-compatibility/2006">
    <mc:Choice Requires="x15">
      <x15ac:absPath xmlns:x15ac="http://schemas.microsoft.com/office/spreadsheetml/2010/11/ac" url="D:\Pogi\MESTERI\PENZUGYI_ADATTAN\1SZEMESZTER\Vallalatertekeles\"/>
    </mc:Choice>
  </mc:AlternateContent>
  <xr:revisionPtr revIDLastSave="0" documentId="13_ncr:1_{751D4F32-E8A8-4825-92FF-12D5C0844516}" xr6:coauthVersionLast="47" xr6:coauthVersionMax="47" xr10:uidLastSave="{00000000-0000-0000-0000-000000000000}"/>
  <bookViews>
    <workbookView xWindow="-108" yWindow="-108" windowWidth="23256" windowHeight="12576" activeTab="9" xr2:uid="{00000000-000D-0000-FFFF-FFFF00000000}"/>
  </bookViews>
  <sheets>
    <sheet name="Strategy" sheetId="1" r:id="rId1"/>
    <sheet name="IS" sheetId="2" r:id="rId2"/>
    <sheet name="BS" sheetId="3" r:id="rId3"/>
    <sheet name="ISf" sheetId="4" r:id="rId4"/>
    <sheet name="BSf" sheetId="6" r:id="rId5"/>
    <sheet name="CFf" sheetId="7" r:id="rId6"/>
    <sheet name="Parameters" sheetId="5" r:id="rId7"/>
    <sheet name="WACC" sheetId="8" r:id="rId8"/>
    <sheet name="Company Value" sheetId="9" r:id="rId9"/>
    <sheet name="Price Tracking" sheetId="11" r:id="rId10"/>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22" i="5" l="1"/>
  <c r="J23" i="5" s="1"/>
  <c r="J14" i="5"/>
  <c r="K14" i="5" s="1"/>
  <c r="C21" i="5" s="1"/>
  <c r="C55" i="3"/>
  <c r="K21" i="5"/>
  <c r="L21" i="5" s="1"/>
  <c r="D60" i="3"/>
  <c r="C60" i="3"/>
  <c r="C33" i="7"/>
  <c r="J24" i="5" l="1"/>
  <c r="K22" i="5" s="1"/>
  <c r="K23" i="5" s="1"/>
  <c r="K24" i="5" s="1"/>
  <c r="L22" i="5" s="1"/>
  <c r="L23" i="5" s="1"/>
  <c r="L24" i="5" s="1"/>
  <c r="L14" i="5"/>
  <c r="D21" i="5" s="1"/>
  <c r="B21" i="5"/>
  <c r="J15" i="5"/>
  <c r="M14" i="5"/>
  <c r="M21" i="5"/>
  <c r="H28" i="8"/>
  <c r="K248" i="11"/>
  <c r="K254" i="11"/>
  <c r="K242" i="11"/>
  <c r="K236" i="11"/>
  <c r="K230" i="11"/>
  <c r="K224" i="11"/>
  <c r="K218" i="11"/>
  <c r="K212" i="11"/>
  <c r="K206" i="11"/>
  <c r="K200" i="11"/>
  <c r="K194" i="11"/>
  <c r="K188" i="11"/>
  <c r="K182" i="11"/>
  <c r="K176" i="11"/>
  <c r="K170" i="11"/>
  <c r="K164" i="11"/>
  <c r="K158" i="11"/>
  <c r="K152" i="11"/>
  <c r="K146" i="11"/>
  <c r="K140" i="11"/>
  <c r="K134" i="11"/>
  <c r="K128" i="11"/>
  <c r="K122" i="11"/>
  <c r="K116" i="11"/>
  <c r="K110" i="11"/>
  <c r="K104" i="11"/>
  <c r="K98" i="11"/>
  <c r="K92" i="11"/>
  <c r="K86" i="11"/>
  <c r="K80" i="11"/>
  <c r="K74" i="11"/>
  <c r="K68" i="11"/>
  <c r="K62" i="11"/>
  <c r="K56" i="11"/>
  <c r="K50" i="11"/>
  <c r="K44" i="11"/>
  <c r="K38" i="11"/>
  <c r="K32" i="11"/>
  <c r="K26" i="11"/>
  <c r="K20" i="11"/>
  <c r="K14" i="11"/>
  <c r="K8" i="11"/>
  <c r="J8" i="11"/>
  <c r="J254" i="11"/>
  <c r="J248" i="11"/>
  <c r="J242" i="11"/>
  <c r="J236" i="11"/>
  <c r="J230" i="11"/>
  <c r="J224" i="11"/>
  <c r="J218" i="11"/>
  <c r="J212" i="11"/>
  <c r="J206" i="11"/>
  <c r="J200" i="11"/>
  <c r="J194" i="11"/>
  <c r="J188" i="11"/>
  <c r="J182" i="11"/>
  <c r="J176" i="11"/>
  <c r="J170" i="11"/>
  <c r="J164" i="11"/>
  <c r="J158" i="11"/>
  <c r="J152" i="11"/>
  <c r="J146" i="11"/>
  <c r="J140" i="11"/>
  <c r="J134" i="11"/>
  <c r="J128" i="11"/>
  <c r="J122" i="11"/>
  <c r="J116" i="11"/>
  <c r="J110" i="11"/>
  <c r="J104" i="11"/>
  <c r="J98" i="11"/>
  <c r="J92" i="11"/>
  <c r="J86" i="11"/>
  <c r="J80" i="11"/>
  <c r="J74" i="11"/>
  <c r="J68" i="11"/>
  <c r="J62" i="11"/>
  <c r="J56" i="11"/>
  <c r="J50" i="11"/>
  <c r="J44" i="11"/>
  <c r="J38" i="11"/>
  <c r="J32" i="11"/>
  <c r="J26" i="11"/>
  <c r="J20" i="11"/>
  <c r="J14" i="11"/>
  <c r="I5" i="11"/>
  <c r="I6" i="11"/>
  <c r="I7" i="11"/>
  <c r="I8" i="11"/>
  <c r="I9" i="11"/>
  <c r="I10" i="11"/>
  <c r="I11" i="11"/>
  <c r="I12" i="11"/>
  <c r="I13" i="11"/>
  <c r="I14" i="11"/>
  <c r="I15" i="11"/>
  <c r="I16" i="11"/>
  <c r="I17" i="11"/>
  <c r="I18" i="11"/>
  <c r="I19" i="11"/>
  <c r="I20" i="11"/>
  <c r="I21" i="11"/>
  <c r="I22" i="11"/>
  <c r="I23" i="11"/>
  <c r="I24" i="11"/>
  <c r="I25" i="11"/>
  <c r="I26" i="11"/>
  <c r="I27" i="11"/>
  <c r="I28" i="11"/>
  <c r="I29" i="11"/>
  <c r="I30" i="11"/>
  <c r="I31" i="11"/>
  <c r="I32" i="11"/>
  <c r="I33" i="11"/>
  <c r="I34" i="11"/>
  <c r="I35" i="11"/>
  <c r="I36" i="11"/>
  <c r="I37" i="11"/>
  <c r="I38" i="11"/>
  <c r="I39" i="11"/>
  <c r="I40" i="11"/>
  <c r="I41" i="11"/>
  <c r="I42" i="11"/>
  <c r="I43" i="11"/>
  <c r="I44" i="11"/>
  <c r="I45" i="11"/>
  <c r="I46" i="11"/>
  <c r="I47" i="11"/>
  <c r="I48" i="11"/>
  <c r="I49" i="11"/>
  <c r="I50" i="11"/>
  <c r="I51" i="11"/>
  <c r="I52" i="11"/>
  <c r="I53" i="11"/>
  <c r="I54" i="11"/>
  <c r="I55" i="11"/>
  <c r="I56" i="11"/>
  <c r="I57" i="11"/>
  <c r="I58" i="11"/>
  <c r="I59" i="11"/>
  <c r="I60" i="11"/>
  <c r="I61" i="11"/>
  <c r="I62" i="11"/>
  <c r="I63" i="11"/>
  <c r="I64" i="11"/>
  <c r="I65" i="11"/>
  <c r="I66" i="11"/>
  <c r="I67" i="11"/>
  <c r="I68" i="11"/>
  <c r="I69" i="11"/>
  <c r="I70" i="11"/>
  <c r="I71" i="11"/>
  <c r="I72" i="11"/>
  <c r="I73" i="11"/>
  <c r="I74" i="11"/>
  <c r="I75" i="11"/>
  <c r="I76" i="11"/>
  <c r="I77" i="11"/>
  <c r="I78" i="11"/>
  <c r="I79" i="11"/>
  <c r="I80" i="11"/>
  <c r="I81" i="11"/>
  <c r="I82" i="11"/>
  <c r="I83" i="11"/>
  <c r="I84" i="11"/>
  <c r="I85" i="11"/>
  <c r="I86" i="11"/>
  <c r="I87" i="11"/>
  <c r="I88" i="11"/>
  <c r="I89" i="11"/>
  <c r="I90" i="11"/>
  <c r="I91" i="11"/>
  <c r="I92" i="11"/>
  <c r="I93" i="11"/>
  <c r="I94" i="11"/>
  <c r="I95" i="11"/>
  <c r="I96" i="11"/>
  <c r="I97" i="11"/>
  <c r="I98" i="11"/>
  <c r="I99" i="11"/>
  <c r="I100" i="11"/>
  <c r="I101" i="11"/>
  <c r="I102" i="11"/>
  <c r="I103" i="11"/>
  <c r="I104" i="11"/>
  <c r="I105" i="11"/>
  <c r="I106" i="11"/>
  <c r="I107" i="11"/>
  <c r="I108" i="11"/>
  <c r="I109" i="11"/>
  <c r="I110" i="11"/>
  <c r="I111" i="11"/>
  <c r="I112" i="11"/>
  <c r="I113" i="11"/>
  <c r="I114" i="11"/>
  <c r="I115" i="11"/>
  <c r="I116" i="11"/>
  <c r="I117" i="11"/>
  <c r="I118" i="11"/>
  <c r="I119" i="11"/>
  <c r="I120" i="11"/>
  <c r="I121" i="11"/>
  <c r="I122" i="11"/>
  <c r="I123" i="11"/>
  <c r="I124" i="11"/>
  <c r="I125" i="11"/>
  <c r="I126" i="11"/>
  <c r="I127" i="11"/>
  <c r="I128" i="11"/>
  <c r="I129" i="11"/>
  <c r="I130" i="11"/>
  <c r="I131" i="11"/>
  <c r="I132" i="11"/>
  <c r="I133" i="11"/>
  <c r="I134" i="11"/>
  <c r="I135" i="11"/>
  <c r="I136" i="11"/>
  <c r="I137" i="11"/>
  <c r="I138" i="11"/>
  <c r="I139" i="11"/>
  <c r="I140" i="11"/>
  <c r="I141" i="11"/>
  <c r="I142" i="11"/>
  <c r="I143" i="11"/>
  <c r="I144" i="11"/>
  <c r="I145" i="11"/>
  <c r="I146" i="11"/>
  <c r="I147" i="11"/>
  <c r="I148" i="11"/>
  <c r="I149" i="11"/>
  <c r="I150" i="11"/>
  <c r="I151" i="11"/>
  <c r="I152" i="11"/>
  <c r="I153" i="11"/>
  <c r="I154" i="11"/>
  <c r="I155" i="11"/>
  <c r="I156" i="11"/>
  <c r="I157" i="11"/>
  <c r="I158" i="11"/>
  <c r="I159" i="11"/>
  <c r="I160" i="11"/>
  <c r="I161" i="11"/>
  <c r="I162" i="11"/>
  <c r="I163" i="11"/>
  <c r="I164" i="11"/>
  <c r="I165" i="11"/>
  <c r="I166" i="11"/>
  <c r="I167" i="11"/>
  <c r="I168" i="11"/>
  <c r="I169" i="11"/>
  <c r="I170" i="11"/>
  <c r="I171" i="11"/>
  <c r="I172" i="11"/>
  <c r="I173" i="11"/>
  <c r="I174" i="11"/>
  <c r="I175" i="11"/>
  <c r="I176" i="11"/>
  <c r="I177" i="11"/>
  <c r="I178" i="11"/>
  <c r="I179" i="11"/>
  <c r="I180" i="11"/>
  <c r="I181" i="11"/>
  <c r="I182" i="11"/>
  <c r="I183" i="11"/>
  <c r="I184" i="11"/>
  <c r="I185" i="11"/>
  <c r="I186" i="11"/>
  <c r="I187" i="11"/>
  <c r="I188" i="11"/>
  <c r="I189" i="11"/>
  <c r="I190" i="11"/>
  <c r="I191" i="11"/>
  <c r="I192" i="11"/>
  <c r="I193" i="11"/>
  <c r="I194" i="11"/>
  <c r="I195" i="11"/>
  <c r="I196" i="11"/>
  <c r="I197" i="11"/>
  <c r="I198" i="11"/>
  <c r="I199" i="11"/>
  <c r="I200" i="11"/>
  <c r="I201" i="11"/>
  <c r="I202" i="11"/>
  <c r="I203" i="11"/>
  <c r="I204" i="11"/>
  <c r="I205" i="11"/>
  <c r="I206" i="11"/>
  <c r="I207" i="11"/>
  <c r="I208" i="11"/>
  <c r="I209" i="11"/>
  <c r="I210" i="11"/>
  <c r="I211" i="11"/>
  <c r="I212" i="11"/>
  <c r="I213" i="11"/>
  <c r="I214" i="11"/>
  <c r="I215" i="11"/>
  <c r="I216" i="11"/>
  <c r="I217" i="11"/>
  <c r="I218" i="11"/>
  <c r="I219" i="11"/>
  <c r="I220" i="11"/>
  <c r="I221" i="11"/>
  <c r="I222" i="11"/>
  <c r="I223" i="11"/>
  <c r="I224" i="11"/>
  <c r="I225" i="11"/>
  <c r="I226" i="11"/>
  <c r="I227" i="11"/>
  <c r="I228" i="11"/>
  <c r="I229" i="11"/>
  <c r="I230" i="11"/>
  <c r="I231" i="11"/>
  <c r="I232" i="11"/>
  <c r="I233" i="11"/>
  <c r="I234" i="11"/>
  <c r="I235" i="11"/>
  <c r="I236" i="11"/>
  <c r="I237" i="11"/>
  <c r="I238" i="11"/>
  <c r="I239" i="11"/>
  <c r="I240" i="11"/>
  <c r="I241" i="11"/>
  <c r="I242" i="11"/>
  <c r="I243" i="11"/>
  <c r="I244" i="11"/>
  <c r="I245" i="11"/>
  <c r="I246" i="11"/>
  <c r="I247" i="11"/>
  <c r="I248" i="11"/>
  <c r="I249" i="11"/>
  <c r="I250" i="11"/>
  <c r="I251" i="11"/>
  <c r="I252" i="11"/>
  <c r="I253" i="11"/>
  <c r="I254" i="11"/>
  <c r="I4" i="11"/>
  <c r="E254" i="11"/>
  <c r="E248" i="11"/>
  <c r="E242" i="11"/>
  <c r="E236" i="11"/>
  <c r="E230" i="11"/>
  <c r="E224" i="11"/>
  <c r="E218" i="11"/>
  <c r="E212" i="11"/>
  <c r="E206" i="11"/>
  <c r="E200" i="11"/>
  <c r="E194" i="11"/>
  <c r="E188" i="11"/>
  <c r="E182" i="11"/>
  <c r="E176" i="11"/>
  <c r="E170" i="11"/>
  <c r="E164" i="11"/>
  <c r="E158" i="11"/>
  <c r="E152" i="11"/>
  <c r="E146" i="11"/>
  <c r="E140" i="11"/>
  <c r="E134" i="11"/>
  <c r="E128" i="11"/>
  <c r="E122" i="11"/>
  <c r="E116" i="11"/>
  <c r="E110" i="11"/>
  <c r="E104" i="11"/>
  <c r="E98" i="11"/>
  <c r="E92" i="11"/>
  <c r="E86" i="11"/>
  <c r="E80" i="11"/>
  <c r="E74" i="11"/>
  <c r="E68" i="11"/>
  <c r="E62" i="11"/>
  <c r="E56" i="11"/>
  <c r="E50" i="11"/>
  <c r="E44" i="11"/>
  <c r="E38" i="11"/>
  <c r="E32" i="11"/>
  <c r="E26" i="11"/>
  <c r="E20" i="11"/>
  <c r="E14" i="11"/>
  <c r="E8" i="11"/>
  <c r="D254" i="11"/>
  <c r="D248" i="11"/>
  <c r="D242" i="11"/>
  <c r="D236" i="11"/>
  <c r="D230" i="11"/>
  <c r="D224" i="11"/>
  <c r="D218" i="11"/>
  <c r="D212" i="11"/>
  <c r="D206" i="11"/>
  <c r="D200" i="11"/>
  <c r="D194" i="11"/>
  <c r="D188" i="11"/>
  <c r="D182" i="11"/>
  <c r="D176" i="11"/>
  <c r="D170" i="11"/>
  <c r="D164" i="11"/>
  <c r="D158" i="11"/>
  <c r="D152" i="11"/>
  <c r="D146" i="11"/>
  <c r="D140" i="11"/>
  <c r="D134" i="11"/>
  <c r="D128" i="11"/>
  <c r="D122" i="11"/>
  <c r="D116" i="11"/>
  <c r="D110" i="11"/>
  <c r="D104" i="11"/>
  <c r="D98" i="11"/>
  <c r="D92" i="11"/>
  <c r="D86" i="11"/>
  <c r="D80" i="11"/>
  <c r="D74" i="11"/>
  <c r="D68" i="11"/>
  <c r="D62" i="11"/>
  <c r="D56" i="11"/>
  <c r="D50" i="11"/>
  <c r="D44" i="11"/>
  <c r="D38" i="11"/>
  <c r="D32" i="11"/>
  <c r="D26" i="11"/>
  <c r="D20" i="11"/>
  <c r="D14" i="11"/>
  <c r="D8" i="11"/>
  <c r="C6" i="11"/>
  <c r="C7" i="11"/>
  <c r="C8" i="11"/>
  <c r="C9" i="11"/>
  <c r="C10" i="11"/>
  <c r="C11" i="11"/>
  <c r="C12" i="11"/>
  <c r="C13" i="11"/>
  <c r="C14" i="11"/>
  <c r="C15" i="11"/>
  <c r="C16" i="11"/>
  <c r="C17" i="11"/>
  <c r="C18" i="11"/>
  <c r="C19" i="11"/>
  <c r="C20" i="11"/>
  <c r="C21" i="11"/>
  <c r="C22" i="11"/>
  <c r="C23" i="11"/>
  <c r="C24" i="11"/>
  <c r="C25" i="11"/>
  <c r="C26" i="11"/>
  <c r="C27" i="11"/>
  <c r="C28" i="11"/>
  <c r="C29" i="11"/>
  <c r="C30" i="11"/>
  <c r="C31" i="11"/>
  <c r="C32" i="11"/>
  <c r="C33" i="11"/>
  <c r="C34" i="11"/>
  <c r="C35" i="11"/>
  <c r="C36" i="11"/>
  <c r="C37" i="11"/>
  <c r="C38" i="11"/>
  <c r="C39" i="11"/>
  <c r="C40" i="11"/>
  <c r="C41" i="11"/>
  <c r="C42" i="11"/>
  <c r="C43" i="11"/>
  <c r="C44" i="11"/>
  <c r="C45" i="11"/>
  <c r="C46" i="11"/>
  <c r="C47" i="11"/>
  <c r="C48" i="11"/>
  <c r="C49" i="11"/>
  <c r="C50" i="11"/>
  <c r="C51" i="11"/>
  <c r="C52" i="11"/>
  <c r="C53" i="11"/>
  <c r="C54" i="11"/>
  <c r="C55" i="11"/>
  <c r="C56" i="11"/>
  <c r="C57" i="11"/>
  <c r="C58" i="11"/>
  <c r="C59" i="11"/>
  <c r="C60" i="11"/>
  <c r="C61" i="11"/>
  <c r="C62" i="11"/>
  <c r="C63" i="11"/>
  <c r="C64" i="11"/>
  <c r="C65" i="11"/>
  <c r="C66" i="11"/>
  <c r="C67" i="11"/>
  <c r="C68" i="11"/>
  <c r="C69" i="11"/>
  <c r="C70" i="11"/>
  <c r="C71" i="11"/>
  <c r="C72" i="11"/>
  <c r="C73" i="11"/>
  <c r="C74" i="11"/>
  <c r="C75" i="11"/>
  <c r="C76" i="11"/>
  <c r="C77" i="11"/>
  <c r="C78" i="11"/>
  <c r="C79" i="11"/>
  <c r="C80" i="11"/>
  <c r="C81" i="11"/>
  <c r="C82" i="11"/>
  <c r="C83" i="11"/>
  <c r="C84" i="11"/>
  <c r="C85" i="11"/>
  <c r="C86" i="11"/>
  <c r="C87" i="11"/>
  <c r="C88" i="11"/>
  <c r="C89" i="11"/>
  <c r="C90" i="11"/>
  <c r="C91" i="11"/>
  <c r="C92" i="11"/>
  <c r="C93" i="11"/>
  <c r="C94" i="11"/>
  <c r="C95" i="11"/>
  <c r="C96" i="11"/>
  <c r="C97" i="11"/>
  <c r="C98" i="11"/>
  <c r="C99" i="11"/>
  <c r="C100" i="11"/>
  <c r="C101" i="11"/>
  <c r="C102" i="11"/>
  <c r="C103" i="11"/>
  <c r="C104" i="11"/>
  <c r="C105" i="11"/>
  <c r="C106" i="11"/>
  <c r="C107" i="11"/>
  <c r="C108" i="11"/>
  <c r="C109" i="11"/>
  <c r="C110" i="11"/>
  <c r="C111" i="11"/>
  <c r="C112" i="11"/>
  <c r="C113" i="11"/>
  <c r="C114" i="11"/>
  <c r="C115" i="11"/>
  <c r="C116" i="11"/>
  <c r="C117" i="11"/>
  <c r="C118" i="11"/>
  <c r="C119" i="11"/>
  <c r="C120" i="11"/>
  <c r="C121" i="11"/>
  <c r="C122" i="11"/>
  <c r="C123" i="11"/>
  <c r="C124" i="11"/>
  <c r="C125" i="11"/>
  <c r="C126" i="11"/>
  <c r="C127" i="11"/>
  <c r="C128" i="11"/>
  <c r="C129" i="11"/>
  <c r="C130" i="11"/>
  <c r="C131" i="11"/>
  <c r="C132" i="11"/>
  <c r="C133" i="11"/>
  <c r="C134" i="11"/>
  <c r="C135" i="11"/>
  <c r="C136" i="11"/>
  <c r="C137" i="11"/>
  <c r="C138" i="11"/>
  <c r="C139" i="11"/>
  <c r="C140" i="11"/>
  <c r="C141" i="11"/>
  <c r="C142" i="11"/>
  <c r="C143" i="11"/>
  <c r="C144" i="11"/>
  <c r="C145" i="11"/>
  <c r="C146" i="11"/>
  <c r="C147" i="11"/>
  <c r="C148" i="11"/>
  <c r="C149" i="11"/>
  <c r="C150" i="11"/>
  <c r="C151" i="11"/>
  <c r="C152" i="11"/>
  <c r="C153" i="11"/>
  <c r="C154" i="11"/>
  <c r="C155" i="11"/>
  <c r="C156" i="11"/>
  <c r="C157" i="11"/>
  <c r="C158" i="11"/>
  <c r="C159" i="11"/>
  <c r="C160" i="11"/>
  <c r="C161" i="11"/>
  <c r="C162" i="11"/>
  <c r="C163" i="11"/>
  <c r="C164" i="11"/>
  <c r="C165" i="11"/>
  <c r="C166" i="11"/>
  <c r="C167" i="11"/>
  <c r="C168" i="11"/>
  <c r="C169" i="11"/>
  <c r="C170" i="11"/>
  <c r="C171" i="11"/>
  <c r="C172" i="11"/>
  <c r="C173" i="11"/>
  <c r="C174" i="11"/>
  <c r="C175" i="11"/>
  <c r="C176" i="11"/>
  <c r="C177" i="11"/>
  <c r="C178" i="11"/>
  <c r="C179" i="11"/>
  <c r="C180" i="11"/>
  <c r="C181" i="11"/>
  <c r="C182" i="11"/>
  <c r="C183" i="11"/>
  <c r="C184" i="11"/>
  <c r="C185" i="11"/>
  <c r="C186" i="11"/>
  <c r="C187" i="11"/>
  <c r="C188" i="11"/>
  <c r="C189" i="11"/>
  <c r="C190" i="11"/>
  <c r="C191" i="11"/>
  <c r="C192" i="11"/>
  <c r="C193" i="11"/>
  <c r="C194" i="11"/>
  <c r="C195" i="11"/>
  <c r="C196" i="11"/>
  <c r="C197" i="11"/>
  <c r="C198" i="11"/>
  <c r="C199" i="11"/>
  <c r="C200" i="11"/>
  <c r="C201" i="11"/>
  <c r="C202" i="11"/>
  <c r="C203" i="11"/>
  <c r="C204" i="11"/>
  <c r="C205" i="11"/>
  <c r="C206" i="11"/>
  <c r="C207" i="11"/>
  <c r="C208" i="11"/>
  <c r="C209" i="11"/>
  <c r="C210" i="11"/>
  <c r="C211" i="11"/>
  <c r="C212" i="11"/>
  <c r="C213" i="11"/>
  <c r="C214" i="11"/>
  <c r="C215" i="11"/>
  <c r="C216" i="11"/>
  <c r="C217" i="11"/>
  <c r="C218" i="11"/>
  <c r="C219" i="11"/>
  <c r="C220" i="11"/>
  <c r="C221" i="11"/>
  <c r="C222" i="11"/>
  <c r="C223" i="11"/>
  <c r="C224" i="11"/>
  <c r="C225" i="11"/>
  <c r="C226" i="11"/>
  <c r="C227" i="11"/>
  <c r="C228" i="11"/>
  <c r="C229" i="11"/>
  <c r="C230" i="11"/>
  <c r="C231" i="11"/>
  <c r="C232" i="11"/>
  <c r="C233" i="11"/>
  <c r="C234" i="11"/>
  <c r="C235" i="11"/>
  <c r="C236" i="11"/>
  <c r="C237" i="11"/>
  <c r="C238" i="11"/>
  <c r="C239" i="11"/>
  <c r="C240" i="11"/>
  <c r="C241" i="11"/>
  <c r="C242" i="11"/>
  <c r="C243" i="11"/>
  <c r="C244" i="11"/>
  <c r="C245" i="11"/>
  <c r="C246" i="11"/>
  <c r="C247" i="11"/>
  <c r="C248" i="11"/>
  <c r="C249" i="11"/>
  <c r="C250" i="11"/>
  <c r="C251" i="11"/>
  <c r="C252" i="11"/>
  <c r="C253" i="11"/>
  <c r="C254" i="11"/>
  <c r="C5" i="11"/>
  <c r="C4" i="11"/>
  <c r="H38" i="8"/>
  <c r="H36" i="8"/>
  <c r="H34" i="8"/>
  <c r="H33" i="8"/>
  <c r="H32" i="8"/>
  <c r="H30" i="8"/>
  <c r="H27" i="8"/>
  <c r="H26" i="8"/>
  <c r="E185" i="8"/>
  <c r="E186" i="8"/>
  <c r="E187" i="8"/>
  <c r="E188" i="8"/>
  <c r="E189" i="8"/>
  <c r="E190" i="8"/>
  <c r="E191" i="8"/>
  <c r="E192" i="8"/>
  <c r="E193" i="8"/>
  <c r="E194" i="8"/>
  <c r="E195" i="8"/>
  <c r="C184" i="8"/>
  <c r="C185" i="8"/>
  <c r="C186" i="8"/>
  <c r="C187" i="8"/>
  <c r="C188" i="8"/>
  <c r="C189" i="8"/>
  <c r="C190" i="8"/>
  <c r="C191" i="8"/>
  <c r="C192" i="8"/>
  <c r="C193" i="8"/>
  <c r="C194" i="8"/>
  <c r="C195" i="8"/>
  <c r="C30" i="8"/>
  <c r="C11" i="9"/>
  <c r="D11" i="9"/>
  <c r="E11" i="9"/>
  <c r="C6" i="9"/>
  <c r="D6" i="9"/>
  <c r="E6" i="9"/>
  <c r="F6" i="9"/>
  <c r="B6" i="9"/>
  <c r="E30" i="8"/>
  <c r="E31" i="8"/>
  <c r="E32" i="8"/>
  <c r="E33" i="8"/>
  <c r="E34" i="8"/>
  <c r="E35" i="8"/>
  <c r="E36" i="8"/>
  <c r="E37" i="8"/>
  <c r="E38" i="8"/>
  <c r="E39" i="8"/>
  <c r="E40" i="8"/>
  <c r="E41" i="8"/>
  <c r="E42" i="8"/>
  <c r="E43" i="8"/>
  <c r="E44" i="8"/>
  <c r="E45" i="8"/>
  <c r="E46" i="8"/>
  <c r="E47" i="8"/>
  <c r="E48" i="8"/>
  <c r="E49" i="8"/>
  <c r="E50" i="8"/>
  <c r="E51" i="8"/>
  <c r="E52" i="8"/>
  <c r="E53" i="8"/>
  <c r="E54" i="8"/>
  <c r="E55" i="8"/>
  <c r="E56" i="8"/>
  <c r="E57" i="8"/>
  <c r="E58" i="8"/>
  <c r="E59" i="8"/>
  <c r="E60" i="8"/>
  <c r="E61" i="8"/>
  <c r="E62" i="8"/>
  <c r="E63" i="8"/>
  <c r="E64" i="8"/>
  <c r="E65" i="8"/>
  <c r="E66" i="8"/>
  <c r="E67" i="8"/>
  <c r="E68" i="8"/>
  <c r="E69" i="8"/>
  <c r="E70" i="8"/>
  <c r="E71" i="8"/>
  <c r="E72" i="8"/>
  <c r="E73" i="8"/>
  <c r="E74" i="8"/>
  <c r="E75" i="8"/>
  <c r="E76" i="8"/>
  <c r="E77" i="8"/>
  <c r="E78" i="8"/>
  <c r="E79" i="8"/>
  <c r="E80" i="8"/>
  <c r="E81" i="8"/>
  <c r="E82" i="8"/>
  <c r="E83" i="8"/>
  <c r="E84" i="8"/>
  <c r="E85" i="8"/>
  <c r="E86" i="8"/>
  <c r="E87" i="8"/>
  <c r="E88" i="8"/>
  <c r="E89" i="8"/>
  <c r="E90" i="8"/>
  <c r="E91" i="8"/>
  <c r="E92" i="8"/>
  <c r="E93" i="8"/>
  <c r="E94" i="8"/>
  <c r="E95" i="8"/>
  <c r="E96" i="8"/>
  <c r="E97" i="8"/>
  <c r="E98" i="8"/>
  <c r="E99" i="8"/>
  <c r="E100" i="8"/>
  <c r="E101" i="8"/>
  <c r="E102" i="8"/>
  <c r="E103" i="8"/>
  <c r="E104" i="8"/>
  <c r="E105" i="8"/>
  <c r="E106" i="8"/>
  <c r="E107" i="8"/>
  <c r="E108" i="8"/>
  <c r="E109" i="8"/>
  <c r="E110" i="8"/>
  <c r="E111" i="8"/>
  <c r="E112" i="8"/>
  <c r="E113" i="8"/>
  <c r="E114" i="8"/>
  <c r="E115" i="8"/>
  <c r="E116" i="8"/>
  <c r="E117" i="8"/>
  <c r="E118" i="8"/>
  <c r="E119" i="8"/>
  <c r="E120" i="8"/>
  <c r="E121" i="8"/>
  <c r="E122" i="8"/>
  <c r="E123" i="8"/>
  <c r="E124" i="8"/>
  <c r="E125" i="8"/>
  <c r="E126" i="8"/>
  <c r="E127" i="8"/>
  <c r="E128" i="8"/>
  <c r="E129" i="8"/>
  <c r="E130" i="8"/>
  <c r="E131" i="8"/>
  <c r="E132" i="8"/>
  <c r="E133" i="8"/>
  <c r="E134" i="8"/>
  <c r="E135" i="8"/>
  <c r="E136" i="8"/>
  <c r="E137" i="8"/>
  <c r="E138" i="8"/>
  <c r="E139" i="8"/>
  <c r="E140" i="8"/>
  <c r="E141" i="8"/>
  <c r="E142" i="8"/>
  <c r="E143" i="8"/>
  <c r="E144" i="8"/>
  <c r="E145" i="8"/>
  <c r="E146" i="8"/>
  <c r="E147" i="8"/>
  <c r="E148" i="8"/>
  <c r="E149" i="8"/>
  <c r="E150" i="8"/>
  <c r="E151" i="8"/>
  <c r="E152" i="8"/>
  <c r="E153" i="8"/>
  <c r="E154" i="8"/>
  <c r="E155" i="8"/>
  <c r="E156" i="8"/>
  <c r="E157" i="8"/>
  <c r="E158" i="8"/>
  <c r="E159" i="8"/>
  <c r="E160" i="8"/>
  <c r="E161" i="8"/>
  <c r="E162" i="8"/>
  <c r="E163" i="8"/>
  <c r="E164" i="8"/>
  <c r="E165" i="8"/>
  <c r="E166" i="8"/>
  <c r="E167" i="8"/>
  <c r="E168" i="8"/>
  <c r="E169" i="8"/>
  <c r="E170" i="8"/>
  <c r="E171" i="8"/>
  <c r="E172" i="8"/>
  <c r="E173" i="8"/>
  <c r="E174" i="8"/>
  <c r="E175" i="8"/>
  <c r="E176" i="8"/>
  <c r="E177" i="8"/>
  <c r="E178" i="8"/>
  <c r="E179" i="8"/>
  <c r="E180" i="8"/>
  <c r="E181" i="8"/>
  <c r="E182" i="8"/>
  <c r="E183" i="8"/>
  <c r="E184" i="8"/>
  <c r="E29" i="8"/>
  <c r="C33" i="8"/>
  <c r="C34" i="8"/>
  <c r="C35" i="8"/>
  <c r="C36" i="8"/>
  <c r="C37" i="8"/>
  <c r="C38" i="8"/>
  <c r="C39" i="8"/>
  <c r="C40" i="8"/>
  <c r="C41" i="8"/>
  <c r="C42" i="8"/>
  <c r="C43" i="8"/>
  <c r="C44" i="8"/>
  <c r="C45" i="8"/>
  <c r="C46" i="8"/>
  <c r="C47" i="8"/>
  <c r="C48" i="8"/>
  <c r="C49" i="8"/>
  <c r="C50" i="8"/>
  <c r="C51" i="8"/>
  <c r="C52" i="8"/>
  <c r="C53" i="8"/>
  <c r="C54" i="8"/>
  <c r="C55" i="8"/>
  <c r="C56" i="8"/>
  <c r="C57" i="8"/>
  <c r="C58" i="8"/>
  <c r="C59" i="8"/>
  <c r="C60" i="8"/>
  <c r="C61" i="8"/>
  <c r="C62" i="8"/>
  <c r="C63" i="8"/>
  <c r="C64" i="8"/>
  <c r="C65" i="8"/>
  <c r="C66" i="8"/>
  <c r="C67" i="8"/>
  <c r="C68" i="8"/>
  <c r="C69" i="8"/>
  <c r="C70" i="8"/>
  <c r="C71" i="8"/>
  <c r="C72" i="8"/>
  <c r="C73" i="8"/>
  <c r="C74" i="8"/>
  <c r="C75" i="8"/>
  <c r="C76" i="8"/>
  <c r="C77" i="8"/>
  <c r="C78" i="8"/>
  <c r="C79" i="8"/>
  <c r="C80" i="8"/>
  <c r="C81" i="8"/>
  <c r="C82" i="8"/>
  <c r="C83" i="8"/>
  <c r="C84" i="8"/>
  <c r="C85" i="8"/>
  <c r="C86" i="8"/>
  <c r="C87" i="8"/>
  <c r="C88" i="8"/>
  <c r="C89" i="8"/>
  <c r="C90" i="8"/>
  <c r="C91" i="8"/>
  <c r="C92" i="8"/>
  <c r="C93" i="8"/>
  <c r="C94" i="8"/>
  <c r="C95" i="8"/>
  <c r="C96" i="8"/>
  <c r="C97" i="8"/>
  <c r="C98" i="8"/>
  <c r="C99" i="8"/>
  <c r="C100" i="8"/>
  <c r="C101" i="8"/>
  <c r="C102" i="8"/>
  <c r="C103" i="8"/>
  <c r="C104" i="8"/>
  <c r="C105" i="8"/>
  <c r="C106" i="8"/>
  <c r="C107" i="8"/>
  <c r="C108" i="8"/>
  <c r="C109" i="8"/>
  <c r="C110" i="8"/>
  <c r="C111" i="8"/>
  <c r="C112" i="8"/>
  <c r="C113" i="8"/>
  <c r="C114" i="8"/>
  <c r="C115" i="8"/>
  <c r="C116" i="8"/>
  <c r="C117" i="8"/>
  <c r="C118" i="8"/>
  <c r="C119" i="8"/>
  <c r="C120" i="8"/>
  <c r="C121" i="8"/>
  <c r="C122" i="8"/>
  <c r="C123" i="8"/>
  <c r="C124" i="8"/>
  <c r="C125" i="8"/>
  <c r="C126" i="8"/>
  <c r="C127" i="8"/>
  <c r="C128" i="8"/>
  <c r="C129" i="8"/>
  <c r="C130" i="8"/>
  <c r="C131" i="8"/>
  <c r="C132" i="8"/>
  <c r="C133" i="8"/>
  <c r="C134" i="8"/>
  <c r="C135" i="8"/>
  <c r="C136" i="8"/>
  <c r="C137" i="8"/>
  <c r="C138" i="8"/>
  <c r="C139" i="8"/>
  <c r="C140" i="8"/>
  <c r="C141" i="8"/>
  <c r="C142" i="8"/>
  <c r="C143" i="8"/>
  <c r="C144" i="8"/>
  <c r="C145" i="8"/>
  <c r="C146" i="8"/>
  <c r="C147" i="8"/>
  <c r="C148" i="8"/>
  <c r="C149" i="8"/>
  <c r="C150" i="8"/>
  <c r="C151" i="8"/>
  <c r="C152" i="8"/>
  <c r="C153" i="8"/>
  <c r="C154" i="8"/>
  <c r="C155" i="8"/>
  <c r="C156" i="8"/>
  <c r="C157" i="8"/>
  <c r="C158" i="8"/>
  <c r="C159" i="8"/>
  <c r="C160" i="8"/>
  <c r="C161" i="8"/>
  <c r="C162" i="8"/>
  <c r="C163" i="8"/>
  <c r="C164" i="8"/>
  <c r="C165" i="8"/>
  <c r="C166" i="8"/>
  <c r="C167" i="8"/>
  <c r="C168" i="8"/>
  <c r="C169" i="8"/>
  <c r="C170" i="8"/>
  <c r="C171" i="8"/>
  <c r="C172" i="8"/>
  <c r="C173" i="8"/>
  <c r="C174" i="8"/>
  <c r="C175" i="8"/>
  <c r="C176" i="8"/>
  <c r="C177" i="8"/>
  <c r="C178" i="8"/>
  <c r="C179" i="8"/>
  <c r="C180" i="8"/>
  <c r="C181" i="8"/>
  <c r="C182" i="8"/>
  <c r="C183" i="8"/>
  <c r="C31" i="8"/>
  <c r="C32" i="8"/>
  <c r="C29" i="8"/>
  <c r="C15" i="4"/>
  <c r="B15" i="5"/>
  <c r="B16" i="5" s="1"/>
  <c r="B17" i="5" s="1"/>
  <c r="I56" i="1"/>
  <c r="F56" i="1"/>
  <c r="C2" i="4"/>
  <c r="D2" i="4" s="1"/>
  <c r="E2" i="4" s="1"/>
  <c r="D31" i="7"/>
  <c r="E31" i="7"/>
  <c r="F31" i="7"/>
  <c r="G31" i="7"/>
  <c r="F11" i="9" s="1"/>
  <c r="C31" i="7"/>
  <c r="B11" i="9" s="1"/>
  <c r="C6" i="7"/>
  <c r="E55" i="3"/>
  <c r="C41" i="6"/>
  <c r="D41" i="6" s="1"/>
  <c r="E41" i="6" s="1"/>
  <c r="F41" i="6" s="1"/>
  <c r="G41" i="6" s="1"/>
  <c r="C40" i="6"/>
  <c r="D40" i="6" s="1"/>
  <c r="E40" i="6" s="1"/>
  <c r="F40" i="6" s="1"/>
  <c r="G40" i="6" s="1"/>
  <c r="C29" i="6"/>
  <c r="D29" i="6" s="1"/>
  <c r="E29" i="6" s="1"/>
  <c r="F29" i="6" s="1"/>
  <c r="G29" i="6" s="1"/>
  <c r="C28" i="6"/>
  <c r="C11" i="7" s="1"/>
  <c r="D27" i="6"/>
  <c r="E27" i="6" s="1"/>
  <c r="F27" i="6" s="1"/>
  <c r="G27" i="6" s="1"/>
  <c r="C27" i="6"/>
  <c r="C26" i="6"/>
  <c r="F60" i="3"/>
  <c r="E60" i="3"/>
  <c r="B46" i="5" s="1"/>
  <c r="C17" i="6"/>
  <c r="D17" i="6" s="1"/>
  <c r="E17" i="6" s="1"/>
  <c r="F17" i="6" s="1"/>
  <c r="G17" i="6" s="1"/>
  <c r="C16" i="6"/>
  <c r="D16" i="6" s="1"/>
  <c r="E16" i="6" s="1"/>
  <c r="F16" i="6" s="1"/>
  <c r="G16" i="6" s="1"/>
  <c r="C14" i="6"/>
  <c r="D14" i="6" s="1"/>
  <c r="E14" i="6" s="1"/>
  <c r="F14" i="6" s="1"/>
  <c r="G14" i="6" s="1"/>
  <c r="D96" i="3"/>
  <c r="E96" i="3"/>
  <c r="C96" i="3"/>
  <c r="C56" i="3"/>
  <c r="D6" i="6"/>
  <c r="D6" i="7" s="1"/>
  <c r="C20" i="2"/>
  <c r="C20" i="4" s="1"/>
  <c r="D20" i="4" s="1"/>
  <c r="E20" i="4" s="1"/>
  <c r="F20" i="4" s="1"/>
  <c r="G20" i="4" s="1"/>
  <c r="D17" i="4"/>
  <c r="E17" i="4" s="1"/>
  <c r="F17" i="4" s="1"/>
  <c r="G17" i="4" s="1"/>
  <c r="C17" i="4"/>
  <c r="B37" i="5"/>
  <c r="C37" i="5" s="1"/>
  <c r="D37" i="5" s="1"/>
  <c r="E37" i="5" s="1"/>
  <c r="F37" i="5" s="1"/>
  <c r="B27" i="5"/>
  <c r="B28" i="5" s="1"/>
  <c r="B29" i="5" s="1"/>
  <c r="B30" i="5" s="1"/>
  <c r="C18" i="6" s="1"/>
  <c r="D34" i="2"/>
  <c r="E34" i="2"/>
  <c r="F34" i="2"/>
  <c r="C34" i="2"/>
  <c r="B7" i="5" s="1"/>
  <c r="D33" i="2"/>
  <c r="E33" i="2"/>
  <c r="F33" i="2"/>
  <c r="C33" i="2"/>
  <c r="B6" i="5" s="1"/>
  <c r="C31" i="2"/>
  <c r="B3" i="5" s="1"/>
  <c r="C3" i="4" s="1"/>
  <c r="D31" i="2"/>
  <c r="E31" i="2"/>
  <c r="F31" i="2"/>
  <c r="B25" i="1"/>
  <c r="B23" i="1"/>
  <c r="B21" i="1"/>
  <c r="B19" i="1"/>
  <c r="E86" i="3"/>
  <c r="F86" i="3"/>
  <c r="D86" i="3"/>
  <c r="C57" i="3"/>
  <c r="C58" i="3" s="1"/>
  <c r="D57" i="3"/>
  <c r="D58" i="3" s="1"/>
  <c r="E57" i="3"/>
  <c r="E58" i="3" s="1"/>
  <c r="F57" i="3"/>
  <c r="F58" i="3" s="1"/>
  <c r="D55" i="3"/>
  <c r="D56" i="3" s="1"/>
  <c r="E56" i="3"/>
  <c r="F55" i="3"/>
  <c r="F56" i="3" s="1"/>
  <c r="F43" i="3"/>
  <c r="F44" i="3" s="1"/>
  <c r="E43" i="3"/>
  <c r="E44" i="3" s="1"/>
  <c r="D43" i="3"/>
  <c r="D44" i="3" s="1"/>
  <c r="C43" i="3"/>
  <c r="C44" i="3" s="1"/>
  <c r="C34" i="3"/>
  <c r="C35" i="3" s="1"/>
  <c r="F34" i="3"/>
  <c r="F35" i="3" s="1"/>
  <c r="E34" i="3"/>
  <c r="E35" i="3" s="1"/>
  <c r="D34" i="3"/>
  <c r="D35" i="3" s="1"/>
  <c r="D30" i="3"/>
  <c r="D51" i="3" s="1"/>
  <c r="E30" i="3"/>
  <c r="F30" i="3"/>
  <c r="C30" i="3"/>
  <c r="C52" i="3" s="1"/>
  <c r="D19" i="3"/>
  <c r="E19" i="3"/>
  <c r="F19" i="3"/>
  <c r="C19" i="3"/>
  <c r="F9" i="3"/>
  <c r="F10" i="3" s="1"/>
  <c r="D10" i="3"/>
  <c r="E10" i="3"/>
  <c r="C10" i="3"/>
  <c r="C50" i="3" s="1"/>
  <c r="F20" i="2"/>
  <c r="E20" i="2"/>
  <c r="D20" i="2"/>
  <c r="E6" i="6" l="1"/>
  <c r="C12" i="7"/>
  <c r="D26" i="6"/>
  <c r="C34" i="6"/>
  <c r="D34" i="6" s="1"/>
  <c r="E34" i="6" s="1"/>
  <c r="F34" i="6" s="1"/>
  <c r="G34" i="6" s="1"/>
  <c r="D28" i="6"/>
  <c r="C43" i="6"/>
  <c r="D43" i="6" s="1"/>
  <c r="E43" i="6" s="1"/>
  <c r="F43" i="6" s="1"/>
  <c r="G43" i="6" s="1"/>
  <c r="B44" i="5"/>
  <c r="C8" i="6" s="1"/>
  <c r="D15" i="4"/>
  <c r="E15" i="4" s="1"/>
  <c r="F15" i="4" s="1"/>
  <c r="G15" i="4" s="1"/>
  <c r="C9" i="4"/>
  <c r="E21" i="5"/>
  <c r="J16" i="5"/>
  <c r="B22" i="5"/>
  <c r="B32" i="5" s="1"/>
  <c r="C12" i="4" s="1"/>
  <c r="N14" i="5"/>
  <c r="N21" i="5"/>
  <c r="B4" i="9"/>
  <c r="F2" i="4"/>
  <c r="G2" i="4" s="1"/>
  <c r="B43" i="5"/>
  <c r="D7" i="6" s="1"/>
  <c r="F96" i="3"/>
  <c r="B45" i="5" s="1"/>
  <c r="F21" i="3"/>
  <c r="B38" i="5"/>
  <c r="C15" i="5"/>
  <c r="D15" i="5" s="1"/>
  <c r="E15" i="5" s="1"/>
  <c r="F15" i="5" s="1"/>
  <c r="C27" i="5"/>
  <c r="D27" i="5" s="1"/>
  <c r="E27" i="5" s="1"/>
  <c r="F27" i="5" s="1"/>
  <c r="B18" i="5"/>
  <c r="E9" i="4"/>
  <c r="D9" i="4"/>
  <c r="E3" i="4"/>
  <c r="D3" i="4"/>
  <c r="F65" i="3"/>
  <c r="C21" i="3"/>
  <c r="C64" i="3"/>
  <c r="D49" i="3"/>
  <c r="F64" i="3"/>
  <c r="E64" i="3"/>
  <c r="D64" i="3"/>
  <c r="D37" i="3"/>
  <c r="E37" i="3"/>
  <c r="E21" i="3"/>
  <c r="F37" i="3"/>
  <c r="F52" i="3"/>
  <c r="F50" i="3"/>
  <c r="E52" i="3"/>
  <c r="E50" i="3"/>
  <c r="D52" i="3"/>
  <c r="F51" i="3"/>
  <c r="C51" i="3"/>
  <c r="C49" i="3"/>
  <c r="C37" i="3"/>
  <c r="F49" i="3"/>
  <c r="E51" i="3"/>
  <c r="D21" i="3"/>
  <c r="D50" i="3"/>
  <c r="E49" i="3"/>
  <c r="D18" i="2"/>
  <c r="E18" i="2"/>
  <c r="F18" i="2"/>
  <c r="C18" i="2"/>
  <c r="F7" i="2"/>
  <c r="F32" i="2" s="1"/>
  <c r="E7" i="2"/>
  <c r="E32" i="2" s="1"/>
  <c r="B5" i="5" s="1"/>
  <c r="E7" i="4" s="1"/>
  <c r="D7" i="2"/>
  <c r="D32" i="2" s="1"/>
  <c r="C7" i="2"/>
  <c r="C32" i="2" s="1"/>
  <c r="F6" i="6" l="1"/>
  <c r="E6" i="7"/>
  <c r="E28" i="6"/>
  <c r="D11" i="7"/>
  <c r="C7" i="6"/>
  <c r="C7" i="7" s="1"/>
  <c r="E7" i="6"/>
  <c r="E7" i="7" s="1"/>
  <c r="E26" i="6"/>
  <c r="D12" i="7"/>
  <c r="C7" i="4"/>
  <c r="D7" i="4"/>
  <c r="F21" i="5"/>
  <c r="B39" i="5"/>
  <c r="B40" i="5" s="1"/>
  <c r="C18" i="7"/>
  <c r="B23" i="5"/>
  <c r="J17" i="5"/>
  <c r="C4" i="7"/>
  <c r="D4" i="9"/>
  <c r="F4" i="9"/>
  <c r="C4" i="9"/>
  <c r="E4" i="9"/>
  <c r="F7" i="6"/>
  <c r="F7" i="4"/>
  <c r="G7" i="6"/>
  <c r="G3" i="4"/>
  <c r="G4" i="4" s="1"/>
  <c r="G9" i="4"/>
  <c r="G7" i="4"/>
  <c r="F3" i="4"/>
  <c r="F4" i="4" s="1"/>
  <c r="F9" i="4"/>
  <c r="C4" i="4"/>
  <c r="C8" i="7"/>
  <c r="C25" i="6"/>
  <c r="E4" i="4"/>
  <c r="E10" i="4" s="1"/>
  <c r="E25" i="6"/>
  <c r="D4" i="4"/>
  <c r="D25" i="6"/>
  <c r="D8" i="6"/>
  <c r="D8" i="7" s="1"/>
  <c r="E8" i="6"/>
  <c r="E9" i="6"/>
  <c r="C9" i="6"/>
  <c r="C9" i="7" s="1"/>
  <c r="D9" i="6"/>
  <c r="F9" i="6"/>
  <c r="G9" i="6"/>
  <c r="F59" i="3"/>
  <c r="B41" i="5"/>
  <c r="C16" i="5"/>
  <c r="C13" i="6"/>
  <c r="C28" i="5"/>
  <c r="C29" i="5" s="1"/>
  <c r="C30" i="5" s="1"/>
  <c r="D59" i="3"/>
  <c r="D65" i="3"/>
  <c r="E59" i="3"/>
  <c r="E65" i="3"/>
  <c r="C65" i="3"/>
  <c r="C59" i="3"/>
  <c r="C46" i="3"/>
  <c r="C63" i="3"/>
  <c r="F46" i="3"/>
  <c r="F63" i="3"/>
  <c r="E46" i="3"/>
  <c r="E63" i="3"/>
  <c r="D46" i="3"/>
  <c r="D63" i="3"/>
  <c r="D4" i="2"/>
  <c r="E4" i="2"/>
  <c r="F4" i="2"/>
  <c r="C4" i="2"/>
  <c r="D57" i="1"/>
  <c r="E57" i="1"/>
  <c r="F57" i="1"/>
  <c r="G57" i="1"/>
  <c r="H57" i="1"/>
  <c r="I57" i="1"/>
  <c r="J57" i="1"/>
  <c r="B57" i="1"/>
  <c r="C57" i="1"/>
  <c r="H56" i="1"/>
  <c r="D56" i="1"/>
  <c r="E56" i="1"/>
  <c r="G56" i="1"/>
  <c r="J56" i="1"/>
  <c r="C56" i="1"/>
  <c r="M55" i="1"/>
  <c r="M54" i="1"/>
  <c r="L55" i="1"/>
  <c r="L54" i="1"/>
  <c r="G25" i="1"/>
  <c r="G23" i="1"/>
  <c r="G21" i="1"/>
  <c r="G19" i="1"/>
  <c r="F25" i="1"/>
  <c r="F23" i="1"/>
  <c r="F21" i="1"/>
  <c r="F19" i="1"/>
  <c r="E25" i="1"/>
  <c r="E23" i="1"/>
  <c r="E21" i="1"/>
  <c r="E19" i="1"/>
  <c r="D25" i="1"/>
  <c r="D23" i="1"/>
  <c r="D21" i="1"/>
  <c r="D19" i="1"/>
  <c r="C25" i="1"/>
  <c r="C23" i="1"/>
  <c r="C21" i="1"/>
  <c r="C19" i="1"/>
  <c r="D7" i="7" l="1"/>
  <c r="G6" i="6"/>
  <c r="G6" i="7" s="1"/>
  <c r="F6" i="7"/>
  <c r="C10" i="4"/>
  <c r="C13" i="4" s="1"/>
  <c r="D10" i="4"/>
  <c r="F26" i="6"/>
  <c r="E12" i="7"/>
  <c r="F7" i="7"/>
  <c r="F28" i="6"/>
  <c r="E11" i="7"/>
  <c r="E76" i="3"/>
  <c r="E10" i="2"/>
  <c r="D76" i="3"/>
  <c r="D10" i="2"/>
  <c r="C10" i="2"/>
  <c r="C76" i="3"/>
  <c r="F76" i="3"/>
  <c r="F10" i="2"/>
  <c r="M22" i="5"/>
  <c r="M23" i="5" s="1"/>
  <c r="M24" i="5" s="1"/>
  <c r="G7" i="7"/>
  <c r="C16" i="4"/>
  <c r="C13" i="7" s="1"/>
  <c r="C19" i="7"/>
  <c r="C26" i="7" s="1"/>
  <c r="K15" i="5"/>
  <c r="B24" i="5"/>
  <c r="C15" i="6" s="1"/>
  <c r="C19" i="6" s="1"/>
  <c r="C38" i="5"/>
  <c r="C33" i="6"/>
  <c r="C35" i="6" s="1"/>
  <c r="D9" i="7"/>
  <c r="G8" i="6"/>
  <c r="G25" i="6"/>
  <c r="F8" i="6"/>
  <c r="F8" i="7" s="1"/>
  <c r="F10" i="4"/>
  <c r="F9" i="7"/>
  <c r="F25" i="6"/>
  <c r="G10" i="4"/>
  <c r="G9" i="7"/>
  <c r="E10" i="7"/>
  <c r="E30" i="6"/>
  <c r="D30" i="6"/>
  <c r="D10" i="7"/>
  <c r="E9" i="7"/>
  <c r="C10" i="7"/>
  <c r="C5" i="7" s="1"/>
  <c r="C30" i="6"/>
  <c r="E8" i="7"/>
  <c r="C17" i="5"/>
  <c r="C18" i="5" s="1"/>
  <c r="D16" i="5" s="1"/>
  <c r="D17" i="5" s="1"/>
  <c r="D18" i="5" s="1"/>
  <c r="D28" i="5"/>
  <c r="D29" i="5" s="1"/>
  <c r="D30" i="5" s="1"/>
  <c r="D18" i="6"/>
  <c r="N55" i="1"/>
  <c r="N54" i="1"/>
  <c r="G28" i="6" l="1"/>
  <c r="G11" i="7" s="1"/>
  <c r="F11" i="7"/>
  <c r="G26" i="6"/>
  <c r="G12" i="7" s="1"/>
  <c r="F12" i="7"/>
  <c r="D13" i="2"/>
  <c r="D67" i="3"/>
  <c r="D79" i="3"/>
  <c r="D88" i="3"/>
  <c r="D68" i="3"/>
  <c r="F67" i="3"/>
  <c r="F88" i="3"/>
  <c r="F79" i="3"/>
  <c r="F13" i="2"/>
  <c r="F68" i="3"/>
  <c r="C79" i="3"/>
  <c r="C67" i="3"/>
  <c r="C13" i="2"/>
  <c r="C68" i="3"/>
  <c r="E13" i="2"/>
  <c r="E79" i="3"/>
  <c r="E88" i="3"/>
  <c r="E67" i="3"/>
  <c r="E68" i="3"/>
  <c r="N22" i="5"/>
  <c r="N23" i="5" s="1"/>
  <c r="N24" i="5" s="1"/>
  <c r="C37" i="6"/>
  <c r="D18" i="7"/>
  <c r="C39" i="5"/>
  <c r="C40" i="5" s="1"/>
  <c r="K16" i="5"/>
  <c r="C22" i="5"/>
  <c r="C32" i="5" s="1"/>
  <c r="D12" i="4" s="1"/>
  <c r="D4" i="7" s="1"/>
  <c r="D13" i="6"/>
  <c r="C18" i="4"/>
  <c r="C22" i="4" s="1"/>
  <c r="D5" i="7"/>
  <c r="G10" i="7"/>
  <c r="G8" i="7"/>
  <c r="F30" i="6"/>
  <c r="F10" i="7"/>
  <c r="F5" i="7" s="1"/>
  <c r="E5" i="7"/>
  <c r="E16" i="5"/>
  <c r="E17" i="5" s="1"/>
  <c r="E18" i="5" s="1"/>
  <c r="E13" i="6"/>
  <c r="E28" i="5"/>
  <c r="E29" i="5" s="1"/>
  <c r="E30" i="5" s="1"/>
  <c r="E18" i="6"/>
  <c r="G30" i="6" l="1"/>
  <c r="C77" i="3"/>
  <c r="C66" i="3"/>
  <c r="C22" i="2"/>
  <c r="E66" i="3"/>
  <c r="E81" i="3"/>
  <c r="E77" i="3"/>
  <c r="E22" i="2"/>
  <c r="F66" i="3"/>
  <c r="F81" i="3"/>
  <c r="F77" i="3"/>
  <c r="F22" i="2"/>
  <c r="D66" i="3"/>
  <c r="D77" i="3"/>
  <c r="D22" i="2"/>
  <c r="D81" i="3"/>
  <c r="D13" i="4"/>
  <c r="C23" i="5"/>
  <c r="K17" i="5"/>
  <c r="D38" i="5"/>
  <c r="D33" i="6"/>
  <c r="D35" i="6" s="1"/>
  <c r="D37" i="6" s="1"/>
  <c r="C41" i="5"/>
  <c r="G5" i="7"/>
  <c r="F16" i="5"/>
  <c r="F13" i="6"/>
  <c r="F28" i="5"/>
  <c r="F29" i="5" s="1"/>
  <c r="F30" i="5" s="1"/>
  <c r="G18" i="6" s="1"/>
  <c r="F18" i="6"/>
  <c r="F26" i="2" l="1"/>
  <c r="F29" i="2"/>
  <c r="C26" i="2"/>
  <c r="C29" i="2"/>
  <c r="C30" i="2" s="1"/>
  <c r="D26" i="2"/>
  <c r="D29" i="2"/>
  <c r="E26" i="2"/>
  <c r="E29" i="2"/>
  <c r="L15" i="5"/>
  <c r="C24" i="5"/>
  <c r="D15" i="6" s="1"/>
  <c r="D19" i="6" s="1"/>
  <c r="D16" i="4"/>
  <c r="D19" i="7"/>
  <c r="D26" i="7" s="1"/>
  <c r="D39" i="5"/>
  <c r="D40" i="5" s="1"/>
  <c r="E18" i="7"/>
  <c r="F17" i="5"/>
  <c r="F18" i="5" s="1"/>
  <c r="G13" i="6" s="1"/>
  <c r="C78" i="3" l="1"/>
  <c r="C71" i="3"/>
  <c r="C73" i="3"/>
  <c r="C72" i="3"/>
  <c r="E7" i="9"/>
  <c r="F74" i="3"/>
  <c r="D74" i="3"/>
  <c r="D7" i="9"/>
  <c r="B7" i="9"/>
  <c r="F7" i="9"/>
  <c r="C7" i="9"/>
  <c r="E74" i="3"/>
  <c r="C74" i="3"/>
  <c r="C24" i="4"/>
  <c r="C26" i="4" s="1"/>
  <c r="E72" i="3"/>
  <c r="E78" i="3"/>
  <c r="E73" i="3"/>
  <c r="E71" i="3"/>
  <c r="D78" i="3"/>
  <c r="D73" i="3"/>
  <c r="D71" i="3"/>
  <c r="D72" i="3"/>
  <c r="F78" i="3"/>
  <c r="F92" i="3"/>
  <c r="F93" i="3" s="1"/>
  <c r="F73" i="3"/>
  <c r="F71" i="3"/>
  <c r="F72" i="3"/>
  <c r="E33" i="6"/>
  <c r="E35" i="6" s="1"/>
  <c r="E37" i="6" s="1"/>
  <c r="E38" i="5"/>
  <c r="D41" i="5"/>
  <c r="D18" i="4"/>
  <c r="D22" i="4" s="1"/>
  <c r="D24" i="4" s="1"/>
  <c r="D26" i="4" s="1"/>
  <c r="D13" i="7"/>
  <c r="L16" i="5"/>
  <c r="D22" i="5"/>
  <c r="D32" i="5" s="1"/>
  <c r="E12" i="4" s="1"/>
  <c r="C3" i="7" l="1"/>
  <c r="C14" i="7" s="1"/>
  <c r="C42" i="6"/>
  <c r="C44" i="6" s="1"/>
  <c r="C80" i="3"/>
  <c r="C75" i="3"/>
  <c r="E75" i="3"/>
  <c r="E80" i="3"/>
  <c r="F75" i="3"/>
  <c r="F80" i="3"/>
  <c r="D80" i="3"/>
  <c r="D75" i="3"/>
  <c r="E16" i="4"/>
  <c r="E19" i="7"/>
  <c r="E26" i="7" s="1"/>
  <c r="D3" i="7"/>
  <c r="D14" i="7" s="1"/>
  <c r="E13" i="4"/>
  <c r="E4" i="7"/>
  <c r="D23" i="5"/>
  <c r="L17" i="5"/>
  <c r="E39" i="5"/>
  <c r="E40" i="5" s="1"/>
  <c r="F18" i="7"/>
  <c r="D42" i="6" l="1"/>
  <c r="C46" i="6"/>
  <c r="B3" i="9"/>
  <c r="B5" i="9" s="1"/>
  <c r="B8" i="9" s="1"/>
  <c r="C35" i="7"/>
  <c r="C37" i="7" s="1"/>
  <c r="B10" i="9"/>
  <c r="B12" i="9" s="1"/>
  <c r="M15" i="5"/>
  <c r="D24" i="5"/>
  <c r="E15" i="6" s="1"/>
  <c r="E19" i="6" s="1"/>
  <c r="D44" i="6"/>
  <c r="D35" i="7"/>
  <c r="C10" i="9"/>
  <c r="C12" i="9" s="1"/>
  <c r="F33" i="6"/>
  <c r="F35" i="6" s="1"/>
  <c r="F37" i="6" s="1"/>
  <c r="F38" i="5"/>
  <c r="E41" i="5"/>
  <c r="E18" i="4"/>
  <c r="E22" i="4" s="1"/>
  <c r="E24" i="4" s="1"/>
  <c r="E26" i="4" s="1"/>
  <c r="E13" i="7"/>
  <c r="B14" i="9" l="1"/>
  <c r="D33" i="7"/>
  <c r="D37" i="7" s="1"/>
  <c r="C5" i="6"/>
  <c r="C10" i="6" s="1"/>
  <c r="C21" i="6" s="1"/>
  <c r="C48" i="6" s="1"/>
  <c r="E3" i="7"/>
  <c r="E14" i="7" s="1"/>
  <c r="E42" i="6"/>
  <c r="M16" i="5"/>
  <c r="E22" i="5"/>
  <c r="E32" i="5" s="1"/>
  <c r="F12" i="4" s="1"/>
  <c r="D46" i="6"/>
  <c r="C3" i="9"/>
  <c r="C5" i="9" s="1"/>
  <c r="C8" i="9" s="1"/>
  <c r="C14" i="9" s="1"/>
  <c r="F16" i="4"/>
  <c r="F19" i="7"/>
  <c r="F26" i="7" s="1"/>
  <c r="F39" i="5"/>
  <c r="F40" i="5" s="1"/>
  <c r="G18" i="7"/>
  <c r="D5" i="6" l="1"/>
  <c r="D10" i="6" s="1"/>
  <c r="D21" i="6" s="1"/>
  <c r="D48" i="6" s="1"/>
  <c r="E33" i="7"/>
  <c r="F41" i="5"/>
  <c r="G33" i="6"/>
  <c r="G35" i="6" s="1"/>
  <c r="G37" i="6" s="1"/>
  <c r="F13" i="4"/>
  <c r="F22" i="4" s="1"/>
  <c r="F24" i="4" s="1"/>
  <c r="F26" i="4" s="1"/>
  <c r="F3" i="7" s="1"/>
  <c r="F4" i="7"/>
  <c r="E23" i="5"/>
  <c r="M17" i="5"/>
  <c r="E44" i="6"/>
  <c r="F18" i="4"/>
  <c r="F13" i="7"/>
  <c r="E35" i="7"/>
  <c r="E37" i="7" s="1"/>
  <c r="D10" i="9"/>
  <c r="D12" i="9" s="1"/>
  <c r="F14" i="7" l="1"/>
  <c r="F35" i="7" s="1"/>
  <c r="F33" i="7"/>
  <c r="E5" i="6"/>
  <c r="E10" i="6" s="1"/>
  <c r="E21" i="6" s="1"/>
  <c r="N15" i="5"/>
  <c r="E24" i="5"/>
  <c r="F15" i="6" s="1"/>
  <c r="F19" i="6" s="1"/>
  <c r="F42" i="6"/>
  <c r="G16" i="4"/>
  <c r="G19" i="7"/>
  <c r="G26" i="7" s="1"/>
  <c r="E46" i="6"/>
  <c r="D3" i="9"/>
  <c r="D5" i="9" s="1"/>
  <c r="D8" i="9" s="1"/>
  <c r="D14" i="9" s="1"/>
  <c r="E10" i="9" l="1"/>
  <c r="E12" i="9" s="1"/>
  <c r="F37" i="7"/>
  <c r="G33" i="7" s="1"/>
  <c r="G18" i="4"/>
  <c r="G13" i="7"/>
  <c r="F44" i="6"/>
  <c r="N16" i="5"/>
  <c r="F22" i="5"/>
  <c r="F32" i="5" s="1"/>
  <c r="G12" i="4" s="1"/>
  <c r="E48" i="6"/>
  <c r="F5" i="6" l="1"/>
  <c r="F10" i="6" s="1"/>
  <c r="F21" i="6" s="1"/>
  <c r="N17" i="5"/>
  <c r="F24" i="5" s="1"/>
  <c r="G15" i="6" s="1"/>
  <c r="G19" i="6" s="1"/>
  <c r="F23" i="5"/>
  <c r="E3" i="9"/>
  <c r="E5" i="9" s="1"/>
  <c r="E8" i="9" s="1"/>
  <c r="E14" i="9" s="1"/>
  <c r="F46" i="6"/>
  <c r="G13" i="4"/>
  <c r="G22" i="4" s="1"/>
  <c r="G24" i="4" s="1"/>
  <c r="G26" i="4" s="1"/>
  <c r="G4" i="7"/>
  <c r="F48" i="6" l="1"/>
  <c r="G3" i="7"/>
  <c r="G14" i="7" s="1"/>
  <c r="G42" i="6"/>
  <c r="G44" i="6" s="1"/>
  <c r="F3" i="9" l="1"/>
  <c r="F5" i="9" s="1"/>
  <c r="F8" i="9" s="1"/>
  <c r="G46" i="6"/>
  <c r="F10" i="9"/>
  <c r="F12" i="9" s="1"/>
  <c r="G35" i="7"/>
  <c r="G37" i="7" s="1"/>
  <c r="G5" i="6" s="1"/>
  <c r="G10" i="6" s="1"/>
  <c r="G21" i="6" s="1"/>
  <c r="G48" i="6" l="1"/>
  <c r="G12" i="9"/>
  <c r="G14" i="9" s="1"/>
  <c r="F14" i="9"/>
  <c r="B17" i="9" s="1"/>
  <c r="B22" i="9" s="1"/>
</calcChain>
</file>

<file path=xl/sharedStrings.xml><?xml version="1.0" encoding="utf-8"?>
<sst xmlns="http://schemas.openxmlformats.org/spreadsheetml/2006/main" count="1398" uniqueCount="738">
  <si>
    <t>Direct Competitor Comparison 2023</t>
  </si>
  <si>
    <t>Market Cap (M$)</t>
  </si>
  <si>
    <t>Employees</t>
  </si>
  <si>
    <t>Revenue (million$, ttm)</t>
  </si>
  <si>
    <t>Gross profit (million$, ttm)</t>
  </si>
  <si>
    <t>Employee productivity (thousand$ per capita)</t>
  </si>
  <si>
    <t>Gross margin (%)</t>
  </si>
  <si>
    <t>Operating profit (million$, ttm)</t>
  </si>
  <si>
    <t>Operating profit margin (%)</t>
  </si>
  <si>
    <t>Net income (million$, ttm)</t>
  </si>
  <si>
    <t>Net profit margin (%)</t>
  </si>
  <si>
    <t>Strategic priorities</t>
  </si>
  <si>
    <t>Competitors</t>
  </si>
  <si>
    <t>Business risk:</t>
  </si>
  <si>
    <t>Future strategy:</t>
  </si>
  <si>
    <t>--&gt;</t>
  </si>
  <si>
    <t>Skechers U.S.A., Inc.</t>
  </si>
  <si>
    <t>SKX</t>
  </si>
  <si>
    <t>NIKE, Inc.</t>
  </si>
  <si>
    <t>Deckers Outdoor Corporation</t>
  </si>
  <si>
    <t>On Holding AG</t>
  </si>
  <si>
    <t>Crocs, Inc.</t>
  </si>
  <si>
    <t>Steven Madden, Ltd.</t>
  </si>
  <si>
    <t xml:space="preserve">Main competitors: </t>
  </si>
  <si>
    <t>NKE</t>
  </si>
  <si>
    <t>DECK</t>
  </si>
  <si>
    <t>ONON</t>
  </si>
  <si>
    <t>CROX</t>
  </si>
  <si>
    <t>SHOO</t>
  </si>
  <si>
    <t>(M $)</t>
  </si>
  <si>
    <t>Sales</t>
  </si>
  <si>
    <t>EBIT (operating income)</t>
  </si>
  <si>
    <t>Sales Growth</t>
  </si>
  <si>
    <t>AVG</t>
  </si>
  <si>
    <t>ST.dev.</t>
  </si>
  <si>
    <t>Var%</t>
  </si>
  <si>
    <t>Operating Margins</t>
  </si>
  <si>
    <t>Total Revenue</t>
  </si>
  <si>
    <t>S</t>
  </si>
  <si>
    <t>Cost of Revenue / Cost of Goods Sold</t>
  </si>
  <si>
    <t>COGS</t>
  </si>
  <si>
    <t>Gross Profit / Gross Margin</t>
  </si>
  <si>
    <t>GM</t>
  </si>
  <si>
    <t>Operating Expenses</t>
  </si>
  <si>
    <t>OPEX</t>
  </si>
  <si>
    <t>Selling, General and Administrative</t>
  </si>
  <si>
    <t>SGA</t>
  </si>
  <si>
    <t>Research and Development</t>
  </si>
  <si>
    <t>R&amp;D</t>
  </si>
  <si>
    <t>Other Operating Expenses</t>
  </si>
  <si>
    <t>EBITDA</t>
  </si>
  <si>
    <t>Depreciation and Amortization</t>
  </si>
  <si>
    <t>DEPR</t>
  </si>
  <si>
    <t>EBIT</t>
  </si>
  <si>
    <t>Earning Before Interest, Taxes, Depreciation and Amortization / Operating Profit</t>
  </si>
  <si>
    <t>Earnings Before Interest and Taxes / Operating Profit</t>
  </si>
  <si>
    <r>
      <t xml:space="preserve">Sector: </t>
    </r>
    <r>
      <rPr>
        <sz val="8.5"/>
        <rFont val="Arial"/>
        <family val="2"/>
      </rPr>
      <t>Consumer Cyclical</t>
    </r>
  </si>
  <si>
    <r>
      <t xml:space="preserve">Industry: </t>
    </r>
    <r>
      <rPr>
        <sz val="8.5"/>
        <rFont val="Arial"/>
        <family val="2"/>
      </rPr>
      <t>Footwear &amp; Accessories</t>
    </r>
  </si>
  <si>
    <t>Interest Income</t>
  </si>
  <si>
    <t>Interest Expense</t>
  </si>
  <si>
    <t>INT</t>
  </si>
  <si>
    <t>Other Financial Costs</t>
  </si>
  <si>
    <t>Net Financial Result</t>
  </si>
  <si>
    <t>Other Results</t>
  </si>
  <si>
    <t>Earnings Before Taxes / Pretax Income</t>
  </si>
  <si>
    <t>EBT</t>
  </si>
  <si>
    <t>Income Tax</t>
  </si>
  <si>
    <t>IT</t>
  </si>
  <si>
    <t>NP / EAC</t>
  </si>
  <si>
    <t xml:space="preserve">Net Income Available to Common Stockholders / Net Profit </t>
  </si>
  <si>
    <t>Income Statement (thousand $)</t>
  </si>
  <si>
    <t>ASSETS</t>
  </si>
  <si>
    <t>Current Assets</t>
  </si>
  <si>
    <t>Cash and Equivalents</t>
  </si>
  <si>
    <t>Short Term Investments / Marketable Securities</t>
  </si>
  <si>
    <t>C</t>
  </si>
  <si>
    <t>MS</t>
  </si>
  <si>
    <t>Accounts Receivable</t>
  </si>
  <si>
    <t>AR</t>
  </si>
  <si>
    <t>Other Current Assets</t>
  </si>
  <si>
    <t>Inventory</t>
  </si>
  <si>
    <t>INVT</t>
  </si>
  <si>
    <t>Total Current Assets</t>
  </si>
  <si>
    <t>Net Property, Plant and Equipment</t>
  </si>
  <si>
    <t>PPE</t>
  </si>
  <si>
    <t>Goodwill</t>
  </si>
  <si>
    <t>Balance Sheet (thousand $)</t>
  </si>
  <si>
    <t>Other Intangible Assets</t>
  </si>
  <si>
    <t>Deferred Taxes (Non-Current)</t>
  </si>
  <si>
    <t>Non-Current Assets / Fixed Assets</t>
  </si>
  <si>
    <t>Other Non-Current Assets</t>
  </si>
  <si>
    <t>Total Non-Current Assets</t>
  </si>
  <si>
    <t>CA</t>
  </si>
  <si>
    <t>FA</t>
  </si>
  <si>
    <t>LIABILITIES AND EQUITY</t>
  </si>
  <si>
    <t>Current Liabilities</t>
  </si>
  <si>
    <t>TOTAL ASSETS</t>
  </si>
  <si>
    <t>TA</t>
  </si>
  <si>
    <t>Accounts Payable / Payables</t>
  </si>
  <si>
    <t>AP</t>
  </si>
  <si>
    <t>Current Provisions</t>
  </si>
  <si>
    <t>Pension and Other Post-Retirement Benefit Plans</t>
  </si>
  <si>
    <t>STD</t>
  </si>
  <si>
    <t>Current Debt / Short-Term Loans</t>
  </si>
  <si>
    <t>Other Current Liabilities</t>
  </si>
  <si>
    <t>Total Current Liabilities</t>
  </si>
  <si>
    <t>CL</t>
  </si>
  <si>
    <t>Non-Current (Long-Term) Liabilities</t>
  </si>
  <si>
    <t>Long-Term Debt</t>
  </si>
  <si>
    <t>LTD</t>
  </si>
  <si>
    <t>Other Long-Term Liabilities</t>
  </si>
  <si>
    <t>Total Non-Current Liabilities</t>
  </si>
  <si>
    <t>LTL</t>
  </si>
  <si>
    <t>TL</t>
  </si>
  <si>
    <t>Equity</t>
  </si>
  <si>
    <t>Capital Stock / Invested Capital</t>
  </si>
  <si>
    <t xml:space="preserve">Additional Paid In Capital </t>
  </si>
  <si>
    <t>Retained Earnings</t>
  </si>
  <si>
    <t>IC</t>
  </si>
  <si>
    <t>RE</t>
  </si>
  <si>
    <t>Other Equity</t>
  </si>
  <si>
    <t>Total Equity</t>
  </si>
  <si>
    <t>E</t>
  </si>
  <si>
    <t>TOTAL LIABILITIES AND EQUITY</t>
  </si>
  <si>
    <t>L&amp;E</t>
  </si>
  <si>
    <t>Total Liabilities</t>
  </si>
  <si>
    <t>Liquidity Ratios</t>
  </si>
  <si>
    <t>Net Working Capital</t>
  </si>
  <si>
    <t>NWC</t>
  </si>
  <si>
    <t>Current Ratio</t>
  </si>
  <si>
    <t>Quick Ratio</t>
  </si>
  <si>
    <t>Cash Ratio</t>
  </si>
  <si>
    <t>Asset Management Ratios</t>
  </si>
  <si>
    <t>Inventory Turnover</t>
  </si>
  <si>
    <t>INVT T/O</t>
  </si>
  <si>
    <t>Inventory Period</t>
  </si>
  <si>
    <t>AR Turnover</t>
  </si>
  <si>
    <t>AR T/O</t>
  </si>
  <si>
    <t>AR Turnover in Days</t>
  </si>
  <si>
    <t>DSO</t>
  </si>
  <si>
    <t>Total Asset Turnover</t>
  </si>
  <si>
    <t>A T/O</t>
  </si>
  <si>
    <t>Debt Ratios</t>
  </si>
  <si>
    <t>Debt Ratio</t>
  </si>
  <si>
    <t>D/E Ratio</t>
  </si>
  <si>
    <t>Financial Leverage Multiplier</t>
  </si>
  <si>
    <t>D/E</t>
  </si>
  <si>
    <t>FLM</t>
  </si>
  <si>
    <t>Times Interest Earned</t>
  </si>
  <si>
    <t>TIE</t>
  </si>
  <si>
    <t>Interest Coverage (2)</t>
  </si>
  <si>
    <t xml:space="preserve">Debt Servicing </t>
  </si>
  <si>
    <t>Profitability Ratios</t>
  </si>
  <si>
    <t>Return on Assets</t>
  </si>
  <si>
    <t>ROA</t>
  </si>
  <si>
    <t>Return on Equity</t>
  </si>
  <si>
    <t>ROE</t>
  </si>
  <si>
    <t>Return on Invested Capital</t>
  </si>
  <si>
    <t>ROIC</t>
  </si>
  <si>
    <t>NOPAT</t>
  </si>
  <si>
    <t>Net Operating Profit After Tax</t>
  </si>
  <si>
    <t>Tc</t>
  </si>
  <si>
    <t>Effective Tax Rate</t>
  </si>
  <si>
    <t>AVG(Tc)</t>
  </si>
  <si>
    <t>Gross Profit Margin</t>
  </si>
  <si>
    <t>GPM</t>
  </si>
  <si>
    <t>Operating Profit Margin</t>
  </si>
  <si>
    <t>OPM</t>
  </si>
  <si>
    <t>Net Profit Margin</t>
  </si>
  <si>
    <t>NPM</t>
  </si>
  <si>
    <t>EBITDA Margin</t>
  </si>
  <si>
    <t>NOPAT Margin</t>
  </si>
  <si>
    <t>Operating Leverage</t>
  </si>
  <si>
    <t>DOL</t>
  </si>
  <si>
    <t>Investment, CF</t>
  </si>
  <si>
    <t>Reinvestment Rate</t>
  </si>
  <si>
    <t>(CAPEX + delta NWC)/(EBITDA - Tc$)</t>
  </si>
  <si>
    <t>CAPEX Ratio</t>
  </si>
  <si>
    <t>CAPEX / S</t>
  </si>
  <si>
    <t>WC Investment Ratio</t>
  </si>
  <si>
    <t>Replacement CAPEX</t>
  </si>
  <si>
    <t>CAPEX / DEPR</t>
  </si>
  <si>
    <t>Quality of Profits</t>
  </si>
  <si>
    <t>Market Ratios</t>
  </si>
  <si>
    <t>EPS</t>
  </si>
  <si>
    <t>Earnings per Share</t>
  </si>
  <si>
    <t>Number of Common Shares Outstanding</t>
  </si>
  <si>
    <t>n</t>
  </si>
  <si>
    <t>Price-Earnings Ratio</t>
  </si>
  <si>
    <t>P/E</t>
  </si>
  <si>
    <t>PPS</t>
  </si>
  <si>
    <t>Price per Share</t>
  </si>
  <si>
    <t>Return on Net Assets</t>
  </si>
  <si>
    <t>RONA</t>
  </si>
  <si>
    <t>Wholesale</t>
  </si>
  <si>
    <t>Direct-to-Consumer</t>
  </si>
  <si>
    <t>Revenue Growth</t>
  </si>
  <si>
    <t>COGS Ratio</t>
  </si>
  <si>
    <t>COGS / S</t>
  </si>
  <si>
    <t>SGA Ratio</t>
  </si>
  <si>
    <t>R&amp;D Ratio</t>
  </si>
  <si>
    <t>SGA / S</t>
  </si>
  <si>
    <t>R&amp;D / S</t>
  </si>
  <si>
    <t>Other OPEX Ratio</t>
  </si>
  <si>
    <t>Investments</t>
  </si>
  <si>
    <t>Depreciation Period</t>
  </si>
  <si>
    <t>years</t>
  </si>
  <si>
    <t>PPE Depreciation Table</t>
  </si>
  <si>
    <t>Gross Value</t>
  </si>
  <si>
    <t>Yearly Depreciation</t>
  </si>
  <si>
    <t>Cumulated Depreciation</t>
  </si>
  <si>
    <t>Net Value</t>
  </si>
  <si>
    <t>Other FA Depreciation Table</t>
  </si>
  <si>
    <t>Intangible Assets Depreciation Table</t>
  </si>
  <si>
    <t xml:space="preserve">Total Depreciation </t>
  </si>
  <si>
    <t>LTL Period</t>
  </si>
  <si>
    <t>LTL Interest Rate</t>
  </si>
  <si>
    <t>Gross LTL</t>
  </si>
  <si>
    <t>Principal Repayment</t>
  </si>
  <si>
    <t>Cumulated PrincRep</t>
  </si>
  <si>
    <t>Net LTL</t>
  </si>
  <si>
    <t>Interest Payment</t>
  </si>
  <si>
    <t>DSO - Days Sales Outstanding</t>
  </si>
  <si>
    <t>days</t>
  </si>
  <si>
    <t>Other CA / S</t>
  </si>
  <si>
    <t>DPO - Days Payables Outstanding</t>
  </si>
  <si>
    <t>AP Turnover in Days</t>
  </si>
  <si>
    <t>DPO</t>
  </si>
  <si>
    <t>CTRL</t>
  </si>
  <si>
    <t xml:space="preserve"> (thousand $)</t>
  </si>
  <si>
    <t>Operating CF</t>
  </si>
  <si>
    <t>CFFO</t>
  </si>
  <si>
    <t>Net Profit</t>
  </si>
  <si>
    <t>(+) Depreciation</t>
  </si>
  <si>
    <t>(+) Corrections  (dNWC)</t>
  </si>
  <si>
    <r>
      <t xml:space="preserve">  </t>
    </r>
    <r>
      <rPr>
        <i/>
        <sz val="10"/>
        <color theme="1"/>
        <rFont val="Calibri"/>
        <family val="2"/>
        <scheme val="minor"/>
      </rPr>
      <t>Change in Short Term Investments</t>
    </r>
  </si>
  <si>
    <t xml:space="preserve">  Change in Accounts Receivables</t>
  </si>
  <si>
    <t xml:space="preserve">  Change in Inventories</t>
  </si>
  <si>
    <t xml:space="preserve">  Change in Other Current Assets</t>
  </si>
  <si>
    <t xml:space="preserve">  Change in Accounts Payables</t>
  </si>
  <si>
    <t xml:space="preserve">  Change in Short Term Loan</t>
  </si>
  <si>
    <t xml:space="preserve">  Change in Other Short Term Liabilities</t>
  </si>
  <si>
    <t>(+) Interest Payment</t>
  </si>
  <si>
    <t>Financing CF</t>
  </si>
  <si>
    <t>CFFF</t>
  </si>
  <si>
    <t>Cash Out</t>
  </si>
  <si>
    <t>LTL Repayment (PrincRep)</t>
  </si>
  <si>
    <t>Bond Repayment</t>
  </si>
  <si>
    <t>Dividend Payment</t>
  </si>
  <si>
    <t>Cash In</t>
  </si>
  <si>
    <t>LTL Contracting</t>
  </si>
  <si>
    <t>Bond Issuance</t>
  </si>
  <si>
    <t>Stock Issuance</t>
  </si>
  <si>
    <t>Investment Cashflow</t>
  </si>
  <si>
    <t>CFFI</t>
  </si>
  <si>
    <t>Fixed Asset Investment</t>
  </si>
  <si>
    <t>Fixed Asset Sale</t>
  </si>
  <si>
    <t>Cash at the Beginning</t>
  </si>
  <si>
    <t>Cash Flow</t>
  </si>
  <si>
    <t>Cash at the End of the Year</t>
  </si>
  <si>
    <t xml:space="preserve">Weighted Average Cost of Capital </t>
  </si>
  <si>
    <t>WACC = (E / V) * r(E) + (D / V) * r(D) * (1 - Tc)</t>
  </si>
  <si>
    <t>r(E) =</t>
  </si>
  <si>
    <t>r(E) = r(f) + beta * (r(M) - r(f))</t>
  </si>
  <si>
    <t>r(f) =</t>
  </si>
  <si>
    <t>(2023.jan 3-án)</t>
  </si>
  <si>
    <t>Dátum</t>
  </si>
  <si>
    <t>P(S&amp;P500)</t>
  </si>
  <si>
    <t>r(S&amp;P500)</t>
  </si>
  <si>
    <t>P(SKX)</t>
  </si>
  <si>
    <t>r(SKX)</t>
  </si>
  <si>
    <t>Nov 13, 2023</t>
  </si>
  <si>
    <t>Nov 06, 2023</t>
  </si>
  <si>
    <t>Oct 29, 2023</t>
  </si>
  <si>
    <t>Oct 22, 2023</t>
  </si>
  <si>
    <t>Oct 15, 2023</t>
  </si>
  <si>
    <t>Oct 08, 2023</t>
  </si>
  <si>
    <t>Oct 01, 2023</t>
  </si>
  <si>
    <t>Sep 24, 2023</t>
  </si>
  <si>
    <t>Sep 17, 2023</t>
  </si>
  <si>
    <t>Sep 10, 2023</t>
  </si>
  <si>
    <t>Sep 03, 2023</t>
  </si>
  <si>
    <t>Aug 27, 2023</t>
  </si>
  <si>
    <t>Aug 20, 2023</t>
  </si>
  <si>
    <t>Aug 13, 2023</t>
  </si>
  <si>
    <t>Aug 06, 2023</t>
  </si>
  <si>
    <t>Jul 30, 2023</t>
  </si>
  <si>
    <t>Jul 23, 2023</t>
  </si>
  <si>
    <t>Jul 16, 2023</t>
  </si>
  <si>
    <t>Jul 09, 2023</t>
  </si>
  <si>
    <t>Jul 02, 2023</t>
  </si>
  <si>
    <t>Jun 25, 2023</t>
  </si>
  <si>
    <t>Jun 18, 2023</t>
  </si>
  <si>
    <t>Jun 11, 2023</t>
  </si>
  <si>
    <t>Jun 04, 2023</t>
  </si>
  <si>
    <t>May 28, 2023</t>
  </si>
  <si>
    <t>May 21, 2023</t>
  </si>
  <si>
    <t>May 14, 2023</t>
  </si>
  <si>
    <t>May 07, 2023</t>
  </si>
  <si>
    <t>Apr 30, 2023</t>
  </si>
  <si>
    <t>Apr 23, 2023</t>
  </si>
  <si>
    <t>Apr 16, 2023</t>
  </si>
  <si>
    <t>Apr 09, 2023</t>
  </si>
  <si>
    <t>Apr 02, 2023</t>
  </si>
  <si>
    <t>Mar 26, 2023</t>
  </si>
  <si>
    <t>Mar 19, 2023</t>
  </si>
  <si>
    <t>Mar 12, 2023</t>
  </si>
  <si>
    <t>Mar 06, 2023</t>
  </si>
  <si>
    <t>Feb 27, 2023</t>
  </si>
  <si>
    <t>Feb 20, 2023</t>
  </si>
  <si>
    <t>Feb 13, 2023</t>
  </si>
  <si>
    <t>Feb 06, 2023</t>
  </si>
  <si>
    <t>Jan 30, 2023</t>
  </si>
  <si>
    <t>Jan 23, 2023</t>
  </si>
  <si>
    <t>Jan 16, 2023</t>
  </si>
  <si>
    <t>Jan 09, 2023</t>
  </si>
  <si>
    <t>Jan 02, 2023</t>
  </si>
  <si>
    <t>Dec 26, 2022</t>
  </si>
  <si>
    <t>Dec 19, 2022</t>
  </si>
  <si>
    <t>Dec 12, 2022</t>
  </si>
  <si>
    <t>Dec 05, 2022</t>
  </si>
  <si>
    <t>Nov 28, 2022</t>
  </si>
  <si>
    <t>Nov 21, 2022</t>
  </si>
  <si>
    <t>Nov 14, 2022</t>
  </si>
  <si>
    <t>Nov 07, 2022</t>
  </si>
  <si>
    <t>Oct 30, 2022</t>
  </si>
  <si>
    <t>Oct 23, 2022</t>
  </si>
  <si>
    <t>Oct 16, 2022</t>
  </si>
  <si>
    <t>Oct 09, 2022</t>
  </si>
  <si>
    <t>Oct 02, 2022</t>
  </si>
  <si>
    <t>Sep 25, 2022</t>
  </si>
  <si>
    <t>Sep 18, 2022</t>
  </si>
  <si>
    <t>Sep 11, 2022</t>
  </si>
  <si>
    <t>Sep 04, 2022</t>
  </si>
  <si>
    <t>Aug 28, 2022</t>
  </si>
  <si>
    <t>Aug 21, 2022</t>
  </si>
  <si>
    <t>Aug 14, 2022</t>
  </si>
  <si>
    <t>Aug 07, 2022</t>
  </si>
  <si>
    <t>Jul 31, 2022</t>
  </si>
  <si>
    <t>Jul 24, 2022</t>
  </si>
  <si>
    <t>Jul 17, 2022</t>
  </si>
  <si>
    <t>Jul 10, 2022</t>
  </si>
  <si>
    <t>Jul 03, 2022</t>
  </si>
  <si>
    <t>Jun 26, 2022</t>
  </si>
  <si>
    <t>Jun 19, 2022</t>
  </si>
  <si>
    <t>Jun 12, 2022</t>
  </si>
  <si>
    <t>Jun 05, 2022</t>
  </si>
  <si>
    <t>May 29, 2022</t>
  </si>
  <si>
    <t>May 22, 2022</t>
  </si>
  <si>
    <t>May 15, 2022</t>
  </si>
  <si>
    <t>May 08, 2022</t>
  </si>
  <si>
    <t>May 01, 2022</t>
  </si>
  <si>
    <t>Apr 24, 2022</t>
  </si>
  <si>
    <t>Apr 17, 2022</t>
  </si>
  <si>
    <t>Apr 10, 2022</t>
  </si>
  <si>
    <t>Apr 03, 2022</t>
  </si>
  <si>
    <t>Mar 27, 2022</t>
  </si>
  <si>
    <t>Mar 20, 2022</t>
  </si>
  <si>
    <t>Mar 13, 2022</t>
  </si>
  <si>
    <t>Mar 07, 2022</t>
  </si>
  <si>
    <t>Feb 28, 2022</t>
  </si>
  <si>
    <t>Feb 21, 2022</t>
  </si>
  <si>
    <t>Feb 14, 2022</t>
  </si>
  <si>
    <t>Feb 07, 2022</t>
  </si>
  <si>
    <t>Jan 31, 2022</t>
  </si>
  <si>
    <t>Jan 24, 2022</t>
  </si>
  <si>
    <t>Jan 17, 2022</t>
  </si>
  <si>
    <t>Jan 10, 2022</t>
  </si>
  <si>
    <t>Jan 03, 2022</t>
  </si>
  <si>
    <t>Dec 27, 2021</t>
  </si>
  <si>
    <t>Dec 20, 2021</t>
  </si>
  <si>
    <t>Dec 13, 2021</t>
  </si>
  <si>
    <t>Dec 06, 2021</t>
  </si>
  <si>
    <t>Nov 29, 2021</t>
  </si>
  <si>
    <t>Nov 22, 2021</t>
  </si>
  <si>
    <t>Nov 15, 2021</t>
  </si>
  <si>
    <t>Nov 08, 2021</t>
  </si>
  <si>
    <t>Oct 31, 2021</t>
  </si>
  <si>
    <t>Oct 24, 2021</t>
  </si>
  <si>
    <t>Oct 17, 2021</t>
  </si>
  <si>
    <t>Oct 10, 2021</t>
  </si>
  <si>
    <t>Oct 03, 2021</t>
  </si>
  <si>
    <t>Sep 26, 2021</t>
  </si>
  <si>
    <t>Sep 19, 2021</t>
  </si>
  <si>
    <t>Sep 12, 2021</t>
  </si>
  <si>
    <t>Sep 05, 2021</t>
  </si>
  <si>
    <t>Aug 29, 2021</t>
  </si>
  <si>
    <t>Aug 22, 2021</t>
  </si>
  <si>
    <t>Aug 15, 2021</t>
  </si>
  <si>
    <t>Aug 08, 2021</t>
  </si>
  <si>
    <t>Aug 01, 2021</t>
  </si>
  <si>
    <t>Jul 25, 2021</t>
  </si>
  <si>
    <t>Jul 18, 2021</t>
  </si>
  <si>
    <t>Jul 11, 2021</t>
  </si>
  <si>
    <t>Jul 04, 2021</t>
  </si>
  <si>
    <t>Jun 27, 2021</t>
  </si>
  <si>
    <t>Jun 20, 2021</t>
  </si>
  <si>
    <t>Jun 13, 2021</t>
  </si>
  <si>
    <t>Jun 06, 2021</t>
  </si>
  <si>
    <t>May 30, 2021</t>
  </si>
  <si>
    <t>May 23, 2021</t>
  </si>
  <si>
    <t>May 16, 2021</t>
  </si>
  <si>
    <t>May 09, 2021</t>
  </si>
  <si>
    <t>May 02, 2021</t>
  </si>
  <si>
    <t>Apr 25, 2021</t>
  </si>
  <si>
    <t>Apr 18, 2021</t>
  </si>
  <si>
    <t>Apr 11, 2021</t>
  </si>
  <si>
    <t>Apr 04, 2021</t>
  </si>
  <si>
    <t>Mar 28, 2021</t>
  </si>
  <si>
    <t>Mar 21, 2021</t>
  </si>
  <si>
    <t>Mar 14, 2021</t>
  </si>
  <si>
    <t>Mar 08, 2021</t>
  </si>
  <si>
    <t>Mar 01, 2021</t>
  </si>
  <si>
    <t>Feb 22, 2021</t>
  </si>
  <si>
    <t>Feb 15, 2021</t>
  </si>
  <si>
    <t>Feb 08, 2021</t>
  </si>
  <si>
    <t>Feb 01, 2021</t>
  </si>
  <si>
    <t>Jan 25, 2021</t>
  </si>
  <si>
    <t>Jan 18, 2021</t>
  </si>
  <si>
    <t>Jan 11, 2021</t>
  </si>
  <si>
    <t>Jan 04, 2021</t>
  </si>
  <si>
    <t>Dec 28, 2020</t>
  </si>
  <si>
    <t>Dec 21, 2020</t>
  </si>
  <si>
    <t>Dec 14, 2020</t>
  </si>
  <si>
    <t>Dec 07, 2020</t>
  </si>
  <si>
    <t>Nov 30, 2020</t>
  </si>
  <si>
    <t>Nov 23, 2020</t>
  </si>
  <si>
    <t>Nov 16, 2020</t>
  </si>
  <si>
    <t>COVAR(r(SKX), r(M)) =</t>
  </si>
  <si>
    <t>VAR(r(M)) =</t>
  </si>
  <si>
    <t>β =</t>
  </si>
  <si>
    <t>SLOPE =</t>
  </si>
  <si>
    <t>r(M) =</t>
  </si>
  <si>
    <t>r(M) 2023 =</t>
  </si>
  <si>
    <t>r(M) 2022 =</t>
  </si>
  <si>
    <t>r(M) 2021 =</t>
  </si>
  <si>
    <t>E / V =</t>
  </si>
  <si>
    <t>D / V =</t>
  </si>
  <si>
    <t>r(D) =</t>
  </si>
  <si>
    <t>Tc =</t>
  </si>
  <si>
    <t>WACC =</t>
  </si>
  <si>
    <t>CFFO =</t>
  </si>
  <si>
    <t xml:space="preserve">CFFI = </t>
  </si>
  <si>
    <t>Net CF =</t>
  </si>
  <si>
    <t>PV of Net CF =</t>
  </si>
  <si>
    <t>PV of the Firm =</t>
  </si>
  <si>
    <t>TV</t>
  </si>
  <si>
    <t>No. of Shares =</t>
  </si>
  <si>
    <t>Estimated Share Price =</t>
  </si>
  <si>
    <t>Jan 22, 2024</t>
  </si>
  <si>
    <t>Jan 15, 2024</t>
  </si>
  <si>
    <t>Jan 08, 2024</t>
  </si>
  <si>
    <t>Jan 01, 2024</t>
  </si>
  <si>
    <t>Dec 25, 2023</t>
  </si>
  <si>
    <t>Dec 18, 2023</t>
  </si>
  <si>
    <t>Dec 11, 2023</t>
  </si>
  <si>
    <t>Dec 04, 2023</t>
  </si>
  <si>
    <t>Nov 27, 2023</t>
  </si>
  <si>
    <t>Nov 20, 2023</t>
  </si>
  <si>
    <t>S&amp;P500</t>
  </si>
  <si>
    <t>Jan 24, 2024</t>
  </si>
  <si>
    <t>Jan 23, 2024</t>
  </si>
  <si>
    <t>Jan 19, 2024</t>
  </si>
  <si>
    <t>Jan 18, 2024</t>
  </si>
  <si>
    <t>Jan 17, 2024</t>
  </si>
  <si>
    <t>Jan 16, 2024</t>
  </si>
  <si>
    <t>Jan 12, 2024</t>
  </si>
  <si>
    <t>Jan 11, 2024</t>
  </si>
  <si>
    <t>Jan 10, 2024</t>
  </si>
  <si>
    <t>Jan 09, 2024</t>
  </si>
  <si>
    <t>Jan 05, 2024</t>
  </si>
  <si>
    <t>Jan 04, 2024</t>
  </si>
  <si>
    <t>Jan 03, 2024</t>
  </si>
  <si>
    <t>Jan 02, 2024</t>
  </si>
  <si>
    <t>Dec 29, 2023</t>
  </si>
  <si>
    <t>Dec 28, 2023</t>
  </si>
  <si>
    <t>Dec 27, 2023</t>
  </si>
  <si>
    <t>Dec 26, 2023</t>
  </si>
  <si>
    <t>Dec 22, 2023</t>
  </si>
  <si>
    <t>Dec 21, 2023</t>
  </si>
  <si>
    <t>Dec 20, 2023</t>
  </si>
  <si>
    <t>Dec 19, 2023</t>
  </si>
  <si>
    <t>Dec 15, 2023</t>
  </si>
  <si>
    <t>Dec 14, 2023</t>
  </si>
  <si>
    <t>Dec 13, 2023</t>
  </si>
  <si>
    <t>Dec 12, 2023</t>
  </si>
  <si>
    <t>Dec 08, 2023</t>
  </si>
  <si>
    <t>Dec 07, 2023</t>
  </si>
  <si>
    <t>Dec 06, 2023</t>
  </si>
  <si>
    <t>Dec 05, 2023</t>
  </si>
  <si>
    <t>Dec 01, 2023</t>
  </si>
  <si>
    <t>Nov 30, 2023</t>
  </si>
  <si>
    <t>Nov 29, 2023</t>
  </si>
  <si>
    <t>Nov 28, 2023</t>
  </si>
  <si>
    <t>Nov 24, 2023</t>
  </si>
  <si>
    <t>Nov 22, 2023</t>
  </si>
  <si>
    <t>Nov 21, 2023</t>
  </si>
  <si>
    <t>Nov 17, 2023</t>
  </si>
  <si>
    <t>Nov 16, 2023</t>
  </si>
  <si>
    <t>Nov 15, 2023</t>
  </si>
  <si>
    <t>Nov 14, 2023</t>
  </si>
  <si>
    <t>Nov 10, 2023</t>
  </si>
  <si>
    <t>Nov 09, 2023</t>
  </si>
  <si>
    <t>Nov 08, 2023</t>
  </si>
  <si>
    <t>Nov 07, 2023</t>
  </si>
  <si>
    <t>Nov 03, 2023</t>
  </si>
  <si>
    <t>Nov 02, 2023</t>
  </si>
  <si>
    <t>Nov 01, 2023</t>
  </si>
  <si>
    <t>Oct 31, 2023</t>
  </si>
  <si>
    <t>Oct 30, 2023</t>
  </si>
  <si>
    <t>Oct 27, 2023</t>
  </si>
  <si>
    <t>Oct 26, 2023</t>
  </si>
  <si>
    <t>Oct 25, 2023</t>
  </si>
  <si>
    <t>Oct 24, 2023</t>
  </si>
  <si>
    <t>Oct 23, 2023</t>
  </si>
  <si>
    <t>Oct 20, 2023</t>
  </si>
  <si>
    <t>Oct 19, 2023</t>
  </si>
  <si>
    <t>Oct 18, 2023</t>
  </si>
  <si>
    <t>Oct 17, 2023</t>
  </si>
  <si>
    <t>Oct 16, 2023</t>
  </si>
  <si>
    <t>Oct 13, 2023</t>
  </si>
  <si>
    <t>Oct 12, 2023</t>
  </si>
  <si>
    <t>Oct 11, 2023</t>
  </si>
  <si>
    <t>Oct 10, 2023</t>
  </si>
  <si>
    <t>Oct 09, 2023</t>
  </si>
  <si>
    <t>Oct 06, 2023</t>
  </si>
  <si>
    <t>Oct 05, 2023</t>
  </si>
  <si>
    <t>Oct 04, 2023</t>
  </si>
  <si>
    <t>Oct 03, 2023</t>
  </si>
  <si>
    <t>Oct 02, 2023</t>
  </si>
  <si>
    <t>Sep 29, 2023</t>
  </si>
  <si>
    <t>Sep 28, 2023</t>
  </si>
  <si>
    <t>Sep 27, 2023</t>
  </si>
  <si>
    <t>Sep 26, 2023</t>
  </si>
  <si>
    <t>Sep 25, 2023</t>
  </si>
  <si>
    <t>Sep 22, 2023</t>
  </si>
  <si>
    <t>Sep 21, 2023</t>
  </si>
  <si>
    <t>Sep 20, 2023</t>
  </si>
  <si>
    <t>Sep 19, 2023</t>
  </si>
  <si>
    <t>Sep 18, 2023</t>
  </si>
  <si>
    <t>Sep 15, 2023</t>
  </si>
  <si>
    <t>Sep 14, 2023</t>
  </si>
  <si>
    <t>Sep 13, 2023</t>
  </si>
  <si>
    <t>Sep 12, 2023</t>
  </si>
  <si>
    <t>Sep 11, 2023</t>
  </si>
  <si>
    <t>Sep 08, 2023</t>
  </si>
  <si>
    <t>Sep 07, 2023</t>
  </si>
  <si>
    <t>Sep 06, 2023</t>
  </si>
  <si>
    <t>Sep 05, 2023</t>
  </si>
  <si>
    <t>Sep 01, 2023</t>
  </si>
  <si>
    <t>Aug 31, 2023</t>
  </si>
  <si>
    <t>Aug 30, 2023</t>
  </si>
  <si>
    <t>Aug 29, 2023</t>
  </si>
  <si>
    <t>Aug 28, 2023</t>
  </si>
  <si>
    <t>Aug 25, 2023</t>
  </si>
  <si>
    <t>Aug 24, 2023</t>
  </si>
  <si>
    <t>Aug 23, 2023</t>
  </si>
  <si>
    <t>Aug 22, 2023</t>
  </si>
  <si>
    <t>Aug 21, 2023</t>
  </si>
  <si>
    <t>Aug 18, 2023</t>
  </si>
  <si>
    <t>Aug 17, 2023</t>
  </si>
  <si>
    <t>Aug 16, 2023</t>
  </si>
  <si>
    <t>Aug 15, 2023</t>
  </si>
  <si>
    <t>Aug 14, 2023</t>
  </si>
  <si>
    <t>Aug 11, 2023</t>
  </si>
  <si>
    <t>Aug 10, 2023</t>
  </si>
  <si>
    <t>Aug 09, 2023</t>
  </si>
  <si>
    <t>Aug 08, 2023</t>
  </si>
  <si>
    <t>Aug 07, 2023</t>
  </si>
  <si>
    <t>Aug 04, 2023</t>
  </si>
  <si>
    <t>Aug 03, 2023</t>
  </si>
  <si>
    <t>Aug 02, 2023</t>
  </si>
  <si>
    <t>Aug 01, 2023</t>
  </si>
  <si>
    <t>Jul 31, 2023</t>
  </si>
  <si>
    <t>Jul 28, 2023</t>
  </si>
  <si>
    <t>Jul 27, 2023</t>
  </si>
  <si>
    <t>Jul 26, 2023</t>
  </si>
  <si>
    <t>Jul 25, 2023</t>
  </si>
  <si>
    <t>Jul 24, 2023</t>
  </si>
  <si>
    <t>Jul 21, 2023</t>
  </si>
  <si>
    <t>Jul 20, 2023</t>
  </si>
  <si>
    <t>Jul 19, 2023</t>
  </si>
  <si>
    <t>Jul 18, 2023</t>
  </si>
  <si>
    <t>Jul 17, 2023</t>
  </si>
  <si>
    <t>Jul 14, 2023</t>
  </si>
  <si>
    <t>Jul 13, 2023</t>
  </si>
  <si>
    <t>Jul 12, 2023</t>
  </si>
  <si>
    <t>Jul 11, 2023</t>
  </si>
  <si>
    <t>Jul 10, 2023</t>
  </si>
  <si>
    <t>Jul 07, 2023</t>
  </si>
  <si>
    <t>Jul 06, 2023</t>
  </si>
  <si>
    <t>Jul 05, 2023</t>
  </si>
  <si>
    <t>Jul 03, 2023</t>
  </si>
  <si>
    <t>Jun 30, 2023</t>
  </si>
  <si>
    <t>Jun 29, 2023</t>
  </si>
  <si>
    <t>Jun 28, 2023</t>
  </si>
  <si>
    <t>Jun 27, 2023</t>
  </si>
  <si>
    <t>Jun 26, 2023</t>
  </si>
  <si>
    <t>Jun 23, 2023</t>
  </si>
  <si>
    <t>Jun 22, 2023</t>
  </si>
  <si>
    <t>Jun 21, 2023</t>
  </si>
  <si>
    <t>Jun 20, 2023</t>
  </si>
  <si>
    <t>Jun 16, 2023</t>
  </si>
  <si>
    <t>Jun 15, 2023</t>
  </si>
  <si>
    <t>Jun 14, 2023</t>
  </si>
  <si>
    <t>Jun 13, 2023</t>
  </si>
  <si>
    <t>Jun 12, 2023</t>
  </si>
  <si>
    <t>Jun 09, 2023</t>
  </si>
  <si>
    <t>Jun 08, 2023</t>
  </si>
  <si>
    <t>Jun 07, 2023</t>
  </si>
  <si>
    <t>Jun 06, 2023</t>
  </si>
  <si>
    <t>Jun 05, 2023</t>
  </si>
  <si>
    <t>Jun 02, 2023</t>
  </si>
  <si>
    <t>Jun 01, 2023</t>
  </si>
  <si>
    <t>May 31, 2023</t>
  </si>
  <si>
    <t>May 30, 2023</t>
  </si>
  <si>
    <t>May 26, 2023</t>
  </si>
  <si>
    <t>May 25, 2023</t>
  </si>
  <si>
    <t>May 24, 2023</t>
  </si>
  <si>
    <t>May 23, 2023</t>
  </si>
  <si>
    <t>May 22, 2023</t>
  </si>
  <si>
    <t>May 19, 2023</t>
  </si>
  <si>
    <t>May 18, 2023</t>
  </si>
  <si>
    <t>May 17, 2023</t>
  </si>
  <si>
    <t>May 16, 2023</t>
  </si>
  <si>
    <t>May 15, 2023</t>
  </si>
  <si>
    <t>May 12, 2023</t>
  </si>
  <si>
    <t>May 11, 2023</t>
  </si>
  <si>
    <t>May 10, 2023</t>
  </si>
  <si>
    <t>May 09, 2023</t>
  </si>
  <si>
    <t>May 08, 2023</t>
  </si>
  <si>
    <t>May 05, 2023</t>
  </si>
  <si>
    <t>May 04, 2023</t>
  </si>
  <si>
    <t>May 03, 2023</t>
  </si>
  <si>
    <t>May 02, 2023</t>
  </si>
  <si>
    <t>May 01, 2023</t>
  </si>
  <si>
    <t>Apr 28, 2023</t>
  </si>
  <si>
    <t>Apr 27, 2023</t>
  </si>
  <si>
    <t>Apr 26, 2023</t>
  </si>
  <si>
    <t>Apr 25, 2023</t>
  </si>
  <si>
    <t>Apr 24, 2023</t>
  </si>
  <si>
    <t>Apr 21, 2023</t>
  </si>
  <si>
    <t>Apr 20, 2023</t>
  </si>
  <si>
    <t>Apr 19, 2023</t>
  </si>
  <si>
    <t>Apr 18, 2023</t>
  </si>
  <si>
    <t>Apr 17, 2023</t>
  </si>
  <si>
    <t>Apr 14, 2023</t>
  </si>
  <si>
    <t>Apr 13, 2023</t>
  </si>
  <si>
    <t>Apr 12, 2023</t>
  </si>
  <si>
    <t>Apr 11, 2023</t>
  </si>
  <si>
    <t>Apr 10, 2023</t>
  </si>
  <si>
    <t>Apr 06, 2023</t>
  </si>
  <si>
    <t>Apr 05, 2023</t>
  </si>
  <si>
    <t>Apr 04, 2023</t>
  </si>
  <si>
    <t>Apr 03, 2023</t>
  </si>
  <si>
    <t>Mar 31, 2023</t>
  </si>
  <si>
    <t>Mar 30, 2023</t>
  </si>
  <si>
    <t>Mar 29, 2023</t>
  </si>
  <si>
    <t>Mar 28, 2023</t>
  </si>
  <si>
    <t>Mar 27, 2023</t>
  </si>
  <si>
    <t>Mar 24, 2023</t>
  </si>
  <si>
    <t>Mar 23, 2023</t>
  </si>
  <si>
    <t>Mar 22, 2023</t>
  </si>
  <si>
    <t>Mar 21, 2023</t>
  </si>
  <si>
    <t>Mar 20, 2023</t>
  </si>
  <si>
    <t>Mar 17, 2023</t>
  </si>
  <si>
    <t>Mar 16, 2023</t>
  </si>
  <si>
    <t>Mar 15, 2023</t>
  </si>
  <si>
    <t>Mar 14, 2023</t>
  </si>
  <si>
    <t>Mar 13, 2023</t>
  </si>
  <si>
    <t>Mar 10, 2023</t>
  </si>
  <si>
    <t>Mar 09, 2023</t>
  </si>
  <si>
    <t>Mar 08, 2023</t>
  </si>
  <si>
    <t>Mar 07, 2023</t>
  </si>
  <si>
    <t>Mar 03, 2023</t>
  </si>
  <si>
    <t>Mar 02, 2023</t>
  </si>
  <si>
    <t>Mar 01, 2023</t>
  </si>
  <si>
    <t>Feb 28, 2023</t>
  </si>
  <si>
    <t>Feb 24, 2023</t>
  </si>
  <si>
    <t>Feb 23, 2023</t>
  </si>
  <si>
    <t>Feb 22, 2023</t>
  </si>
  <si>
    <t>Feb 21, 2023</t>
  </si>
  <si>
    <t>Feb 17, 2023</t>
  </si>
  <si>
    <t>Feb 16, 2023</t>
  </si>
  <si>
    <t>Feb 15, 2023</t>
  </si>
  <si>
    <t>Feb 14, 2023</t>
  </si>
  <si>
    <t>Feb 10, 2023</t>
  </si>
  <si>
    <t>Feb 09, 2023</t>
  </si>
  <si>
    <t>Feb 08, 2023</t>
  </si>
  <si>
    <t>Feb 07, 2023</t>
  </si>
  <si>
    <t>Feb 03, 2023</t>
  </si>
  <si>
    <t>Feb 02, 2023</t>
  </si>
  <si>
    <t>Feb 01, 2023</t>
  </si>
  <si>
    <t>Jan 31, 2023</t>
  </si>
  <si>
    <t>Jan 27, 2023</t>
  </si>
  <si>
    <t>Jan 26, 2023</t>
  </si>
  <si>
    <t>Jan 25, 2023</t>
  </si>
  <si>
    <t>Jan 24, 2023</t>
  </si>
  <si>
    <t>Skechers U.S.A., Inc. is a global company that specializes in designing and marketing footwear for men, women, and children for everyday use, as well as offering athletic footwear under the Skechers Performance brand and work footwear under the Skechers Work brand. In addition, they design and sell everyday apparel (Skechers Apparel). The success of Skechers is defined by the combination of style, quality, comfort, innovation, and value, and their products are available through various distribution channels, including wholesale, e-commerce, and their own Skechers stores. Brand recognition is of key importance to them, achieved through comprehensive marketing campaigns and partnerships with celebrities, athletes, and influencers. Since its founding in 1992, Skechers has continuously expanded its product range and increased its sales while maintaining its reputation for quality, innovation, and affordability across its wide range of offerings.</t>
  </si>
  <si>
    <r>
      <rPr>
        <b/>
        <sz val="8.5"/>
        <rFont val="Arial"/>
        <family val="2"/>
      </rPr>
      <t>Data Source:</t>
    </r>
    <r>
      <rPr>
        <sz val="8.5"/>
        <rFont val="Arial"/>
        <family val="2"/>
      </rPr>
      <t xml:space="preserve"> https://finance.yahoo.com/</t>
    </r>
  </si>
  <si>
    <t>The Market Cap is the current stock price multiplied by the total number of outstanding shares. In the case of Skechers, this value is higher than the average compared to its competitors, excluding the significantly higher outlier value of Nike.</t>
  </si>
  <si>
    <t>Compared to its direct competitors, Skechers Inc. employs a relatively large number of employees, disregarding Nike, which employs a proportionately much larger number of employees.</t>
  </si>
  <si>
    <t>In terms of revenue, Skechers is in a good position compared to its competitors; the only direct competitor that realized higher revenue in the last financial year was Nike Inc.</t>
  </si>
  <si>
    <t>The revenue per employee indicator for the company is the highest among its competitors, indicating that the workforce is efficiently organized.</t>
  </si>
  <si>
    <t>Skechers also performs well in terms of gross margin, with the value after deducting COGS (Cost of Goods Sold) from operating activities being the second highest.</t>
  </si>
  <si>
    <t>The profit per unit of revenue indicator lags behind most competitors, indicating that the company operates with high costs.</t>
  </si>
  <si>
    <t>In terms of operating profit, the company also achieved second place; in terms of profitability, it generates a high profit from daily sales based on the value before deducting interest and taxes.</t>
  </si>
  <si>
    <t>The operating profit margin is not high compared to competitors, as the realized profit is not significantly higher than that of competitors relative to total revenue, which may indicate high costs.</t>
  </si>
  <si>
    <t>The post-tax profit is of medium value compared to competitors; this is the profit the company realizes after all deductions.</t>
  </si>
  <si>
    <t>The net profit margin is relatively low, which can be attributed to higher revenue values.</t>
  </si>
  <si>
    <t>Sales goal: 10 billion dollars by 2026</t>
  </si>
  <si>
    <t>Faster delivery of shoes that maintain the current level of comfort, meeting consumer demands</t>
  </si>
  <si>
    <t>Signing contracts with new partners, increasing franchises, and expanding the portfolio</t>
  </si>
  <si>
    <t>Commitment and perseverance with the Skechers family, supporting staff and employees</t>
  </si>
  <si>
    <t>At the level of the entire product range, they do not compete with any other company, only in specific product lines.</t>
  </si>
  <si>
    <t>They may be at a disadvantage in the performance sports equipment market because many consumers still view them as they did in the past, as a manufacturer and distributor of shoes recommended only for everyday use.</t>
  </si>
  <si>
    <t>Natural disasters and economic downturns may pose a greater problem for them compared to competitors, as their headquarters and most of their operations are based in California, where both are currently quite common.</t>
  </si>
  <si>
    <t>Extensive partner network: department stores, family shoe stores, specialized sports equipment retailers, large retail stores, club stores, franchise partners, licensing third-party providers, e-commerce retailers, international distributors</t>
  </si>
  <si>
    <t>Increased by 23.2% in 2022</t>
  </si>
  <si>
    <t>Increased by 10.2% in 2022</t>
  </si>
  <si>
    <t>Approximately 1,450 own stores: retail stores, factory outlets, large retail stores, digital commerce and mobile applications, international marketplaces</t>
  </si>
  <si>
    <t>Maintaining brand name and image towards consumers</t>
  </si>
  <si>
    <t>Responding to changing consumer preferences, interpreting consumer trends, launching new products to the market</t>
  </si>
  <si>
    <t>Competitors have more resources in the performance footwear market</t>
  </si>
  <si>
    <t>Efficiency of inventory management</t>
  </si>
  <si>
    <t>Dependence on tourism</t>
  </si>
  <si>
    <t>Maintaining the brand name and the image that has been established in the eyes of consumers about the company.</t>
  </si>
  <si>
    <t>Expanding office buildings in Manhattan Beach, California.</t>
  </si>
  <si>
    <t>Other / S</t>
  </si>
  <si>
    <t>New</t>
  </si>
  <si>
    <t>CAPM model</t>
  </si>
  <si>
    <t>&gt; 1 - a bit riskier than the market</t>
  </si>
  <si>
    <t xml:space="preserve">Company/Firm Value </t>
  </si>
  <si>
    <t>Date</t>
  </si>
  <si>
    <t>Daily Close Price</t>
  </si>
  <si>
    <t>Daily Return</t>
  </si>
  <si>
    <t>Weekly Return</t>
  </si>
  <si>
    <t>Annualized Weekly Return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</si>
</sst>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
    <numFmt numFmtId="165" formatCode="#,##0.000000"/>
    <numFmt numFmtId="166" formatCode="0.0000"/>
    <numFmt numFmtId="167" formatCode="0.000"/>
  </numFmts>
  <fonts count="19" x14ac:knownFonts="1">
    <font>
      <sz val="11"/>
      <color theme="1"/>
      <name val="Calibri"/>
      <family val="2"/>
      <scheme val="minor"/>
    </font>
    <font>
      <sz val="11"/>
      <color theme="1"/>
      <name val="Calibri"/>
      <family val="2"/>
      <scheme val="minor"/>
    </font>
    <font>
      <sz val="8.5"/>
      <name val="Arial"/>
      <family val="2"/>
    </font>
    <font>
      <b/>
      <sz val="11"/>
      <name val="Calibri"/>
      <family val="2"/>
      <scheme val="minor"/>
    </font>
    <font>
      <b/>
      <sz val="10"/>
      <name val="Calibri"/>
      <family val="2"/>
      <scheme val="minor"/>
    </font>
    <font>
      <sz val="11"/>
      <name val="Calibri"/>
      <family val="2"/>
      <scheme val="minor"/>
    </font>
    <font>
      <b/>
      <i/>
      <sz val="11"/>
      <name val="Calibri"/>
      <family val="2"/>
      <scheme val="minor"/>
    </font>
    <font>
      <b/>
      <sz val="8.5"/>
      <name val="Arial"/>
      <family val="2"/>
    </font>
    <font>
      <sz val="8"/>
      <name val="Arial"/>
      <family val="2"/>
    </font>
    <font>
      <i/>
      <sz val="8.5"/>
      <name val="Arial"/>
      <family val="2"/>
    </font>
    <font>
      <sz val="11"/>
      <color rgb="FFFF0000"/>
      <name val="Calibri"/>
      <family val="2"/>
      <scheme val="minor"/>
    </font>
    <font>
      <b/>
      <sz val="11"/>
      <color theme="1"/>
      <name val="Calibri"/>
      <family val="2"/>
      <scheme val="minor"/>
    </font>
    <font>
      <b/>
      <i/>
      <sz val="11"/>
      <color theme="1"/>
      <name val="Calibri"/>
      <family val="2"/>
      <scheme val="minor"/>
    </font>
    <font>
      <sz val="8"/>
      <color rgb="FF232A31"/>
      <name val="Arial"/>
      <family val="2"/>
    </font>
    <font>
      <i/>
      <sz val="11"/>
      <color theme="1"/>
      <name val="Calibri"/>
      <family val="2"/>
      <scheme val="minor"/>
    </font>
    <font>
      <i/>
      <sz val="10"/>
      <color theme="1"/>
      <name val="Calibri"/>
      <family val="2"/>
      <scheme val="minor"/>
    </font>
    <font>
      <b/>
      <sz val="11"/>
      <color theme="1"/>
      <name val="Calibri"/>
      <family val="2"/>
    </font>
    <font>
      <sz val="8"/>
      <name val="Calibri"/>
      <family val="2"/>
      <scheme val="minor"/>
    </font>
    <font>
      <b/>
      <sz val="14"/>
      <color theme="1"/>
      <name val="Calibri"/>
      <family val="2"/>
      <scheme val="minor"/>
    </font>
  </fonts>
  <fills count="14">
    <fill>
      <patternFill patternType="none"/>
    </fill>
    <fill>
      <patternFill patternType="gray125"/>
    </fill>
    <fill>
      <patternFill patternType="solid">
        <fgColor rgb="FFFFA3C8"/>
        <bgColor indexed="64"/>
      </patternFill>
    </fill>
    <fill>
      <patternFill patternType="solid">
        <fgColor rgb="FFE6CDFF"/>
        <bgColor indexed="64"/>
      </patternFill>
    </fill>
    <fill>
      <patternFill patternType="solid">
        <fgColor rgb="FF99B9F9"/>
        <bgColor indexed="64"/>
      </patternFill>
    </fill>
    <fill>
      <patternFill patternType="solid">
        <fgColor rgb="FF89FFBE"/>
        <bgColor indexed="64"/>
      </patternFill>
    </fill>
    <fill>
      <patternFill patternType="solid">
        <fgColor rgb="FFFFC9E4"/>
        <bgColor indexed="64"/>
      </patternFill>
    </fill>
    <fill>
      <patternFill patternType="solid">
        <fgColor rgb="FFD477F9"/>
        <bgColor indexed="64"/>
      </patternFill>
    </fill>
    <fill>
      <patternFill patternType="solid">
        <fgColor rgb="FF7EF281"/>
        <bgColor indexed="64"/>
      </patternFill>
    </fill>
    <fill>
      <patternFill patternType="solid">
        <fgColor rgb="FFECC4FC"/>
        <bgColor indexed="64"/>
      </patternFill>
    </fill>
    <fill>
      <patternFill patternType="solid">
        <fgColor rgb="FFF991BB"/>
        <bgColor indexed="64"/>
      </patternFill>
    </fill>
    <fill>
      <patternFill patternType="solid">
        <fgColor rgb="FFFCC8DD"/>
        <bgColor indexed="64"/>
      </patternFill>
    </fill>
    <fill>
      <patternFill patternType="solid">
        <fgColor theme="3" tint="0.59999389629810485"/>
        <bgColor indexed="64"/>
      </patternFill>
    </fill>
    <fill>
      <patternFill patternType="solid">
        <fgColor theme="7" tint="0.39997558519241921"/>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s>
  <cellStyleXfs count="2">
    <xf numFmtId="0" fontId="0" fillId="0" borderId="0"/>
    <xf numFmtId="9" fontId="1" fillId="0" borderId="0" applyFont="0" applyFill="0" applyBorder="0" applyAlignment="0" applyProtection="0"/>
  </cellStyleXfs>
  <cellXfs count="131">
    <xf numFmtId="0" fontId="0" fillId="0" borderId="0" xfId="0"/>
    <xf numFmtId="3" fontId="2" fillId="0" borderId="1" xfId="0" applyNumberFormat="1" applyFont="1" applyBorder="1"/>
    <xf numFmtId="3" fontId="3" fillId="0" borderId="0" xfId="0" applyNumberFormat="1" applyFont="1"/>
    <xf numFmtId="0" fontId="4" fillId="6" borderId="6" xfId="0" applyFont="1" applyFill="1" applyBorder="1" applyAlignment="1">
      <alignment horizontal="center"/>
    </xf>
    <xf numFmtId="0" fontId="4" fillId="6" borderId="15" xfId="0" applyFont="1" applyFill="1" applyBorder="1" applyAlignment="1">
      <alignment horizontal="center"/>
    </xf>
    <xf numFmtId="0" fontId="4" fillId="6" borderId="7" xfId="0" applyFont="1" applyFill="1" applyBorder="1" applyAlignment="1">
      <alignment horizontal="center"/>
    </xf>
    <xf numFmtId="0" fontId="5" fillId="0" borderId="0" xfId="0" applyFont="1"/>
    <xf numFmtId="0" fontId="5" fillId="0" borderId="0" xfId="0" applyFont="1" applyAlignment="1">
      <alignment horizontal="center"/>
    </xf>
    <xf numFmtId="3" fontId="5" fillId="0" borderId="0" xfId="0" applyNumberFormat="1" applyFont="1"/>
    <xf numFmtId="0" fontId="5" fillId="0" borderId="13" xfId="0" applyFont="1" applyBorder="1"/>
    <xf numFmtId="0" fontId="5" fillId="0" borderId="13" xfId="0" applyFont="1" applyBorder="1" applyAlignment="1">
      <alignment horizontal="center"/>
    </xf>
    <xf numFmtId="3" fontId="5" fillId="0" borderId="13" xfId="0" applyNumberFormat="1" applyFont="1" applyBorder="1"/>
    <xf numFmtId="0" fontId="3" fillId="0" borderId="0" xfId="0" applyFont="1"/>
    <xf numFmtId="0" fontId="3" fillId="0" borderId="0" xfId="0" applyFont="1" applyAlignment="1">
      <alignment horizontal="center"/>
    </xf>
    <xf numFmtId="0" fontId="6" fillId="0" borderId="0" xfId="0" applyFont="1"/>
    <xf numFmtId="0" fontId="2" fillId="0" borderId="0" xfId="0" applyFont="1"/>
    <xf numFmtId="0" fontId="2" fillId="0" borderId="0" xfId="0" applyFont="1" applyAlignment="1">
      <alignment wrapText="1"/>
    </xf>
    <xf numFmtId="0" fontId="2" fillId="0" borderId="0" xfId="0" applyFont="1" applyAlignment="1">
      <alignment horizontal="left"/>
    </xf>
    <xf numFmtId="0" fontId="7" fillId="0" borderId="1" xfId="0" applyFont="1" applyBorder="1" applyAlignment="1">
      <alignment wrapText="1"/>
    </xf>
    <xf numFmtId="0" fontId="2" fillId="0" borderId="4" xfId="0" applyFont="1" applyBorder="1"/>
    <xf numFmtId="0" fontId="2" fillId="0" borderId="3" xfId="0" applyFont="1" applyBorder="1"/>
    <xf numFmtId="0" fontId="2" fillId="0" borderId="1" xfId="0" applyFont="1" applyBorder="1"/>
    <xf numFmtId="0" fontId="7" fillId="4" borderId="1" xfId="0" applyFont="1" applyFill="1" applyBorder="1" applyAlignment="1">
      <alignment horizontal="center"/>
    </xf>
    <xf numFmtId="0" fontId="7" fillId="0" borderId="1" xfId="0" applyFont="1" applyBorder="1"/>
    <xf numFmtId="3" fontId="8" fillId="0" borderId="1" xfId="0" applyNumberFormat="1" applyFont="1" applyBorder="1"/>
    <xf numFmtId="0" fontId="7" fillId="0" borderId="0" xfId="0" quotePrefix="1" applyFont="1"/>
    <xf numFmtId="0" fontId="7" fillId="0" borderId="0" xfId="0" applyFont="1"/>
    <xf numFmtId="164" fontId="8" fillId="0" borderId="1" xfId="0" applyNumberFormat="1" applyFont="1" applyBorder="1"/>
    <xf numFmtId="165" fontId="8" fillId="0" borderId="1" xfId="0" applyNumberFormat="1" applyFont="1" applyBorder="1"/>
    <xf numFmtId="0" fontId="7" fillId="5" borderId="1" xfId="0" applyFont="1" applyFill="1" applyBorder="1" applyAlignment="1">
      <alignment horizontal="center"/>
    </xf>
    <xf numFmtId="4" fontId="2" fillId="0" borderId="1" xfId="0" applyNumberFormat="1" applyFont="1" applyBorder="1"/>
    <xf numFmtId="10" fontId="2" fillId="0" borderId="1" xfId="1" applyNumberFormat="1" applyFont="1" applyBorder="1"/>
    <xf numFmtId="0" fontId="9" fillId="0" borderId="1" xfId="0" applyFont="1" applyBorder="1"/>
    <xf numFmtId="10" fontId="9" fillId="0" borderId="1" xfId="1" applyNumberFormat="1" applyFont="1" applyBorder="1"/>
    <xf numFmtId="0" fontId="10" fillId="0" borderId="0" xfId="0" applyFont="1"/>
    <xf numFmtId="0" fontId="11" fillId="0" borderId="0" xfId="0" applyFont="1"/>
    <xf numFmtId="0" fontId="12" fillId="0" borderId="0" xfId="0" applyFont="1"/>
    <xf numFmtId="3" fontId="0" fillId="0" borderId="0" xfId="0" applyNumberFormat="1"/>
    <xf numFmtId="3" fontId="13" fillId="0" borderId="0" xfId="0" applyNumberFormat="1" applyFont="1"/>
    <xf numFmtId="0" fontId="12" fillId="0" borderId="0" xfId="0" applyFont="1" applyAlignment="1">
      <alignment horizontal="center"/>
    </xf>
    <xf numFmtId="0" fontId="0" fillId="0" borderId="0" xfId="0" applyAlignment="1">
      <alignment horizontal="center"/>
    </xf>
    <xf numFmtId="0" fontId="0" fillId="0" borderId="13" xfId="0" applyBorder="1"/>
    <xf numFmtId="0" fontId="0" fillId="0" borderId="13" xfId="0" applyBorder="1" applyAlignment="1">
      <alignment horizontal="center"/>
    </xf>
    <xf numFmtId="0" fontId="11" fillId="0" borderId="0" xfId="0" applyFont="1" applyAlignment="1">
      <alignment horizontal="center"/>
    </xf>
    <xf numFmtId="3" fontId="11" fillId="0" borderId="0" xfId="0" applyNumberFormat="1" applyFont="1"/>
    <xf numFmtId="2" fontId="0" fillId="0" borderId="0" xfId="0" applyNumberFormat="1"/>
    <xf numFmtId="10" fontId="0" fillId="0" borderId="0" xfId="1" applyNumberFormat="1" applyFont="1"/>
    <xf numFmtId="10" fontId="5" fillId="0" borderId="0" xfId="1" applyNumberFormat="1" applyFont="1"/>
    <xf numFmtId="0" fontId="6" fillId="0" borderId="0" xfId="0" applyFont="1" applyAlignment="1">
      <alignment horizontal="center"/>
    </xf>
    <xf numFmtId="10" fontId="6" fillId="0" borderId="0" xfId="0" applyNumberFormat="1" applyFont="1"/>
    <xf numFmtId="4" fontId="5" fillId="0" borderId="0" xfId="0" applyNumberFormat="1" applyFont="1"/>
    <xf numFmtId="4" fontId="0" fillId="0" borderId="0" xfId="0" applyNumberFormat="1"/>
    <xf numFmtId="0" fontId="4" fillId="7" borderId="6" xfId="0" applyFont="1" applyFill="1" applyBorder="1" applyAlignment="1">
      <alignment horizontal="center"/>
    </xf>
    <xf numFmtId="0" fontId="4" fillId="7" borderId="15" xfId="0" applyFont="1" applyFill="1" applyBorder="1" applyAlignment="1">
      <alignment horizontal="center"/>
    </xf>
    <xf numFmtId="0" fontId="4" fillId="7" borderId="7" xfId="0" applyFont="1" applyFill="1" applyBorder="1" applyAlignment="1">
      <alignment horizontal="center"/>
    </xf>
    <xf numFmtId="0" fontId="4" fillId="4" borderId="15" xfId="0" applyFont="1" applyFill="1" applyBorder="1" applyAlignment="1">
      <alignment horizontal="center"/>
    </xf>
    <xf numFmtId="0" fontId="4" fillId="4" borderId="7" xfId="0" applyFont="1" applyFill="1" applyBorder="1" applyAlignment="1">
      <alignment horizontal="center"/>
    </xf>
    <xf numFmtId="0" fontId="0" fillId="8" borderId="1" xfId="0" applyFill="1" applyBorder="1"/>
    <xf numFmtId="10" fontId="0" fillId="8" borderId="1" xfId="0" applyNumberFormat="1" applyFill="1" applyBorder="1"/>
    <xf numFmtId="0" fontId="4" fillId="4" borderId="6" xfId="0" applyFont="1" applyFill="1" applyBorder="1" applyAlignment="1">
      <alignment horizontal="center"/>
    </xf>
    <xf numFmtId="0" fontId="0" fillId="0" borderId="1" xfId="0" applyBorder="1"/>
    <xf numFmtId="3" fontId="0" fillId="0" borderId="1" xfId="0" applyNumberFormat="1" applyBorder="1"/>
    <xf numFmtId="3" fontId="0" fillId="0" borderId="13" xfId="0" applyNumberFormat="1" applyBorder="1"/>
    <xf numFmtId="9" fontId="0" fillId="8" borderId="1" xfId="1" applyFont="1" applyFill="1" applyBorder="1"/>
    <xf numFmtId="0" fontId="4" fillId="7" borderId="1" xfId="0" applyFont="1" applyFill="1" applyBorder="1" applyAlignment="1">
      <alignment horizontal="center"/>
    </xf>
    <xf numFmtId="2" fontId="0" fillId="8" borderId="1" xfId="0" applyNumberFormat="1" applyFill="1" applyBorder="1"/>
    <xf numFmtId="10" fontId="0" fillId="8" borderId="1" xfId="1" applyNumberFormat="1" applyFont="1" applyFill="1" applyBorder="1"/>
    <xf numFmtId="3" fontId="3" fillId="0" borderId="9" xfId="0" applyNumberFormat="1" applyFont="1" applyBorder="1"/>
    <xf numFmtId="0" fontId="14" fillId="0" borderId="0" xfId="0" applyFont="1"/>
    <xf numFmtId="3" fontId="14" fillId="0" borderId="0" xfId="0" applyNumberFormat="1" applyFont="1"/>
    <xf numFmtId="0" fontId="4" fillId="5" borderId="6" xfId="0" applyFont="1" applyFill="1" applyBorder="1" applyAlignment="1">
      <alignment horizontal="center"/>
    </xf>
    <xf numFmtId="0" fontId="4" fillId="5" borderId="15" xfId="0" applyFont="1" applyFill="1" applyBorder="1" applyAlignment="1">
      <alignment horizontal="center"/>
    </xf>
    <xf numFmtId="0" fontId="4" fillId="5" borderId="7" xfId="0" applyFont="1" applyFill="1" applyBorder="1" applyAlignment="1">
      <alignment horizontal="center"/>
    </xf>
    <xf numFmtId="0" fontId="15" fillId="0" borderId="0" xfId="0" applyFont="1"/>
    <xf numFmtId="3" fontId="15" fillId="0" borderId="0" xfId="0" applyNumberFormat="1" applyFont="1"/>
    <xf numFmtId="0" fontId="0" fillId="5" borderId="0" xfId="0" applyFill="1"/>
    <xf numFmtId="0" fontId="11" fillId="9" borderId="1" xfId="0" applyFont="1" applyFill="1" applyBorder="1"/>
    <xf numFmtId="10" fontId="0" fillId="0" borderId="1" xfId="0" applyNumberFormat="1" applyBorder="1"/>
    <xf numFmtId="0" fontId="16" fillId="10" borderId="0" xfId="0" applyFont="1" applyFill="1"/>
    <xf numFmtId="166" fontId="11" fillId="11" borderId="0" xfId="0" applyNumberFormat="1" applyFont="1" applyFill="1"/>
    <xf numFmtId="166" fontId="11" fillId="0" borderId="0" xfId="0" applyNumberFormat="1" applyFont="1"/>
    <xf numFmtId="10" fontId="0" fillId="0" borderId="0" xfId="0" applyNumberFormat="1"/>
    <xf numFmtId="10" fontId="11" fillId="0" borderId="0" xfId="0" applyNumberFormat="1" applyFont="1"/>
    <xf numFmtId="10" fontId="11" fillId="7" borderId="1" xfId="0" applyNumberFormat="1" applyFont="1" applyFill="1" applyBorder="1"/>
    <xf numFmtId="0" fontId="4" fillId="9" borderId="6" xfId="0" applyFont="1" applyFill="1" applyBorder="1" applyAlignment="1">
      <alignment horizontal="center"/>
    </xf>
    <xf numFmtId="0" fontId="4" fillId="9" borderId="15" xfId="0" applyFont="1" applyFill="1" applyBorder="1" applyAlignment="1">
      <alignment horizontal="center"/>
    </xf>
    <xf numFmtId="0" fontId="4" fillId="9" borderId="7" xfId="0" applyFont="1" applyFill="1" applyBorder="1" applyAlignment="1">
      <alignment horizontal="center"/>
    </xf>
    <xf numFmtId="0" fontId="0" fillId="0" borderId="0" xfId="0" applyAlignment="1">
      <alignment horizontal="right"/>
    </xf>
    <xf numFmtId="167" fontId="0" fillId="0" borderId="0" xfId="0" applyNumberFormat="1"/>
    <xf numFmtId="9" fontId="0" fillId="0" borderId="0" xfId="0" applyNumberFormat="1"/>
    <xf numFmtId="0" fontId="0" fillId="0" borderId="13" xfId="0" applyBorder="1" applyAlignment="1">
      <alignment horizontal="right"/>
    </xf>
    <xf numFmtId="10" fontId="0" fillId="0" borderId="13" xfId="0" applyNumberFormat="1" applyBorder="1"/>
    <xf numFmtId="0" fontId="11" fillId="0" borderId="0" xfId="0" applyFont="1" applyAlignment="1">
      <alignment horizontal="right"/>
    </xf>
    <xf numFmtId="0" fontId="0" fillId="0" borderId="0" xfId="0" applyAlignment="1">
      <alignment horizontal="left"/>
    </xf>
    <xf numFmtId="3" fontId="3" fillId="8" borderId="1" xfId="0" applyNumberFormat="1" applyFont="1" applyFill="1" applyBorder="1"/>
    <xf numFmtId="3" fontId="11" fillId="0" borderId="9" xfId="0" applyNumberFormat="1" applyFont="1" applyBorder="1"/>
    <xf numFmtId="3" fontId="11" fillId="12" borderId="1" xfId="0" applyNumberFormat="1" applyFont="1" applyFill="1" applyBorder="1"/>
    <xf numFmtId="2" fontId="11" fillId="13" borderId="1" xfId="0" applyNumberFormat="1" applyFont="1" applyFill="1" applyBorder="1"/>
    <xf numFmtId="0" fontId="11" fillId="11" borderId="1" xfId="0" applyFont="1" applyFill="1" applyBorder="1"/>
    <xf numFmtId="14" fontId="0" fillId="0" borderId="0" xfId="0" applyNumberFormat="1"/>
    <xf numFmtId="14" fontId="0" fillId="0" borderId="1" xfId="0" applyNumberFormat="1" applyBorder="1"/>
    <xf numFmtId="0" fontId="18" fillId="0" borderId="0" xfId="0" applyFont="1"/>
    <xf numFmtId="0" fontId="7" fillId="2" borderId="1" xfId="0" applyFont="1" applyFill="1" applyBorder="1" applyAlignment="1">
      <alignment horizontal="center" vertical="center"/>
    </xf>
    <xf numFmtId="0" fontId="2" fillId="0" borderId="1" xfId="0" applyFont="1" applyBorder="1" applyAlignment="1">
      <alignment horizontal="left" vertical="center" wrapText="1"/>
    </xf>
    <xf numFmtId="0" fontId="7" fillId="3" borderId="2" xfId="0" applyFont="1" applyFill="1" applyBorder="1"/>
    <xf numFmtId="0" fontId="2" fillId="0" borderId="8" xfId="0" applyFont="1" applyBorder="1"/>
    <xf numFmtId="0" fontId="2" fillId="0" borderId="9" xfId="0" applyFont="1" applyBorder="1"/>
    <xf numFmtId="0" fontId="2" fillId="0" borderId="10" xfId="0" applyFont="1" applyBorder="1"/>
    <xf numFmtId="0" fontId="2" fillId="0" borderId="13" xfId="0" applyFont="1" applyBorder="1"/>
    <xf numFmtId="0" fontId="2" fillId="0" borderId="14" xfId="0" applyFont="1" applyBorder="1"/>
    <xf numFmtId="0" fontId="7" fillId="0" borderId="6" xfId="0" applyFont="1" applyBorder="1" applyAlignment="1">
      <alignment vertical="center" wrapText="1"/>
    </xf>
    <xf numFmtId="0" fontId="7" fillId="0" borderId="7" xfId="0" applyFont="1" applyBorder="1" applyAlignment="1">
      <alignment vertical="center" wrapText="1"/>
    </xf>
    <xf numFmtId="0" fontId="7" fillId="0" borderId="6" xfId="0" applyFont="1" applyBorder="1" applyAlignment="1">
      <alignment wrapText="1"/>
    </xf>
    <xf numFmtId="0" fontId="7" fillId="0" borderId="7" xfId="0" applyFont="1" applyBorder="1" applyAlignment="1">
      <alignment wrapText="1"/>
    </xf>
    <xf numFmtId="0" fontId="7" fillId="3" borderId="6" xfId="0" applyFont="1" applyFill="1" applyBorder="1"/>
    <xf numFmtId="0" fontId="7" fillId="3" borderId="15" xfId="0" applyFont="1" applyFill="1" applyBorder="1"/>
    <xf numFmtId="0" fontId="7" fillId="3" borderId="7" xfId="0" applyFont="1" applyFill="1" applyBorder="1"/>
    <xf numFmtId="0" fontId="2" fillId="0" borderId="5" xfId="0" applyFont="1" applyBorder="1"/>
    <xf numFmtId="0" fontId="2" fillId="0" borderId="0" xfId="0" applyFont="1"/>
    <xf numFmtId="0" fontId="2" fillId="0" borderId="11" xfId="0" applyFont="1" applyBorder="1"/>
    <xf numFmtId="0" fontId="2" fillId="0" borderId="12" xfId="0" applyFont="1" applyBorder="1"/>
    <xf numFmtId="0" fontId="7" fillId="2" borderId="1" xfId="0" applyFont="1" applyFill="1" applyBorder="1" applyAlignment="1">
      <alignment horizontal="center"/>
    </xf>
    <xf numFmtId="0" fontId="7" fillId="3" borderId="8" xfId="0" applyFont="1" applyFill="1" applyBorder="1"/>
    <xf numFmtId="0" fontId="7" fillId="3" borderId="9" xfId="0" applyFont="1" applyFill="1" applyBorder="1"/>
    <xf numFmtId="0" fontId="7" fillId="3" borderId="10" xfId="0" applyFont="1" applyFill="1" applyBorder="1"/>
    <xf numFmtId="0" fontId="2" fillId="0" borderId="8" xfId="0" applyFont="1" applyBorder="1" applyAlignment="1">
      <alignment wrapText="1"/>
    </xf>
    <xf numFmtId="0" fontId="0" fillId="0" borderId="6" xfId="0" applyBorder="1"/>
    <xf numFmtId="0" fontId="0" fillId="0" borderId="7" xfId="0" applyBorder="1"/>
    <xf numFmtId="0" fontId="11" fillId="9" borderId="6" xfId="0" applyFont="1" applyFill="1" applyBorder="1" applyAlignment="1">
      <alignment horizontal="center"/>
    </xf>
    <xf numFmtId="0" fontId="11" fillId="9" borderId="15" xfId="0" applyFont="1" applyFill="1" applyBorder="1" applyAlignment="1">
      <alignment horizontal="center"/>
    </xf>
    <xf numFmtId="0" fontId="11" fillId="9" borderId="7" xfId="0" applyFont="1" applyFill="1" applyBorder="1" applyAlignment="1">
      <alignment horizontal="center"/>
    </xf>
  </cellXfs>
  <cellStyles count="2">
    <cellStyle name="Normal" xfId="0" builtinId="0"/>
    <cellStyle name="Percent" xfId="1" builtinId="5"/>
  </cellStyles>
  <dxfs count="0"/>
  <tableStyles count="0" defaultTableStyle="TableStyleMedium2" defaultPivotStyle="PivotStyleLight16"/>
  <colors>
    <mruColors>
      <color rgb="FFF991BB"/>
      <color rgb="FFFCC8DD"/>
      <color rgb="FF7EF281"/>
      <color rgb="FFF200A1"/>
      <color rgb="FFECC4FC"/>
      <color rgb="FFF32176"/>
      <color rgb="FFD477F9"/>
      <color rgb="FF0D8110"/>
      <color rgb="FF89FFBE"/>
      <color rgb="FF99B9F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31750" cap="rnd">
                <a:solidFill>
                  <a:srgbClr val="F32176"/>
                </a:solidFill>
                <a:prstDash val="sysDot"/>
              </a:ln>
              <a:effectLst/>
            </c:spPr>
            <c:trendlineType val="linear"/>
            <c:dispRSqr val="1"/>
            <c:dispEq val="1"/>
            <c:trendlineLbl>
              <c:layout>
                <c:manualLayout>
                  <c:x val="0.20161351706036745"/>
                  <c:y val="-0.41233449985418491"/>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o-RO"/>
                </a:p>
              </c:txPr>
            </c:trendlineLbl>
          </c:trendline>
          <c:xVal>
            <c:numRef>
              <c:f>WACC!$C$29:$C$194</c:f>
              <c:numCache>
                <c:formatCode>0.00%</c:formatCode>
                <c:ptCount val="166"/>
                <c:pt idx="0">
                  <c:v>1.0570662897923633E-2</c:v>
                </c:pt>
                <c:pt idx="1">
                  <c:v>1.1701920845849534E-2</c:v>
                </c:pt>
                <c:pt idx="2">
                  <c:v>1.8434229462407803E-2</c:v>
                </c:pt>
                <c:pt idx="3">
                  <c:v>-1.5218571731067998E-2</c:v>
                </c:pt>
                <c:pt idx="4">
                  <c:v>3.1968838795026766E-3</c:v>
                </c:pt>
                <c:pt idx="5">
                  <c:v>7.5097633280287734E-3</c:v>
                </c:pt>
                <c:pt idx="6">
                  <c:v>2.493717924493466E-2</c:v>
                </c:pt>
                <c:pt idx="7">
                  <c:v>2.1198660175030248E-3</c:v>
                </c:pt>
                <c:pt idx="8">
                  <c:v>7.740155373365365E-3</c:v>
                </c:pt>
                <c:pt idx="9">
                  <c:v>1.003983145843379E-2</c:v>
                </c:pt>
                <c:pt idx="10">
                  <c:v>2.2372509761643844E-2</c:v>
                </c:pt>
                <c:pt idx="11">
                  <c:v>1.3055429360719906E-2</c:v>
                </c:pt>
                <c:pt idx="12">
                  <c:v>5.852522362576118E-2</c:v>
                </c:pt>
                <c:pt idx="13">
                  <c:v>-2.5280765880080325E-2</c:v>
                </c:pt>
                <c:pt idx="14">
                  <c:v>-2.3942991556872073E-2</c:v>
                </c:pt>
                <c:pt idx="15">
                  <c:v>4.4748752466055031E-3</c:v>
                </c:pt>
                <c:pt idx="16">
                  <c:v>4.7690675248655001E-3</c:v>
                </c:pt>
                <c:pt idx="17">
                  <c:v>-7.4096193108429409E-3</c:v>
                </c:pt>
                <c:pt idx="18">
                  <c:v>-2.9269805317370334E-2</c:v>
                </c:pt>
                <c:pt idx="19">
                  <c:v>-1.6085285665251581E-3</c:v>
                </c:pt>
                <c:pt idx="20">
                  <c:v>-1.290588316056851E-2</c:v>
                </c:pt>
                <c:pt idx="21">
                  <c:v>2.4981217556307778E-2</c:v>
                </c:pt>
                <c:pt idx="22">
                  <c:v>8.2385329918919226E-3</c:v>
                </c:pt>
                <c:pt idx="23">
                  <c:v>-2.1133275836964227E-2</c:v>
                </c:pt>
                <c:pt idx="24">
                  <c:v>-3.1219085178079142E-3</c:v>
                </c:pt>
                <c:pt idx="25">
                  <c:v>-2.2740019597444872E-2</c:v>
                </c:pt>
                <c:pt idx="26">
                  <c:v>1.0116084773187151E-2</c:v>
                </c:pt>
                <c:pt idx="27">
                  <c:v>6.8628451953425262E-3</c:v>
                </c:pt>
                <c:pt idx="28">
                  <c:v>2.4203503108696456E-2</c:v>
                </c:pt>
                <c:pt idx="29">
                  <c:v>-1.1556316539261924E-2</c:v>
                </c:pt>
                <c:pt idx="30">
                  <c:v>2.3468779968401687E-2</c:v>
                </c:pt>
                <c:pt idx="31">
                  <c:v>-1.389244805072587E-2</c:v>
                </c:pt>
                <c:pt idx="32">
                  <c:v>2.5757991653601264E-2</c:v>
                </c:pt>
                <c:pt idx="33">
                  <c:v>3.8506714739734438E-3</c:v>
                </c:pt>
                <c:pt idx="34">
                  <c:v>1.8290551546207956E-2</c:v>
                </c:pt>
                <c:pt idx="35">
                  <c:v>3.2132786893068754E-3</c:v>
                </c:pt>
                <c:pt idx="36">
                  <c:v>1.6464278093538454E-2</c:v>
                </c:pt>
                <c:pt idx="37">
                  <c:v>-2.9422786340284057E-3</c:v>
                </c:pt>
                <c:pt idx="38">
                  <c:v>-7.9698187783607821E-3</c:v>
                </c:pt>
                <c:pt idx="39">
                  <c:v>8.6996071145171161E-3</c:v>
                </c:pt>
                <c:pt idx="40">
                  <c:v>-9.9573670014785343E-4</c:v>
                </c:pt>
                <c:pt idx="41">
                  <c:v>7.9463681053928426E-3</c:v>
                </c:pt>
                <c:pt idx="42">
                  <c:v>-1.0439708856231356E-3</c:v>
                </c:pt>
                <c:pt idx="43">
                  <c:v>3.4832623602678581E-2</c:v>
                </c:pt>
                <c:pt idx="44">
                  <c:v>1.3876690224273736E-2</c:v>
                </c:pt>
                <c:pt idx="45">
                  <c:v>1.4255785829153211E-2</c:v>
                </c:pt>
                <c:pt idx="46">
                  <c:v>-4.5493420076922253E-2</c:v>
                </c:pt>
                <c:pt idx="47">
                  <c:v>1.9042629293407609E-2</c:v>
                </c:pt>
                <c:pt idx="48">
                  <c:v>-2.6733903885425514E-2</c:v>
                </c:pt>
                <c:pt idx="49">
                  <c:v>-2.7796384758682624E-3</c:v>
                </c:pt>
                <c:pt idx="50">
                  <c:v>-1.1125401307391702E-2</c:v>
                </c:pt>
                <c:pt idx="51">
                  <c:v>1.6194331983805599E-2</c:v>
                </c:pt>
                <c:pt idx="52">
                  <c:v>2.4656334248768452E-2</c:v>
                </c:pt>
                <c:pt idx="53">
                  <c:v>-6.6215063927043127E-3</c:v>
                </c:pt>
                <c:pt idx="54">
                  <c:v>2.6702917526726155E-2</c:v>
                </c:pt>
                <c:pt idx="55">
                  <c:v>1.447584320875106E-2</c:v>
                </c:pt>
                <c:pt idx="56">
                  <c:v>-1.3836798601755129E-3</c:v>
                </c:pt>
                <c:pt idx="57">
                  <c:v>-1.9572417946401854E-3</c:v>
                </c:pt>
                <c:pt idx="58">
                  <c:v>-2.0846994952190667E-2</c:v>
                </c:pt>
                <c:pt idx="59">
                  <c:v>-3.3725470933516632E-2</c:v>
                </c:pt>
                <c:pt idx="60">
                  <c:v>1.1321073390758274E-2</c:v>
                </c:pt>
                <c:pt idx="61">
                  <c:v>1.5327815521493759E-2</c:v>
                </c:pt>
                <c:pt idx="62">
                  <c:v>-6.9097129175818006E-3</c:v>
                </c:pt>
                <c:pt idx="63">
                  <c:v>5.8978133163596791E-2</c:v>
                </c:pt>
                <c:pt idx="64">
                  <c:v>-3.3455009664040025E-2</c:v>
                </c:pt>
                <c:pt idx="65">
                  <c:v>3.9520351742055704E-2</c:v>
                </c:pt>
                <c:pt idx="66">
                  <c:v>4.7356038257695188E-2</c:v>
                </c:pt>
                <c:pt idx="67">
                  <c:v>-1.554815559695133E-2</c:v>
                </c:pt>
                <c:pt idx="68">
                  <c:v>1.5071312632124911E-2</c:v>
                </c:pt>
                <c:pt idx="69">
                  <c:v>-2.9137096796029494E-2</c:v>
                </c:pt>
                <c:pt idx="70">
                  <c:v>-4.6497458259430524E-2</c:v>
                </c:pt>
                <c:pt idx="71">
                  <c:v>-4.7704161913378784E-2</c:v>
                </c:pt>
                <c:pt idx="72">
                  <c:v>3.646547374536846E-2</c:v>
                </c:pt>
                <c:pt idx="73">
                  <c:v>-3.2876091146128439E-2</c:v>
                </c:pt>
                <c:pt idx="74">
                  <c:v>-4.0397495080974677E-2</c:v>
                </c:pt>
                <c:pt idx="75">
                  <c:v>-1.2072006822190784E-2</c:v>
                </c:pt>
                <c:pt idx="76">
                  <c:v>3.2558218079267842E-2</c:v>
                </c:pt>
                <c:pt idx="77">
                  <c:v>3.6074948732411904E-3</c:v>
                </c:pt>
                <c:pt idx="78">
                  <c:v>4.2573385197506974E-2</c:v>
                </c:pt>
                <c:pt idx="79">
                  <c:v>2.5489495646051408E-2</c:v>
                </c:pt>
                <c:pt idx="80">
                  <c:v>-9.2886561453360272E-3</c:v>
                </c:pt>
                <c:pt idx="81">
                  <c:v>1.9357807038869801E-2</c:v>
                </c:pt>
                <c:pt idx="82">
                  <c:v>-2.2089913951336193E-2</c:v>
                </c:pt>
                <c:pt idx="83">
                  <c:v>6.4465391690522456E-2</c:v>
                </c:pt>
                <c:pt idx="84">
                  <c:v>-5.7941069405208045E-2</c:v>
                </c:pt>
                <c:pt idx="85">
                  <c:v>-5.054836998057699E-2</c:v>
                </c:pt>
                <c:pt idx="86">
                  <c:v>-1.1952172072799971E-2</c:v>
                </c:pt>
                <c:pt idx="87">
                  <c:v>6.5843705784649265E-2</c:v>
                </c:pt>
                <c:pt idx="88">
                  <c:v>-3.0450633590878406E-2</c:v>
                </c:pt>
                <c:pt idx="89">
                  <c:v>-2.4118796897660721E-2</c:v>
                </c:pt>
                <c:pt idx="90">
                  <c:v>-2.0789316372736844E-3</c:v>
                </c:pt>
                <c:pt idx="91">
                  <c:v>-3.2738109172288699E-2</c:v>
                </c:pt>
                <c:pt idx="92">
                  <c:v>-2.7503135963065195E-2</c:v>
                </c:pt>
                <c:pt idx="93">
                  <c:v>-2.1319971124796E-2</c:v>
                </c:pt>
                <c:pt idx="94">
                  <c:v>-1.266647015086253E-2</c:v>
                </c:pt>
                <c:pt idx="95">
                  <c:v>6.1632467984118477E-4</c:v>
                </c:pt>
                <c:pt idx="96">
                  <c:v>1.7911236982200984E-2</c:v>
                </c:pt>
                <c:pt idx="97">
                  <c:v>6.1558258073262762E-2</c:v>
                </c:pt>
                <c:pt idx="98">
                  <c:v>-2.8774252865066297E-2</c:v>
                </c:pt>
                <c:pt idx="99">
                  <c:v>-1.2721653951854761E-2</c:v>
                </c:pt>
                <c:pt idx="100">
                  <c:v>8.2274245953546377E-3</c:v>
                </c:pt>
                <c:pt idx="101">
                  <c:v>-1.5789926312168578E-2</c:v>
                </c:pt>
                <c:pt idx="102">
                  <c:v>-1.8195634736353106E-2</c:v>
                </c:pt>
                <c:pt idx="103">
                  <c:v>1.5496914381127436E-2</c:v>
                </c:pt>
                <c:pt idx="104">
                  <c:v>7.7104280640483136E-3</c:v>
                </c:pt>
                <c:pt idx="105">
                  <c:v>-5.6812893402104048E-2</c:v>
                </c:pt>
                <c:pt idx="106">
                  <c:v>-3.0318385813217219E-3</c:v>
                </c:pt>
                <c:pt idx="107">
                  <c:v>-1.8704706914132618E-2</c:v>
                </c:pt>
                <c:pt idx="108">
                  <c:v>8.5467191728791914E-3</c:v>
                </c:pt>
                <c:pt idx="109">
                  <c:v>2.2756587831988639E-2</c:v>
                </c:pt>
                <c:pt idx="110">
                  <c:v>-1.9392956736176914E-2</c:v>
                </c:pt>
                <c:pt idx="111">
                  <c:v>3.8248909865305825E-2</c:v>
                </c:pt>
                <c:pt idx="112">
                  <c:v>-1.2229520613238898E-2</c:v>
                </c:pt>
                <c:pt idx="113">
                  <c:v>-2.1996781581792968E-2</c:v>
                </c:pt>
                <c:pt idx="114">
                  <c:v>3.2266675208472151E-3</c:v>
                </c:pt>
                <c:pt idx="115">
                  <c:v>-3.1250465670255023E-3</c:v>
                </c:pt>
                <c:pt idx="116">
                  <c:v>2.0009206623557541E-2</c:v>
                </c:pt>
                <c:pt idx="117">
                  <c:v>1.3307223481264785E-2</c:v>
                </c:pt>
                <c:pt idx="118">
                  <c:v>1.6444624354504223E-2</c:v>
                </c:pt>
                <c:pt idx="119">
                  <c:v>1.8224505504014665E-2</c:v>
                </c:pt>
                <c:pt idx="120">
                  <c:v>7.8723169858436748E-3</c:v>
                </c:pt>
                <c:pt idx="121">
                  <c:v>-2.2094140249759753E-2</c:v>
                </c:pt>
                <c:pt idx="122">
                  <c:v>5.0733252274424157E-3</c:v>
                </c:pt>
                <c:pt idx="123">
                  <c:v>-5.7394955344527432E-3</c:v>
                </c:pt>
                <c:pt idx="124">
                  <c:v>-1.6944369111638879E-2</c:v>
                </c:pt>
                <c:pt idx="125">
                  <c:v>5.7790777869193288E-3</c:v>
                </c:pt>
                <c:pt idx="126">
                  <c:v>1.5242014827756112E-2</c:v>
                </c:pt>
                <c:pt idx="127">
                  <c:v>-5.8930170098477896E-3</c:v>
                </c:pt>
                <c:pt idx="128">
                  <c:v>7.0956515467077708E-3</c:v>
                </c:pt>
                <c:pt idx="129">
                  <c:v>9.3873855016541885E-3</c:v>
                </c:pt>
                <c:pt idx="130">
                  <c:v>-3.7467785184697178E-3</c:v>
                </c:pt>
                <c:pt idx="131">
                  <c:v>1.9557862431710538E-2</c:v>
                </c:pt>
                <c:pt idx="132">
                  <c:v>-9.7012278152213138E-3</c:v>
                </c:pt>
                <c:pt idx="133">
                  <c:v>3.954194755005469E-3</c:v>
                </c:pt>
                <c:pt idx="134">
                  <c:v>1.6735580629336333E-2</c:v>
                </c:pt>
                <c:pt idx="135">
                  <c:v>2.7421425914147646E-2</c:v>
                </c:pt>
                <c:pt idx="136">
                  <c:v>-1.9067956227751259E-2</c:v>
                </c:pt>
                <c:pt idx="137">
                  <c:v>4.1490440649754046E-3</c:v>
                </c:pt>
                <c:pt idx="138">
                  <c:v>6.1320945455758391E-3</c:v>
                </c:pt>
                <c:pt idx="139">
                  <c:v>1.1610111986448013E-2</c:v>
                </c:pt>
                <c:pt idx="140">
                  <c:v>-4.3101692681818404E-3</c:v>
                </c:pt>
                <c:pt idx="141">
                  <c:v>-1.388035722723624E-2</c:v>
                </c:pt>
                <c:pt idx="142">
                  <c:v>1.2300384820516763E-2</c:v>
                </c:pt>
                <c:pt idx="143">
                  <c:v>2.3922472052562149E-4</c:v>
                </c:pt>
                <c:pt idx="144">
                  <c:v>-1.266285506765108E-3</c:v>
                </c:pt>
                <c:pt idx="145">
                  <c:v>1.3725537686494871E-2</c:v>
                </c:pt>
                <c:pt idx="146">
                  <c:v>2.7097891225338122E-2</c:v>
                </c:pt>
                <c:pt idx="147">
                  <c:v>1.140509341961593E-2</c:v>
                </c:pt>
                <c:pt idx="148">
                  <c:v>1.570110653957224E-2</c:v>
                </c:pt>
                <c:pt idx="149">
                  <c:v>-7.6686260885442392E-3</c:v>
                </c:pt>
                <c:pt idx="150">
                  <c:v>2.6392916078856077E-2</c:v>
                </c:pt>
                <c:pt idx="151">
                  <c:v>8.0789263083320684E-3</c:v>
                </c:pt>
                <c:pt idx="152">
                  <c:v>-2.4460479533930046E-2</c:v>
                </c:pt>
                <c:pt idx="153">
                  <c:v>-7.1464332639529227E-3</c:v>
                </c:pt>
                <c:pt idx="154">
                  <c:v>1.2349395265550678E-2</c:v>
                </c:pt>
                <c:pt idx="155">
                  <c:v>4.6467110364435404E-2</c:v>
                </c:pt>
                <c:pt idx="156">
                  <c:v>-3.3120133698818388E-2</c:v>
                </c:pt>
                <c:pt idx="157">
                  <c:v>1.9430770251442908E-2</c:v>
                </c:pt>
                <c:pt idx="158">
                  <c:v>-1.4754175512722623E-2</c:v>
                </c:pt>
                <c:pt idx="159">
                  <c:v>1.8266432734214133E-2</c:v>
                </c:pt>
                <c:pt idx="160">
                  <c:v>1.4315187979671018E-2</c:v>
                </c:pt>
                <c:pt idx="161">
                  <c:v>-1.7118625333947257E-3</c:v>
                </c:pt>
                <c:pt idx="162">
                  <c:v>1.2542787419543178E-2</c:v>
                </c:pt>
                <c:pt idx="163">
                  <c:v>-9.6401306256622687E-3</c:v>
                </c:pt>
                <c:pt idx="164">
                  <c:v>1.6702626190443493E-2</c:v>
                </c:pt>
                <c:pt idx="165">
                  <c:v>2.2715134615492794E-2</c:v>
                </c:pt>
              </c:numCache>
            </c:numRef>
          </c:xVal>
          <c:yVal>
            <c:numRef>
              <c:f>WACC!$E$29:$E$194</c:f>
              <c:numCache>
                <c:formatCode>0.00%</c:formatCode>
                <c:ptCount val="166"/>
                <c:pt idx="0">
                  <c:v>-2.9929034248688535E-2</c:v>
                </c:pt>
                <c:pt idx="1">
                  <c:v>2.5632911392404978E-2</c:v>
                </c:pt>
                <c:pt idx="2">
                  <c:v>4.635761589403975E-2</c:v>
                </c:pt>
                <c:pt idx="3">
                  <c:v>-3.1119666345845398E-2</c:v>
                </c:pt>
                <c:pt idx="4">
                  <c:v>2.734437831751757E-3</c:v>
                </c:pt>
                <c:pt idx="5">
                  <c:v>7.4542213579646965E-3</c:v>
                </c:pt>
                <c:pt idx="6">
                  <c:v>2.1181532351481014E-2</c:v>
                </c:pt>
                <c:pt idx="7">
                  <c:v>2.1639898562975546E-2</c:v>
                </c:pt>
                <c:pt idx="8">
                  <c:v>5.6061417603999297E-2</c:v>
                </c:pt>
                <c:pt idx="9">
                  <c:v>6.6044918157594168E-2</c:v>
                </c:pt>
                <c:pt idx="10">
                  <c:v>5.0169898061163343E-2</c:v>
                </c:pt>
                <c:pt idx="11">
                  <c:v>4.8846960167714837E-2</c:v>
                </c:pt>
                <c:pt idx="12">
                  <c:v>3.4707158351410028E-2</c:v>
                </c:pt>
                <c:pt idx="13">
                  <c:v>-4.8110675201321507E-2</c:v>
                </c:pt>
                <c:pt idx="14">
                  <c:v>7.0700769390725782E-3</c:v>
                </c:pt>
                <c:pt idx="15">
                  <c:v>-9.6787479406919008E-3</c:v>
                </c:pt>
                <c:pt idx="16">
                  <c:v>-7.9673135852911248E-3</c:v>
                </c:pt>
                <c:pt idx="17">
                  <c:v>2.7282266526757804E-2</c:v>
                </c:pt>
                <c:pt idx="18">
                  <c:v>5.6986070071758377E-3</c:v>
                </c:pt>
                <c:pt idx="19">
                  <c:v>-3.384991843393137E-2</c:v>
                </c:pt>
                <c:pt idx="20">
                  <c:v>-4.8875096974398846E-2</c:v>
                </c:pt>
                <c:pt idx="21">
                  <c:v>6.5509402769167169E-2</c:v>
                </c:pt>
                <c:pt idx="22">
                  <c:v>-4.9499116087212691E-2</c:v>
                </c:pt>
                <c:pt idx="23">
                  <c:v>-4.5198799699925019E-2</c:v>
                </c:pt>
                <c:pt idx="24">
                  <c:v>-1.605462262410029E-2</c:v>
                </c:pt>
                <c:pt idx="25">
                  <c:v>-3.4218499376225342E-2</c:v>
                </c:pt>
                <c:pt idx="26">
                  <c:v>7.8623606305267213E-2</c:v>
                </c:pt>
                <c:pt idx="27">
                  <c:v>-4.0206777713955866E-3</c:v>
                </c:pt>
                <c:pt idx="28">
                  <c:v>1.4174757281553374E-2</c:v>
                </c:pt>
                <c:pt idx="29">
                  <c:v>-2.2028104823395345E-2</c:v>
                </c:pt>
                <c:pt idx="30">
                  <c:v>3.7022449783379097E-2</c:v>
                </c:pt>
                <c:pt idx="31">
                  <c:v>-1.9312475859405209E-2</c:v>
                </c:pt>
                <c:pt idx="32">
                  <c:v>-3.7546468401486899E-2</c:v>
                </c:pt>
                <c:pt idx="33">
                  <c:v>3.4814387382188894E-2</c:v>
                </c:pt>
                <c:pt idx="34">
                  <c:v>1.8014489915801901E-2</c:v>
                </c:pt>
                <c:pt idx="35">
                  <c:v>-1.6750096264920966E-2</c:v>
                </c:pt>
                <c:pt idx="36">
                  <c:v>-2.4051108605787297E-2</c:v>
                </c:pt>
                <c:pt idx="37">
                  <c:v>2.6620370370370239E-2</c:v>
                </c:pt>
                <c:pt idx="38">
                  <c:v>-2.5380710659898331E-2</c:v>
                </c:pt>
                <c:pt idx="39">
                  <c:v>5.7665539868761106E-2</c:v>
                </c:pt>
                <c:pt idx="40">
                  <c:v>1.5959595959595951E-2</c:v>
                </c:pt>
                <c:pt idx="41">
                  <c:v>7.2124756335282703E-2</c:v>
                </c:pt>
                <c:pt idx="42">
                  <c:v>-2.8409090909090939E-2</c:v>
                </c:pt>
                <c:pt idx="43">
                  <c:v>5.8116232464930029E-2</c:v>
                </c:pt>
                <c:pt idx="44">
                  <c:v>1.0576057605760525E-2</c:v>
                </c:pt>
                <c:pt idx="45">
                  <c:v>3.396928804094923E-2</c:v>
                </c:pt>
                <c:pt idx="46">
                  <c:v>-6.3004142140832831E-2</c:v>
                </c:pt>
                <c:pt idx="47">
                  <c:v>4.5350957155879446E-2</c:v>
                </c:pt>
                <c:pt idx="48">
                  <c:v>-1.8783542039355949E-2</c:v>
                </c:pt>
                <c:pt idx="49">
                  <c:v>2.1470991320237554E-2</c:v>
                </c:pt>
                <c:pt idx="50">
                  <c:v>-2.0143240823634723E-2</c:v>
                </c:pt>
                <c:pt idx="51">
                  <c:v>-5.8972198820555932E-2</c:v>
                </c:pt>
                <c:pt idx="52">
                  <c:v>1.8447018447018459E-2</c:v>
                </c:pt>
                <c:pt idx="53">
                  <c:v>1.2886597938144284E-3</c:v>
                </c:pt>
                <c:pt idx="54">
                  <c:v>4.4180309486431923E-2</c:v>
                </c:pt>
                <c:pt idx="55">
                  <c:v>6.2932061978545839E-2</c:v>
                </c:pt>
                <c:pt idx="56">
                  <c:v>-1.1904761904760752E-3</c:v>
                </c:pt>
                <c:pt idx="57">
                  <c:v>2.2395326192794496E-2</c:v>
                </c:pt>
                <c:pt idx="58">
                  <c:v>-2.7692307692307683E-2</c:v>
                </c:pt>
                <c:pt idx="59">
                  <c:v>-2.2669442516770721E-2</c:v>
                </c:pt>
                <c:pt idx="60">
                  <c:v>7.8054862842892758E-2</c:v>
                </c:pt>
                <c:pt idx="61">
                  <c:v>6.5261044176705418E-3</c:v>
                </c:pt>
                <c:pt idx="62">
                  <c:v>6.8233510235027328E-3</c:v>
                </c:pt>
                <c:pt idx="63">
                  <c:v>8.3515881708652762E-2</c:v>
                </c:pt>
                <c:pt idx="64">
                  <c:v>9.4724220623501276E-2</c:v>
                </c:pt>
                <c:pt idx="65">
                  <c:v>-4.4126074498567314E-2</c:v>
                </c:pt>
                <c:pt idx="66">
                  <c:v>5.7636887608067955E-3</c:v>
                </c:pt>
                <c:pt idx="67">
                  <c:v>9.307737056428067E-3</c:v>
                </c:pt>
                <c:pt idx="68">
                  <c:v>8.3858764186633072E-2</c:v>
                </c:pt>
                <c:pt idx="69">
                  <c:v>-6.4858490566037763E-2</c:v>
                </c:pt>
                <c:pt idx="70">
                  <c:v>-5.4099274958170573E-2</c:v>
                </c:pt>
                <c:pt idx="71">
                  <c:v>-5.8050958760178628E-2</c:v>
                </c:pt>
                <c:pt idx="72">
                  <c:v>2.4488697524219782E-2</c:v>
                </c:pt>
                <c:pt idx="73">
                  <c:v>-3.5306334371755121E-2</c:v>
                </c:pt>
                <c:pt idx="74">
                  <c:v>-2.4563180552038433E-2</c:v>
                </c:pt>
                <c:pt idx="75">
                  <c:v>-1.7905993533946729E-2</c:v>
                </c:pt>
                <c:pt idx="76">
                  <c:v>2.2374777523519018E-2</c:v>
                </c:pt>
                <c:pt idx="77">
                  <c:v>3.6090621707060011E-2</c:v>
                </c:pt>
                <c:pt idx="78">
                  <c:v>-8.3594566353186739E-3</c:v>
                </c:pt>
                <c:pt idx="79">
                  <c:v>4.2483660130719025E-2</c:v>
                </c:pt>
                <c:pt idx="80">
                  <c:v>-5.9556036816458269E-3</c:v>
                </c:pt>
                <c:pt idx="81">
                  <c:v>4.6755454803060426E-2</c:v>
                </c:pt>
                <c:pt idx="82">
                  <c:v>-8.5277345775012892E-2</c:v>
                </c:pt>
                <c:pt idx="83">
                  <c:v>5.7855771867288075E-2</c:v>
                </c:pt>
                <c:pt idx="84">
                  <c:v>-7.4835109081684448E-2</c:v>
                </c:pt>
                <c:pt idx="85">
                  <c:v>-4.4826750666343673E-2</c:v>
                </c:pt>
                <c:pt idx="86">
                  <c:v>5.1732925586136513E-2</c:v>
                </c:pt>
                <c:pt idx="87">
                  <c:v>8.6078051480763973E-2</c:v>
                </c:pt>
                <c:pt idx="88">
                  <c:v>-4.6450250725785125E-2</c:v>
                </c:pt>
                <c:pt idx="89">
                  <c:v>1.7727639000805873E-2</c:v>
                </c:pt>
                <c:pt idx="90">
                  <c:v>-2.7937336814621405E-2</c:v>
                </c:pt>
                <c:pt idx="91">
                  <c:v>-3.5750251762336371E-2</c:v>
                </c:pt>
                <c:pt idx="92">
                  <c:v>-1.2572290671361008E-3</c:v>
                </c:pt>
                <c:pt idx="93">
                  <c:v>5.1838138058714733E-2</c:v>
                </c:pt>
                <c:pt idx="94">
                  <c:v>-7.5776093864580618E-2</c:v>
                </c:pt>
                <c:pt idx="95">
                  <c:v>1.2623762376237524E-2</c:v>
                </c:pt>
                <c:pt idx="96">
                  <c:v>2.0975486479656302E-2</c:v>
                </c:pt>
                <c:pt idx="97">
                  <c:v>5.9721478307445119E-2</c:v>
                </c:pt>
                <c:pt idx="98">
                  <c:v>-2.6709401709400504E-3</c:v>
                </c:pt>
                <c:pt idx="99">
                  <c:v>-0.21162349968414407</c:v>
                </c:pt>
                <c:pt idx="100">
                  <c:v>-4.8197820620284881E-3</c:v>
                </c:pt>
                <c:pt idx="101">
                  <c:v>1.01608806096527E-2</c:v>
                </c:pt>
                <c:pt idx="102">
                  <c:v>6.3245554805311688E-2</c:v>
                </c:pt>
                <c:pt idx="103">
                  <c:v>7.5266214908034756E-2</c:v>
                </c:pt>
                <c:pt idx="104">
                  <c:v>3.1561058509348427E-3</c:v>
                </c:pt>
                <c:pt idx="105">
                  <c:v>-5.5924822369929017E-2</c:v>
                </c:pt>
                <c:pt idx="106">
                  <c:v>-5.2345786272806172E-2</c:v>
                </c:pt>
                <c:pt idx="107">
                  <c:v>6.0829493087557696E-2</c:v>
                </c:pt>
                <c:pt idx="108">
                  <c:v>2.6732907499408487E-2</c:v>
                </c:pt>
                <c:pt idx="109">
                  <c:v>1.3912209162868949E-2</c:v>
                </c:pt>
                <c:pt idx="110">
                  <c:v>-8.0705622932745413E-2</c:v>
                </c:pt>
                <c:pt idx="111">
                  <c:v>3.4207525655644222E-2</c:v>
                </c:pt>
                <c:pt idx="112">
                  <c:v>-4.6739130434782616E-2</c:v>
                </c:pt>
                <c:pt idx="113">
                  <c:v>-3.7455534630675857E-2</c:v>
                </c:pt>
                <c:pt idx="114">
                  <c:v>2.0968756552737222E-3</c:v>
                </c:pt>
                <c:pt idx="115">
                  <c:v>-6.4583333333333437E-3</c:v>
                </c:pt>
                <c:pt idx="116">
                  <c:v>3.8736204284786746E-2</c:v>
                </c:pt>
                <c:pt idx="117">
                  <c:v>9.3927479248581136E-3</c:v>
                </c:pt>
                <c:pt idx="118">
                  <c:v>2.6227303295225379E-2</c:v>
                </c:pt>
                <c:pt idx="119">
                  <c:v>6.2902072909220896E-2</c:v>
                </c:pt>
                <c:pt idx="120">
                  <c:v>-1.2238173687926679E-2</c:v>
                </c:pt>
                <c:pt idx="121">
                  <c:v>-4.3233505967124386E-2</c:v>
                </c:pt>
                <c:pt idx="122">
                  <c:v>-1.7912428129146396E-2</c:v>
                </c:pt>
                <c:pt idx="123">
                  <c:v>-3.2520325203252098E-2</c:v>
                </c:pt>
                <c:pt idx="124">
                  <c:v>-4.6706098307158883E-2</c:v>
                </c:pt>
                <c:pt idx="125">
                  <c:v>-3.730610642057719E-2</c:v>
                </c:pt>
                <c:pt idx="126">
                  <c:v>1.0716411986505303E-2</c:v>
                </c:pt>
                <c:pt idx="127">
                  <c:v>-5.512844552784546E-2</c:v>
                </c:pt>
                <c:pt idx="128">
                  <c:v>-1.0942136498516386E-2</c:v>
                </c:pt>
                <c:pt idx="129">
                  <c:v>4.4709388971684305E-3</c:v>
                </c:pt>
                <c:pt idx="130">
                  <c:v>-9.9594245665806103E-3</c:v>
                </c:pt>
                <c:pt idx="131">
                  <c:v>0.1509233708342177</c:v>
                </c:pt>
                <c:pt idx="132">
                  <c:v>-4.9626790397417797E-2</c:v>
                </c:pt>
                <c:pt idx="133">
                  <c:v>-2.1515988945913889E-2</c:v>
                </c:pt>
                <c:pt idx="134">
                  <c:v>8.3598726114648692E-3</c:v>
                </c:pt>
                <c:pt idx="135">
                  <c:v>6.8481497235219013E-2</c:v>
                </c:pt>
                <c:pt idx="136">
                  <c:v>-5.884707766212971E-2</c:v>
                </c:pt>
                <c:pt idx="137">
                  <c:v>7.695624056908823E-2</c:v>
                </c:pt>
                <c:pt idx="138">
                  <c:v>-2.3368421052631594E-2</c:v>
                </c:pt>
                <c:pt idx="139">
                  <c:v>4.0753724802804481E-2</c:v>
                </c:pt>
                <c:pt idx="140">
                  <c:v>-5.89690721649484E-2</c:v>
                </c:pt>
                <c:pt idx="141">
                  <c:v>-2.1980237951199855E-2</c:v>
                </c:pt>
                <c:pt idx="142">
                  <c:v>2.2685089709218342E-2</c:v>
                </c:pt>
                <c:pt idx="143">
                  <c:v>-6.5703275529865102E-2</c:v>
                </c:pt>
                <c:pt idx="144">
                  <c:v>0.15796519410977239</c:v>
                </c:pt>
                <c:pt idx="145">
                  <c:v>3.8220986796386303E-2</c:v>
                </c:pt>
                <c:pt idx="146">
                  <c:v>3.8239538239538406E-2</c:v>
                </c:pt>
                <c:pt idx="147">
                  <c:v>-1.5857988165680514E-2</c:v>
                </c:pt>
                <c:pt idx="148">
                  <c:v>2.3002421307506182E-2</c:v>
                </c:pt>
                <c:pt idx="149">
                  <c:v>5.2229299363057313E-2</c:v>
                </c:pt>
                <c:pt idx="150">
                  <c:v>6.1384532179556528E-2</c:v>
                </c:pt>
                <c:pt idx="151">
                  <c:v>1.0382513661202131E-2</c:v>
                </c:pt>
                <c:pt idx="152">
                  <c:v>-2.7314941272871263E-4</c:v>
                </c:pt>
                <c:pt idx="153">
                  <c:v>-8.6650419712970272E-3</c:v>
                </c:pt>
                <c:pt idx="154">
                  <c:v>-8.5906040268456385E-3</c:v>
                </c:pt>
                <c:pt idx="155">
                  <c:v>8.0336426914153325E-2</c:v>
                </c:pt>
                <c:pt idx="156">
                  <c:v>-5.6892778993435589E-2</c:v>
                </c:pt>
                <c:pt idx="157">
                  <c:v>-2.7277686852152927E-3</c:v>
                </c:pt>
                <c:pt idx="158">
                  <c:v>-2.727024815927237E-4</c:v>
                </c:pt>
                <c:pt idx="159">
                  <c:v>2.0311630495269961E-2</c:v>
                </c:pt>
                <c:pt idx="160">
                  <c:v>-4.983388704318914E-3</c:v>
                </c:pt>
                <c:pt idx="161">
                  <c:v>-1.1223651793046963E-2</c:v>
                </c:pt>
                <c:pt idx="162">
                  <c:v>3.7489349616586232E-2</c:v>
                </c:pt>
                <c:pt idx="163">
                  <c:v>-4.0599455040872034E-2</c:v>
                </c:pt>
                <c:pt idx="164">
                  <c:v>6.4076543925775553E-2</c:v>
                </c:pt>
                <c:pt idx="165">
                  <c:v>4.4834898515601518E-2</c:v>
                </c:pt>
              </c:numCache>
            </c:numRef>
          </c:yVal>
          <c:smooth val="0"/>
          <c:extLst>
            <c:ext xmlns:c16="http://schemas.microsoft.com/office/drawing/2014/chart" uri="{C3380CC4-5D6E-409C-BE32-E72D297353CC}">
              <c16:uniqueId val="{00000000-BE32-40C6-88D4-580F8D5DF1A5}"/>
            </c:ext>
          </c:extLst>
        </c:ser>
        <c:dLbls>
          <c:showLegendKey val="0"/>
          <c:showVal val="0"/>
          <c:showCatName val="0"/>
          <c:showSerName val="0"/>
          <c:showPercent val="0"/>
          <c:showBubbleSize val="0"/>
        </c:dLbls>
        <c:axId val="570063424"/>
        <c:axId val="570064504"/>
      </c:scatterChart>
      <c:valAx>
        <c:axId val="570063424"/>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o-RO"/>
          </a:p>
        </c:txPr>
        <c:crossAx val="570064504"/>
        <c:crosses val="autoZero"/>
        <c:crossBetween val="midCat"/>
      </c:valAx>
      <c:valAx>
        <c:axId val="57006450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o-RO"/>
          </a:p>
        </c:txPr>
        <c:crossAx val="57006342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o-RO"/>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Daily Returns:</a:t>
            </a:r>
            <a:r>
              <a:rPr lang="en-US" baseline="0"/>
              <a:t> S</a:t>
            </a:r>
            <a:r>
              <a:rPr lang="hu-HU" baseline="0"/>
              <a:t>K</a:t>
            </a:r>
            <a:r>
              <a:rPr lang="en-US" baseline="0"/>
              <a:t>X</a:t>
            </a:r>
            <a:r>
              <a:rPr lang="hu-HU" baseline="0"/>
              <a:t> </a:t>
            </a:r>
            <a:r>
              <a:rPr lang="en-US" baseline="0"/>
              <a:t>and</a:t>
            </a:r>
            <a:r>
              <a:rPr lang="hu-HU" baseline="0"/>
              <a:t> S</a:t>
            </a:r>
            <a:r>
              <a:rPr lang="en-US" baseline="0"/>
              <a:t>&amp;P500 </a:t>
            </a:r>
            <a:endParaRPr lang="ro-RO"/>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o-RO"/>
        </a:p>
      </c:txPr>
    </c:title>
    <c:autoTitleDeleted val="0"/>
    <c:plotArea>
      <c:layout>
        <c:manualLayout>
          <c:layoutTarget val="inner"/>
          <c:xMode val="edge"/>
          <c:yMode val="edge"/>
          <c:x val="6.5567691135382272E-2"/>
          <c:y val="5.3479912949025703E-2"/>
          <c:w val="0.91936259620743588"/>
          <c:h val="0.83938824657227129"/>
        </c:manualLayout>
      </c:layout>
      <c:lineChart>
        <c:grouping val="standard"/>
        <c:varyColors val="0"/>
        <c:ser>
          <c:idx val="0"/>
          <c:order val="0"/>
          <c:tx>
            <c:strRef>
              <c:f>'Price Tracking'!$N$2</c:f>
              <c:strCache>
                <c:ptCount val="1"/>
                <c:pt idx="0">
                  <c:v>SKX</c:v>
                </c:pt>
              </c:strCache>
            </c:strRef>
          </c:tx>
          <c:spPr>
            <a:ln w="28575" cap="rnd">
              <a:solidFill>
                <a:srgbClr val="F991BB"/>
              </a:solidFill>
              <a:round/>
            </a:ln>
            <a:effectLst/>
          </c:spPr>
          <c:marker>
            <c:symbol val="none"/>
          </c:marker>
          <c:cat>
            <c:strRef>
              <c:f>'Price Tracking'!$M$3:$M$254</c:f>
              <c:strCache>
                <c:ptCount val="252"/>
                <c:pt idx="0">
                  <c:v>Jan 24, 2023</c:v>
                </c:pt>
                <c:pt idx="1">
                  <c:v>Jan 25, 2023</c:v>
                </c:pt>
                <c:pt idx="2">
                  <c:v>Jan 26, 2023</c:v>
                </c:pt>
                <c:pt idx="3">
                  <c:v>Jan 27, 2023</c:v>
                </c:pt>
                <c:pt idx="4">
                  <c:v>Jan 30, 2023</c:v>
                </c:pt>
                <c:pt idx="5">
                  <c:v>Jan 31, 2023</c:v>
                </c:pt>
                <c:pt idx="6">
                  <c:v>Feb 01, 2023</c:v>
                </c:pt>
                <c:pt idx="7">
                  <c:v>Feb 02, 2023</c:v>
                </c:pt>
                <c:pt idx="8">
                  <c:v>Feb 03, 2023</c:v>
                </c:pt>
                <c:pt idx="9">
                  <c:v>Feb 06, 2023</c:v>
                </c:pt>
                <c:pt idx="10">
                  <c:v>Feb 07, 2023</c:v>
                </c:pt>
                <c:pt idx="11">
                  <c:v>Feb 08, 2023</c:v>
                </c:pt>
                <c:pt idx="12">
                  <c:v>Feb 09, 2023</c:v>
                </c:pt>
                <c:pt idx="13">
                  <c:v>Feb 10, 2023</c:v>
                </c:pt>
                <c:pt idx="14">
                  <c:v>Feb 13, 2023</c:v>
                </c:pt>
                <c:pt idx="15">
                  <c:v>Feb 14, 2023</c:v>
                </c:pt>
                <c:pt idx="16">
                  <c:v>Feb 15, 2023</c:v>
                </c:pt>
                <c:pt idx="17">
                  <c:v>Feb 16, 2023</c:v>
                </c:pt>
                <c:pt idx="18">
                  <c:v>Feb 17, 2023</c:v>
                </c:pt>
                <c:pt idx="19">
                  <c:v>Feb 21, 2023</c:v>
                </c:pt>
                <c:pt idx="20">
                  <c:v>Feb 22, 2023</c:v>
                </c:pt>
                <c:pt idx="21">
                  <c:v>Feb 23, 2023</c:v>
                </c:pt>
                <c:pt idx="22">
                  <c:v>Feb 24, 2023</c:v>
                </c:pt>
                <c:pt idx="23">
                  <c:v>Feb 27, 2023</c:v>
                </c:pt>
                <c:pt idx="24">
                  <c:v>Feb 28, 2023</c:v>
                </c:pt>
                <c:pt idx="25">
                  <c:v>Mar 01, 2023</c:v>
                </c:pt>
                <c:pt idx="26">
                  <c:v>Mar 02, 2023</c:v>
                </c:pt>
                <c:pt idx="27">
                  <c:v>Mar 03, 2023</c:v>
                </c:pt>
                <c:pt idx="28">
                  <c:v>Mar 06, 2023</c:v>
                </c:pt>
                <c:pt idx="29">
                  <c:v>Mar 07, 2023</c:v>
                </c:pt>
                <c:pt idx="30">
                  <c:v>Mar 08, 2023</c:v>
                </c:pt>
                <c:pt idx="31">
                  <c:v>Mar 09, 2023</c:v>
                </c:pt>
                <c:pt idx="32">
                  <c:v>Mar 10, 2023</c:v>
                </c:pt>
                <c:pt idx="33">
                  <c:v>Mar 13, 2023</c:v>
                </c:pt>
                <c:pt idx="34">
                  <c:v>Mar 14, 2023</c:v>
                </c:pt>
                <c:pt idx="35">
                  <c:v>Mar 15, 2023</c:v>
                </c:pt>
                <c:pt idx="36">
                  <c:v>Mar 16, 2023</c:v>
                </c:pt>
                <c:pt idx="37">
                  <c:v>Mar 17, 2023</c:v>
                </c:pt>
                <c:pt idx="38">
                  <c:v>Mar 20, 2023</c:v>
                </c:pt>
                <c:pt idx="39">
                  <c:v>Mar 21, 2023</c:v>
                </c:pt>
                <c:pt idx="40">
                  <c:v>Mar 22, 2023</c:v>
                </c:pt>
                <c:pt idx="41">
                  <c:v>Mar 23, 2023</c:v>
                </c:pt>
                <c:pt idx="42">
                  <c:v>Mar 24, 2023</c:v>
                </c:pt>
                <c:pt idx="43">
                  <c:v>Mar 27, 2023</c:v>
                </c:pt>
                <c:pt idx="44">
                  <c:v>Mar 28, 2023</c:v>
                </c:pt>
                <c:pt idx="45">
                  <c:v>Mar 29, 2023</c:v>
                </c:pt>
                <c:pt idx="46">
                  <c:v>Mar 30, 2023</c:v>
                </c:pt>
                <c:pt idx="47">
                  <c:v>Mar 31, 2023</c:v>
                </c:pt>
                <c:pt idx="48">
                  <c:v>Apr 03, 2023</c:v>
                </c:pt>
                <c:pt idx="49">
                  <c:v>Apr 04, 2023</c:v>
                </c:pt>
                <c:pt idx="50">
                  <c:v>Apr 05, 2023</c:v>
                </c:pt>
                <c:pt idx="51">
                  <c:v>Apr 06, 2023</c:v>
                </c:pt>
                <c:pt idx="52">
                  <c:v>Apr 10, 2023</c:v>
                </c:pt>
                <c:pt idx="53">
                  <c:v>Apr 11, 2023</c:v>
                </c:pt>
                <c:pt idx="54">
                  <c:v>Apr 12, 2023</c:v>
                </c:pt>
                <c:pt idx="55">
                  <c:v>Apr 13, 2023</c:v>
                </c:pt>
                <c:pt idx="56">
                  <c:v>Apr 14, 2023</c:v>
                </c:pt>
                <c:pt idx="57">
                  <c:v>Apr 17, 2023</c:v>
                </c:pt>
                <c:pt idx="58">
                  <c:v>Apr 18, 2023</c:v>
                </c:pt>
                <c:pt idx="59">
                  <c:v>Apr 19, 2023</c:v>
                </c:pt>
                <c:pt idx="60">
                  <c:v>Apr 20, 2023</c:v>
                </c:pt>
                <c:pt idx="61">
                  <c:v>Apr 21, 2023</c:v>
                </c:pt>
                <c:pt idx="62">
                  <c:v>Apr 24, 2023</c:v>
                </c:pt>
                <c:pt idx="63">
                  <c:v>Apr 25, 2023</c:v>
                </c:pt>
                <c:pt idx="64">
                  <c:v>Apr 26, 2023</c:v>
                </c:pt>
                <c:pt idx="65">
                  <c:v>Apr 27, 2023</c:v>
                </c:pt>
                <c:pt idx="66">
                  <c:v>Apr 28, 2023</c:v>
                </c:pt>
                <c:pt idx="67">
                  <c:v>May 01, 2023</c:v>
                </c:pt>
                <c:pt idx="68">
                  <c:v>May 02, 2023</c:v>
                </c:pt>
                <c:pt idx="69">
                  <c:v>May 03, 2023</c:v>
                </c:pt>
                <c:pt idx="70">
                  <c:v>May 04, 2023</c:v>
                </c:pt>
                <c:pt idx="71">
                  <c:v>May 05, 2023</c:v>
                </c:pt>
                <c:pt idx="72">
                  <c:v>May 08, 2023</c:v>
                </c:pt>
                <c:pt idx="73">
                  <c:v>May 09, 2023</c:v>
                </c:pt>
                <c:pt idx="74">
                  <c:v>May 10, 2023</c:v>
                </c:pt>
                <c:pt idx="75">
                  <c:v>May 11, 2023</c:v>
                </c:pt>
                <c:pt idx="76">
                  <c:v>May 12, 2023</c:v>
                </c:pt>
                <c:pt idx="77">
                  <c:v>May 15, 2023</c:v>
                </c:pt>
                <c:pt idx="78">
                  <c:v>May 16, 2023</c:v>
                </c:pt>
                <c:pt idx="79">
                  <c:v>May 17, 2023</c:v>
                </c:pt>
                <c:pt idx="80">
                  <c:v>May 18, 2023</c:v>
                </c:pt>
                <c:pt idx="81">
                  <c:v>May 19, 2023</c:v>
                </c:pt>
                <c:pt idx="82">
                  <c:v>May 22, 2023</c:v>
                </c:pt>
                <c:pt idx="83">
                  <c:v>May 23, 2023</c:v>
                </c:pt>
                <c:pt idx="84">
                  <c:v>May 24, 2023</c:v>
                </c:pt>
                <c:pt idx="85">
                  <c:v>May 25, 2023</c:v>
                </c:pt>
                <c:pt idx="86">
                  <c:v>May 26, 2023</c:v>
                </c:pt>
                <c:pt idx="87">
                  <c:v>May 30, 2023</c:v>
                </c:pt>
                <c:pt idx="88">
                  <c:v>May 31, 2023</c:v>
                </c:pt>
                <c:pt idx="89">
                  <c:v>Jun 01, 2023</c:v>
                </c:pt>
                <c:pt idx="90">
                  <c:v>Jun 02, 2023</c:v>
                </c:pt>
                <c:pt idx="91">
                  <c:v>Jun 05, 2023</c:v>
                </c:pt>
                <c:pt idx="92">
                  <c:v>Jun 06, 2023</c:v>
                </c:pt>
                <c:pt idx="93">
                  <c:v>Jun 07, 2023</c:v>
                </c:pt>
                <c:pt idx="94">
                  <c:v>Jun 08, 2023</c:v>
                </c:pt>
                <c:pt idx="95">
                  <c:v>Jun 09, 2023</c:v>
                </c:pt>
                <c:pt idx="96">
                  <c:v>Jun 12, 2023</c:v>
                </c:pt>
                <c:pt idx="97">
                  <c:v>Jun 13, 2023</c:v>
                </c:pt>
                <c:pt idx="98">
                  <c:v>Jun 14, 2023</c:v>
                </c:pt>
                <c:pt idx="99">
                  <c:v>Jun 15, 2023</c:v>
                </c:pt>
                <c:pt idx="100">
                  <c:v>Jun 16, 2023</c:v>
                </c:pt>
                <c:pt idx="101">
                  <c:v>Jun 20, 2023</c:v>
                </c:pt>
                <c:pt idx="102">
                  <c:v>Jun 21, 2023</c:v>
                </c:pt>
                <c:pt idx="103">
                  <c:v>Jun 22, 2023</c:v>
                </c:pt>
                <c:pt idx="104">
                  <c:v>Jun 23, 2023</c:v>
                </c:pt>
                <c:pt idx="105">
                  <c:v>Jun 26, 2023</c:v>
                </c:pt>
                <c:pt idx="106">
                  <c:v>Jun 27, 2023</c:v>
                </c:pt>
                <c:pt idx="107">
                  <c:v>Jun 28, 2023</c:v>
                </c:pt>
                <c:pt idx="108">
                  <c:v>Jun 29, 2023</c:v>
                </c:pt>
                <c:pt idx="109">
                  <c:v>Jun 30, 2023</c:v>
                </c:pt>
                <c:pt idx="110">
                  <c:v>Jul 03, 2023</c:v>
                </c:pt>
                <c:pt idx="111">
                  <c:v>Jul 05, 2023</c:v>
                </c:pt>
                <c:pt idx="112">
                  <c:v>Jul 06, 2023</c:v>
                </c:pt>
                <c:pt idx="113">
                  <c:v>Jul 07, 2023</c:v>
                </c:pt>
                <c:pt idx="114">
                  <c:v>Jul 10, 2023</c:v>
                </c:pt>
                <c:pt idx="115">
                  <c:v>Jul 11, 2023</c:v>
                </c:pt>
                <c:pt idx="116">
                  <c:v>Jul 12, 2023</c:v>
                </c:pt>
                <c:pt idx="117">
                  <c:v>Jul 13, 2023</c:v>
                </c:pt>
                <c:pt idx="118">
                  <c:v>Jul 14, 2023</c:v>
                </c:pt>
                <c:pt idx="119">
                  <c:v>Jul 17, 2023</c:v>
                </c:pt>
                <c:pt idx="120">
                  <c:v>Jul 18, 2023</c:v>
                </c:pt>
                <c:pt idx="121">
                  <c:v>Jul 19, 2023</c:v>
                </c:pt>
                <c:pt idx="122">
                  <c:v>Jul 20, 2023</c:v>
                </c:pt>
                <c:pt idx="123">
                  <c:v>Jul 21, 2023</c:v>
                </c:pt>
                <c:pt idx="124">
                  <c:v>Jul 24, 2023</c:v>
                </c:pt>
                <c:pt idx="125">
                  <c:v>Jul 25, 2023</c:v>
                </c:pt>
                <c:pt idx="126">
                  <c:v>Jul 26, 2023</c:v>
                </c:pt>
                <c:pt idx="127">
                  <c:v>Jul 27, 2023</c:v>
                </c:pt>
                <c:pt idx="128">
                  <c:v>Jul 28, 2023</c:v>
                </c:pt>
                <c:pt idx="129">
                  <c:v>Jul 31, 2023</c:v>
                </c:pt>
                <c:pt idx="130">
                  <c:v>Aug 01, 2023</c:v>
                </c:pt>
                <c:pt idx="131">
                  <c:v>Aug 02, 2023</c:v>
                </c:pt>
                <c:pt idx="132">
                  <c:v>Aug 03, 2023</c:v>
                </c:pt>
                <c:pt idx="133">
                  <c:v>Aug 04, 2023</c:v>
                </c:pt>
                <c:pt idx="134">
                  <c:v>Aug 07, 2023</c:v>
                </c:pt>
                <c:pt idx="135">
                  <c:v>Aug 08, 2023</c:v>
                </c:pt>
                <c:pt idx="136">
                  <c:v>Aug 09, 2023</c:v>
                </c:pt>
                <c:pt idx="137">
                  <c:v>Aug 10, 2023</c:v>
                </c:pt>
                <c:pt idx="138">
                  <c:v>Aug 11, 2023</c:v>
                </c:pt>
                <c:pt idx="139">
                  <c:v>Aug 14, 2023</c:v>
                </c:pt>
                <c:pt idx="140">
                  <c:v>Aug 15, 2023</c:v>
                </c:pt>
                <c:pt idx="141">
                  <c:v>Aug 16, 2023</c:v>
                </c:pt>
                <c:pt idx="142">
                  <c:v>Aug 17, 2023</c:v>
                </c:pt>
                <c:pt idx="143">
                  <c:v>Aug 18, 2023</c:v>
                </c:pt>
                <c:pt idx="144">
                  <c:v>Aug 21, 2023</c:v>
                </c:pt>
                <c:pt idx="145">
                  <c:v>Aug 22, 2023</c:v>
                </c:pt>
                <c:pt idx="146">
                  <c:v>Aug 23, 2023</c:v>
                </c:pt>
                <c:pt idx="147">
                  <c:v>Aug 24, 2023</c:v>
                </c:pt>
                <c:pt idx="148">
                  <c:v>Aug 25, 2023</c:v>
                </c:pt>
                <c:pt idx="149">
                  <c:v>Aug 28, 2023</c:v>
                </c:pt>
                <c:pt idx="150">
                  <c:v>Aug 29, 2023</c:v>
                </c:pt>
                <c:pt idx="151">
                  <c:v>Aug 30, 2023</c:v>
                </c:pt>
                <c:pt idx="152">
                  <c:v>Aug 31, 2023</c:v>
                </c:pt>
                <c:pt idx="153">
                  <c:v>Sep 01, 2023</c:v>
                </c:pt>
                <c:pt idx="154">
                  <c:v>Sep 05, 2023</c:v>
                </c:pt>
                <c:pt idx="155">
                  <c:v>Sep 06, 2023</c:v>
                </c:pt>
                <c:pt idx="156">
                  <c:v>Sep 07, 2023</c:v>
                </c:pt>
                <c:pt idx="157">
                  <c:v>Sep 08, 2023</c:v>
                </c:pt>
                <c:pt idx="158">
                  <c:v>Sep 11, 2023</c:v>
                </c:pt>
                <c:pt idx="159">
                  <c:v>Sep 12, 2023</c:v>
                </c:pt>
                <c:pt idx="160">
                  <c:v>Sep 13, 2023</c:v>
                </c:pt>
                <c:pt idx="161">
                  <c:v>Sep 14, 2023</c:v>
                </c:pt>
                <c:pt idx="162">
                  <c:v>Sep 15, 2023</c:v>
                </c:pt>
                <c:pt idx="163">
                  <c:v>Sep 18, 2023</c:v>
                </c:pt>
                <c:pt idx="164">
                  <c:v>Sep 19, 2023</c:v>
                </c:pt>
                <c:pt idx="165">
                  <c:v>Sep 20, 2023</c:v>
                </c:pt>
                <c:pt idx="166">
                  <c:v>Sep 21, 2023</c:v>
                </c:pt>
                <c:pt idx="167">
                  <c:v>Sep 22, 2023</c:v>
                </c:pt>
                <c:pt idx="168">
                  <c:v>Sep 25, 2023</c:v>
                </c:pt>
                <c:pt idx="169">
                  <c:v>Sep 26, 2023</c:v>
                </c:pt>
                <c:pt idx="170">
                  <c:v>Sep 27, 2023</c:v>
                </c:pt>
                <c:pt idx="171">
                  <c:v>Sep 28, 2023</c:v>
                </c:pt>
                <c:pt idx="172">
                  <c:v>Sep 29, 2023</c:v>
                </c:pt>
                <c:pt idx="173">
                  <c:v>Oct 02, 2023</c:v>
                </c:pt>
                <c:pt idx="174">
                  <c:v>Oct 03, 2023</c:v>
                </c:pt>
                <c:pt idx="175">
                  <c:v>Oct 04, 2023</c:v>
                </c:pt>
                <c:pt idx="176">
                  <c:v>Oct 05, 2023</c:v>
                </c:pt>
                <c:pt idx="177">
                  <c:v>Oct 06, 2023</c:v>
                </c:pt>
                <c:pt idx="178">
                  <c:v>Oct 09, 2023</c:v>
                </c:pt>
                <c:pt idx="179">
                  <c:v>Oct 10, 2023</c:v>
                </c:pt>
                <c:pt idx="180">
                  <c:v>Oct 11, 2023</c:v>
                </c:pt>
                <c:pt idx="181">
                  <c:v>Oct 12, 2023</c:v>
                </c:pt>
                <c:pt idx="182">
                  <c:v>Oct 13, 2023</c:v>
                </c:pt>
                <c:pt idx="183">
                  <c:v>Oct 16, 2023</c:v>
                </c:pt>
                <c:pt idx="184">
                  <c:v>Oct 17, 2023</c:v>
                </c:pt>
                <c:pt idx="185">
                  <c:v>Oct 18, 2023</c:v>
                </c:pt>
                <c:pt idx="186">
                  <c:v>Oct 19, 2023</c:v>
                </c:pt>
                <c:pt idx="187">
                  <c:v>Oct 20, 2023</c:v>
                </c:pt>
                <c:pt idx="188">
                  <c:v>Oct 23, 2023</c:v>
                </c:pt>
                <c:pt idx="189">
                  <c:v>Oct 24, 2023</c:v>
                </c:pt>
                <c:pt idx="190">
                  <c:v>Oct 25, 2023</c:v>
                </c:pt>
                <c:pt idx="191">
                  <c:v>Oct 26, 2023</c:v>
                </c:pt>
                <c:pt idx="192">
                  <c:v>Oct 27, 2023</c:v>
                </c:pt>
                <c:pt idx="193">
                  <c:v>Oct 30, 2023</c:v>
                </c:pt>
                <c:pt idx="194">
                  <c:v>Oct 31, 2023</c:v>
                </c:pt>
                <c:pt idx="195">
                  <c:v>Nov 01, 2023</c:v>
                </c:pt>
                <c:pt idx="196">
                  <c:v>Nov 02, 2023</c:v>
                </c:pt>
                <c:pt idx="197">
                  <c:v>Nov 03, 2023</c:v>
                </c:pt>
                <c:pt idx="198">
                  <c:v>Nov 06, 2023</c:v>
                </c:pt>
                <c:pt idx="199">
                  <c:v>Nov 07, 2023</c:v>
                </c:pt>
                <c:pt idx="200">
                  <c:v>Nov 08, 2023</c:v>
                </c:pt>
                <c:pt idx="201">
                  <c:v>Nov 09, 2023</c:v>
                </c:pt>
                <c:pt idx="202">
                  <c:v>Nov 10, 2023</c:v>
                </c:pt>
                <c:pt idx="203">
                  <c:v>Nov 13, 2023</c:v>
                </c:pt>
                <c:pt idx="204">
                  <c:v>Nov 14, 2023</c:v>
                </c:pt>
                <c:pt idx="205">
                  <c:v>Nov 15, 2023</c:v>
                </c:pt>
                <c:pt idx="206">
                  <c:v>Nov 16, 2023</c:v>
                </c:pt>
                <c:pt idx="207">
                  <c:v>Nov 17, 2023</c:v>
                </c:pt>
                <c:pt idx="208">
                  <c:v>Nov 20, 2023</c:v>
                </c:pt>
                <c:pt idx="209">
                  <c:v>Nov 21, 2023</c:v>
                </c:pt>
                <c:pt idx="210">
                  <c:v>Nov 22, 2023</c:v>
                </c:pt>
                <c:pt idx="211">
                  <c:v>Nov 24, 2023</c:v>
                </c:pt>
                <c:pt idx="212">
                  <c:v>Nov 27, 2023</c:v>
                </c:pt>
                <c:pt idx="213">
                  <c:v>Nov 28, 2023</c:v>
                </c:pt>
                <c:pt idx="214">
                  <c:v>Nov 29, 2023</c:v>
                </c:pt>
                <c:pt idx="215">
                  <c:v>Nov 30, 2023</c:v>
                </c:pt>
                <c:pt idx="216">
                  <c:v>Dec 01, 2023</c:v>
                </c:pt>
                <c:pt idx="217">
                  <c:v>Dec 04, 2023</c:v>
                </c:pt>
                <c:pt idx="218">
                  <c:v>Dec 05, 2023</c:v>
                </c:pt>
                <c:pt idx="219">
                  <c:v>Dec 06, 2023</c:v>
                </c:pt>
                <c:pt idx="220">
                  <c:v>Dec 07, 2023</c:v>
                </c:pt>
                <c:pt idx="221">
                  <c:v>Dec 08, 2023</c:v>
                </c:pt>
                <c:pt idx="222">
                  <c:v>Dec 11, 2023</c:v>
                </c:pt>
                <c:pt idx="223">
                  <c:v>Dec 12, 2023</c:v>
                </c:pt>
                <c:pt idx="224">
                  <c:v>Dec 13, 2023</c:v>
                </c:pt>
                <c:pt idx="225">
                  <c:v>Dec 14, 2023</c:v>
                </c:pt>
                <c:pt idx="226">
                  <c:v>Dec 15, 2023</c:v>
                </c:pt>
                <c:pt idx="227">
                  <c:v>Dec 18, 2023</c:v>
                </c:pt>
                <c:pt idx="228">
                  <c:v>Dec 19, 2023</c:v>
                </c:pt>
                <c:pt idx="229">
                  <c:v>Dec 20, 2023</c:v>
                </c:pt>
                <c:pt idx="230">
                  <c:v>Dec 21, 2023</c:v>
                </c:pt>
                <c:pt idx="231">
                  <c:v>Dec 22, 2023</c:v>
                </c:pt>
                <c:pt idx="232">
                  <c:v>Dec 26, 2023</c:v>
                </c:pt>
                <c:pt idx="233">
                  <c:v>Dec 27, 2023</c:v>
                </c:pt>
                <c:pt idx="234">
                  <c:v>Dec 28, 2023</c:v>
                </c:pt>
                <c:pt idx="235">
                  <c:v>Dec 29, 2023</c:v>
                </c:pt>
                <c:pt idx="236">
                  <c:v>Jan 02, 2024</c:v>
                </c:pt>
                <c:pt idx="237">
                  <c:v>Jan 03, 2024</c:v>
                </c:pt>
                <c:pt idx="238">
                  <c:v>Jan 04, 2024</c:v>
                </c:pt>
                <c:pt idx="239">
                  <c:v>Jan 05, 2024</c:v>
                </c:pt>
                <c:pt idx="240">
                  <c:v>Jan 08, 2024</c:v>
                </c:pt>
                <c:pt idx="241">
                  <c:v>Jan 09, 2024</c:v>
                </c:pt>
                <c:pt idx="242">
                  <c:v>Jan 10, 2024</c:v>
                </c:pt>
                <c:pt idx="243">
                  <c:v>Jan 11, 2024</c:v>
                </c:pt>
                <c:pt idx="244">
                  <c:v>Jan 12, 2024</c:v>
                </c:pt>
                <c:pt idx="245">
                  <c:v>Jan 16, 2024</c:v>
                </c:pt>
                <c:pt idx="246">
                  <c:v>Jan 17, 2024</c:v>
                </c:pt>
                <c:pt idx="247">
                  <c:v>Jan 18, 2024</c:v>
                </c:pt>
                <c:pt idx="248">
                  <c:v>Jan 19, 2024</c:v>
                </c:pt>
                <c:pt idx="249">
                  <c:v>Jan 22, 2024</c:v>
                </c:pt>
                <c:pt idx="250">
                  <c:v>Jan 23, 2024</c:v>
                </c:pt>
                <c:pt idx="251">
                  <c:v>Jan 24, 2024</c:v>
                </c:pt>
              </c:strCache>
            </c:strRef>
          </c:cat>
          <c:val>
            <c:numRef>
              <c:f>'Price Tracking'!$N$3:$N$254</c:f>
              <c:numCache>
                <c:formatCode>0.00%</c:formatCode>
                <c:ptCount val="252"/>
                <c:pt idx="1">
                  <c:v>-7.83666735409368E-3</c:v>
                </c:pt>
                <c:pt idx="2">
                  <c:v>-4.5728538765329218E-3</c:v>
                </c:pt>
                <c:pt idx="3">
                  <c:v>-8.5612862810608408E-3</c:v>
                </c:pt>
                <c:pt idx="4">
                  <c:v>3.5804549283909378E-3</c:v>
                </c:pt>
                <c:pt idx="5">
                  <c:v>1.0493179433368312E-2</c:v>
                </c:pt>
                <c:pt idx="6">
                  <c:v>2.222222222222223E-2</c:v>
                </c:pt>
                <c:pt idx="7">
                  <c:v>-8.1267777326288399E-4</c:v>
                </c:pt>
                <c:pt idx="8">
                  <c:v>-9.1500610004066688E-2</c:v>
                </c:pt>
                <c:pt idx="9">
                  <c:v>2.4619516562220107E-3</c:v>
                </c:pt>
                <c:pt idx="10">
                  <c:v>4.9118106720249799E-3</c:v>
                </c:pt>
                <c:pt idx="11">
                  <c:v>-1.8218173739169081E-2</c:v>
                </c:pt>
                <c:pt idx="12">
                  <c:v>-1.8103643358225458E-3</c:v>
                </c:pt>
                <c:pt idx="13">
                  <c:v>-7.4812967581046998E-3</c:v>
                </c:pt>
                <c:pt idx="14">
                  <c:v>2.2156235724074894E-2</c:v>
                </c:pt>
                <c:pt idx="15">
                  <c:v>7.1508379888268218E-3</c:v>
                </c:pt>
                <c:pt idx="16">
                  <c:v>5.7688040825382295E-3</c:v>
                </c:pt>
                <c:pt idx="17">
                  <c:v>-1.6545334215751158E-2</c:v>
                </c:pt>
                <c:pt idx="18">
                  <c:v>3.1404217137730051E-3</c:v>
                </c:pt>
                <c:pt idx="19">
                  <c:v>-2.6386404293381033E-2</c:v>
                </c:pt>
                <c:pt idx="20">
                  <c:v>8.0385852090032479E-3</c:v>
                </c:pt>
                <c:pt idx="21">
                  <c:v>7.9744816586922174E-3</c:v>
                </c:pt>
                <c:pt idx="22">
                  <c:v>-8.1374321880650861E-3</c:v>
                </c:pt>
                <c:pt idx="23">
                  <c:v>1.3673655423882215E-3</c:v>
                </c:pt>
                <c:pt idx="24">
                  <c:v>1.2972234865725997E-2</c:v>
                </c:pt>
                <c:pt idx="25">
                  <c:v>1.8198157717366936E-2</c:v>
                </c:pt>
                <c:pt idx="26">
                  <c:v>1.3680494263018478E-2</c:v>
                </c:pt>
                <c:pt idx="27">
                  <c:v>-1.5237265999129362E-3</c:v>
                </c:pt>
                <c:pt idx="28">
                  <c:v>-1.809461521691734E-2</c:v>
                </c:pt>
                <c:pt idx="29">
                  <c:v>-1.1767317939609261E-2</c:v>
                </c:pt>
                <c:pt idx="30">
                  <c:v>-3.8193664345089781E-3</c:v>
                </c:pt>
                <c:pt idx="31">
                  <c:v>-2.2552999548940009E-2</c:v>
                </c:pt>
                <c:pt idx="32">
                  <c:v>-8.3064143977851067E-3</c:v>
                </c:pt>
                <c:pt idx="33">
                  <c:v>-3.0711959050721275E-2</c:v>
                </c:pt>
                <c:pt idx="34">
                  <c:v>3.4085453672587661E-2</c:v>
                </c:pt>
                <c:pt idx="35">
                  <c:v>3.2497678737233187E-3</c:v>
                </c:pt>
                <c:pt idx="36">
                  <c:v>3.4474780194354515E-2</c:v>
                </c:pt>
                <c:pt idx="37">
                  <c:v>-6.0389174681280055E-3</c:v>
                </c:pt>
                <c:pt idx="38">
                  <c:v>-9.9009900990098508E-3</c:v>
                </c:pt>
                <c:pt idx="39">
                  <c:v>2.8863636363636435E-2</c:v>
                </c:pt>
                <c:pt idx="40">
                  <c:v>-2.0543406229290913E-2</c:v>
                </c:pt>
                <c:pt idx="41">
                  <c:v>2.7063599458727432E-3</c:v>
                </c:pt>
                <c:pt idx="42">
                  <c:v>1.0121457489878447E-2</c:v>
                </c:pt>
                <c:pt idx="43">
                  <c:v>-5.3440213760853911E-3</c:v>
                </c:pt>
                <c:pt idx="44">
                  <c:v>2.4177300201477462E-2</c:v>
                </c:pt>
                <c:pt idx="45">
                  <c:v>8.7431693989070726E-3</c:v>
                </c:pt>
                <c:pt idx="46">
                  <c:v>8.2340195016251914E-3</c:v>
                </c:pt>
                <c:pt idx="47">
                  <c:v>2.1276595744680892E-2</c:v>
                </c:pt>
                <c:pt idx="48">
                  <c:v>-4.2087542087548661E-4</c:v>
                </c:pt>
                <c:pt idx="49">
                  <c:v>-1.4105263157894773E-2</c:v>
                </c:pt>
                <c:pt idx="50">
                  <c:v>-1.1103993166773352E-2</c:v>
                </c:pt>
                <c:pt idx="51">
                  <c:v>-3.0231051608723939E-3</c:v>
                </c:pt>
                <c:pt idx="52">
                  <c:v>1.9709768247779869E-2</c:v>
                </c:pt>
                <c:pt idx="53">
                  <c:v>3.4409515717927032E-2</c:v>
                </c:pt>
                <c:pt idx="54">
                  <c:v>-4.1067761806982102E-3</c:v>
                </c:pt>
                <c:pt idx="55">
                  <c:v>4.1237113402068303E-4</c:v>
                </c:pt>
                <c:pt idx="56">
                  <c:v>2.0197856553998285E-2</c:v>
                </c:pt>
                <c:pt idx="57">
                  <c:v>-4.8484848484848884E-3</c:v>
                </c:pt>
                <c:pt idx="58">
                  <c:v>1.4210312626877849E-2</c:v>
                </c:pt>
                <c:pt idx="59">
                  <c:v>-3.2025620496397857E-3</c:v>
                </c:pt>
                <c:pt idx="60">
                  <c:v>3.8152610441768041E-3</c:v>
                </c:pt>
                <c:pt idx="61">
                  <c:v>6.0012002400479528E-3</c:v>
                </c:pt>
                <c:pt idx="62">
                  <c:v>-2.3861602704314464E-3</c:v>
                </c:pt>
                <c:pt idx="63">
                  <c:v>-1.9932230416583614E-2</c:v>
                </c:pt>
                <c:pt idx="64">
                  <c:v>1.7286963595688456E-2</c:v>
                </c:pt>
                <c:pt idx="65">
                  <c:v>-2.9988004798081904E-3</c:v>
                </c:pt>
                <c:pt idx="66">
                  <c:v>6.6573090034088636E-2</c:v>
                </c:pt>
                <c:pt idx="67">
                  <c:v>-9.400263207369272E-4</c:v>
                </c:pt>
                <c:pt idx="68">
                  <c:v>-2.4463680843056558E-3</c:v>
                </c:pt>
                <c:pt idx="69">
                  <c:v>9.8094699113375431E-3</c:v>
                </c:pt>
                <c:pt idx="70">
                  <c:v>-2.9142536895198995E-2</c:v>
                </c:pt>
                <c:pt idx="71">
                  <c:v>-2.5014431402731472E-3</c:v>
                </c:pt>
                <c:pt idx="72">
                  <c:v>1.0995370370370239E-2</c:v>
                </c:pt>
                <c:pt idx="73">
                  <c:v>5.7240984544934988E-3</c:v>
                </c:pt>
                <c:pt idx="74">
                  <c:v>-2.6560424966799575E-3</c:v>
                </c:pt>
                <c:pt idx="75">
                  <c:v>-1.3315579227696458E-3</c:v>
                </c:pt>
                <c:pt idx="76">
                  <c:v>1.3714285714285693E-2</c:v>
                </c:pt>
                <c:pt idx="77">
                  <c:v>2.8560691469372474E-2</c:v>
                </c:pt>
                <c:pt idx="78">
                  <c:v>-2.3565948118377769E-2</c:v>
                </c:pt>
                <c:pt idx="79">
                  <c:v>7.1094480823198393E-3</c:v>
                </c:pt>
                <c:pt idx="80">
                  <c:v>3.5296303176668184E-3</c:v>
                </c:pt>
                <c:pt idx="81">
                  <c:v>-3.8504257682339969E-2</c:v>
                </c:pt>
                <c:pt idx="82">
                  <c:v>-1.3862148633038099E-2</c:v>
                </c:pt>
                <c:pt idx="83">
                  <c:v>-1.9523623584537567E-3</c:v>
                </c:pt>
                <c:pt idx="84">
                  <c:v>-5.4773082942095866E-3</c:v>
                </c:pt>
                <c:pt idx="85">
                  <c:v>1.6325727773406733E-2</c:v>
                </c:pt>
                <c:pt idx="86">
                  <c:v>-1.1612154054577151E-2</c:v>
                </c:pt>
                <c:pt idx="87">
                  <c:v>7.6365772469160088E-3</c:v>
                </c:pt>
                <c:pt idx="88">
                  <c:v>-1.7489312087058571E-3</c:v>
                </c:pt>
                <c:pt idx="89">
                  <c:v>-1.81039517227954E-2</c:v>
                </c:pt>
                <c:pt idx="90">
                  <c:v>3.0729579698651949E-2</c:v>
                </c:pt>
                <c:pt idx="91">
                  <c:v>-7.6937872667820458E-3</c:v>
                </c:pt>
                <c:pt idx="92">
                  <c:v>3.275828648962973E-2</c:v>
                </c:pt>
                <c:pt idx="93">
                  <c:v>1.7079579579579514E-2</c:v>
                </c:pt>
                <c:pt idx="94">
                  <c:v>-1.0703081749400227E-2</c:v>
                </c:pt>
                <c:pt idx="95">
                  <c:v>3.5441149039357905E-3</c:v>
                </c:pt>
                <c:pt idx="96">
                  <c:v>-1.877323420074346E-2</c:v>
                </c:pt>
                <c:pt idx="97">
                  <c:v>-1.1176359158931545E-2</c:v>
                </c:pt>
                <c:pt idx="98">
                  <c:v>1.6858237547892632E-2</c:v>
                </c:pt>
                <c:pt idx="99">
                  <c:v>-9.6081386586284474E-3</c:v>
                </c:pt>
                <c:pt idx="100">
                  <c:v>-1.5027582271257355E-2</c:v>
                </c:pt>
                <c:pt idx="101">
                  <c:v>-2.4913093858632659E-2</c:v>
                </c:pt>
                <c:pt idx="102">
                  <c:v>1.5250544662309289E-2</c:v>
                </c:pt>
                <c:pt idx="103">
                  <c:v>4.8770971517752637E-3</c:v>
                </c:pt>
                <c:pt idx="104">
                  <c:v>-1.4172005435837642E-2</c:v>
                </c:pt>
                <c:pt idx="105">
                  <c:v>-1.0043324143363489E-2</c:v>
                </c:pt>
                <c:pt idx="106">
                  <c:v>9.94629003381682E-4</c:v>
                </c:pt>
                <c:pt idx="107">
                  <c:v>2.5834658187599874E-3</c:v>
                </c:pt>
                <c:pt idx="108">
                  <c:v>-2.3785926660060365E-3</c:v>
                </c:pt>
                <c:pt idx="109">
                  <c:v>4.6294456586528879E-2</c:v>
                </c:pt>
                <c:pt idx="110">
                  <c:v>1.5951386251424296E-2</c:v>
                </c:pt>
                <c:pt idx="111">
                  <c:v>-1.7943925233644877E-2</c:v>
                </c:pt>
                <c:pt idx="112">
                  <c:v>-1.7129805862199526E-3</c:v>
                </c:pt>
                <c:pt idx="113">
                  <c:v>-1.8112488083889471E-2</c:v>
                </c:pt>
                <c:pt idx="114">
                  <c:v>7.7669902912621087E-3</c:v>
                </c:pt>
                <c:pt idx="115">
                  <c:v>2.5048169556840571E-3</c:v>
                </c:pt>
                <c:pt idx="116">
                  <c:v>3.6517393811262297E-3</c:v>
                </c:pt>
                <c:pt idx="117">
                  <c:v>5.7449253159709739E-3</c:v>
                </c:pt>
                <c:pt idx="118">
                  <c:v>-5.5217060167556406E-3</c:v>
                </c:pt>
                <c:pt idx="119">
                  <c:v>1.2827876699215044E-2</c:v>
                </c:pt>
                <c:pt idx="120">
                  <c:v>1.890359168241966E-2</c:v>
                </c:pt>
                <c:pt idx="121">
                  <c:v>6.6790352504638118E-3</c:v>
                </c:pt>
                <c:pt idx="122">
                  <c:v>-1.861408035385179E-2</c:v>
                </c:pt>
                <c:pt idx="123">
                  <c:v>-2.3098591549295715E-2</c:v>
                </c:pt>
                <c:pt idx="124">
                  <c:v>2.2875816993464006E-2</c:v>
                </c:pt>
                <c:pt idx="125">
                  <c:v>-1.9545198271001676E-2</c:v>
                </c:pt>
                <c:pt idx="126">
                  <c:v>1.1692543607437213E-2</c:v>
                </c:pt>
                <c:pt idx="127">
                  <c:v>-3.1640773020083397E-2</c:v>
                </c:pt>
                <c:pt idx="128">
                  <c:v>9.7828213656818624E-2</c:v>
                </c:pt>
                <c:pt idx="129">
                  <c:v>-9.4457315986455383E-3</c:v>
                </c:pt>
                <c:pt idx="130">
                  <c:v>0</c:v>
                </c:pt>
                <c:pt idx="131">
                  <c:v>-2.5008996041741643E-2</c:v>
                </c:pt>
                <c:pt idx="132">
                  <c:v>5.3515408747001137E-3</c:v>
                </c:pt>
                <c:pt idx="133">
                  <c:v>-5.3230543318648895E-3</c:v>
                </c:pt>
                <c:pt idx="134">
                  <c:v>1.6608230300794134E-3</c:v>
                </c:pt>
                <c:pt idx="135">
                  <c:v>8.6588061901252556E-3</c:v>
                </c:pt>
                <c:pt idx="136">
                  <c:v>-1.3698630136986301E-2</c:v>
                </c:pt>
                <c:pt idx="137">
                  <c:v>1.2407407407407438E-2</c:v>
                </c:pt>
                <c:pt idx="138">
                  <c:v>-2.4693616242912043E-2</c:v>
                </c:pt>
                <c:pt idx="139">
                  <c:v>-2.4381095273818933E-3</c:v>
                </c:pt>
                <c:pt idx="140">
                  <c:v>-1.3348373754465142E-2</c:v>
                </c:pt>
                <c:pt idx="141">
                  <c:v>-1.3910060975609697E-2</c:v>
                </c:pt>
                <c:pt idx="142">
                  <c:v>-1.3140096618357482E-2</c:v>
                </c:pt>
                <c:pt idx="143">
                  <c:v>-3.1329547679656098E-3</c:v>
                </c:pt>
                <c:pt idx="144">
                  <c:v>9.8212531919072872E-3</c:v>
                </c:pt>
                <c:pt idx="145">
                  <c:v>-2.4508850418206538E-2</c:v>
                </c:pt>
                <c:pt idx="146">
                  <c:v>2.791625124626133E-3</c:v>
                </c:pt>
                <c:pt idx="147">
                  <c:v>-3.5991250745675128E-2</c:v>
                </c:pt>
                <c:pt idx="148">
                  <c:v>-1.8564356435642802E-3</c:v>
                </c:pt>
                <c:pt idx="149">
                  <c:v>-2.2731969415168305E-3</c:v>
                </c:pt>
                <c:pt idx="150">
                  <c:v>3.0861640430820257E-2</c:v>
                </c:pt>
                <c:pt idx="151">
                  <c:v>6.42957604982922E-3</c:v>
                </c:pt>
                <c:pt idx="152">
                  <c:v>4.3920942303852838E-3</c:v>
                </c:pt>
                <c:pt idx="153">
                  <c:v>2.4845955078513216E-2</c:v>
                </c:pt>
                <c:pt idx="154">
                  <c:v>-2.1916214119472508E-2</c:v>
                </c:pt>
                <c:pt idx="155">
                  <c:v>-3.0537378544517137E-2</c:v>
                </c:pt>
                <c:pt idx="156">
                  <c:v>7.7725506238495098E-3</c:v>
                </c:pt>
                <c:pt idx="157">
                  <c:v>-4.6681550639335089E-3</c:v>
                </c:pt>
                <c:pt idx="158">
                  <c:v>-2.0391517128870332E-4</c:v>
                </c:pt>
                <c:pt idx="159">
                  <c:v>1.6316540893330266E-3</c:v>
                </c:pt>
                <c:pt idx="160">
                  <c:v>-4.0114029729179372E-2</c:v>
                </c:pt>
                <c:pt idx="161">
                  <c:v>6.3640220619430874E-3</c:v>
                </c:pt>
                <c:pt idx="162">
                  <c:v>-1.2647554806069809E-3</c:v>
                </c:pt>
                <c:pt idx="163">
                  <c:v>-7.8092021950190906E-3</c:v>
                </c:pt>
                <c:pt idx="164">
                  <c:v>1.7655817911082863E-2</c:v>
                </c:pt>
                <c:pt idx="165">
                  <c:v>-5.4347826086957587E-3</c:v>
                </c:pt>
                <c:pt idx="166">
                  <c:v>4.6237915090373873E-3</c:v>
                </c:pt>
                <c:pt idx="167">
                  <c:v>-3.1380753138075018E-3</c:v>
                </c:pt>
                <c:pt idx="168">
                  <c:v>8.3945435466946192E-3</c:v>
                </c:pt>
                <c:pt idx="169">
                  <c:v>-1.8522372528616039E-2</c:v>
                </c:pt>
                <c:pt idx="170">
                  <c:v>-1.9083969465648074E-3</c:v>
                </c:pt>
                <c:pt idx="171">
                  <c:v>1.6783513915445063E-2</c:v>
                </c:pt>
                <c:pt idx="172">
                  <c:v>2.2774759715837933E-2</c:v>
                </c:pt>
                <c:pt idx="173">
                  <c:v>-4.085801838611466E-4</c:v>
                </c:pt>
                <c:pt idx="174">
                  <c:v>-1.083180053137137E-2</c:v>
                </c:pt>
                <c:pt idx="175">
                  <c:v>8.6776859504132595E-3</c:v>
                </c:pt>
                <c:pt idx="176">
                  <c:v>-1.7410897173289665E-2</c:v>
                </c:pt>
                <c:pt idx="177">
                  <c:v>1.2299353762768469E-2</c:v>
                </c:pt>
                <c:pt idx="178">
                  <c:v>-1.3591433278418526E-2</c:v>
                </c:pt>
                <c:pt idx="179">
                  <c:v>1.6075156576200483E-2</c:v>
                </c:pt>
                <c:pt idx="180">
                  <c:v>-3.9038422025889628E-3</c:v>
                </c:pt>
                <c:pt idx="181">
                  <c:v>-4.1254125412533047E-4</c:v>
                </c:pt>
                <c:pt idx="182">
                  <c:v>-7.6351630210482347E-3</c:v>
                </c:pt>
                <c:pt idx="183">
                  <c:v>2.7240590559367749E-2</c:v>
                </c:pt>
                <c:pt idx="184">
                  <c:v>2.1862348178137619E-2</c:v>
                </c:pt>
                <c:pt idx="185">
                  <c:v>-2.5554675118858939E-2</c:v>
                </c:pt>
                <c:pt idx="186">
                  <c:v>-8.335027444602492E-3</c:v>
                </c:pt>
                <c:pt idx="187">
                  <c:v>-7.1750717507175358E-3</c:v>
                </c:pt>
                <c:pt idx="188">
                  <c:v>-8.465826966756072E-3</c:v>
                </c:pt>
                <c:pt idx="189">
                  <c:v>1.2494793835901588E-2</c:v>
                </c:pt>
                <c:pt idx="190">
                  <c:v>-1.3574660633484094E-2</c:v>
                </c:pt>
                <c:pt idx="191">
                  <c:v>-2.4603836530442028E-2</c:v>
                </c:pt>
                <c:pt idx="192">
                  <c:v>-1.4536126549807604E-2</c:v>
                </c:pt>
                <c:pt idx="193">
                  <c:v>4.31670281995662E-2</c:v>
                </c:pt>
                <c:pt idx="194">
                  <c:v>2.7032647119982415E-3</c:v>
                </c:pt>
                <c:pt idx="195">
                  <c:v>-3.566984653670674E-2</c:v>
                </c:pt>
                <c:pt idx="196">
                  <c:v>1.3978494623655883E-2</c:v>
                </c:pt>
                <c:pt idx="197">
                  <c:v>1.166489925768832E-2</c:v>
                </c:pt>
                <c:pt idx="198">
                  <c:v>3.0607966457022927E-2</c:v>
                </c:pt>
                <c:pt idx="199">
                  <c:v>2.0951993490642824E-2</c:v>
                </c:pt>
                <c:pt idx="200">
                  <c:v>-3.5863717872086018E-3</c:v>
                </c:pt>
                <c:pt idx="201">
                  <c:v>-7.3985202959407611E-3</c:v>
                </c:pt>
                <c:pt idx="202">
                  <c:v>7.8565672844480364E-3</c:v>
                </c:pt>
                <c:pt idx="203">
                  <c:v>-1.1992804317409582E-2</c:v>
                </c:pt>
                <c:pt idx="204">
                  <c:v>2.9536718591948227E-2</c:v>
                </c:pt>
                <c:pt idx="205">
                  <c:v>3.2619375122813848E-2</c:v>
                </c:pt>
                <c:pt idx="206">
                  <c:v>-1.7887725975261615E-2</c:v>
                </c:pt>
                <c:pt idx="207">
                  <c:v>1.8019763611703155E-2</c:v>
                </c:pt>
                <c:pt idx="208">
                  <c:v>3.6924248191853783E-2</c:v>
                </c:pt>
                <c:pt idx="209">
                  <c:v>1.2848751835536029E-3</c:v>
                </c:pt>
                <c:pt idx="210">
                  <c:v>1.0265811182401509E-2</c:v>
                </c:pt>
                <c:pt idx="211">
                  <c:v>1.6330974414806725E-2</c:v>
                </c:pt>
                <c:pt idx="212">
                  <c:v>1.9639350116050731E-2</c:v>
                </c:pt>
                <c:pt idx="213">
                  <c:v>6.8289266328138776E-3</c:v>
                </c:pt>
                <c:pt idx="214">
                  <c:v>1.982608695652175E-2</c:v>
                </c:pt>
                <c:pt idx="215">
                  <c:v>4.6043656207366305E-3</c:v>
                </c:pt>
                <c:pt idx="216">
                  <c:v>4.0740112035308439E-3</c:v>
                </c:pt>
                <c:pt idx="217">
                  <c:v>1.1496196111580722E-2</c:v>
                </c:pt>
                <c:pt idx="218">
                  <c:v>5.0142069196057394E-4</c:v>
                </c:pt>
                <c:pt idx="219">
                  <c:v>-9.1881055796858863E-3</c:v>
                </c:pt>
                <c:pt idx="220">
                  <c:v>7.2500421514078523E-3</c:v>
                </c:pt>
                <c:pt idx="221">
                  <c:v>1.1550050217609603E-2</c:v>
                </c:pt>
                <c:pt idx="222">
                  <c:v>5.7918252523581236E-3</c:v>
                </c:pt>
                <c:pt idx="223">
                  <c:v>-1.9743336623890186E-3</c:v>
                </c:pt>
                <c:pt idx="224">
                  <c:v>1.4012528849324126E-2</c:v>
                </c:pt>
                <c:pt idx="225">
                  <c:v>1.7720695821817647E-2</c:v>
                </c:pt>
                <c:pt idx="226">
                  <c:v>-1.4217252396166143E-2</c:v>
                </c:pt>
                <c:pt idx="227">
                  <c:v>5.9957867444498042E-3</c:v>
                </c:pt>
                <c:pt idx="228">
                  <c:v>2.6900773195876318E-2</c:v>
                </c:pt>
                <c:pt idx="229">
                  <c:v>-1.0666666666666663E-2</c:v>
                </c:pt>
                <c:pt idx="230">
                  <c:v>1.1732995084826415E-2</c:v>
                </c:pt>
                <c:pt idx="231">
                  <c:v>-2.5701300736561676E-2</c:v>
                </c:pt>
                <c:pt idx="232">
                  <c:v>8.0424642110342604E-3</c:v>
                </c:pt>
                <c:pt idx="233">
                  <c:v>-1.5956598053303201E-4</c:v>
                </c:pt>
                <c:pt idx="234">
                  <c:v>-1.5959144589849077E-3</c:v>
                </c:pt>
                <c:pt idx="235">
                  <c:v>-3.5166240409206977E-3</c:v>
                </c:pt>
                <c:pt idx="236">
                  <c:v>-3.3686236766121407E-3</c:v>
                </c:pt>
                <c:pt idx="237">
                  <c:v>-1.8992435216481567E-2</c:v>
                </c:pt>
                <c:pt idx="238">
                  <c:v>-1.0172272354388917E-2</c:v>
                </c:pt>
                <c:pt idx="239">
                  <c:v>1.1602850986242382E-3</c:v>
                </c:pt>
                <c:pt idx="240">
                  <c:v>4.0894039735099322E-2</c:v>
                </c:pt>
                <c:pt idx="241">
                  <c:v>-5.2489263559726152E-3</c:v>
                </c:pt>
                <c:pt idx="242">
                  <c:v>6.7157019507515462E-3</c:v>
                </c:pt>
                <c:pt idx="243">
                  <c:v>1.0482846251588256E-2</c:v>
                </c:pt>
                <c:pt idx="244">
                  <c:v>-6.6016975793774697E-3</c:v>
                </c:pt>
                <c:pt idx="245">
                  <c:v>-5.2215189873418572E-3</c:v>
                </c:pt>
                <c:pt idx="246">
                  <c:v>3.4992842373151897E-3</c:v>
                </c:pt>
                <c:pt idx="247">
                  <c:v>1.5533365034078138E-2</c:v>
                </c:pt>
                <c:pt idx="248">
                  <c:v>1.1705946620883411E-2</c:v>
                </c:pt>
                <c:pt idx="249">
                  <c:v>-1.9746991669237799E-2</c:v>
                </c:pt>
                <c:pt idx="250">
                  <c:v>-2.250550834120239E-2</c:v>
                </c:pt>
                <c:pt idx="251">
                  <c:v>-1.3041378199967835E-2</c:v>
                </c:pt>
              </c:numCache>
            </c:numRef>
          </c:val>
          <c:smooth val="0"/>
          <c:extLst>
            <c:ext xmlns:c16="http://schemas.microsoft.com/office/drawing/2014/chart" uri="{C3380CC4-5D6E-409C-BE32-E72D297353CC}">
              <c16:uniqueId val="{00000000-8D9E-429E-9752-0162015B0CBF}"/>
            </c:ext>
          </c:extLst>
        </c:ser>
        <c:ser>
          <c:idx val="1"/>
          <c:order val="1"/>
          <c:tx>
            <c:strRef>
              <c:f>'Price Tracking'!$O$2</c:f>
              <c:strCache>
                <c:ptCount val="1"/>
                <c:pt idx="0">
                  <c:v>S&amp;P500</c:v>
                </c:pt>
              </c:strCache>
            </c:strRef>
          </c:tx>
          <c:spPr>
            <a:ln w="28575" cap="rnd">
              <a:solidFill>
                <a:schemeClr val="accent2"/>
              </a:solidFill>
              <a:round/>
            </a:ln>
            <a:effectLst/>
          </c:spPr>
          <c:marker>
            <c:symbol val="none"/>
          </c:marker>
          <c:cat>
            <c:strRef>
              <c:f>'Price Tracking'!$M$3:$M$254</c:f>
              <c:strCache>
                <c:ptCount val="252"/>
                <c:pt idx="0">
                  <c:v>Jan 24, 2023</c:v>
                </c:pt>
                <c:pt idx="1">
                  <c:v>Jan 25, 2023</c:v>
                </c:pt>
                <c:pt idx="2">
                  <c:v>Jan 26, 2023</c:v>
                </c:pt>
                <c:pt idx="3">
                  <c:v>Jan 27, 2023</c:v>
                </c:pt>
                <c:pt idx="4">
                  <c:v>Jan 30, 2023</c:v>
                </c:pt>
                <c:pt idx="5">
                  <c:v>Jan 31, 2023</c:v>
                </c:pt>
                <c:pt idx="6">
                  <c:v>Feb 01, 2023</c:v>
                </c:pt>
                <c:pt idx="7">
                  <c:v>Feb 02, 2023</c:v>
                </c:pt>
                <c:pt idx="8">
                  <c:v>Feb 03, 2023</c:v>
                </c:pt>
                <c:pt idx="9">
                  <c:v>Feb 06, 2023</c:v>
                </c:pt>
                <c:pt idx="10">
                  <c:v>Feb 07, 2023</c:v>
                </c:pt>
                <c:pt idx="11">
                  <c:v>Feb 08, 2023</c:v>
                </c:pt>
                <c:pt idx="12">
                  <c:v>Feb 09, 2023</c:v>
                </c:pt>
                <c:pt idx="13">
                  <c:v>Feb 10, 2023</c:v>
                </c:pt>
                <c:pt idx="14">
                  <c:v>Feb 13, 2023</c:v>
                </c:pt>
                <c:pt idx="15">
                  <c:v>Feb 14, 2023</c:v>
                </c:pt>
                <c:pt idx="16">
                  <c:v>Feb 15, 2023</c:v>
                </c:pt>
                <c:pt idx="17">
                  <c:v>Feb 16, 2023</c:v>
                </c:pt>
                <c:pt idx="18">
                  <c:v>Feb 17, 2023</c:v>
                </c:pt>
                <c:pt idx="19">
                  <c:v>Feb 21, 2023</c:v>
                </c:pt>
                <c:pt idx="20">
                  <c:v>Feb 22, 2023</c:v>
                </c:pt>
                <c:pt idx="21">
                  <c:v>Feb 23, 2023</c:v>
                </c:pt>
                <c:pt idx="22">
                  <c:v>Feb 24, 2023</c:v>
                </c:pt>
                <c:pt idx="23">
                  <c:v>Feb 27, 2023</c:v>
                </c:pt>
                <c:pt idx="24">
                  <c:v>Feb 28, 2023</c:v>
                </c:pt>
                <c:pt idx="25">
                  <c:v>Mar 01, 2023</c:v>
                </c:pt>
                <c:pt idx="26">
                  <c:v>Mar 02, 2023</c:v>
                </c:pt>
                <c:pt idx="27">
                  <c:v>Mar 03, 2023</c:v>
                </c:pt>
                <c:pt idx="28">
                  <c:v>Mar 06, 2023</c:v>
                </c:pt>
                <c:pt idx="29">
                  <c:v>Mar 07, 2023</c:v>
                </c:pt>
                <c:pt idx="30">
                  <c:v>Mar 08, 2023</c:v>
                </c:pt>
                <c:pt idx="31">
                  <c:v>Mar 09, 2023</c:v>
                </c:pt>
                <c:pt idx="32">
                  <c:v>Mar 10, 2023</c:v>
                </c:pt>
                <c:pt idx="33">
                  <c:v>Mar 13, 2023</c:v>
                </c:pt>
                <c:pt idx="34">
                  <c:v>Mar 14, 2023</c:v>
                </c:pt>
                <c:pt idx="35">
                  <c:v>Mar 15, 2023</c:v>
                </c:pt>
                <c:pt idx="36">
                  <c:v>Mar 16, 2023</c:v>
                </c:pt>
                <c:pt idx="37">
                  <c:v>Mar 17, 2023</c:v>
                </c:pt>
                <c:pt idx="38">
                  <c:v>Mar 20, 2023</c:v>
                </c:pt>
                <c:pt idx="39">
                  <c:v>Mar 21, 2023</c:v>
                </c:pt>
                <c:pt idx="40">
                  <c:v>Mar 22, 2023</c:v>
                </c:pt>
                <c:pt idx="41">
                  <c:v>Mar 23, 2023</c:v>
                </c:pt>
                <c:pt idx="42">
                  <c:v>Mar 24, 2023</c:v>
                </c:pt>
                <c:pt idx="43">
                  <c:v>Mar 27, 2023</c:v>
                </c:pt>
                <c:pt idx="44">
                  <c:v>Mar 28, 2023</c:v>
                </c:pt>
                <c:pt idx="45">
                  <c:v>Mar 29, 2023</c:v>
                </c:pt>
                <c:pt idx="46">
                  <c:v>Mar 30, 2023</c:v>
                </c:pt>
                <c:pt idx="47">
                  <c:v>Mar 31, 2023</c:v>
                </c:pt>
                <c:pt idx="48">
                  <c:v>Apr 03, 2023</c:v>
                </c:pt>
                <c:pt idx="49">
                  <c:v>Apr 04, 2023</c:v>
                </c:pt>
                <c:pt idx="50">
                  <c:v>Apr 05, 2023</c:v>
                </c:pt>
                <c:pt idx="51">
                  <c:v>Apr 06, 2023</c:v>
                </c:pt>
                <c:pt idx="52">
                  <c:v>Apr 10, 2023</c:v>
                </c:pt>
                <c:pt idx="53">
                  <c:v>Apr 11, 2023</c:v>
                </c:pt>
                <c:pt idx="54">
                  <c:v>Apr 12, 2023</c:v>
                </c:pt>
                <c:pt idx="55">
                  <c:v>Apr 13, 2023</c:v>
                </c:pt>
                <c:pt idx="56">
                  <c:v>Apr 14, 2023</c:v>
                </c:pt>
                <c:pt idx="57">
                  <c:v>Apr 17, 2023</c:v>
                </c:pt>
                <c:pt idx="58">
                  <c:v>Apr 18, 2023</c:v>
                </c:pt>
                <c:pt idx="59">
                  <c:v>Apr 19, 2023</c:v>
                </c:pt>
                <c:pt idx="60">
                  <c:v>Apr 20, 2023</c:v>
                </c:pt>
                <c:pt idx="61">
                  <c:v>Apr 21, 2023</c:v>
                </c:pt>
                <c:pt idx="62">
                  <c:v>Apr 24, 2023</c:v>
                </c:pt>
                <c:pt idx="63">
                  <c:v>Apr 25, 2023</c:v>
                </c:pt>
                <c:pt idx="64">
                  <c:v>Apr 26, 2023</c:v>
                </c:pt>
                <c:pt idx="65">
                  <c:v>Apr 27, 2023</c:v>
                </c:pt>
                <c:pt idx="66">
                  <c:v>Apr 28, 2023</c:v>
                </c:pt>
                <c:pt idx="67">
                  <c:v>May 01, 2023</c:v>
                </c:pt>
                <c:pt idx="68">
                  <c:v>May 02, 2023</c:v>
                </c:pt>
                <c:pt idx="69">
                  <c:v>May 03, 2023</c:v>
                </c:pt>
                <c:pt idx="70">
                  <c:v>May 04, 2023</c:v>
                </c:pt>
                <c:pt idx="71">
                  <c:v>May 05, 2023</c:v>
                </c:pt>
                <c:pt idx="72">
                  <c:v>May 08, 2023</c:v>
                </c:pt>
                <c:pt idx="73">
                  <c:v>May 09, 2023</c:v>
                </c:pt>
                <c:pt idx="74">
                  <c:v>May 10, 2023</c:v>
                </c:pt>
                <c:pt idx="75">
                  <c:v>May 11, 2023</c:v>
                </c:pt>
                <c:pt idx="76">
                  <c:v>May 12, 2023</c:v>
                </c:pt>
                <c:pt idx="77">
                  <c:v>May 15, 2023</c:v>
                </c:pt>
                <c:pt idx="78">
                  <c:v>May 16, 2023</c:v>
                </c:pt>
                <c:pt idx="79">
                  <c:v>May 17, 2023</c:v>
                </c:pt>
                <c:pt idx="80">
                  <c:v>May 18, 2023</c:v>
                </c:pt>
                <c:pt idx="81">
                  <c:v>May 19, 2023</c:v>
                </c:pt>
                <c:pt idx="82">
                  <c:v>May 22, 2023</c:v>
                </c:pt>
                <c:pt idx="83">
                  <c:v>May 23, 2023</c:v>
                </c:pt>
                <c:pt idx="84">
                  <c:v>May 24, 2023</c:v>
                </c:pt>
                <c:pt idx="85">
                  <c:v>May 25, 2023</c:v>
                </c:pt>
                <c:pt idx="86">
                  <c:v>May 26, 2023</c:v>
                </c:pt>
                <c:pt idx="87">
                  <c:v>May 30, 2023</c:v>
                </c:pt>
                <c:pt idx="88">
                  <c:v>May 31, 2023</c:v>
                </c:pt>
                <c:pt idx="89">
                  <c:v>Jun 01, 2023</c:v>
                </c:pt>
                <c:pt idx="90">
                  <c:v>Jun 02, 2023</c:v>
                </c:pt>
                <c:pt idx="91">
                  <c:v>Jun 05, 2023</c:v>
                </c:pt>
                <c:pt idx="92">
                  <c:v>Jun 06, 2023</c:v>
                </c:pt>
                <c:pt idx="93">
                  <c:v>Jun 07, 2023</c:v>
                </c:pt>
                <c:pt idx="94">
                  <c:v>Jun 08, 2023</c:v>
                </c:pt>
                <c:pt idx="95">
                  <c:v>Jun 09, 2023</c:v>
                </c:pt>
                <c:pt idx="96">
                  <c:v>Jun 12, 2023</c:v>
                </c:pt>
                <c:pt idx="97">
                  <c:v>Jun 13, 2023</c:v>
                </c:pt>
                <c:pt idx="98">
                  <c:v>Jun 14, 2023</c:v>
                </c:pt>
                <c:pt idx="99">
                  <c:v>Jun 15, 2023</c:v>
                </c:pt>
                <c:pt idx="100">
                  <c:v>Jun 16, 2023</c:v>
                </c:pt>
                <c:pt idx="101">
                  <c:v>Jun 20, 2023</c:v>
                </c:pt>
                <c:pt idx="102">
                  <c:v>Jun 21, 2023</c:v>
                </c:pt>
                <c:pt idx="103">
                  <c:v>Jun 22, 2023</c:v>
                </c:pt>
                <c:pt idx="104">
                  <c:v>Jun 23, 2023</c:v>
                </c:pt>
                <c:pt idx="105">
                  <c:v>Jun 26, 2023</c:v>
                </c:pt>
                <c:pt idx="106">
                  <c:v>Jun 27, 2023</c:v>
                </c:pt>
                <c:pt idx="107">
                  <c:v>Jun 28, 2023</c:v>
                </c:pt>
                <c:pt idx="108">
                  <c:v>Jun 29, 2023</c:v>
                </c:pt>
                <c:pt idx="109">
                  <c:v>Jun 30, 2023</c:v>
                </c:pt>
                <c:pt idx="110">
                  <c:v>Jul 03, 2023</c:v>
                </c:pt>
                <c:pt idx="111">
                  <c:v>Jul 05, 2023</c:v>
                </c:pt>
                <c:pt idx="112">
                  <c:v>Jul 06, 2023</c:v>
                </c:pt>
                <c:pt idx="113">
                  <c:v>Jul 07, 2023</c:v>
                </c:pt>
                <c:pt idx="114">
                  <c:v>Jul 10, 2023</c:v>
                </c:pt>
                <c:pt idx="115">
                  <c:v>Jul 11, 2023</c:v>
                </c:pt>
                <c:pt idx="116">
                  <c:v>Jul 12, 2023</c:v>
                </c:pt>
                <c:pt idx="117">
                  <c:v>Jul 13, 2023</c:v>
                </c:pt>
                <c:pt idx="118">
                  <c:v>Jul 14, 2023</c:v>
                </c:pt>
                <c:pt idx="119">
                  <c:v>Jul 17, 2023</c:v>
                </c:pt>
                <c:pt idx="120">
                  <c:v>Jul 18, 2023</c:v>
                </c:pt>
                <c:pt idx="121">
                  <c:v>Jul 19, 2023</c:v>
                </c:pt>
                <c:pt idx="122">
                  <c:v>Jul 20, 2023</c:v>
                </c:pt>
                <c:pt idx="123">
                  <c:v>Jul 21, 2023</c:v>
                </c:pt>
                <c:pt idx="124">
                  <c:v>Jul 24, 2023</c:v>
                </c:pt>
                <c:pt idx="125">
                  <c:v>Jul 25, 2023</c:v>
                </c:pt>
                <c:pt idx="126">
                  <c:v>Jul 26, 2023</c:v>
                </c:pt>
                <c:pt idx="127">
                  <c:v>Jul 27, 2023</c:v>
                </c:pt>
                <c:pt idx="128">
                  <c:v>Jul 28, 2023</c:v>
                </c:pt>
                <c:pt idx="129">
                  <c:v>Jul 31, 2023</c:v>
                </c:pt>
                <c:pt idx="130">
                  <c:v>Aug 01, 2023</c:v>
                </c:pt>
                <c:pt idx="131">
                  <c:v>Aug 02, 2023</c:v>
                </c:pt>
                <c:pt idx="132">
                  <c:v>Aug 03, 2023</c:v>
                </c:pt>
                <c:pt idx="133">
                  <c:v>Aug 04, 2023</c:v>
                </c:pt>
                <c:pt idx="134">
                  <c:v>Aug 07, 2023</c:v>
                </c:pt>
                <c:pt idx="135">
                  <c:v>Aug 08, 2023</c:v>
                </c:pt>
                <c:pt idx="136">
                  <c:v>Aug 09, 2023</c:v>
                </c:pt>
                <c:pt idx="137">
                  <c:v>Aug 10, 2023</c:v>
                </c:pt>
                <c:pt idx="138">
                  <c:v>Aug 11, 2023</c:v>
                </c:pt>
                <c:pt idx="139">
                  <c:v>Aug 14, 2023</c:v>
                </c:pt>
                <c:pt idx="140">
                  <c:v>Aug 15, 2023</c:v>
                </c:pt>
                <c:pt idx="141">
                  <c:v>Aug 16, 2023</c:v>
                </c:pt>
                <c:pt idx="142">
                  <c:v>Aug 17, 2023</c:v>
                </c:pt>
                <c:pt idx="143">
                  <c:v>Aug 18, 2023</c:v>
                </c:pt>
                <c:pt idx="144">
                  <c:v>Aug 21, 2023</c:v>
                </c:pt>
                <c:pt idx="145">
                  <c:v>Aug 22, 2023</c:v>
                </c:pt>
                <c:pt idx="146">
                  <c:v>Aug 23, 2023</c:v>
                </c:pt>
                <c:pt idx="147">
                  <c:v>Aug 24, 2023</c:v>
                </c:pt>
                <c:pt idx="148">
                  <c:v>Aug 25, 2023</c:v>
                </c:pt>
                <c:pt idx="149">
                  <c:v>Aug 28, 2023</c:v>
                </c:pt>
                <c:pt idx="150">
                  <c:v>Aug 29, 2023</c:v>
                </c:pt>
                <c:pt idx="151">
                  <c:v>Aug 30, 2023</c:v>
                </c:pt>
                <c:pt idx="152">
                  <c:v>Aug 31, 2023</c:v>
                </c:pt>
                <c:pt idx="153">
                  <c:v>Sep 01, 2023</c:v>
                </c:pt>
                <c:pt idx="154">
                  <c:v>Sep 05, 2023</c:v>
                </c:pt>
                <c:pt idx="155">
                  <c:v>Sep 06, 2023</c:v>
                </c:pt>
                <c:pt idx="156">
                  <c:v>Sep 07, 2023</c:v>
                </c:pt>
                <c:pt idx="157">
                  <c:v>Sep 08, 2023</c:v>
                </c:pt>
                <c:pt idx="158">
                  <c:v>Sep 11, 2023</c:v>
                </c:pt>
                <c:pt idx="159">
                  <c:v>Sep 12, 2023</c:v>
                </c:pt>
                <c:pt idx="160">
                  <c:v>Sep 13, 2023</c:v>
                </c:pt>
                <c:pt idx="161">
                  <c:v>Sep 14, 2023</c:v>
                </c:pt>
                <c:pt idx="162">
                  <c:v>Sep 15, 2023</c:v>
                </c:pt>
                <c:pt idx="163">
                  <c:v>Sep 18, 2023</c:v>
                </c:pt>
                <c:pt idx="164">
                  <c:v>Sep 19, 2023</c:v>
                </c:pt>
                <c:pt idx="165">
                  <c:v>Sep 20, 2023</c:v>
                </c:pt>
                <c:pt idx="166">
                  <c:v>Sep 21, 2023</c:v>
                </c:pt>
                <c:pt idx="167">
                  <c:v>Sep 22, 2023</c:v>
                </c:pt>
                <c:pt idx="168">
                  <c:v>Sep 25, 2023</c:v>
                </c:pt>
                <c:pt idx="169">
                  <c:v>Sep 26, 2023</c:v>
                </c:pt>
                <c:pt idx="170">
                  <c:v>Sep 27, 2023</c:v>
                </c:pt>
                <c:pt idx="171">
                  <c:v>Sep 28, 2023</c:v>
                </c:pt>
                <c:pt idx="172">
                  <c:v>Sep 29, 2023</c:v>
                </c:pt>
                <c:pt idx="173">
                  <c:v>Oct 02, 2023</c:v>
                </c:pt>
                <c:pt idx="174">
                  <c:v>Oct 03, 2023</c:v>
                </c:pt>
                <c:pt idx="175">
                  <c:v>Oct 04, 2023</c:v>
                </c:pt>
                <c:pt idx="176">
                  <c:v>Oct 05, 2023</c:v>
                </c:pt>
                <c:pt idx="177">
                  <c:v>Oct 06, 2023</c:v>
                </c:pt>
                <c:pt idx="178">
                  <c:v>Oct 09, 2023</c:v>
                </c:pt>
                <c:pt idx="179">
                  <c:v>Oct 10, 2023</c:v>
                </c:pt>
                <c:pt idx="180">
                  <c:v>Oct 11, 2023</c:v>
                </c:pt>
                <c:pt idx="181">
                  <c:v>Oct 12, 2023</c:v>
                </c:pt>
                <c:pt idx="182">
                  <c:v>Oct 13, 2023</c:v>
                </c:pt>
                <c:pt idx="183">
                  <c:v>Oct 16, 2023</c:v>
                </c:pt>
                <c:pt idx="184">
                  <c:v>Oct 17, 2023</c:v>
                </c:pt>
                <c:pt idx="185">
                  <c:v>Oct 18, 2023</c:v>
                </c:pt>
                <c:pt idx="186">
                  <c:v>Oct 19, 2023</c:v>
                </c:pt>
                <c:pt idx="187">
                  <c:v>Oct 20, 2023</c:v>
                </c:pt>
                <c:pt idx="188">
                  <c:v>Oct 23, 2023</c:v>
                </c:pt>
                <c:pt idx="189">
                  <c:v>Oct 24, 2023</c:v>
                </c:pt>
                <c:pt idx="190">
                  <c:v>Oct 25, 2023</c:v>
                </c:pt>
                <c:pt idx="191">
                  <c:v>Oct 26, 2023</c:v>
                </c:pt>
                <c:pt idx="192">
                  <c:v>Oct 27, 2023</c:v>
                </c:pt>
                <c:pt idx="193">
                  <c:v>Oct 30, 2023</c:v>
                </c:pt>
                <c:pt idx="194">
                  <c:v>Oct 31, 2023</c:v>
                </c:pt>
                <c:pt idx="195">
                  <c:v>Nov 01, 2023</c:v>
                </c:pt>
                <c:pt idx="196">
                  <c:v>Nov 02, 2023</c:v>
                </c:pt>
                <c:pt idx="197">
                  <c:v>Nov 03, 2023</c:v>
                </c:pt>
                <c:pt idx="198">
                  <c:v>Nov 06, 2023</c:v>
                </c:pt>
                <c:pt idx="199">
                  <c:v>Nov 07, 2023</c:v>
                </c:pt>
                <c:pt idx="200">
                  <c:v>Nov 08, 2023</c:v>
                </c:pt>
                <c:pt idx="201">
                  <c:v>Nov 09, 2023</c:v>
                </c:pt>
                <c:pt idx="202">
                  <c:v>Nov 10, 2023</c:v>
                </c:pt>
                <c:pt idx="203">
                  <c:v>Nov 13, 2023</c:v>
                </c:pt>
                <c:pt idx="204">
                  <c:v>Nov 14, 2023</c:v>
                </c:pt>
                <c:pt idx="205">
                  <c:v>Nov 15, 2023</c:v>
                </c:pt>
                <c:pt idx="206">
                  <c:v>Nov 16, 2023</c:v>
                </c:pt>
                <c:pt idx="207">
                  <c:v>Nov 17, 2023</c:v>
                </c:pt>
                <c:pt idx="208">
                  <c:v>Nov 20, 2023</c:v>
                </c:pt>
                <c:pt idx="209">
                  <c:v>Nov 21, 2023</c:v>
                </c:pt>
                <c:pt idx="210">
                  <c:v>Nov 22, 2023</c:v>
                </c:pt>
                <c:pt idx="211">
                  <c:v>Nov 24, 2023</c:v>
                </c:pt>
                <c:pt idx="212">
                  <c:v>Nov 27, 2023</c:v>
                </c:pt>
                <c:pt idx="213">
                  <c:v>Nov 28, 2023</c:v>
                </c:pt>
                <c:pt idx="214">
                  <c:v>Nov 29, 2023</c:v>
                </c:pt>
                <c:pt idx="215">
                  <c:v>Nov 30, 2023</c:v>
                </c:pt>
                <c:pt idx="216">
                  <c:v>Dec 01, 2023</c:v>
                </c:pt>
                <c:pt idx="217">
                  <c:v>Dec 04, 2023</c:v>
                </c:pt>
                <c:pt idx="218">
                  <c:v>Dec 05, 2023</c:v>
                </c:pt>
                <c:pt idx="219">
                  <c:v>Dec 06, 2023</c:v>
                </c:pt>
                <c:pt idx="220">
                  <c:v>Dec 07, 2023</c:v>
                </c:pt>
                <c:pt idx="221">
                  <c:v>Dec 08, 2023</c:v>
                </c:pt>
                <c:pt idx="222">
                  <c:v>Dec 11, 2023</c:v>
                </c:pt>
                <c:pt idx="223">
                  <c:v>Dec 12, 2023</c:v>
                </c:pt>
                <c:pt idx="224">
                  <c:v>Dec 13, 2023</c:v>
                </c:pt>
                <c:pt idx="225">
                  <c:v>Dec 14, 2023</c:v>
                </c:pt>
                <c:pt idx="226">
                  <c:v>Dec 15, 2023</c:v>
                </c:pt>
                <c:pt idx="227">
                  <c:v>Dec 18, 2023</c:v>
                </c:pt>
                <c:pt idx="228">
                  <c:v>Dec 19, 2023</c:v>
                </c:pt>
                <c:pt idx="229">
                  <c:v>Dec 20, 2023</c:v>
                </c:pt>
                <c:pt idx="230">
                  <c:v>Dec 21, 2023</c:v>
                </c:pt>
                <c:pt idx="231">
                  <c:v>Dec 22, 2023</c:v>
                </c:pt>
                <c:pt idx="232">
                  <c:v>Dec 26, 2023</c:v>
                </c:pt>
                <c:pt idx="233">
                  <c:v>Dec 27, 2023</c:v>
                </c:pt>
                <c:pt idx="234">
                  <c:v>Dec 28, 2023</c:v>
                </c:pt>
                <c:pt idx="235">
                  <c:v>Dec 29, 2023</c:v>
                </c:pt>
                <c:pt idx="236">
                  <c:v>Jan 02, 2024</c:v>
                </c:pt>
                <c:pt idx="237">
                  <c:v>Jan 03, 2024</c:v>
                </c:pt>
                <c:pt idx="238">
                  <c:v>Jan 04, 2024</c:v>
                </c:pt>
                <c:pt idx="239">
                  <c:v>Jan 05, 2024</c:v>
                </c:pt>
                <c:pt idx="240">
                  <c:v>Jan 08, 2024</c:v>
                </c:pt>
                <c:pt idx="241">
                  <c:v>Jan 09, 2024</c:v>
                </c:pt>
                <c:pt idx="242">
                  <c:v>Jan 10, 2024</c:v>
                </c:pt>
                <c:pt idx="243">
                  <c:v>Jan 11, 2024</c:v>
                </c:pt>
                <c:pt idx="244">
                  <c:v>Jan 12, 2024</c:v>
                </c:pt>
                <c:pt idx="245">
                  <c:v>Jan 16, 2024</c:v>
                </c:pt>
                <c:pt idx="246">
                  <c:v>Jan 17, 2024</c:v>
                </c:pt>
                <c:pt idx="247">
                  <c:v>Jan 18, 2024</c:v>
                </c:pt>
                <c:pt idx="248">
                  <c:v>Jan 19, 2024</c:v>
                </c:pt>
                <c:pt idx="249">
                  <c:v>Jan 22, 2024</c:v>
                </c:pt>
                <c:pt idx="250">
                  <c:v>Jan 23, 2024</c:v>
                </c:pt>
                <c:pt idx="251">
                  <c:v>Jan 24, 2024</c:v>
                </c:pt>
              </c:strCache>
            </c:strRef>
          </c:cat>
          <c:val>
            <c:numRef>
              <c:f>'Price Tracking'!$O$3:$O$254</c:f>
              <c:numCache>
                <c:formatCode>0.00%</c:formatCode>
                <c:ptCount val="252"/>
                <c:pt idx="1">
                  <c:v>-1.8172991946626625E-4</c:v>
                </c:pt>
                <c:pt idx="2">
                  <c:v>1.1007863115068408E-2</c:v>
                </c:pt>
                <c:pt idx="3">
                  <c:v>2.4948096630160129E-3</c:v>
                </c:pt>
                <c:pt idx="4">
                  <c:v>-1.2968731575016696E-2</c:v>
                </c:pt>
                <c:pt idx="5">
                  <c:v>1.4642450911824203E-2</c:v>
                </c:pt>
                <c:pt idx="6">
                  <c:v>1.045233773242411E-2</c:v>
                </c:pt>
                <c:pt idx="7">
                  <c:v>1.4699420519954112E-2</c:v>
                </c:pt>
                <c:pt idx="8">
                  <c:v>-1.0354661511665898E-2</c:v>
                </c:pt>
                <c:pt idx="9">
                  <c:v>-6.1404865973000329E-3</c:v>
                </c:pt>
                <c:pt idx="10">
                  <c:v>1.2872529846171828E-2</c:v>
                </c:pt>
                <c:pt idx="11">
                  <c:v>-1.1080691642651375E-2</c:v>
                </c:pt>
                <c:pt idx="12">
                  <c:v>-8.8298290859814745E-3</c:v>
                </c:pt>
                <c:pt idx="13">
                  <c:v>2.1952713463187644E-3</c:v>
                </c:pt>
                <c:pt idx="14">
                  <c:v>1.1448590134116927E-2</c:v>
                </c:pt>
                <c:pt idx="15">
                  <c:v>-2.8037676836766446E-4</c:v>
                </c:pt>
                <c:pt idx="16">
                  <c:v>2.7731236687435486E-3</c:v>
                </c:pt>
                <c:pt idx="17">
                  <c:v>-1.3788697077828264E-2</c:v>
                </c:pt>
                <c:pt idx="18">
                  <c:v>-2.7674487398573026E-3</c:v>
                </c:pt>
                <c:pt idx="19">
                  <c:v>-2.0041234687148357E-2</c:v>
                </c:pt>
                <c:pt idx="20">
                  <c:v>-1.5735464083615513E-3</c:v>
                </c:pt>
                <c:pt idx="21">
                  <c:v>5.3294245875145588E-3</c:v>
                </c:pt>
                <c:pt idx="22">
                  <c:v>-1.0537544363360898E-2</c:v>
                </c:pt>
                <c:pt idx="23">
                  <c:v>3.0730168965551526E-3</c:v>
                </c:pt>
                <c:pt idx="24">
                  <c:v>-3.0359797500903239E-3</c:v>
                </c:pt>
                <c:pt idx="25">
                  <c:v>-4.7252622696875978E-3</c:v>
                </c:pt>
                <c:pt idx="26">
                  <c:v>7.5821419804170277E-3</c:v>
                </c:pt>
                <c:pt idx="27">
                  <c:v>1.6147789066522655E-2</c:v>
                </c:pt>
                <c:pt idx="28">
                  <c:v>6.8715950999105211E-4</c:v>
                </c:pt>
                <c:pt idx="29">
                  <c:v>-1.532696706369403E-2</c:v>
                </c:pt>
                <c:pt idx="30">
                  <c:v>1.4148210025663266E-3</c:v>
                </c:pt>
                <c:pt idx="31">
                  <c:v>-1.8459372596762044E-2</c:v>
                </c:pt>
                <c:pt idx="32">
                  <c:v>-1.447814369423631E-2</c:v>
                </c:pt>
                <c:pt idx="33">
                  <c:v>-1.5097408062481846E-3</c:v>
                </c:pt>
                <c:pt idx="34">
                  <c:v>1.6476647924144588E-2</c:v>
                </c:pt>
                <c:pt idx="35">
                  <c:v>-6.9808562265104464E-3</c:v>
                </c:pt>
                <c:pt idx="36">
                  <c:v>1.7561980816715707E-2</c:v>
                </c:pt>
                <c:pt idx="37">
                  <c:v>-1.1019422869090146E-2</c:v>
                </c:pt>
                <c:pt idx="38">
                  <c:v>8.9183585930798573E-3</c:v>
                </c:pt>
                <c:pt idx="39">
                  <c:v>1.2982181765728488E-2</c:v>
                </c:pt>
                <c:pt idx="40">
                  <c:v>-1.6463187662851927E-2</c:v>
                </c:pt>
                <c:pt idx="41">
                  <c:v>2.9845287111662016E-3</c:v>
                </c:pt>
                <c:pt idx="42">
                  <c:v>5.6398022650377801E-3</c:v>
                </c:pt>
                <c:pt idx="43">
                  <c:v>1.6469444647305631E-3</c:v>
                </c:pt>
                <c:pt idx="44">
                  <c:v>-1.5738410521102841E-3</c:v>
                </c:pt>
                <c:pt idx="45">
                  <c:v>1.4237259113583303E-2</c:v>
                </c:pt>
                <c:pt idx="46">
                  <c:v>5.7152646227106004E-3</c:v>
                </c:pt>
                <c:pt idx="47">
                  <c:v>1.4436547571732329E-2</c:v>
                </c:pt>
                <c:pt idx="48">
                  <c:v>3.6989178231868164E-3</c:v>
                </c:pt>
                <c:pt idx="49">
                  <c:v>-5.7970522559043025E-3</c:v>
                </c:pt>
                <c:pt idx="50">
                  <c:v>-2.4923181973370368E-3</c:v>
                </c:pt>
                <c:pt idx="51">
                  <c:v>3.5791295674241336E-3</c:v>
                </c:pt>
                <c:pt idx="52">
                  <c:v>9.963410653295807E-4</c:v>
                </c:pt>
                <c:pt idx="53">
                  <c:v>-4.1371489203275837E-5</c:v>
                </c:pt>
                <c:pt idx="54">
                  <c:v>-4.1348863697206048E-3</c:v>
                </c:pt>
                <c:pt idx="55">
                  <c:v>1.3262625398648673E-2</c:v>
                </c:pt>
                <c:pt idx="56">
                  <c:v>-2.0693547375681769E-3</c:v>
                </c:pt>
                <c:pt idx="57">
                  <c:v>3.3062325383550477E-3</c:v>
                </c:pt>
                <c:pt idx="58">
                  <c:v>8.5514968732841167E-4</c:v>
                </c:pt>
                <c:pt idx="59">
                  <c:v>-8.4238496029828691E-5</c:v>
                </c:pt>
                <c:pt idx="60">
                  <c:v>-5.9525528821621921E-3</c:v>
                </c:pt>
                <c:pt idx="61">
                  <c:v>9.031936248575528E-4</c:v>
                </c:pt>
                <c:pt idx="62">
                  <c:v>8.5157444502494887E-4</c:v>
                </c:pt>
                <c:pt idx="63">
                  <c:v>-1.5810821263512041E-2</c:v>
                </c:pt>
                <c:pt idx="64">
                  <c:v>-3.8412134697898203E-3</c:v>
                </c:pt>
                <c:pt idx="65">
                  <c:v>1.9566123190639176E-2</c:v>
                </c:pt>
                <c:pt idx="66">
                  <c:v>8.2532312863479989E-3</c:v>
                </c:pt>
                <c:pt idx="67">
                  <c:v>-3.8613927875890346E-4</c:v>
                </c:pt>
                <c:pt idx="68">
                  <c:v>-1.1586253889876596E-2</c:v>
                </c:pt>
                <c:pt idx="69">
                  <c:v>-6.9982862330625764E-3</c:v>
                </c:pt>
                <c:pt idx="70">
                  <c:v>-7.2187251726456517E-3</c:v>
                </c:pt>
                <c:pt idx="71">
                  <c:v>1.8474744042430651E-2</c:v>
                </c:pt>
                <c:pt idx="72">
                  <c:v>4.5210033242668865E-4</c:v>
                </c:pt>
                <c:pt idx="73">
                  <c:v>-4.5793742085777642E-3</c:v>
                </c:pt>
                <c:pt idx="74">
                  <c:v>4.4839130213126079E-3</c:v>
                </c:pt>
                <c:pt idx="75">
                  <c:v>-1.6966193288929041E-3</c:v>
                </c:pt>
                <c:pt idx="76">
                  <c:v>-1.5832974226629329E-3</c:v>
                </c:pt>
                <c:pt idx="77">
                  <c:v>2.9582355337432393E-3</c:v>
                </c:pt>
                <c:pt idx="78">
                  <c:v>-6.3777113735047214E-3</c:v>
                </c:pt>
                <c:pt idx="79">
                  <c:v>1.1890800262780311E-2</c:v>
                </c:pt>
                <c:pt idx="80">
                  <c:v>9.4451003541912004E-3</c:v>
                </c:pt>
                <c:pt idx="81">
                  <c:v>-1.4459094103216061E-3</c:v>
                </c:pt>
                <c:pt idx="82">
                  <c:v>1.5505799168902184E-4</c:v>
                </c:pt>
                <c:pt idx="83">
                  <c:v>-1.1222073018606503E-2</c:v>
                </c:pt>
                <c:pt idx="84">
                  <c:v>-7.3186381640205104E-3</c:v>
                </c:pt>
                <c:pt idx="85">
                  <c:v>8.757690924466122E-3</c:v>
                </c:pt>
                <c:pt idx="86">
                  <c:v>1.3048987300302576E-2</c:v>
                </c:pt>
                <c:pt idx="87">
                  <c:v>1.6645067709904639E-5</c:v>
                </c:pt>
                <c:pt idx="88">
                  <c:v>-6.1086381707851842E-3</c:v>
                </c:pt>
                <c:pt idx="89">
                  <c:v>9.8544677654355591E-3</c:v>
                </c:pt>
                <c:pt idx="90">
                  <c:v>1.4534401637518762E-2</c:v>
                </c:pt>
                <c:pt idx="91">
                  <c:v>-2.0035634473433935E-3</c:v>
                </c:pt>
                <c:pt idx="92">
                  <c:v>2.35388261940816E-3</c:v>
                </c:pt>
                <c:pt idx="93">
                  <c:v>-3.8119915496574171E-3</c:v>
                </c:pt>
                <c:pt idx="94">
                  <c:v>6.1886060287942067E-3</c:v>
                </c:pt>
                <c:pt idx="95">
                  <c:v>1.1481323635921827E-3</c:v>
                </c:pt>
                <c:pt idx="96">
                  <c:v>9.3210758201012871E-3</c:v>
                </c:pt>
                <c:pt idx="97">
                  <c:v>6.9325847616808576E-3</c:v>
                </c:pt>
                <c:pt idx="98">
                  <c:v>8.1940760034880373E-4</c:v>
                </c:pt>
                <c:pt idx="99">
                  <c:v>1.2178136985173546E-2</c:v>
                </c:pt>
                <c:pt idx="100">
                  <c:v>-3.671619398803391E-3</c:v>
                </c:pt>
                <c:pt idx="101">
                  <c:v>-4.7351341054383987E-3</c:v>
                </c:pt>
                <c:pt idx="102">
                  <c:v>-5.2452770859775276E-3</c:v>
                </c:pt>
                <c:pt idx="103">
                  <c:v>3.7107536265746604E-3</c:v>
                </c:pt>
                <c:pt idx="104">
                  <c:v>-7.6587956338475859E-3</c:v>
                </c:pt>
                <c:pt idx="105">
                  <c:v>-4.4867799822001135E-3</c:v>
                </c:pt>
                <c:pt idx="106">
                  <c:v>1.1455777787018206E-2</c:v>
                </c:pt>
                <c:pt idx="107">
                  <c:v>-3.5400978894168934E-4</c:v>
                </c:pt>
                <c:pt idx="108">
                  <c:v>4.4735266835128221E-3</c:v>
                </c:pt>
                <c:pt idx="109">
                  <c:v>1.2269017659743E-2</c:v>
                </c:pt>
                <c:pt idx="110">
                  <c:v>1.1706865481150006E-3</c:v>
                </c:pt>
                <c:pt idx="111">
                  <c:v>-1.9683139606652398E-3</c:v>
                </c:pt>
                <c:pt idx="112">
                  <c:v>-7.9225154155103117E-3</c:v>
                </c:pt>
                <c:pt idx="113">
                  <c:v>-2.8651801277998017E-3</c:v>
                </c:pt>
                <c:pt idx="114">
                  <c:v>2.4051194034939993E-3</c:v>
                </c:pt>
                <c:pt idx="115">
                  <c:v>6.7422151567174899E-3</c:v>
                </c:pt>
                <c:pt idx="116">
                  <c:v>7.4111451007599543E-3</c:v>
                </c:pt>
                <c:pt idx="117">
                  <c:v>8.470179957783288E-3</c:v>
                </c:pt>
                <c:pt idx="118">
                  <c:v>-1.0243811584819405E-3</c:v>
                </c:pt>
                <c:pt idx="119">
                  <c:v>3.8553564373576469E-3</c:v>
                </c:pt>
                <c:pt idx="120">
                  <c:v>7.1172882225351165E-3</c:v>
                </c:pt>
                <c:pt idx="121">
                  <c:v>2.3578588709501891E-3</c:v>
                </c:pt>
                <c:pt idx="122">
                  <c:v>-6.7568751478409459E-3</c:v>
                </c:pt>
                <c:pt idx="123">
                  <c:v>3.2415482693004533E-4</c:v>
                </c:pt>
                <c:pt idx="124">
                  <c:v>4.0340891555747981E-3</c:v>
                </c:pt>
                <c:pt idx="125">
                  <c:v>2.8147120299298533E-3</c:v>
                </c:pt>
                <c:pt idx="126">
                  <c:v>-1.554474478156429E-4</c:v>
                </c:pt>
                <c:pt idx="127">
                  <c:v>-6.4247002791920178E-3</c:v>
                </c:pt>
                <c:pt idx="128">
                  <c:v>9.8778818753429178E-3</c:v>
                </c:pt>
                <c:pt idx="129">
                  <c:v>1.4687171966488966E-3</c:v>
                </c:pt>
                <c:pt idx="130">
                  <c:v>-2.6650918726684202E-3</c:v>
                </c:pt>
                <c:pt idx="131">
                  <c:v>-1.3839575417382987E-2</c:v>
                </c:pt>
                <c:pt idx="132">
                  <c:v>-2.5479739176096014E-3</c:v>
                </c:pt>
                <c:pt idx="133">
                  <c:v>-5.2999962238083516E-3</c:v>
                </c:pt>
                <c:pt idx="134">
                  <c:v>9.024057453835695E-3</c:v>
                </c:pt>
                <c:pt idx="135">
                  <c:v>-4.218270022396998E-3</c:v>
                </c:pt>
                <c:pt idx="136">
                  <c:v>-7.0387475607750563E-3</c:v>
                </c:pt>
                <c:pt idx="137">
                  <c:v>2.5068771249698186E-4</c:v>
                </c:pt>
                <c:pt idx="138">
                  <c:v>-1.0696312010078132E-3</c:v>
                </c:pt>
                <c:pt idx="139">
                  <c:v>5.7503836202551653E-3</c:v>
                </c:pt>
                <c:pt idx="140">
                  <c:v>-1.1550831677699406E-2</c:v>
                </c:pt>
                <c:pt idx="141">
                  <c:v>-7.5554433893813113E-3</c:v>
                </c:pt>
                <c:pt idx="142">
                  <c:v>-7.7128643857295558E-3</c:v>
                </c:pt>
                <c:pt idx="143">
                  <c:v>-1.4872916647590501E-4</c:v>
                </c:pt>
                <c:pt idx="144">
                  <c:v>6.8791750482298363E-3</c:v>
                </c:pt>
                <c:pt idx="145">
                  <c:v>-2.777417910481742E-3</c:v>
                </c:pt>
                <c:pt idx="146">
                  <c:v>1.1044888377340438E-2</c:v>
                </c:pt>
                <c:pt idx="147">
                  <c:v>-1.3458039995401232E-2</c:v>
                </c:pt>
                <c:pt idx="148">
                  <c:v>6.7179884423177591E-3</c:v>
                </c:pt>
                <c:pt idx="149">
                  <c:v>6.2645975336552712E-3</c:v>
                </c:pt>
                <c:pt idx="150">
                  <c:v>1.4508347036412907E-2</c:v>
                </c:pt>
                <c:pt idx="151">
                  <c:v>3.8331298928546325E-3</c:v>
                </c:pt>
                <c:pt idx="152">
                  <c:v>-1.5969452055098012E-3</c:v>
                </c:pt>
                <c:pt idx="153">
                  <c:v>1.7991596526802337E-3</c:v>
                </c:pt>
                <c:pt idx="154">
                  <c:v>-4.1941905810084458E-3</c:v>
                </c:pt>
                <c:pt idx="155">
                  <c:v>-6.9715777558858943E-3</c:v>
                </c:pt>
                <c:pt idx="156">
                  <c:v>-3.2113009127796425E-3</c:v>
                </c:pt>
                <c:pt idx="157">
                  <c:v>1.4266008258557255E-3</c:v>
                </c:pt>
                <c:pt idx="158">
                  <c:v>6.723514803174041E-3</c:v>
                </c:pt>
                <c:pt idx="159">
                  <c:v>-5.6958724980279265E-3</c:v>
                </c:pt>
                <c:pt idx="160">
                  <c:v>1.2416235236110097E-3</c:v>
                </c:pt>
                <c:pt idx="161">
                  <c:v>8.429883781315645E-3</c:v>
                </c:pt>
                <c:pt idx="162">
                  <c:v>-1.2159552507158698E-2</c:v>
                </c:pt>
                <c:pt idx="163">
                  <c:v>7.2129644609826636E-4</c:v>
                </c:pt>
                <c:pt idx="164">
                  <c:v>-2.151102608492573E-3</c:v>
                </c:pt>
                <c:pt idx="165">
                  <c:v>-9.3947951709627692E-3</c:v>
                </c:pt>
                <c:pt idx="166">
                  <c:v>-1.6400890463858939E-2</c:v>
                </c:pt>
                <c:pt idx="167">
                  <c:v>-2.2956120092377827E-3</c:v>
                </c:pt>
                <c:pt idx="168">
                  <c:v>4.0230922718664085E-3</c:v>
                </c:pt>
                <c:pt idx="169">
                  <c:v>-1.4734497768268809E-2</c:v>
                </c:pt>
                <c:pt idx="170">
                  <c:v>2.2931861950202127E-4</c:v>
                </c:pt>
                <c:pt idx="171">
                  <c:v>5.8930731241708641E-3</c:v>
                </c:pt>
                <c:pt idx="172">
                  <c:v>-2.7094913598622317E-3</c:v>
                </c:pt>
                <c:pt idx="173">
                  <c:v>7.9290120217848556E-5</c:v>
                </c:pt>
                <c:pt idx="174">
                  <c:v>-1.3744085775780773E-2</c:v>
                </c:pt>
                <c:pt idx="175">
                  <c:v>8.1098015108347857E-3</c:v>
                </c:pt>
                <c:pt idx="176">
                  <c:v>-1.3040164174729757E-3</c:v>
                </c:pt>
                <c:pt idx="177">
                  <c:v>1.1814879091820798E-2</c:v>
                </c:pt>
                <c:pt idx="178">
                  <c:v>6.3038180341185692E-3</c:v>
                </c:pt>
                <c:pt idx="179">
                  <c:v>5.2079729499084175E-3</c:v>
                </c:pt>
                <c:pt idx="180">
                  <c:v>4.2930173648078208E-3</c:v>
                </c:pt>
                <c:pt idx="181">
                  <c:v>-6.246358765807274E-3</c:v>
                </c:pt>
                <c:pt idx="182">
                  <c:v>-5.0188407696322036E-3</c:v>
                </c:pt>
                <c:pt idx="183">
                  <c:v>1.0594346293018676E-2</c:v>
                </c:pt>
                <c:pt idx="184">
                  <c:v>-9.8316501395932218E-5</c:v>
                </c:pt>
                <c:pt idx="185">
                  <c:v>-1.3399798774352753E-2</c:v>
                </c:pt>
                <c:pt idx="186">
                  <c:v>-8.4828257544153247E-3</c:v>
                </c:pt>
                <c:pt idx="187">
                  <c:v>-1.2585320243104289E-2</c:v>
                </c:pt>
                <c:pt idx="188">
                  <c:v>-1.6855422143100382E-3</c:v>
                </c:pt>
                <c:pt idx="189">
                  <c:v>7.2657598694819891E-3</c:v>
                </c:pt>
                <c:pt idx="190">
                  <c:v>-1.4339592436341685E-2</c:v>
                </c:pt>
                <c:pt idx="191">
                  <c:v>-1.1832510503323772E-2</c:v>
                </c:pt>
                <c:pt idx="192">
                  <c:v>-4.800313253070212E-3</c:v>
                </c:pt>
                <c:pt idx="193">
                  <c:v>1.2010093822027125E-2</c:v>
                </c:pt>
                <c:pt idx="194">
                  <c:v>6.4749617214087665E-3</c:v>
                </c:pt>
                <c:pt idx="195">
                  <c:v>1.0505985025513732E-2</c:v>
                </c:pt>
                <c:pt idx="196">
                  <c:v>1.8858574846738703E-2</c:v>
                </c:pt>
                <c:pt idx="197">
                  <c:v>9.3937162152773878E-3</c:v>
                </c:pt>
                <c:pt idx="198">
                  <c:v>1.7529609897344901E-3</c:v>
                </c:pt>
                <c:pt idx="199">
                  <c:v>2.8401412741241479E-3</c:v>
                </c:pt>
                <c:pt idx="200">
                  <c:v>1.0049378994056331E-3</c:v>
                </c:pt>
                <c:pt idx="201">
                  <c:v>-8.0839102122395798E-3</c:v>
                </c:pt>
                <c:pt idx="202">
                  <c:v>1.5616409996894525E-2</c:v>
                </c:pt>
                <c:pt idx="203">
                  <c:v>-8.3574165843750285E-4</c:v>
                </c:pt>
                <c:pt idx="204">
                  <c:v>1.9074928313177825E-2</c:v>
                </c:pt>
                <c:pt idx="205">
                  <c:v>1.5970816558045001E-3</c:v>
                </c:pt>
                <c:pt idx="206">
                  <c:v>1.1903492875669954E-3</c:v>
                </c:pt>
                <c:pt idx="207">
                  <c:v>1.2820967827801215E-3</c:v>
                </c:pt>
                <c:pt idx="208">
                  <c:v>7.390308416887756E-3</c:v>
                </c:pt>
                <c:pt idx="209">
                  <c:v>-2.0209439281521466E-3</c:v>
                </c:pt>
                <c:pt idx="210">
                  <c:v>4.0610904347328546E-3</c:v>
                </c:pt>
                <c:pt idx="211">
                  <c:v>5.969336920788336E-4</c:v>
                </c:pt>
                <c:pt idx="212">
                  <c:v>-1.9542302175314529E-3</c:v>
                </c:pt>
                <c:pt idx="213">
                  <c:v>9.8012715281853269E-4</c:v>
                </c:pt>
                <c:pt idx="214">
                  <c:v>-9.4623580371872864E-4</c:v>
                </c:pt>
                <c:pt idx="215">
                  <c:v>3.7841330116161575E-3</c:v>
                </c:pt>
                <c:pt idx="216">
                  <c:v>5.873724769035406E-3</c:v>
                </c:pt>
                <c:pt idx="217">
                  <c:v>-5.4084877345945952E-3</c:v>
                </c:pt>
                <c:pt idx="218">
                  <c:v>-5.68955179461474E-4</c:v>
                </c:pt>
                <c:pt idx="219">
                  <c:v>-3.9061302598102426E-3</c:v>
                </c:pt>
                <c:pt idx="220">
                  <c:v>7.9681887922204101E-3</c:v>
                </c:pt>
                <c:pt idx="221">
                  <c:v>4.0954381006587468E-3</c:v>
                </c:pt>
                <c:pt idx="222">
                  <c:v>3.9245325636297059E-3</c:v>
                </c:pt>
                <c:pt idx="223">
                  <c:v>4.5993025328614802E-3</c:v>
                </c:pt>
                <c:pt idx="224">
                  <c:v>1.3650752632599076E-2</c:v>
                </c:pt>
                <c:pt idx="225">
                  <c:v>2.6470706954827795E-3</c:v>
                </c:pt>
                <c:pt idx="226">
                  <c:v>-7.6278458751487336E-5</c:v>
                </c:pt>
                <c:pt idx="227">
                  <c:v>4.5283194785547525E-3</c:v>
                </c:pt>
                <c:pt idx="228">
                  <c:v>5.8663955313295237E-3</c:v>
                </c:pt>
                <c:pt idx="229">
                  <c:v>-1.4684263175886001E-2</c:v>
                </c:pt>
                <c:pt idx="230">
                  <c:v>1.0301488820543304E-2</c:v>
                </c:pt>
                <c:pt idx="231">
                  <c:v>1.6600832148312233E-3</c:v>
                </c:pt>
                <c:pt idx="232">
                  <c:v>4.2316647141838358E-3</c:v>
                </c:pt>
                <c:pt idx="233">
                  <c:v>1.4304413843656584E-3</c:v>
                </c:pt>
                <c:pt idx="234">
                  <c:v>3.7017052940668913E-4</c:v>
                </c:pt>
                <c:pt idx="235">
                  <c:v>-2.8264709879060566E-3</c:v>
                </c:pt>
                <c:pt idx="236">
                  <c:v>-5.6605790982068548E-3</c:v>
                </c:pt>
                <c:pt idx="237">
                  <c:v>-8.0163109367191159E-3</c:v>
                </c:pt>
                <c:pt idx="238">
                  <c:v>-3.4284062480738025E-3</c:v>
                </c:pt>
                <c:pt idx="239">
                  <c:v>1.8256737503944587E-3</c:v>
                </c:pt>
                <c:pt idx="240">
                  <c:v>1.4114671594383123E-2</c:v>
                </c:pt>
                <c:pt idx="241">
                  <c:v>-1.4778924917183364E-3</c:v>
                </c:pt>
                <c:pt idx="242">
                  <c:v>5.6659308314937068E-3</c:v>
                </c:pt>
                <c:pt idx="243">
                  <c:v>-6.7106377196375763E-4</c:v>
                </c:pt>
                <c:pt idx="244">
                  <c:v>7.5100831757404351E-4</c:v>
                </c:pt>
                <c:pt idx="245">
                  <c:v>-3.7313198838588254E-3</c:v>
                </c:pt>
                <c:pt idx="246">
                  <c:v>-5.6168930629166575E-3</c:v>
                </c:pt>
                <c:pt idx="247">
                  <c:v>8.8052650125230916E-3</c:v>
                </c:pt>
                <c:pt idx="248">
                  <c:v>1.2313478102632705E-2</c:v>
                </c:pt>
                <c:pt idx="249">
                  <c:v>2.1943010159489506E-3</c:v>
                </c:pt>
                <c:pt idx="250">
                  <c:v>2.9213904746589626E-3</c:v>
                </c:pt>
                <c:pt idx="251">
                  <c:v>8.119886527154993E-4</c:v>
                </c:pt>
              </c:numCache>
            </c:numRef>
          </c:val>
          <c:smooth val="0"/>
          <c:extLst>
            <c:ext xmlns:c16="http://schemas.microsoft.com/office/drawing/2014/chart" uri="{C3380CC4-5D6E-409C-BE32-E72D297353CC}">
              <c16:uniqueId val="{00000001-8D9E-429E-9752-0162015B0CBF}"/>
            </c:ext>
          </c:extLst>
        </c:ser>
        <c:dLbls>
          <c:showLegendKey val="0"/>
          <c:showVal val="0"/>
          <c:showCatName val="0"/>
          <c:showSerName val="0"/>
          <c:showPercent val="0"/>
          <c:showBubbleSize val="0"/>
        </c:dLbls>
        <c:smooth val="0"/>
        <c:axId val="638926512"/>
        <c:axId val="638925072"/>
      </c:lineChart>
      <c:catAx>
        <c:axId val="638926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27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o-RO"/>
          </a:p>
        </c:txPr>
        <c:crossAx val="638925072"/>
        <c:crosses val="autoZero"/>
        <c:auto val="1"/>
        <c:lblAlgn val="ctr"/>
        <c:lblOffset val="100"/>
        <c:noMultiLvlLbl val="0"/>
      </c:catAx>
      <c:valAx>
        <c:axId val="6389250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o-RO"/>
          </a:p>
        </c:txPr>
        <c:crossAx val="6389265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o-R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o-RO"/>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13</xdr:col>
      <xdr:colOff>228600</xdr:colOff>
      <xdr:row>21</xdr:row>
      <xdr:rowOff>114300</xdr:rowOff>
    </xdr:from>
    <xdr:to>
      <xdr:col>20</xdr:col>
      <xdr:colOff>533400</xdr:colOff>
      <xdr:row>36</xdr:row>
      <xdr:rowOff>114300</xdr:rowOff>
    </xdr:to>
    <xdr:graphicFrame macro="">
      <xdr:nvGraphicFramePr>
        <xdr:cNvPr id="13" name="Chart 12">
          <a:extLst>
            <a:ext uri="{FF2B5EF4-FFF2-40B4-BE49-F238E27FC236}">
              <a16:creationId xmlns:a16="http://schemas.microsoft.com/office/drawing/2014/main" id="{67D61142-4691-BBFD-17F6-F895944AD8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15</xdr:col>
      <xdr:colOff>335280</xdr:colOff>
      <xdr:row>0</xdr:row>
      <xdr:rowOff>175260</xdr:rowOff>
    </xdr:from>
    <xdr:to>
      <xdr:col>28</xdr:col>
      <xdr:colOff>129540</xdr:colOff>
      <xdr:row>23</xdr:row>
      <xdr:rowOff>76200</xdr:rowOff>
    </xdr:to>
    <xdr:graphicFrame macro="">
      <xdr:nvGraphicFramePr>
        <xdr:cNvPr id="2" name="Chart 1">
          <a:extLst>
            <a:ext uri="{FF2B5EF4-FFF2-40B4-BE49-F238E27FC236}">
              <a16:creationId xmlns:a16="http://schemas.microsoft.com/office/drawing/2014/main" id="{4F54789A-AF0C-F11C-C5F2-8EADD1E42E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Violet II">
      <a:dk1>
        <a:sysClr val="windowText" lastClr="000000"/>
      </a:dk1>
      <a:lt1>
        <a:sysClr val="window" lastClr="FFFFFF"/>
      </a:lt1>
      <a:dk2>
        <a:srgbClr val="632E62"/>
      </a:dk2>
      <a:lt2>
        <a:srgbClr val="EAE5EB"/>
      </a:lt2>
      <a:accent1>
        <a:srgbClr val="92278F"/>
      </a:accent1>
      <a:accent2>
        <a:srgbClr val="9B57D3"/>
      </a:accent2>
      <a:accent3>
        <a:srgbClr val="755DD9"/>
      </a:accent3>
      <a:accent4>
        <a:srgbClr val="665EB8"/>
      </a:accent4>
      <a:accent5>
        <a:srgbClr val="45A5ED"/>
      </a:accent5>
      <a:accent6>
        <a:srgbClr val="5982DB"/>
      </a:accent6>
      <a:hlink>
        <a:srgbClr val="0066FF"/>
      </a:hlink>
      <a:folHlink>
        <a:srgbClr val="666699"/>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63"/>
  <sheetViews>
    <sheetView zoomScale="120" zoomScaleNormal="120" workbookViewId="0">
      <selection activeCell="C64" sqref="C64"/>
    </sheetView>
  </sheetViews>
  <sheetFormatPr defaultColWidth="9.109375" defaultRowHeight="10.8" x14ac:dyDescent="0.2"/>
  <cols>
    <col min="1" max="1" width="22.77734375" style="15" customWidth="1"/>
    <col min="2" max="2" width="11.5546875" style="15" customWidth="1"/>
    <col min="3" max="3" width="12.109375" style="15" customWidth="1"/>
    <col min="4" max="5" width="13.109375" style="15" customWidth="1"/>
    <col min="6" max="6" width="11.88671875" style="15" customWidth="1"/>
    <col min="7" max="7" width="12.21875" style="15" customWidth="1"/>
    <col min="8" max="10" width="9.109375" style="15"/>
    <col min="11" max="11" width="8.44140625" style="15" customWidth="1"/>
    <col min="12" max="12" width="9.109375" style="15"/>
    <col min="13" max="13" width="13.21875" style="15" customWidth="1"/>
    <col min="14" max="14" width="11.88671875" style="15" customWidth="1"/>
    <col min="15" max="16384" width="9.109375" style="15"/>
  </cols>
  <sheetData>
    <row r="1" spans="1:9" ht="16.8" customHeight="1" x14ac:dyDescent="0.2">
      <c r="A1" s="102" t="s">
        <v>16</v>
      </c>
      <c r="B1" s="102"/>
      <c r="C1" s="102"/>
      <c r="D1" s="102"/>
    </row>
    <row r="2" spans="1:9" ht="156.6" customHeight="1" x14ac:dyDescent="0.2">
      <c r="A2" s="103" t="s">
        <v>698</v>
      </c>
      <c r="B2" s="103"/>
      <c r="C2" s="103"/>
      <c r="D2" s="103"/>
    </row>
    <row r="3" spans="1:9" x14ac:dyDescent="0.2">
      <c r="A3" s="16"/>
      <c r="B3" s="16"/>
      <c r="D3" s="17"/>
    </row>
    <row r="4" spans="1:9" ht="12" customHeight="1" x14ac:dyDescent="0.2">
      <c r="A4" s="112" t="s">
        <v>56</v>
      </c>
      <c r="B4" s="113"/>
    </row>
    <row r="5" spans="1:9" ht="12.6" customHeight="1" x14ac:dyDescent="0.2">
      <c r="A5" s="110" t="s">
        <v>57</v>
      </c>
      <c r="B5" s="111"/>
    </row>
    <row r="7" spans="1:9" x14ac:dyDescent="0.2">
      <c r="A7" s="18" t="s">
        <v>23</v>
      </c>
    </row>
    <row r="8" spans="1:9" x14ac:dyDescent="0.2">
      <c r="A8" s="19" t="s">
        <v>18</v>
      </c>
    </row>
    <row r="9" spans="1:9" x14ac:dyDescent="0.2">
      <c r="A9" s="19" t="s">
        <v>19</v>
      </c>
    </row>
    <row r="10" spans="1:9" x14ac:dyDescent="0.2">
      <c r="A10" s="19" t="s">
        <v>20</v>
      </c>
    </row>
    <row r="11" spans="1:9" x14ac:dyDescent="0.2">
      <c r="A11" s="19" t="s">
        <v>21</v>
      </c>
    </row>
    <row r="12" spans="1:9" x14ac:dyDescent="0.2">
      <c r="A12" s="20" t="s">
        <v>22</v>
      </c>
    </row>
    <row r="14" spans="1:9" x14ac:dyDescent="0.2">
      <c r="A14" s="121" t="s">
        <v>0</v>
      </c>
      <c r="B14" s="121"/>
      <c r="C14" s="121"/>
      <c r="D14" s="121"/>
      <c r="E14" s="121"/>
      <c r="F14" s="121"/>
      <c r="G14" s="121"/>
    </row>
    <row r="15" spans="1:9" x14ac:dyDescent="0.2">
      <c r="A15" s="21"/>
      <c r="B15" s="22" t="s">
        <v>17</v>
      </c>
      <c r="C15" s="22" t="s">
        <v>24</v>
      </c>
      <c r="D15" s="22" t="s">
        <v>25</v>
      </c>
      <c r="E15" s="22" t="s">
        <v>26</v>
      </c>
      <c r="F15" s="22" t="s">
        <v>27</v>
      </c>
      <c r="G15" s="22" t="s">
        <v>28</v>
      </c>
    </row>
    <row r="16" spans="1:9" s="26" customFormat="1" x14ac:dyDescent="0.2">
      <c r="A16" s="23" t="s">
        <v>1</v>
      </c>
      <c r="B16" s="24">
        <v>7645000</v>
      </c>
      <c r="C16" s="24">
        <v>155296000</v>
      </c>
      <c r="D16" s="24">
        <v>13100000</v>
      </c>
      <c r="E16" s="24">
        <v>7914000</v>
      </c>
      <c r="F16" s="24">
        <v>5285000</v>
      </c>
      <c r="G16" s="24">
        <v>2436000</v>
      </c>
      <c r="H16" s="25" t="s">
        <v>15</v>
      </c>
      <c r="I16" s="15" t="s">
        <v>700</v>
      </c>
    </row>
    <row r="17" spans="1:9" x14ac:dyDescent="0.2">
      <c r="A17" s="21" t="s">
        <v>2</v>
      </c>
      <c r="B17" s="24">
        <v>7800</v>
      </c>
      <c r="C17" s="24">
        <v>83700</v>
      </c>
      <c r="D17" s="24">
        <v>4200</v>
      </c>
      <c r="E17" s="24">
        <v>1701</v>
      </c>
      <c r="F17" s="24">
        <v>6680</v>
      </c>
      <c r="G17" s="24">
        <v>2800</v>
      </c>
      <c r="H17" s="25" t="s">
        <v>15</v>
      </c>
      <c r="I17" s="15" t="s">
        <v>701</v>
      </c>
    </row>
    <row r="18" spans="1:9" x14ac:dyDescent="0.2">
      <c r="A18" s="21" t="s">
        <v>3</v>
      </c>
      <c r="B18" s="27">
        <v>7771.5959999999995</v>
      </c>
      <c r="C18" s="27">
        <v>51469</v>
      </c>
      <c r="D18" s="27">
        <v>3688.616</v>
      </c>
      <c r="E18" s="27">
        <v>1559.3</v>
      </c>
      <c r="F18" s="27">
        <v>3886.7890000000002</v>
      </c>
      <c r="G18" s="27">
        <v>1936.422</v>
      </c>
      <c r="H18" s="25" t="s">
        <v>15</v>
      </c>
      <c r="I18" s="15" t="s">
        <v>702</v>
      </c>
    </row>
    <row r="19" spans="1:9" x14ac:dyDescent="0.2">
      <c r="A19" s="21" t="s">
        <v>5</v>
      </c>
      <c r="B19" s="27">
        <f>B18/B17</f>
        <v>0.99635846153846153</v>
      </c>
      <c r="C19" s="27">
        <f t="shared" ref="C19:G19" si="0">C18/C17</f>
        <v>0.61492234169653526</v>
      </c>
      <c r="D19" s="27">
        <f t="shared" si="0"/>
        <v>0.87824190476190478</v>
      </c>
      <c r="E19" s="27">
        <f t="shared" si="0"/>
        <v>0.91669606114050561</v>
      </c>
      <c r="F19" s="27">
        <f t="shared" si="0"/>
        <v>0.58185464071856285</v>
      </c>
      <c r="G19" s="27">
        <f t="shared" si="0"/>
        <v>0.69157928571428573</v>
      </c>
      <c r="H19" s="25" t="s">
        <v>15</v>
      </c>
      <c r="I19" s="15" t="s">
        <v>703</v>
      </c>
    </row>
    <row r="20" spans="1:9" ht="11.25" customHeight="1" x14ac:dyDescent="0.2">
      <c r="A20" s="21" t="s">
        <v>4</v>
      </c>
      <c r="B20" s="27">
        <v>3832.7179999999998</v>
      </c>
      <c r="C20" s="27">
        <v>22397</v>
      </c>
      <c r="D20" s="27">
        <v>1877.0419999999999</v>
      </c>
      <c r="E20" s="27">
        <v>911.4</v>
      </c>
      <c r="F20" s="27">
        <v>2135.3020000000001</v>
      </c>
      <c r="G20" s="27">
        <v>813.13499999999999</v>
      </c>
      <c r="H20" s="25" t="s">
        <v>15</v>
      </c>
      <c r="I20" s="15" t="s">
        <v>704</v>
      </c>
    </row>
    <row r="21" spans="1:9" s="26" customFormat="1" x14ac:dyDescent="0.2">
      <c r="A21" s="23" t="s">
        <v>6</v>
      </c>
      <c r="B21" s="28">
        <f>B20/B18</f>
        <v>0.49317000008749812</v>
      </c>
      <c r="C21" s="28">
        <f t="shared" ref="C21:G21" si="1">C20/C18</f>
        <v>0.43515514193009386</v>
      </c>
      <c r="D21" s="28">
        <f t="shared" si="1"/>
        <v>0.50887433118546355</v>
      </c>
      <c r="E21" s="28">
        <f t="shared" si="1"/>
        <v>0.58449304174950301</v>
      </c>
      <c r="F21" s="28">
        <f t="shared" si="1"/>
        <v>0.54937430357037653</v>
      </c>
      <c r="G21" s="28">
        <f t="shared" si="1"/>
        <v>0.41991621660980921</v>
      </c>
      <c r="H21" s="25" t="s">
        <v>15</v>
      </c>
      <c r="I21" s="15" t="s">
        <v>705</v>
      </c>
    </row>
    <row r="22" spans="1:9" ht="11.25" customHeight="1" x14ac:dyDescent="0.2">
      <c r="A22" s="21" t="s">
        <v>7</v>
      </c>
      <c r="B22" s="27">
        <v>657.91800000000001</v>
      </c>
      <c r="C22" s="27">
        <v>5824</v>
      </c>
      <c r="D22" s="27">
        <v>667.14599999999996</v>
      </c>
      <c r="E22" s="27">
        <v>137.1</v>
      </c>
      <c r="F22" s="27">
        <v>1037.5319999999999</v>
      </c>
      <c r="G22" s="27">
        <v>209.06</v>
      </c>
      <c r="H22" s="25" t="s">
        <v>15</v>
      </c>
      <c r="I22" s="15" t="s">
        <v>706</v>
      </c>
    </row>
    <row r="23" spans="1:9" s="26" customFormat="1" x14ac:dyDescent="0.2">
      <c r="A23" s="23" t="s">
        <v>8</v>
      </c>
      <c r="B23" s="28">
        <f>B22/B18</f>
        <v>8.4656742321654405E-2</v>
      </c>
      <c r="C23" s="28">
        <f t="shared" ref="C23:G23" si="2">C22/C18</f>
        <v>0.11315549165517107</v>
      </c>
      <c r="D23" s="28">
        <f t="shared" si="2"/>
        <v>0.18086621106669817</v>
      </c>
      <c r="E23" s="28">
        <f t="shared" si="2"/>
        <v>8.7924068492272175E-2</v>
      </c>
      <c r="F23" s="28">
        <f t="shared" si="2"/>
        <v>0.26693808179450951</v>
      </c>
      <c r="G23" s="28">
        <f t="shared" si="2"/>
        <v>0.10796200414992187</v>
      </c>
      <c r="H23" s="25" t="s">
        <v>15</v>
      </c>
      <c r="I23" s="15" t="s">
        <v>707</v>
      </c>
    </row>
    <row r="24" spans="1:9" ht="11.25" customHeight="1" x14ac:dyDescent="0.2">
      <c r="A24" s="21" t="s">
        <v>9</v>
      </c>
      <c r="B24" s="27">
        <v>474.60300000000001</v>
      </c>
      <c r="C24" s="27">
        <v>5052</v>
      </c>
      <c r="D24" s="27">
        <v>535.52499999999998</v>
      </c>
      <c r="E24" s="27">
        <v>41.9</v>
      </c>
      <c r="F24" s="27">
        <v>669.03899999999999</v>
      </c>
      <c r="G24" s="27">
        <v>164.34700000000001</v>
      </c>
      <c r="H24" s="25" t="s">
        <v>15</v>
      </c>
      <c r="I24" s="15" t="s">
        <v>708</v>
      </c>
    </row>
    <row r="25" spans="1:9" s="26" customFormat="1" x14ac:dyDescent="0.2">
      <c r="A25" s="23" t="s">
        <v>10</v>
      </c>
      <c r="B25" s="28">
        <f>B24/B18</f>
        <v>6.1068923294520204E-2</v>
      </c>
      <c r="C25" s="28">
        <f t="shared" ref="C25:G25" si="3">C24/C18</f>
        <v>9.8156171676154577E-2</v>
      </c>
      <c r="D25" s="28">
        <f t="shared" si="3"/>
        <v>0.14518317981595263</v>
      </c>
      <c r="E25" s="28">
        <f t="shared" si="3"/>
        <v>2.6871031873276469E-2</v>
      </c>
      <c r="F25" s="28">
        <f t="shared" si="3"/>
        <v>0.17213154611685891</v>
      </c>
      <c r="G25" s="28">
        <f t="shared" si="3"/>
        <v>8.4871479460572136E-2</v>
      </c>
      <c r="H25" s="25" t="s">
        <v>15</v>
      </c>
      <c r="I25" s="15" t="s">
        <v>709</v>
      </c>
    </row>
    <row r="27" spans="1:9" x14ac:dyDescent="0.2">
      <c r="A27" s="114" t="s">
        <v>11</v>
      </c>
      <c r="B27" s="115"/>
      <c r="C27" s="115"/>
      <c r="D27" s="115"/>
      <c r="E27" s="115"/>
      <c r="F27" s="116"/>
    </row>
    <row r="28" spans="1:9" x14ac:dyDescent="0.2">
      <c r="A28" s="117" t="s">
        <v>710</v>
      </c>
      <c r="B28" s="118"/>
      <c r="C28" s="118"/>
      <c r="D28" s="118"/>
      <c r="E28" s="118"/>
      <c r="F28" s="119"/>
    </row>
    <row r="29" spans="1:9" x14ac:dyDescent="0.2">
      <c r="A29" s="117" t="s">
        <v>711</v>
      </c>
      <c r="B29" s="118"/>
      <c r="C29" s="118"/>
      <c r="D29" s="118"/>
      <c r="E29" s="118"/>
      <c r="F29" s="119"/>
    </row>
    <row r="30" spans="1:9" x14ac:dyDescent="0.2">
      <c r="A30" s="117" t="s">
        <v>712</v>
      </c>
      <c r="B30" s="118"/>
      <c r="C30" s="118"/>
      <c r="D30" s="118"/>
      <c r="E30" s="118"/>
      <c r="F30" s="119"/>
    </row>
    <row r="31" spans="1:9" x14ac:dyDescent="0.2">
      <c r="A31" s="120" t="s">
        <v>713</v>
      </c>
      <c r="B31" s="108"/>
      <c r="C31" s="108"/>
      <c r="D31" s="108"/>
      <c r="E31" s="108"/>
      <c r="F31" s="109"/>
    </row>
    <row r="33" spans="1:6" x14ac:dyDescent="0.2">
      <c r="A33" s="104" t="s">
        <v>12</v>
      </c>
      <c r="B33" s="104"/>
      <c r="C33" s="104"/>
      <c r="D33" s="104"/>
      <c r="E33" s="104"/>
      <c r="F33" s="104"/>
    </row>
    <row r="34" spans="1:6" x14ac:dyDescent="0.2">
      <c r="A34" s="105" t="s">
        <v>714</v>
      </c>
      <c r="B34" s="106"/>
      <c r="C34" s="106"/>
      <c r="D34" s="106"/>
      <c r="E34" s="106"/>
      <c r="F34" s="107"/>
    </row>
    <row r="35" spans="1:6" x14ac:dyDescent="0.2">
      <c r="A35" s="117" t="s">
        <v>715</v>
      </c>
      <c r="B35" s="118"/>
      <c r="C35" s="118"/>
      <c r="D35" s="118"/>
      <c r="E35" s="118"/>
      <c r="F35" s="119"/>
    </row>
    <row r="36" spans="1:6" x14ac:dyDescent="0.2">
      <c r="A36" s="108" t="s">
        <v>716</v>
      </c>
      <c r="B36" s="108"/>
      <c r="C36" s="108"/>
      <c r="D36" s="108"/>
      <c r="E36" s="108"/>
      <c r="F36" s="109"/>
    </row>
    <row r="38" spans="1:6" x14ac:dyDescent="0.2">
      <c r="A38" s="114" t="s">
        <v>194</v>
      </c>
      <c r="B38" s="115"/>
      <c r="C38" s="115"/>
      <c r="D38" s="115"/>
      <c r="E38" s="115"/>
      <c r="F38" s="116"/>
    </row>
    <row r="39" spans="1:6" x14ac:dyDescent="0.2">
      <c r="A39" s="125" t="s">
        <v>717</v>
      </c>
      <c r="B39" s="106"/>
      <c r="C39" s="106"/>
      <c r="D39" s="106"/>
      <c r="E39" s="106"/>
      <c r="F39" s="107"/>
    </row>
    <row r="40" spans="1:6" x14ac:dyDescent="0.2">
      <c r="A40" s="120" t="s">
        <v>718</v>
      </c>
      <c r="B40" s="108"/>
      <c r="C40" s="108"/>
      <c r="D40" s="108"/>
      <c r="E40" s="108"/>
      <c r="F40" s="109"/>
    </row>
    <row r="42" spans="1:6" x14ac:dyDescent="0.2">
      <c r="A42" s="114" t="s">
        <v>195</v>
      </c>
      <c r="B42" s="115"/>
      <c r="C42" s="115"/>
      <c r="D42" s="115"/>
      <c r="E42" s="115"/>
      <c r="F42" s="116"/>
    </row>
    <row r="43" spans="1:6" x14ac:dyDescent="0.2">
      <c r="A43" s="105" t="s">
        <v>720</v>
      </c>
      <c r="B43" s="106"/>
      <c r="C43" s="106"/>
      <c r="D43" s="106"/>
      <c r="E43" s="106"/>
      <c r="F43" s="107"/>
    </row>
    <row r="44" spans="1:6" x14ac:dyDescent="0.2">
      <c r="A44" s="120" t="s">
        <v>719</v>
      </c>
      <c r="B44" s="108"/>
      <c r="C44" s="108"/>
      <c r="D44" s="108"/>
      <c r="E44" s="108"/>
      <c r="F44" s="109"/>
    </row>
    <row r="46" spans="1:6" x14ac:dyDescent="0.2">
      <c r="A46" s="114" t="s">
        <v>13</v>
      </c>
      <c r="B46" s="115"/>
      <c r="C46" s="115"/>
      <c r="D46" s="115"/>
      <c r="E46" s="115"/>
      <c r="F46" s="116"/>
    </row>
    <row r="47" spans="1:6" x14ac:dyDescent="0.2">
      <c r="A47" s="117" t="s">
        <v>721</v>
      </c>
      <c r="B47" s="118"/>
      <c r="C47" s="118"/>
      <c r="D47" s="118"/>
      <c r="E47" s="118"/>
      <c r="F47" s="119"/>
    </row>
    <row r="48" spans="1:6" x14ac:dyDescent="0.2">
      <c r="A48" s="117" t="s">
        <v>722</v>
      </c>
      <c r="B48" s="118"/>
      <c r="C48" s="118"/>
      <c r="D48" s="118"/>
      <c r="E48" s="118"/>
      <c r="F48" s="119"/>
    </row>
    <row r="49" spans="1:14" x14ac:dyDescent="0.2">
      <c r="A49" s="117" t="s">
        <v>723</v>
      </c>
      <c r="B49" s="118"/>
      <c r="C49" s="118"/>
      <c r="D49" s="118"/>
      <c r="E49" s="118"/>
      <c r="F49" s="119"/>
    </row>
    <row r="50" spans="1:14" x14ac:dyDescent="0.2">
      <c r="A50" s="117" t="s">
        <v>724</v>
      </c>
      <c r="B50" s="118"/>
      <c r="C50" s="118"/>
      <c r="D50" s="118"/>
      <c r="E50" s="118"/>
      <c r="F50" s="119"/>
    </row>
    <row r="51" spans="1:14" x14ac:dyDescent="0.2">
      <c r="A51" s="120" t="s">
        <v>725</v>
      </c>
      <c r="B51" s="108"/>
      <c r="C51" s="108"/>
      <c r="D51" s="108"/>
      <c r="E51" s="108"/>
      <c r="F51" s="109"/>
    </row>
    <row r="53" spans="1:14" x14ac:dyDescent="0.2">
      <c r="A53" s="22" t="s">
        <v>29</v>
      </c>
      <c r="B53" s="22">
        <v>2014</v>
      </c>
      <c r="C53" s="22">
        <v>2015</v>
      </c>
      <c r="D53" s="22">
        <v>2016</v>
      </c>
      <c r="E53" s="22">
        <v>2017</v>
      </c>
      <c r="F53" s="22">
        <v>2018</v>
      </c>
      <c r="G53" s="22">
        <v>2019</v>
      </c>
      <c r="H53" s="22">
        <v>2020</v>
      </c>
      <c r="I53" s="22">
        <v>2021</v>
      </c>
      <c r="J53" s="22">
        <v>2022</v>
      </c>
      <c r="L53" s="29" t="s">
        <v>33</v>
      </c>
      <c r="M53" s="29" t="s">
        <v>34</v>
      </c>
      <c r="N53" s="29" t="s">
        <v>35</v>
      </c>
    </row>
    <row r="54" spans="1:14" x14ac:dyDescent="0.2">
      <c r="A54" s="21" t="s">
        <v>30</v>
      </c>
      <c r="B54" s="1">
        <v>2377561</v>
      </c>
      <c r="C54" s="1">
        <v>3147323</v>
      </c>
      <c r="D54" s="1">
        <v>3563311</v>
      </c>
      <c r="E54" s="1">
        <v>4164160</v>
      </c>
      <c r="F54" s="1">
        <v>4642068</v>
      </c>
      <c r="G54" s="1">
        <v>5220051</v>
      </c>
      <c r="H54" s="1">
        <v>4613430</v>
      </c>
      <c r="I54" s="1">
        <v>6310187</v>
      </c>
      <c r="J54" s="1">
        <v>7444550</v>
      </c>
      <c r="L54" s="1">
        <f>AVERAGE(B54:J54)</f>
        <v>4609182.333333333</v>
      </c>
      <c r="M54" s="30">
        <f>_xlfn.STDEV.P(B54:J54)</f>
        <v>1480091.7737220067</v>
      </c>
      <c r="N54" s="31">
        <f>M54/L54</f>
        <v>0.32111807836675732</v>
      </c>
    </row>
    <row r="55" spans="1:14" x14ac:dyDescent="0.2">
      <c r="A55" s="21" t="s">
        <v>31</v>
      </c>
      <c r="B55" s="1">
        <v>209071</v>
      </c>
      <c r="C55" s="1">
        <v>350824</v>
      </c>
      <c r="D55" s="1">
        <v>370518</v>
      </c>
      <c r="E55" s="1">
        <v>382880</v>
      </c>
      <c r="F55" s="1">
        <v>437765</v>
      </c>
      <c r="G55" s="1">
        <v>518443</v>
      </c>
      <c r="H55" s="1">
        <v>133684</v>
      </c>
      <c r="I55" s="1">
        <v>598187</v>
      </c>
      <c r="J55" s="1">
        <v>546670</v>
      </c>
      <c r="L55" s="1">
        <f>AVERAGE(B55:J55)</f>
        <v>394226.88888888888</v>
      </c>
      <c r="M55" s="30">
        <f>_xlfn.STDEV.P(B55:J55)</f>
        <v>144107.91197065901</v>
      </c>
      <c r="N55" s="31">
        <f>M55/L55</f>
        <v>0.36554561860765211</v>
      </c>
    </row>
    <row r="56" spans="1:14" x14ac:dyDescent="0.2">
      <c r="A56" s="23" t="s">
        <v>32</v>
      </c>
      <c r="B56" s="32"/>
      <c r="C56" s="33">
        <f>C54/B54-1</f>
        <v>0.32376119897659827</v>
      </c>
      <c r="D56" s="33">
        <f t="shared" ref="D56:J56" si="4">D54/C54-1</f>
        <v>0.13217200776660043</v>
      </c>
      <c r="E56" s="33">
        <f t="shared" si="4"/>
        <v>0.16862098200241293</v>
      </c>
      <c r="F56" s="33">
        <f>F54/E54-1</f>
        <v>0.11476696380542539</v>
      </c>
      <c r="G56" s="33">
        <f t="shared" si="4"/>
        <v>0.12450980899030339</v>
      </c>
      <c r="H56" s="33">
        <f>H54/G54-1</f>
        <v>-0.11620978415728123</v>
      </c>
      <c r="I56" s="33">
        <f>I54/H54-1</f>
        <v>0.36778644089105073</v>
      </c>
      <c r="J56" s="33">
        <f t="shared" si="4"/>
        <v>0.17976693876108585</v>
      </c>
    </row>
    <row r="57" spans="1:14" x14ac:dyDescent="0.2">
      <c r="A57" s="23" t="s">
        <v>36</v>
      </c>
      <c r="B57" s="31">
        <f>B55/B54</f>
        <v>8.793507295922165E-2</v>
      </c>
      <c r="C57" s="31">
        <f>C55/C54</f>
        <v>0.11146742803328416</v>
      </c>
      <c r="D57" s="31">
        <f t="shared" ref="D57:J57" si="5">D55/D54</f>
        <v>0.10398138136132377</v>
      </c>
      <c r="E57" s="31">
        <f t="shared" si="5"/>
        <v>9.1946515023438105E-2</v>
      </c>
      <c r="F57" s="31">
        <f t="shared" si="5"/>
        <v>9.4303874910923319E-2</v>
      </c>
      <c r="G57" s="31">
        <f t="shared" si="5"/>
        <v>9.9317612030993568E-2</v>
      </c>
      <c r="H57" s="31">
        <f t="shared" si="5"/>
        <v>2.8977138484814986E-2</v>
      </c>
      <c r="I57" s="31">
        <f t="shared" si="5"/>
        <v>9.4797032164023035E-2</v>
      </c>
      <c r="J57" s="31">
        <f t="shared" si="5"/>
        <v>7.343224237865284E-2</v>
      </c>
    </row>
    <row r="59" spans="1:14" x14ac:dyDescent="0.2">
      <c r="A59" s="122" t="s">
        <v>14</v>
      </c>
      <c r="B59" s="123"/>
      <c r="C59" s="123"/>
      <c r="D59" s="123"/>
      <c r="E59" s="123"/>
      <c r="F59" s="124"/>
    </row>
    <row r="60" spans="1:14" x14ac:dyDescent="0.2">
      <c r="A60" s="105" t="s">
        <v>726</v>
      </c>
      <c r="B60" s="106"/>
      <c r="C60" s="106"/>
      <c r="D60" s="106"/>
      <c r="E60" s="106"/>
      <c r="F60" s="107"/>
    </row>
    <row r="61" spans="1:14" x14ac:dyDescent="0.2">
      <c r="A61" s="120" t="s">
        <v>727</v>
      </c>
      <c r="B61" s="108"/>
      <c r="C61" s="108"/>
      <c r="D61" s="108"/>
      <c r="E61" s="108"/>
      <c r="F61" s="109"/>
    </row>
    <row r="63" spans="1:14" x14ac:dyDescent="0.2">
      <c r="A63" s="15" t="s">
        <v>699</v>
      </c>
    </row>
  </sheetData>
  <mergeCells count="29">
    <mergeCell ref="A42:F42"/>
    <mergeCell ref="A43:F43"/>
    <mergeCell ref="A44:F44"/>
    <mergeCell ref="A38:F38"/>
    <mergeCell ref="A39:F39"/>
    <mergeCell ref="A40:F40"/>
    <mergeCell ref="A51:F51"/>
    <mergeCell ref="A59:F59"/>
    <mergeCell ref="A60:F60"/>
    <mergeCell ref="A61:F61"/>
    <mergeCell ref="A46:F46"/>
    <mergeCell ref="A47:F47"/>
    <mergeCell ref="A48:F48"/>
    <mergeCell ref="A49:F49"/>
    <mergeCell ref="A50:F50"/>
    <mergeCell ref="A1:D1"/>
    <mergeCell ref="A2:D2"/>
    <mergeCell ref="A33:F33"/>
    <mergeCell ref="A34:F34"/>
    <mergeCell ref="A36:F36"/>
    <mergeCell ref="A5:B5"/>
    <mergeCell ref="A4:B4"/>
    <mergeCell ref="A27:F27"/>
    <mergeCell ref="A28:F28"/>
    <mergeCell ref="A29:F29"/>
    <mergeCell ref="A30:F30"/>
    <mergeCell ref="A31:F31"/>
    <mergeCell ref="A14:G14"/>
    <mergeCell ref="A35:F35"/>
  </mergeCells>
  <conditionalFormatting sqref="B16:G16">
    <cfRule type="colorScale" priority="11">
      <colorScale>
        <cfvo type="min"/>
        <cfvo type="percentile" val="50"/>
        <cfvo type="max"/>
        <color rgb="FFFFC9E4"/>
        <color rgb="FFFFF8D5"/>
        <color rgb="FFC1FFD6"/>
      </colorScale>
    </cfRule>
  </conditionalFormatting>
  <conditionalFormatting sqref="B17:G17">
    <cfRule type="colorScale" priority="8">
      <colorScale>
        <cfvo type="min"/>
        <cfvo type="percentile" val="50"/>
        <cfvo type="max"/>
        <color rgb="FFFFC9E4"/>
        <color rgb="FFFFF8D5"/>
        <color rgb="FFC1FFD6"/>
      </colorScale>
    </cfRule>
    <cfRule type="colorScale" priority="9">
      <colorScale>
        <cfvo type="min"/>
        <cfvo type="percentile" val="50"/>
        <cfvo type="max"/>
        <color rgb="FFF8696B"/>
        <color rgb="FFFFEB84"/>
        <color rgb="FF63BE7B"/>
      </colorScale>
    </cfRule>
    <cfRule type="colorScale" priority="10">
      <colorScale>
        <cfvo type="min"/>
        <cfvo type="percentile" val="50"/>
        <cfvo type="max"/>
        <color rgb="FF63BE7B"/>
        <color rgb="FFFFEB84"/>
        <color rgb="FFF8696B"/>
      </colorScale>
    </cfRule>
  </conditionalFormatting>
  <conditionalFormatting sqref="B18:G18">
    <cfRule type="colorScale" priority="5">
      <colorScale>
        <cfvo type="min"/>
        <cfvo type="percentile" val="50"/>
        <cfvo type="max"/>
        <color rgb="FFFFC9E4"/>
        <color rgb="FFFFF8D5"/>
        <color rgb="FFC1FFD6"/>
      </colorScale>
    </cfRule>
    <cfRule type="colorScale" priority="6">
      <colorScale>
        <cfvo type="min"/>
        <cfvo type="percentile" val="50"/>
        <cfvo type="max"/>
        <color rgb="FFF8696B"/>
        <color rgb="FFFFEB84"/>
        <color rgb="FF63BE7B"/>
      </colorScale>
    </cfRule>
    <cfRule type="colorScale" priority="7">
      <colorScale>
        <cfvo type="min"/>
        <cfvo type="percentile" val="50"/>
        <cfvo type="max"/>
        <color rgb="FF63BE7B"/>
        <color rgb="FFFFEB84"/>
        <color rgb="FFF8696B"/>
      </colorScale>
    </cfRule>
  </conditionalFormatting>
  <conditionalFormatting sqref="B19:G25">
    <cfRule type="colorScale" priority="2">
      <colorScale>
        <cfvo type="min"/>
        <cfvo type="percentile" val="50"/>
        <cfvo type="max"/>
        <color rgb="FFFFC9E4"/>
        <color rgb="FFFFF8D5"/>
        <color rgb="FFC1FFD6"/>
      </colorScale>
    </cfRule>
  </conditionalFormatting>
  <pageMargins left="0.7" right="0.7" top="0.75" bottom="0.75" header="0.3" footer="0.3"/>
  <pageSetup paperSize="9" orientation="portrait" horizontalDpi="360" verticalDpi="36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71F6EA-D02B-480C-BBBC-51378D822E27}">
  <dimension ref="A1:O372"/>
  <sheetViews>
    <sheetView tabSelected="1" workbookViewId="0">
      <selection activeCell="Y28" sqref="Y28"/>
    </sheetView>
  </sheetViews>
  <sheetFormatPr defaultRowHeight="14.4" x14ac:dyDescent="0.3"/>
  <cols>
    <col min="1" max="1" width="11.88671875" bestFit="1" customWidth="1"/>
    <col min="2" max="2" width="16.5546875" bestFit="1" customWidth="1"/>
    <col min="3" max="3" width="11.21875" bestFit="1" customWidth="1"/>
    <col min="4" max="4" width="13.44140625" bestFit="1" customWidth="1"/>
    <col min="5" max="5" width="23.44140625" bestFit="1" customWidth="1"/>
    <col min="6" max="6" width="9.33203125" customWidth="1"/>
    <col min="7" max="7" width="12.21875" customWidth="1"/>
    <col min="8" max="8" width="16.5546875" bestFit="1" customWidth="1"/>
    <col min="9" max="9" width="11.21875" bestFit="1" customWidth="1"/>
    <col min="10" max="10" width="13.44140625" bestFit="1" customWidth="1"/>
    <col min="11" max="11" width="23.44140625" bestFit="1" customWidth="1"/>
    <col min="13" max="13" width="11.88671875" bestFit="1" customWidth="1"/>
  </cols>
  <sheetData>
    <row r="1" spans="1:15" x14ac:dyDescent="0.3">
      <c r="A1" s="128" t="s">
        <v>17</v>
      </c>
      <c r="B1" s="129"/>
      <c r="C1" s="129"/>
      <c r="D1" s="129"/>
      <c r="E1" s="130"/>
      <c r="G1" s="128" t="s">
        <v>459</v>
      </c>
      <c r="H1" s="129"/>
      <c r="I1" s="129"/>
      <c r="J1" s="129"/>
      <c r="K1" s="130"/>
    </row>
    <row r="2" spans="1:15" x14ac:dyDescent="0.3">
      <c r="A2" s="98" t="s">
        <v>733</v>
      </c>
      <c r="B2" s="98" t="s">
        <v>734</v>
      </c>
      <c r="C2" s="98" t="s">
        <v>735</v>
      </c>
      <c r="D2" s="98" t="s">
        <v>736</v>
      </c>
      <c r="E2" s="98" t="s">
        <v>737</v>
      </c>
      <c r="G2" s="98" t="s">
        <v>733</v>
      </c>
      <c r="H2" s="98" t="s">
        <v>734</v>
      </c>
      <c r="I2" s="98" t="s">
        <v>735</v>
      </c>
      <c r="J2" s="98" t="s">
        <v>736</v>
      </c>
      <c r="K2" s="98" t="s">
        <v>737</v>
      </c>
      <c r="M2" s="98" t="s">
        <v>733</v>
      </c>
      <c r="N2" s="98" t="s">
        <v>17</v>
      </c>
      <c r="O2" s="98" t="s">
        <v>459</v>
      </c>
    </row>
    <row r="3" spans="1:15" x14ac:dyDescent="0.3">
      <c r="A3" s="100" t="s">
        <v>697</v>
      </c>
      <c r="B3" s="60">
        <v>48.49</v>
      </c>
      <c r="C3" s="60"/>
      <c r="D3" s="60"/>
      <c r="E3" s="60"/>
      <c r="G3" s="100" t="s">
        <v>697</v>
      </c>
      <c r="H3" s="60">
        <v>4016.95</v>
      </c>
      <c r="I3" s="60"/>
      <c r="J3" s="60"/>
      <c r="K3" s="60"/>
      <c r="M3" s="100" t="s">
        <v>697</v>
      </c>
      <c r="N3" s="60"/>
      <c r="O3" s="60"/>
    </row>
    <row r="4" spans="1:15" x14ac:dyDescent="0.3">
      <c r="A4" s="100" t="s">
        <v>696</v>
      </c>
      <c r="B4" s="60">
        <v>48.11</v>
      </c>
      <c r="C4" s="77">
        <f>(B4-B3)/B3</f>
        <v>-7.83666735409368E-3</v>
      </c>
      <c r="D4" s="60"/>
      <c r="E4" s="60"/>
      <c r="G4" s="100" t="s">
        <v>696</v>
      </c>
      <c r="H4" s="60">
        <v>4016.22</v>
      </c>
      <c r="I4" s="77">
        <f>(H4-H3)/H3</f>
        <v>-1.8172991946626625E-4</v>
      </c>
      <c r="J4" s="60"/>
      <c r="K4" s="60"/>
      <c r="M4" s="100" t="s">
        <v>696</v>
      </c>
      <c r="N4" s="77">
        <v>-7.83666735409368E-3</v>
      </c>
      <c r="O4" s="77">
        <v>-1.8172991946626625E-4</v>
      </c>
    </row>
    <row r="5" spans="1:15" x14ac:dyDescent="0.3">
      <c r="A5" s="100" t="s">
        <v>695</v>
      </c>
      <c r="B5" s="60">
        <v>47.89</v>
      </c>
      <c r="C5" s="77">
        <f>(B5-B4)/B4</f>
        <v>-4.5728538765329218E-3</v>
      </c>
      <c r="D5" s="60"/>
      <c r="E5" s="60"/>
      <c r="G5" s="100" t="s">
        <v>695</v>
      </c>
      <c r="H5" s="60">
        <v>4060.43</v>
      </c>
      <c r="I5" s="77">
        <f t="shared" ref="I5:I68" si="0">(H5-H4)/H4</f>
        <v>1.1007863115068408E-2</v>
      </c>
      <c r="J5" s="60"/>
      <c r="K5" s="60"/>
      <c r="M5" s="100" t="s">
        <v>695</v>
      </c>
      <c r="N5" s="77">
        <v>-4.5728538765329218E-3</v>
      </c>
      <c r="O5" s="77">
        <v>1.1007863115068408E-2</v>
      </c>
    </row>
    <row r="6" spans="1:15" x14ac:dyDescent="0.3">
      <c r="A6" s="100" t="s">
        <v>694</v>
      </c>
      <c r="B6" s="60">
        <v>47.48</v>
      </c>
      <c r="C6" s="77">
        <f t="shared" ref="C6:C69" si="1">(B6-B5)/B5</f>
        <v>-8.5612862810608408E-3</v>
      </c>
      <c r="D6" s="60"/>
      <c r="E6" s="60"/>
      <c r="G6" s="100" t="s">
        <v>694</v>
      </c>
      <c r="H6" s="60">
        <v>4070.56</v>
      </c>
      <c r="I6" s="77">
        <f t="shared" si="0"/>
        <v>2.4948096630160129E-3</v>
      </c>
      <c r="J6" s="60"/>
      <c r="K6" s="60"/>
      <c r="M6" s="100" t="s">
        <v>694</v>
      </c>
      <c r="N6" s="77">
        <v>-8.5612862810608408E-3</v>
      </c>
      <c r="O6" s="77">
        <v>2.4948096630160129E-3</v>
      </c>
    </row>
    <row r="7" spans="1:15" x14ac:dyDescent="0.3">
      <c r="A7" s="100" t="s">
        <v>312</v>
      </c>
      <c r="B7" s="60">
        <v>47.65</v>
      </c>
      <c r="C7" s="77">
        <f t="shared" si="1"/>
        <v>3.5804549283909378E-3</v>
      </c>
      <c r="D7" s="60"/>
      <c r="E7" s="60"/>
      <c r="G7" s="100" t="s">
        <v>312</v>
      </c>
      <c r="H7" s="60">
        <v>4017.77</v>
      </c>
      <c r="I7" s="77">
        <f t="shared" si="0"/>
        <v>-1.2968731575016696E-2</v>
      </c>
      <c r="J7" s="60"/>
      <c r="K7" s="60"/>
      <c r="M7" s="100" t="s">
        <v>312</v>
      </c>
      <c r="N7" s="77">
        <v>3.5804549283909378E-3</v>
      </c>
      <c r="O7" s="77">
        <v>-1.2968731575016696E-2</v>
      </c>
    </row>
    <row r="8" spans="1:15" x14ac:dyDescent="0.3">
      <c r="A8" s="100" t="s">
        <v>693</v>
      </c>
      <c r="B8" s="60">
        <v>48.15</v>
      </c>
      <c r="C8" s="77">
        <f t="shared" si="1"/>
        <v>1.0493179433368312E-2</v>
      </c>
      <c r="D8" s="77">
        <f>(B8-B3)/B3</f>
        <v>-7.0117550010312104E-3</v>
      </c>
      <c r="E8" s="77">
        <f>($B$254-B8)/B8</f>
        <v>0.27310488058151605</v>
      </c>
      <c r="G8" s="100" t="s">
        <v>693</v>
      </c>
      <c r="H8" s="60">
        <v>4076.6</v>
      </c>
      <c r="I8" s="77">
        <f t="shared" si="0"/>
        <v>1.4642450911824203E-2</v>
      </c>
      <c r="J8" s="77">
        <f>(H8-H3)/H3</f>
        <v>1.4849574926250039E-2</v>
      </c>
      <c r="K8" s="77">
        <f>($H$254-H8)/H8</f>
        <v>0.19426728155816128</v>
      </c>
      <c r="M8" s="100" t="s">
        <v>693</v>
      </c>
      <c r="N8" s="77">
        <v>1.0493179433368312E-2</v>
      </c>
      <c r="O8" s="77">
        <v>1.4642450911824203E-2</v>
      </c>
    </row>
    <row r="9" spans="1:15" x14ac:dyDescent="0.3">
      <c r="A9" s="100" t="s">
        <v>692</v>
      </c>
      <c r="B9" s="60">
        <v>49.22</v>
      </c>
      <c r="C9" s="77">
        <f t="shared" si="1"/>
        <v>2.222222222222223E-2</v>
      </c>
      <c r="D9" s="60"/>
      <c r="E9" s="60"/>
      <c r="G9" s="100" t="s">
        <v>692</v>
      </c>
      <c r="H9" s="60">
        <v>4119.21</v>
      </c>
      <c r="I9" s="77">
        <f t="shared" si="0"/>
        <v>1.045233773242411E-2</v>
      </c>
      <c r="J9" s="60"/>
      <c r="K9" s="60"/>
      <c r="M9" s="100" t="s">
        <v>692</v>
      </c>
      <c r="N9" s="77">
        <v>2.222222222222223E-2</v>
      </c>
      <c r="O9" s="77">
        <v>1.045233773242411E-2</v>
      </c>
    </row>
    <row r="10" spans="1:15" x14ac:dyDescent="0.3">
      <c r="A10" s="100" t="s">
        <v>691</v>
      </c>
      <c r="B10" s="60">
        <v>49.18</v>
      </c>
      <c r="C10" s="77">
        <f t="shared" si="1"/>
        <v>-8.1267777326288399E-4</v>
      </c>
      <c r="D10" s="60"/>
      <c r="E10" s="60"/>
      <c r="G10" s="100" t="s">
        <v>691</v>
      </c>
      <c r="H10" s="60">
        <v>4179.76</v>
      </c>
      <c r="I10" s="77">
        <f t="shared" si="0"/>
        <v>1.4699420519954112E-2</v>
      </c>
      <c r="J10" s="60"/>
      <c r="K10" s="60"/>
      <c r="M10" s="100" t="s">
        <v>691</v>
      </c>
      <c r="N10" s="77">
        <v>-8.1267777326288399E-4</v>
      </c>
      <c r="O10" s="77">
        <v>1.4699420519954112E-2</v>
      </c>
    </row>
    <row r="11" spans="1:15" x14ac:dyDescent="0.3">
      <c r="A11" s="100" t="s">
        <v>690</v>
      </c>
      <c r="B11" s="60">
        <v>44.68</v>
      </c>
      <c r="C11" s="77">
        <f t="shared" si="1"/>
        <v>-9.1500610004066688E-2</v>
      </c>
      <c r="D11" s="60"/>
      <c r="E11" s="60"/>
      <c r="G11" s="100" t="s">
        <v>690</v>
      </c>
      <c r="H11" s="60">
        <v>4136.4799999999996</v>
      </c>
      <c r="I11" s="77">
        <f t="shared" si="0"/>
        <v>-1.0354661511665898E-2</v>
      </c>
      <c r="J11" s="60"/>
      <c r="K11" s="60"/>
      <c r="M11" s="100" t="s">
        <v>690</v>
      </c>
      <c r="N11" s="77">
        <v>-9.1500610004066688E-2</v>
      </c>
      <c r="O11" s="77">
        <v>-1.0354661511665898E-2</v>
      </c>
    </row>
    <row r="12" spans="1:15" x14ac:dyDescent="0.3">
      <c r="A12" s="100" t="s">
        <v>311</v>
      </c>
      <c r="B12" s="60">
        <v>44.79</v>
      </c>
      <c r="C12" s="77">
        <f t="shared" si="1"/>
        <v>2.4619516562220107E-3</v>
      </c>
      <c r="D12" s="60"/>
      <c r="E12" s="60"/>
      <c r="G12" s="100" t="s">
        <v>311</v>
      </c>
      <c r="H12" s="60">
        <v>4111.08</v>
      </c>
      <c r="I12" s="77">
        <f t="shared" si="0"/>
        <v>-6.1404865973000329E-3</v>
      </c>
      <c r="J12" s="60"/>
      <c r="K12" s="60"/>
      <c r="M12" s="100" t="s">
        <v>311</v>
      </c>
      <c r="N12" s="77">
        <v>2.4619516562220107E-3</v>
      </c>
      <c r="O12" s="77">
        <v>-6.1404865973000329E-3</v>
      </c>
    </row>
    <row r="13" spans="1:15" x14ac:dyDescent="0.3">
      <c r="A13" s="100" t="s">
        <v>689</v>
      </c>
      <c r="B13" s="60">
        <v>45.01</v>
      </c>
      <c r="C13" s="77">
        <f t="shared" si="1"/>
        <v>4.9118106720249799E-3</v>
      </c>
      <c r="D13" s="60"/>
      <c r="E13" s="60"/>
      <c r="G13" s="100" t="s">
        <v>689</v>
      </c>
      <c r="H13" s="60">
        <v>4164</v>
      </c>
      <c r="I13" s="77">
        <f t="shared" si="0"/>
        <v>1.2872529846171828E-2</v>
      </c>
      <c r="J13" s="60"/>
      <c r="K13" s="60"/>
      <c r="M13" s="100" t="s">
        <v>689</v>
      </c>
      <c r="N13" s="77">
        <v>4.9118106720249799E-3</v>
      </c>
      <c r="O13" s="77">
        <v>1.2872529846171828E-2</v>
      </c>
    </row>
    <row r="14" spans="1:15" x14ac:dyDescent="0.3">
      <c r="A14" s="100" t="s">
        <v>688</v>
      </c>
      <c r="B14" s="60">
        <v>44.19</v>
      </c>
      <c r="C14" s="77">
        <f t="shared" si="1"/>
        <v>-1.8218173739169081E-2</v>
      </c>
      <c r="D14" s="77">
        <f>(B14-B9)/B9</f>
        <v>-0.10219422998780986</v>
      </c>
      <c r="E14" s="77">
        <f>($B$254-B14)/B14</f>
        <v>0.38719167232405521</v>
      </c>
      <c r="G14" s="100" t="s">
        <v>688</v>
      </c>
      <c r="H14" s="60">
        <v>4117.8599999999997</v>
      </c>
      <c r="I14" s="77">
        <f t="shared" si="0"/>
        <v>-1.1080691642651375E-2</v>
      </c>
      <c r="J14" s="77">
        <f>(H14-H9)/H9</f>
        <v>-3.2773274487107087E-4</v>
      </c>
      <c r="K14" s="77">
        <f>($H$254-H14)/H14</f>
        <v>0.18230100100537672</v>
      </c>
      <c r="M14" s="100" t="s">
        <v>688</v>
      </c>
      <c r="N14" s="77">
        <v>-1.8218173739169081E-2</v>
      </c>
      <c r="O14" s="77">
        <v>-1.1080691642651375E-2</v>
      </c>
    </row>
    <row r="15" spans="1:15" x14ac:dyDescent="0.3">
      <c r="A15" s="100" t="s">
        <v>687</v>
      </c>
      <c r="B15" s="60">
        <v>44.11</v>
      </c>
      <c r="C15" s="77">
        <f t="shared" si="1"/>
        <v>-1.8103643358225458E-3</v>
      </c>
      <c r="D15" s="60"/>
      <c r="E15" s="60"/>
      <c r="G15" s="100" t="s">
        <v>687</v>
      </c>
      <c r="H15" s="60">
        <v>4081.5</v>
      </c>
      <c r="I15" s="77">
        <f t="shared" si="0"/>
        <v>-8.8298290859814745E-3</v>
      </c>
      <c r="J15" s="60"/>
      <c r="K15" s="60"/>
      <c r="M15" s="100" t="s">
        <v>687</v>
      </c>
      <c r="N15" s="77">
        <v>-1.8103643358225458E-3</v>
      </c>
      <c r="O15" s="77">
        <v>-8.8298290859814745E-3</v>
      </c>
    </row>
    <row r="16" spans="1:15" x14ac:dyDescent="0.3">
      <c r="A16" s="100" t="s">
        <v>686</v>
      </c>
      <c r="B16" s="60">
        <v>43.78</v>
      </c>
      <c r="C16" s="77">
        <f t="shared" si="1"/>
        <v>-7.4812967581046998E-3</v>
      </c>
      <c r="D16" s="60"/>
      <c r="E16" s="60"/>
      <c r="G16" s="100" t="s">
        <v>686</v>
      </c>
      <c r="H16" s="60">
        <v>4090.46</v>
      </c>
      <c r="I16" s="77">
        <f t="shared" si="0"/>
        <v>2.1952713463187644E-3</v>
      </c>
      <c r="J16" s="60"/>
      <c r="K16" s="60"/>
      <c r="M16" s="100" t="s">
        <v>686</v>
      </c>
      <c r="N16" s="77">
        <v>-7.4812967581046998E-3</v>
      </c>
      <c r="O16" s="77">
        <v>2.1952713463187644E-3</v>
      </c>
    </row>
    <row r="17" spans="1:15" x14ac:dyDescent="0.3">
      <c r="A17" s="100" t="s">
        <v>310</v>
      </c>
      <c r="B17" s="60">
        <v>44.75</v>
      </c>
      <c r="C17" s="77">
        <f t="shared" si="1"/>
        <v>2.2156235724074894E-2</v>
      </c>
      <c r="D17" s="60"/>
      <c r="E17" s="60"/>
      <c r="G17" s="100" t="s">
        <v>310</v>
      </c>
      <c r="H17" s="60">
        <v>4137.29</v>
      </c>
      <c r="I17" s="77">
        <f t="shared" si="0"/>
        <v>1.1448590134116927E-2</v>
      </c>
      <c r="J17" s="60"/>
      <c r="K17" s="60"/>
      <c r="M17" s="100" t="s">
        <v>310</v>
      </c>
      <c r="N17" s="77">
        <v>2.2156235724074894E-2</v>
      </c>
      <c r="O17" s="77">
        <v>1.1448590134116927E-2</v>
      </c>
    </row>
    <row r="18" spans="1:15" x14ac:dyDescent="0.3">
      <c r="A18" s="100" t="s">
        <v>685</v>
      </c>
      <c r="B18" s="60">
        <v>45.07</v>
      </c>
      <c r="C18" s="77">
        <f t="shared" si="1"/>
        <v>7.1508379888268218E-3</v>
      </c>
      <c r="D18" s="60"/>
      <c r="E18" s="60"/>
      <c r="G18" s="100" t="s">
        <v>685</v>
      </c>
      <c r="H18" s="60">
        <v>4136.13</v>
      </c>
      <c r="I18" s="77">
        <f t="shared" si="0"/>
        <v>-2.8037676836766446E-4</v>
      </c>
      <c r="J18" s="60"/>
      <c r="K18" s="60"/>
      <c r="M18" s="100" t="s">
        <v>685</v>
      </c>
      <c r="N18" s="77">
        <v>7.1508379888268218E-3</v>
      </c>
      <c r="O18" s="77">
        <v>-2.8037676836766446E-4</v>
      </c>
    </row>
    <row r="19" spans="1:15" x14ac:dyDescent="0.3">
      <c r="A19" s="100" t="s">
        <v>684</v>
      </c>
      <c r="B19" s="60">
        <v>45.33</v>
      </c>
      <c r="C19" s="77">
        <f t="shared" si="1"/>
        <v>5.7688040825382295E-3</v>
      </c>
      <c r="D19" s="60"/>
      <c r="E19" s="60"/>
      <c r="G19" s="100" t="s">
        <v>684</v>
      </c>
      <c r="H19" s="60">
        <v>4147.6000000000004</v>
      </c>
      <c r="I19" s="77">
        <f t="shared" si="0"/>
        <v>2.7731236687435486E-3</v>
      </c>
      <c r="J19" s="60"/>
      <c r="K19" s="60"/>
      <c r="M19" s="100" t="s">
        <v>684</v>
      </c>
      <c r="N19" s="77">
        <v>5.7688040825382295E-3</v>
      </c>
      <c r="O19" s="77">
        <v>2.7731236687435486E-3</v>
      </c>
    </row>
    <row r="20" spans="1:15" x14ac:dyDescent="0.3">
      <c r="A20" s="100" t="s">
        <v>683</v>
      </c>
      <c r="B20" s="60">
        <v>44.58</v>
      </c>
      <c r="C20" s="77">
        <f t="shared" si="1"/>
        <v>-1.6545334215751158E-2</v>
      </c>
      <c r="D20" s="77">
        <f>(B20-B15)/B15</f>
        <v>1.0655180231240057E-2</v>
      </c>
      <c r="E20" s="77">
        <f>($B$254-B20)/B20</f>
        <v>0.37505607895917453</v>
      </c>
      <c r="G20" s="100" t="s">
        <v>683</v>
      </c>
      <c r="H20" s="60">
        <v>4090.41</v>
      </c>
      <c r="I20" s="77">
        <f t="shared" si="0"/>
        <v>-1.3788697077828264E-2</v>
      </c>
      <c r="J20" s="77">
        <f>(H20-H15)/H15</f>
        <v>2.1830209481807803E-3</v>
      </c>
      <c r="K20" s="77">
        <f>($H$254-H20)/H20</f>
        <v>0.19023520869546093</v>
      </c>
      <c r="M20" s="100" t="s">
        <v>683</v>
      </c>
      <c r="N20" s="77">
        <v>-1.6545334215751158E-2</v>
      </c>
      <c r="O20" s="77">
        <v>-1.3788697077828264E-2</v>
      </c>
    </row>
    <row r="21" spans="1:15" x14ac:dyDescent="0.3">
      <c r="A21" s="100" t="s">
        <v>682</v>
      </c>
      <c r="B21" s="60">
        <v>44.72</v>
      </c>
      <c r="C21" s="77">
        <f t="shared" si="1"/>
        <v>3.1404217137730051E-3</v>
      </c>
      <c r="D21" s="60"/>
      <c r="E21" s="60"/>
      <c r="G21" s="100" t="s">
        <v>682</v>
      </c>
      <c r="H21" s="60">
        <v>4079.09</v>
      </c>
      <c r="I21" s="77">
        <f t="shared" si="0"/>
        <v>-2.7674487398573026E-3</v>
      </c>
      <c r="J21" s="60"/>
      <c r="K21" s="60"/>
      <c r="M21" s="100" t="s">
        <v>682</v>
      </c>
      <c r="N21" s="77">
        <v>3.1404217137730051E-3</v>
      </c>
      <c r="O21" s="77">
        <v>-2.7674487398573026E-3</v>
      </c>
    </row>
    <row r="22" spans="1:15" x14ac:dyDescent="0.3">
      <c r="A22" s="100" t="s">
        <v>681</v>
      </c>
      <c r="B22" s="60">
        <v>43.54</v>
      </c>
      <c r="C22" s="77">
        <f t="shared" si="1"/>
        <v>-2.6386404293381033E-2</v>
      </c>
      <c r="D22" s="60"/>
      <c r="E22" s="60"/>
      <c r="G22" s="100" t="s">
        <v>681</v>
      </c>
      <c r="H22" s="60">
        <v>3997.34</v>
      </c>
      <c r="I22" s="77">
        <f t="shared" si="0"/>
        <v>-2.0041234687148357E-2</v>
      </c>
      <c r="J22" s="60"/>
      <c r="K22" s="60"/>
      <c r="M22" s="100" t="s">
        <v>681</v>
      </c>
      <c r="N22" s="77">
        <v>-2.6386404293381033E-2</v>
      </c>
      <c r="O22" s="77">
        <v>-2.0041234687148357E-2</v>
      </c>
    </row>
    <row r="23" spans="1:15" x14ac:dyDescent="0.3">
      <c r="A23" s="100" t="s">
        <v>680</v>
      </c>
      <c r="B23" s="60">
        <v>43.89</v>
      </c>
      <c r="C23" s="77">
        <f t="shared" si="1"/>
        <v>8.0385852090032479E-3</v>
      </c>
      <c r="D23" s="60"/>
      <c r="E23" s="60"/>
      <c r="G23" s="100" t="s">
        <v>680</v>
      </c>
      <c r="H23" s="60">
        <v>3991.05</v>
      </c>
      <c r="I23" s="77">
        <f t="shared" si="0"/>
        <v>-1.5735464083615513E-3</v>
      </c>
      <c r="J23" s="60"/>
      <c r="K23" s="60"/>
      <c r="M23" s="100" t="s">
        <v>680</v>
      </c>
      <c r="N23" s="77">
        <v>8.0385852090032479E-3</v>
      </c>
      <c r="O23" s="77">
        <v>-1.5735464083615513E-3</v>
      </c>
    </row>
    <row r="24" spans="1:15" x14ac:dyDescent="0.3">
      <c r="A24" s="100" t="s">
        <v>679</v>
      </c>
      <c r="B24" s="60">
        <v>44.24</v>
      </c>
      <c r="C24" s="77">
        <f t="shared" si="1"/>
        <v>7.9744816586922174E-3</v>
      </c>
      <c r="D24" s="60"/>
      <c r="E24" s="60"/>
      <c r="G24" s="100" t="s">
        <v>679</v>
      </c>
      <c r="H24" s="60">
        <v>4012.32</v>
      </c>
      <c r="I24" s="77">
        <f t="shared" si="0"/>
        <v>5.3294245875145588E-3</v>
      </c>
      <c r="J24" s="60"/>
      <c r="K24" s="60"/>
      <c r="M24" s="100" t="s">
        <v>679</v>
      </c>
      <c r="N24" s="77">
        <v>7.9744816586922174E-3</v>
      </c>
      <c r="O24" s="77">
        <v>5.3294245875145588E-3</v>
      </c>
    </row>
    <row r="25" spans="1:15" x14ac:dyDescent="0.3">
      <c r="A25" s="100" t="s">
        <v>678</v>
      </c>
      <c r="B25" s="60">
        <v>43.88</v>
      </c>
      <c r="C25" s="77">
        <f t="shared" si="1"/>
        <v>-8.1374321880650861E-3</v>
      </c>
      <c r="D25" s="60"/>
      <c r="E25" s="60"/>
      <c r="G25" s="100" t="s">
        <v>678</v>
      </c>
      <c r="H25" s="60">
        <v>3970.04</v>
      </c>
      <c r="I25" s="77">
        <f t="shared" si="0"/>
        <v>-1.0537544363360898E-2</v>
      </c>
      <c r="J25" s="60"/>
      <c r="K25" s="60"/>
      <c r="M25" s="100" t="s">
        <v>678</v>
      </c>
      <c r="N25" s="77">
        <v>-8.1374321880650861E-3</v>
      </c>
      <c r="O25" s="77">
        <v>-1.0537544363360898E-2</v>
      </c>
    </row>
    <row r="26" spans="1:15" x14ac:dyDescent="0.3">
      <c r="A26" s="100" t="s">
        <v>308</v>
      </c>
      <c r="B26" s="60">
        <v>43.94</v>
      </c>
      <c r="C26" s="77">
        <f t="shared" si="1"/>
        <v>1.3673655423882215E-3</v>
      </c>
      <c r="D26" s="77">
        <f>(B26-B21)/B21</f>
        <v>-1.7441860465116307E-2</v>
      </c>
      <c r="E26" s="77">
        <f>($B$254-B26)/B26</f>
        <v>0.39508420573509334</v>
      </c>
      <c r="G26" s="100" t="s">
        <v>308</v>
      </c>
      <c r="H26" s="60">
        <v>3982.24</v>
      </c>
      <c r="I26" s="77">
        <f t="shared" si="0"/>
        <v>3.0730168965551526E-3</v>
      </c>
      <c r="J26" s="77">
        <f>(H26-H21)/H21</f>
        <v>-2.374304072722111E-2</v>
      </c>
      <c r="K26" s="77">
        <f>($H$254-H26)/H26</f>
        <v>0.22256569167101944</v>
      </c>
      <c r="M26" s="100" t="s">
        <v>308</v>
      </c>
      <c r="N26" s="77">
        <v>1.3673655423882215E-3</v>
      </c>
      <c r="O26" s="77">
        <v>3.0730168965551526E-3</v>
      </c>
    </row>
    <row r="27" spans="1:15" x14ac:dyDescent="0.3">
      <c r="A27" s="100" t="s">
        <v>677</v>
      </c>
      <c r="B27" s="60">
        <v>44.51</v>
      </c>
      <c r="C27" s="77">
        <f t="shared" si="1"/>
        <v>1.2972234865725997E-2</v>
      </c>
      <c r="D27" s="60"/>
      <c r="E27" s="60"/>
      <c r="G27" s="100" t="s">
        <v>677</v>
      </c>
      <c r="H27" s="60">
        <v>3970.15</v>
      </c>
      <c r="I27" s="77">
        <f t="shared" si="0"/>
        <v>-3.0359797500903239E-3</v>
      </c>
      <c r="J27" s="60"/>
      <c r="K27" s="60"/>
      <c r="M27" s="100" t="s">
        <v>677</v>
      </c>
      <c r="N27" s="77">
        <v>1.2972234865725997E-2</v>
      </c>
      <c r="O27" s="77">
        <v>-3.0359797500903239E-3</v>
      </c>
    </row>
    <row r="28" spans="1:15" x14ac:dyDescent="0.3">
      <c r="A28" s="100" t="s">
        <v>676</v>
      </c>
      <c r="B28" s="60">
        <v>45.32</v>
      </c>
      <c r="C28" s="77">
        <f t="shared" si="1"/>
        <v>1.8198157717366936E-2</v>
      </c>
      <c r="D28" s="60"/>
      <c r="E28" s="60"/>
      <c r="G28" s="100" t="s">
        <v>676</v>
      </c>
      <c r="H28" s="60">
        <v>3951.39</v>
      </c>
      <c r="I28" s="77">
        <f t="shared" si="0"/>
        <v>-4.7252622696875978E-3</v>
      </c>
      <c r="J28" s="60"/>
      <c r="K28" s="60"/>
      <c r="M28" s="100" t="s">
        <v>676</v>
      </c>
      <c r="N28" s="77">
        <v>1.8198157717366936E-2</v>
      </c>
      <c r="O28" s="77">
        <v>-4.7252622696875978E-3</v>
      </c>
    </row>
    <row r="29" spans="1:15" x14ac:dyDescent="0.3">
      <c r="A29" s="100" t="s">
        <v>675</v>
      </c>
      <c r="B29" s="60">
        <v>45.94</v>
      </c>
      <c r="C29" s="77">
        <f t="shared" si="1"/>
        <v>1.3680494263018478E-2</v>
      </c>
      <c r="D29" s="60"/>
      <c r="E29" s="60"/>
      <c r="G29" s="100" t="s">
        <v>675</v>
      </c>
      <c r="H29" s="60">
        <v>3981.35</v>
      </c>
      <c r="I29" s="77">
        <f t="shared" si="0"/>
        <v>7.5821419804170277E-3</v>
      </c>
      <c r="J29" s="60"/>
      <c r="K29" s="60"/>
      <c r="M29" s="100" t="s">
        <v>675</v>
      </c>
      <c r="N29" s="77">
        <v>1.3680494263018478E-2</v>
      </c>
      <c r="O29" s="77">
        <v>7.5821419804170277E-3</v>
      </c>
    </row>
    <row r="30" spans="1:15" x14ac:dyDescent="0.3">
      <c r="A30" s="100" t="s">
        <v>674</v>
      </c>
      <c r="B30" s="60">
        <v>45.87</v>
      </c>
      <c r="C30" s="77">
        <f t="shared" si="1"/>
        <v>-1.5237265999129362E-3</v>
      </c>
      <c r="D30" s="60"/>
      <c r="E30" s="60"/>
      <c r="G30" s="100" t="s">
        <v>674</v>
      </c>
      <c r="H30" s="60">
        <v>4045.64</v>
      </c>
      <c r="I30" s="77">
        <f t="shared" si="0"/>
        <v>1.6147789066522655E-2</v>
      </c>
      <c r="J30" s="60"/>
      <c r="K30" s="60"/>
      <c r="M30" s="100" t="s">
        <v>674</v>
      </c>
      <c r="N30" s="77">
        <v>-1.5237265999129362E-3</v>
      </c>
      <c r="O30" s="77">
        <v>1.6147789066522655E-2</v>
      </c>
    </row>
    <row r="31" spans="1:15" x14ac:dyDescent="0.3">
      <c r="A31" s="100" t="s">
        <v>307</v>
      </c>
      <c r="B31" s="60">
        <v>45.04</v>
      </c>
      <c r="C31" s="77">
        <f t="shared" si="1"/>
        <v>-1.809461521691734E-2</v>
      </c>
      <c r="D31" s="60"/>
      <c r="E31" s="60"/>
      <c r="G31" s="100" t="s">
        <v>307</v>
      </c>
      <c r="H31" s="60">
        <v>4048.42</v>
      </c>
      <c r="I31" s="77">
        <f t="shared" si="0"/>
        <v>6.8715950999105211E-4</v>
      </c>
      <c r="J31" s="60"/>
      <c r="K31" s="60"/>
      <c r="M31" s="100" t="s">
        <v>307</v>
      </c>
      <c r="N31" s="77">
        <v>-1.809461521691734E-2</v>
      </c>
      <c r="O31" s="77">
        <v>6.8715950999105211E-4</v>
      </c>
    </row>
    <row r="32" spans="1:15" x14ac:dyDescent="0.3">
      <c r="A32" s="100" t="s">
        <v>673</v>
      </c>
      <c r="B32" s="60">
        <v>44.51</v>
      </c>
      <c r="C32" s="77">
        <f t="shared" si="1"/>
        <v>-1.1767317939609261E-2</v>
      </c>
      <c r="D32" s="77">
        <f>(B32-B27)/B27</f>
        <v>0</v>
      </c>
      <c r="E32" s="77">
        <f>($B$254-B32)/B32</f>
        <v>0.37721860256122219</v>
      </c>
      <c r="G32" s="100" t="s">
        <v>673</v>
      </c>
      <c r="H32" s="60">
        <v>3986.37</v>
      </c>
      <c r="I32" s="77">
        <f t="shared" si="0"/>
        <v>-1.532696706369403E-2</v>
      </c>
      <c r="J32" s="77">
        <f>(H32-H27)/H27</f>
        <v>4.0854879538555974E-3</v>
      </c>
      <c r="K32" s="77">
        <f>($H$254-H32)/H32</f>
        <v>0.2212990766035266</v>
      </c>
      <c r="M32" s="100" t="s">
        <v>673</v>
      </c>
      <c r="N32" s="77">
        <v>-1.1767317939609261E-2</v>
      </c>
      <c r="O32" s="77">
        <v>-1.532696706369403E-2</v>
      </c>
    </row>
    <row r="33" spans="1:15" x14ac:dyDescent="0.3">
      <c r="A33" s="100" t="s">
        <v>672</v>
      </c>
      <c r="B33" s="60">
        <v>44.34</v>
      </c>
      <c r="C33" s="77">
        <f t="shared" si="1"/>
        <v>-3.8193664345089781E-3</v>
      </c>
      <c r="D33" s="60"/>
      <c r="E33" s="60"/>
      <c r="G33" s="100" t="s">
        <v>672</v>
      </c>
      <c r="H33" s="60">
        <v>3992.01</v>
      </c>
      <c r="I33" s="77">
        <f t="shared" si="0"/>
        <v>1.4148210025663266E-3</v>
      </c>
      <c r="J33" s="60"/>
      <c r="K33" s="60"/>
      <c r="M33" s="100" t="s">
        <v>672</v>
      </c>
      <c r="N33" s="77">
        <v>-3.8193664345089781E-3</v>
      </c>
      <c r="O33" s="77">
        <v>1.4148210025663266E-3</v>
      </c>
    </row>
    <row r="34" spans="1:15" x14ac:dyDescent="0.3">
      <c r="A34" s="100" t="s">
        <v>671</v>
      </c>
      <c r="B34" s="60">
        <v>43.34</v>
      </c>
      <c r="C34" s="77">
        <f t="shared" si="1"/>
        <v>-2.2552999548940009E-2</v>
      </c>
      <c r="D34" s="60"/>
      <c r="E34" s="60"/>
      <c r="G34" s="100" t="s">
        <v>671</v>
      </c>
      <c r="H34" s="60">
        <v>3918.32</v>
      </c>
      <c r="I34" s="77">
        <f t="shared" si="0"/>
        <v>-1.8459372596762044E-2</v>
      </c>
      <c r="J34" s="60"/>
      <c r="K34" s="60"/>
      <c r="M34" s="100" t="s">
        <v>671</v>
      </c>
      <c r="N34" s="77">
        <v>-2.2552999548940009E-2</v>
      </c>
      <c r="O34" s="77">
        <v>-1.8459372596762044E-2</v>
      </c>
    </row>
    <row r="35" spans="1:15" x14ac:dyDescent="0.3">
      <c r="A35" s="100" t="s">
        <v>670</v>
      </c>
      <c r="B35" s="60">
        <v>42.98</v>
      </c>
      <c r="C35" s="77">
        <f t="shared" si="1"/>
        <v>-8.3064143977851067E-3</v>
      </c>
      <c r="D35" s="60"/>
      <c r="E35" s="60"/>
      <c r="G35" s="100" t="s">
        <v>670</v>
      </c>
      <c r="H35" s="60">
        <v>3861.59</v>
      </c>
      <c r="I35" s="77">
        <f t="shared" si="0"/>
        <v>-1.447814369423631E-2</v>
      </c>
      <c r="J35" s="60"/>
      <c r="K35" s="60"/>
      <c r="M35" s="100" t="s">
        <v>670</v>
      </c>
      <c r="N35" s="77">
        <v>-8.3064143977851067E-3</v>
      </c>
      <c r="O35" s="77">
        <v>-1.447814369423631E-2</v>
      </c>
    </row>
    <row r="36" spans="1:15" x14ac:dyDescent="0.3">
      <c r="A36" s="100" t="s">
        <v>669</v>
      </c>
      <c r="B36" s="60">
        <v>41.66</v>
      </c>
      <c r="C36" s="77">
        <f t="shared" si="1"/>
        <v>-3.0711959050721275E-2</v>
      </c>
      <c r="D36" s="60"/>
      <c r="E36" s="60"/>
      <c r="G36" s="100" t="s">
        <v>669</v>
      </c>
      <c r="H36" s="60">
        <v>3855.76</v>
      </c>
      <c r="I36" s="77">
        <f t="shared" si="0"/>
        <v>-1.5097408062481846E-3</v>
      </c>
      <c r="J36" s="60"/>
      <c r="K36" s="60"/>
      <c r="M36" s="100" t="s">
        <v>669</v>
      </c>
      <c r="N36" s="77">
        <v>-3.0711959050721275E-2</v>
      </c>
      <c r="O36" s="77">
        <v>-1.5097408062481846E-3</v>
      </c>
    </row>
    <row r="37" spans="1:15" x14ac:dyDescent="0.3">
      <c r="A37" s="100" t="s">
        <v>668</v>
      </c>
      <c r="B37" s="60">
        <v>43.08</v>
      </c>
      <c r="C37" s="77">
        <f t="shared" si="1"/>
        <v>3.4085453672587661E-2</v>
      </c>
      <c r="D37" s="60"/>
      <c r="E37" s="60"/>
      <c r="G37" s="100" t="s">
        <v>668</v>
      </c>
      <c r="H37" s="60">
        <v>3919.29</v>
      </c>
      <c r="I37" s="77">
        <f t="shared" si="0"/>
        <v>1.6476647924144588E-2</v>
      </c>
      <c r="J37" s="60"/>
      <c r="K37" s="60"/>
      <c r="M37" s="100" t="s">
        <v>668</v>
      </c>
      <c r="N37" s="77">
        <v>3.4085453672587661E-2</v>
      </c>
      <c r="O37" s="77">
        <v>1.6476647924144588E-2</v>
      </c>
    </row>
    <row r="38" spans="1:15" x14ac:dyDescent="0.3">
      <c r="A38" s="100" t="s">
        <v>667</v>
      </c>
      <c r="B38" s="60">
        <v>43.22</v>
      </c>
      <c r="C38" s="77">
        <f t="shared" si="1"/>
        <v>3.2497678737233187E-3</v>
      </c>
      <c r="D38" s="77">
        <f>(B38-B33)/B33</f>
        <v>-2.5259359494812911E-2</v>
      </c>
      <c r="E38" s="77">
        <f>($B$254-B38)/B38</f>
        <v>0.41832484960666355</v>
      </c>
      <c r="G38" s="100" t="s">
        <v>667</v>
      </c>
      <c r="H38" s="60">
        <v>3891.93</v>
      </c>
      <c r="I38" s="77">
        <f t="shared" si="0"/>
        <v>-6.9808562265104464E-3</v>
      </c>
      <c r="J38" s="77">
        <f>(H38-H33)/H33</f>
        <v>-2.5070077479765928E-2</v>
      </c>
      <c r="K38" s="77">
        <f>($H$254-H38)/H38</f>
        <v>0.25093462626511792</v>
      </c>
      <c r="M38" s="100" t="s">
        <v>667</v>
      </c>
      <c r="N38" s="77">
        <v>3.2497678737233187E-3</v>
      </c>
      <c r="O38" s="77">
        <v>-6.9808562265104464E-3</v>
      </c>
    </row>
    <row r="39" spans="1:15" x14ac:dyDescent="0.3">
      <c r="A39" s="100" t="s">
        <v>666</v>
      </c>
      <c r="B39" s="60">
        <v>44.71</v>
      </c>
      <c r="C39" s="77">
        <f t="shared" si="1"/>
        <v>3.4474780194354515E-2</v>
      </c>
      <c r="D39" s="60"/>
      <c r="E39" s="60"/>
      <c r="G39" s="100" t="s">
        <v>666</v>
      </c>
      <c r="H39" s="60">
        <v>3960.28</v>
      </c>
      <c r="I39" s="77">
        <f t="shared" si="0"/>
        <v>1.7561980816715707E-2</v>
      </c>
      <c r="J39" s="60"/>
      <c r="K39" s="60"/>
      <c r="M39" s="100" t="s">
        <v>666</v>
      </c>
      <c r="N39" s="77">
        <v>3.4474780194354515E-2</v>
      </c>
      <c r="O39" s="77">
        <v>1.7561980816715707E-2</v>
      </c>
    </row>
    <row r="40" spans="1:15" x14ac:dyDescent="0.3">
      <c r="A40" s="100" t="s">
        <v>665</v>
      </c>
      <c r="B40" s="60">
        <v>44.44</v>
      </c>
      <c r="C40" s="77">
        <f t="shared" si="1"/>
        <v>-6.0389174681280055E-3</v>
      </c>
      <c r="D40" s="60"/>
      <c r="E40" s="60"/>
      <c r="G40" s="100" t="s">
        <v>665</v>
      </c>
      <c r="H40" s="60">
        <v>3916.64</v>
      </c>
      <c r="I40" s="77">
        <f t="shared" si="0"/>
        <v>-1.1019422869090146E-2</v>
      </c>
      <c r="J40" s="60"/>
      <c r="K40" s="60"/>
      <c r="M40" s="100" t="s">
        <v>665</v>
      </c>
      <c r="N40" s="77">
        <v>-6.0389174681280055E-3</v>
      </c>
      <c r="O40" s="77">
        <v>-1.1019422869090146E-2</v>
      </c>
    </row>
    <row r="41" spans="1:15" x14ac:dyDescent="0.3">
      <c r="A41" s="100" t="s">
        <v>664</v>
      </c>
      <c r="B41" s="60">
        <v>44</v>
      </c>
      <c r="C41" s="77">
        <f t="shared" si="1"/>
        <v>-9.9009900990098508E-3</v>
      </c>
      <c r="D41" s="60"/>
      <c r="E41" s="60"/>
      <c r="G41" s="100" t="s">
        <v>664</v>
      </c>
      <c r="H41" s="60">
        <v>3951.57</v>
      </c>
      <c r="I41" s="77">
        <f t="shared" si="0"/>
        <v>8.9183585930798573E-3</v>
      </c>
      <c r="J41" s="60"/>
      <c r="K41" s="60"/>
      <c r="M41" s="100" t="s">
        <v>664</v>
      </c>
      <c r="N41" s="77">
        <v>-9.9009900990098508E-3</v>
      </c>
      <c r="O41" s="77">
        <v>8.9183585930798573E-3</v>
      </c>
    </row>
    <row r="42" spans="1:15" x14ac:dyDescent="0.3">
      <c r="A42" s="100" t="s">
        <v>663</v>
      </c>
      <c r="B42" s="60">
        <v>45.27</v>
      </c>
      <c r="C42" s="77">
        <f t="shared" si="1"/>
        <v>2.8863636363636435E-2</v>
      </c>
      <c r="D42" s="60"/>
      <c r="E42" s="60"/>
      <c r="G42" s="100" t="s">
        <v>663</v>
      </c>
      <c r="H42" s="60">
        <v>4002.87</v>
      </c>
      <c r="I42" s="77">
        <f t="shared" si="0"/>
        <v>1.2982181765728488E-2</v>
      </c>
      <c r="J42" s="60"/>
      <c r="K42" s="60"/>
      <c r="M42" s="100" t="s">
        <v>663</v>
      </c>
      <c r="N42" s="77">
        <v>2.8863636363636435E-2</v>
      </c>
      <c r="O42" s="77">
        <v>1.2982181765728488E-2</v>
      </c>
    </row>
    <row r="43" spans="1:15" x14ac:dyDescent="0.3">
      <c r="A43" s="100" t="s">
        <v>662</v>
      </c>
      <c r="B43" s="60">
        <v>44.34</v>
      </c>
      <c r="C43" s="77">
        <f t="shared" si="1"/>
        <v>-2.0543406229290913E-2</v>
      </c>
      <c r="D43" s="60"/>
      <c r="E43" s="60"/>
      <c r="G43" s="100" t="s">
        <v>662</v>
      </c>
      <c r="H43" s="60">
        <v>3936.97</v>
      </c>
      <c r="I43" s="77">
        <f t="shared" si="0"/>
        <v>-1.6463187662851927E-2</v>
      </c>
      <c r="J43" s="60"/>
      <c r="K43" s="60"/>
      <c r="M43" s="100" t="s">
        <v>662</v>
      </c>
      <c r="N43" s="77">
        <v>-2.0543406229290913E-2</v>
      </c>
      <c r="O43" s="77">
        <v>-1.6463187662851927E-2</v>
      </c>
    </row>
    <row r="44" spans="1:15" x14ac:dyDescent="0.3">
      <c r="A44" s="100" t="s">
        <v>661</v>
      </c>
      <c r="B44" s="60">
        <v>44.46</v>
      </c>
      <c r="C44" s="77">
        <f t="shared" si="1"/>
        <v>2.7063599458727432E-3</v>
      </c>
      <c r="D44" s="77">
        <f>(B44-B39)/B39</f>
        <v>-5.5915902482666065E-3</v>
      </c>
      <c r="E44" s="77">
        <f>($B$254-B44)/B44</f>
        <v>0.37876743139901026</v>
      </c>
      <c r="G44" s="100" t="s">
        <v>661</v>
      </c>
      <c r="H44" s="60">
        <v>3948.72</v>
      </c>
      <c r="I44" s="77">
        <f t="shared" si="0"/>
        <v>2.9845287111662016E-3</v>
      </c>
      <c r="J44" s="77">
        <f>(H44-H39)/H39</f>
        <v>-2.9189855262760208E-3</v>
      </c>
      <c r="K44" s="77">
        <f>($H$254-H44)/H44</f>
        <v>0.23294384002917412</v>
      </c>
      <c r="M44" s="100" t="s">
        <v>661</v>
      </c>
      <c r="N44" s="77">
        <v>2.7063599458727432E-3</v>
      </c>
      <c r="O44" s="77">
        <v>2.9845287111662016E-3</v>
      </c>
    </row>
    <row r="45" spans="1:15" x14ac:dyDescent="0.3">
      <c r="A45" s="100" t="s">
        <v>660</v>
      </c>
      <c r="B45" s="60">
        <v>44.91</v>
      </c>
      <c r="C45" s="77">
        <f t="shared" si="1"/>
        <v>1.0121457489878447E-2</v>
      </c>
      <c r="D45" s="60"/>
      <c r="E45" s="60"/>
      <c r="G45" s="100" t="s">
        <v>660</v>
      </c>
      <c r="H45" s="60">
        <v>3970.99</v>
      </c>
      <c r="I45" s="77">
        <f t="shared" si="0"/>
        <v>5.6398022650377801E-3</v>
      </c>
      <c r="J45" s="60"/>
      <c r="K45" s="60"/>
      <c r="M45" s="100" t="s">
        <v>660</v>
      </c>
      <c r="N45" s="77">
        <v>1.0121457489878447E-2</v>
      </c>
      <c r="O45" s="77">
        <v>5.6398022650377801E-3</v>
      </c>
    </row>
    <row r="46" spans="1:15" x14ac:dyDescent="0.3">
      <c r="A46" s="100" t="s">
        <v>659</v>
      </c>
      <c r="B46" s="60">
        <v>44.67</v>
      </c>
      <c r="C46" s="77">
        <f t="shared" si="1"/>
        <v>-5.3440213760853911E-3</v>
      </c>
      <c r="D46" s="60"/>
      <c r="E46" s="60"/>
      <c r="G46" s="100" t="s">
        <v>659</v>
      </c>
      <c r="H46" s="60">
        <v>3977.53</v>
      </c>
      <c r="I46" s="77">
        <f t="shared" si="0"/>
        <v>1.6469444647305631E-3</v>
      </c>
      <c r="J46" s="60"/>
      <c r="K46" s="60"/>
      <c r="M46" s="100" t="s">
        <v>659</v>
      </c>
      <c r="N46" s="77">
        <v>-5.3440213760853911E-3</v>
      </c>
      <c r="O46" s="77">
        <v>1.6469444647305631E-3</v>
      </c>
    </row>
    <row r="47" spans="1:15" x14ac:dyDescent="0.3">
      <c r="A47" s="100" t="s">
        <v>658</v>
      </c>
      <c r="B47" s="60">
        <v>45.75</v>
      </c>
      <c r="C47" s="77">
        <f t="shared" si="1"/>
        <v>2.4177300201477462E-2</v>
      </c>
      <c r="D47" s="60"/>
      <c r="E47" s="60"/>
      <c r="G47" s="100" t="s">
        <v>658</v>
      </c>
      <c r="H47" s="60">
        <v>3971.27</v>
      </c>
      <c r="I47" s="77">
        <f t="shared" si="0"/>
        <v>-1.5738410521102841E-3</v>
      </c>
      <c r="J47" s="60"/>
      <c r="K47" s="60"/>
      <c r="M47" s="100" t="s">
        <v>658</v>
      </c>
      <c r="N47" s="77">
        <v>2.4177300201477462E-2</v>
      </c>
      <c r="O47" s="77">
        <v>-1.5738410521102841E-3</v>
      </c>
    </row>
    <row r="48" spans="1:15" x14ac:dyDescent="0.3">
      <c r="A48" s="100" t="s">
        <v>657</v>
      </c>
      <c r="B48" s="60">
        <v>46.15</v>
      </c>
      <c r="C48" s="77">
        <f t="shared" si="1"/>
        <v>8.7431693989070726E-3</v>
      </c>
      <c r="D48" s="60"/>
      <c r="E48" s="60"/>
      <c r="G48" s="100" t="s">
        <v>657</v>
      </c>
      <c r="H48" s="60">
        <v>4027.81</v>
      </c>
      <c r="I48" s="77">
        <f t="shared" si="0"/>
        <v>1.4237259113583303E-2</v>
      </c>
      <c r="J48" s="60"/>
      <c r="K48" s="60"/>
      <c r="M48" s="100" t="s">
        <v>657</v>
      </c>
      <c r="N48" s="77">
        <v>8.7431693989070726E-3</v>
      </c>
      <c r="O48" s="77">
        <v>1.4237259113583303E-2</v>
      </c>
    </row>
    <row r="49" spans="1:15" x14ac:dyDescent="0.3">
      <c r="A49" s="100" t="s">
        <v>656</v>
      </c>
      <c r="B49" s="60">
        <v>46.53</v>
      </c>
      <c r="C49" s="77">
        <f t="shared" si="1"/>
        <v>8.2340195016251914E-3</v>
      </c>
      <c r="D49" s="60"/>
      <c r="E49" s="60"/>
      <c r="G49" s="100" t="s">
        <v>656</v>
      </c>
      <c r="H49" s="60">
        <v>4050.83</v>
      </c>
      <c r="I49" s="77">
        <f t="shared" si="0"/>
        <v>5.7152646227106004E-3</v>
      </c>
      <c r="J49" s="60"/>
      <c r="K49" s="60"/>
      <c r="M49" s="100" t="s">
        <v>656</v>
      </c>
      <c r="N49" s="77">
        <v>8.2340195016251914E-3</v>
      </c>
      <c r="O49" s="77">
        <v>5.7152646227106004E-3</v>
      </c>
    </row>
    <row r="50" spans="1:15" x14ac:dyDescent="0.3">
      <c r="A50" s="100" t="s">
        <v>655</v>
      </c>
      <c r="B50" s="60">
        <v>47.52</v>
      </c>
      <c r="C50" s="77">
        <f t="shared" si="1"/>
        <v>2.1276595744680892E-2</v>
      </c>
      <c r="D50" s="77">
        <f>(B50-B45)/B45</f>
        <v>5.8116232464930008E-2</v>
      </c>
      <c r="E50" s="77">
        <f>($B$254-B50)/B50</f>
        <v>0.28998316498316484</v>
      </c>
      <c r="G50" s="100" t="s">
        <v>655</v>
      </c>
      <c r="H50" s="60">
        <v>4109.3100000000004</v>
      </c>
      <c r="I50" s="77">
        <f t="shared" si="0"/>
        <v>1.4436547571732329E-2</v>
      </c>
      <c r="J50" s="77">
        <f>(H50-H45)/H45</f>
        <v>3.4832623602678581E-2</v>
      </c>
      <c r="K50" s="77">
        <f>($H$254-H50)/H50</f>
        <v>0.18476094526818365</v>
      </c>
      <c r="M50" s="100" t="s">
        <v>655</v>
      </c>
      <c r="N50" s="77">
        <v>2.1276595744680892E-2</v>
      </c>
      <c r="O50" s="77">
        <v>1.4436547571732329E-2</v>
      </c>
    </row>
    <row r="51" spans="1:15" x14ac:dyDescent="0.3">
      <c r="A51" s="100" t="s">
        <v>654</v>
      </c>
      <c r="B51" s="60">
        <v>47.5</v>
      </c>
      <c r="C51" s="77">
        <f t="shared" si="1"/>
        <v>-4.2087542087548661E-4</v>
      </c>
      <c r="D51" s="60"/>
      <c r="E51" s="60"/>
      <c r="G51" s="100" t="s">
        <v>654</v>
      </c>
      <c r="H51" s="60">
        <v>4124.51</v>
      </c>
      <c r="I51" s="77">
        <f t="shared" si="0"/>
        <v>3.6989178231868164E-3</v>
      </c>
      <c r="J51" s="60"/>
      <c r="K51" s="60"/>
      <c r="M51" s="100" t="s">
        <v>654</v>
      </c>
      <c r="N51" s="77">
        <v>-4.2087542087548661E-4</v>
      </c>
      <c r="O51" s="77">
        <v>3.6989178231868164E-3</v>
      </c>
    </row>
    <row r="52" spans="1:15" x14ac:dyDescent="0.3">
      <c r="A52" s="100" t="s">
        <v>653</v>
      </c>
      <c r="B52" s="60">
        <v>46.83</v>
      </c>
      <c r="C52" s="77">
        <f t="shared" si="1"/>
        <v>-1.4105263157894773E-2</v>
      </c>
      <c r="D52" s="60"/>
      <c r="E52" s="60"/>
      <c r="G52" s="100" t="s">
        <v>653</v>
      </c>
      <c r="H52" s="60">
        <v>4100.6000000000004</v>
      </c>
      <c r="I52" s="77">
        <f t="shared" si="0"/>
        <v>-5.7970522559043025E-3</v>
      </c>
      <c r="J52" s="60"/>
      <c r="K52" s="60"/>
      <c r="M52" s="100" t="s">
        <v>653</v>
      </c>
      <c r="N52" s="77">
        <v>-1.4105263157894773E-2</v>
      </c>
      <c r="O52" s="77">
        <v>-5.7970522559043025E-3</v>
      </c>
    </row>
    <row r="53" spans="1:15" x14ac:dyDescent="0.3">
      <c r="A53" s="100" t="s">
        <v>652</v>
      </c>
      <c r="B53" s="60">
        <v>46.31</v>
      </c>
      <c r="C53" s="77">
        <f t="shared" si="1"/>
        <v>-1.1103993166773352E-2</v>
      </c>
      <c r="D53" s="60"/>
      <c r="E53" s="60"/>
      <c r="G53" s="100" t="s">
        <v>652</v>
      </c>
      <c r="H53" s="60">
        <v>4090.38</v>
      </c>
      <c r="I53" s="77">
        <f t="shared" si="0"/>
        <v>-2.4923181973370368E-3</v>
      </c>
      <c r="J53" s="60"/>
      <c r="K53" s="60"/>
      <c r="M53" s="100" t="s">
        <v>652</v>
      </c>
      <c r="N53" s="77">
        <v>-1.1103993166773352E-2</v>
      </c>
      <c r="O53" s="77">
        <v>-2.4923181973370368E-3</v>
      </c>
    </row>
    <row r="54" spans="1:15" x14ac:dyDescent="0.3">
      <c r="A54" s="100" t="s">
        <v>651</v>
      </c>
      <c r="B54" s="60">
        <v>46.17</v>
      </c>
      <c r="C54" s="77">
        <f t="shared" si="1"/>
        <v>-3.0231051608723939E-3</v>
      </c>
      <c r="D54" s="60"/>
      <c r="E54" s="60"/>
      <c r="G54" s="100" t="s">
        <v>651</v>
      </c>
      <c r="H54" s="60">
        <v>4105.0200000000004</v>
      </c>
      <c r="I54" s="77">
        <f t="shared" si="0"/>
        <v>3.5791295674241336E-3</v>
      </c>
      <c r="J54" s="60"/>
      <c r="K54" s="60"/>
      <c r="M54" s="100" t="s">
        <v>651</v>
      </c>
      <c r="N54" s="77">
        <v>-3.0231051608723939E-3</v>
      </c>
      <c r="O54" s="77">
        <v>3.5791295674241336E-3</v>
      </c>
    </row>
    <row r="55" spans="1:15" x14ac:dyDescent="0.3">
      <c r="A55" s="100" t="s">
        <v>650</v>
      </c>
      <c r="B55" s="60">
        <v>47.08</v>
      </c>
      <c r="C55" s="77">
        <f t="shared" si="1"/>
        <v>1.9709768247779869E-2</v>
      </c>
      <c r="D55" s="60"/>
      <c r="E55" s="60"/>
      <c r="G55" s="100" t="s">
        <v>650</v>
      </c>
      <c r="H55" s="60">
        <v>4109.1099999999997</v>
      </c>
      <c r="I55" s="77">
        <f t="shared" si="0"/>
        <v>9.963410653295807E-4</v>
      </c>
      <c r="J55" s="60"/>
      <c r="K55" s="60"/>
      <c r="M55" s="100" t="s">
        <v>650</v>
      </c>
      <c r="N55" s="77">
        <v>1.9709768247779869E-2</v>
      </c>
      <c r="O55" s="77">
        <v>9.963410653295807E-4</v>
      </c>
    </row>
    <row r="56" spans="1:15" x14ac:dyDescent="0.3">
      <c r="A56" s="100" t="s">
        <v>649</v>
      </c>
      <c r="B56" s="60">
        <v>48.7</v>
      </c>
      <c r="C56" s="77">
        <f t="shared" si="1"/>
        <v>3.4409515717927032E-2</v>
      </c>
      <c r="D56" s="77">
        <f>(B56-B51)/B51</f>
        <v>2.5263157894736901E-2</v>
      </c>
      <c r="E56" s="77">
        <f>($B$254-B56)/B56</f>
        <v>0.25872689938398347</v>
      </c>
      <c r="G56" s="100" t="s">
        <v>649</v>
      </c>
      <c r="H56" s="60">
        <v>4108.9399999999996</v>
      </c>
      <c r="I56" s="77">
        <f t="shared" si="0"/>
        <v>-4.1371489203275837E-5</v>
      </c>
      <c r="J56" s="77">
        <f>(H56-H51)/H51</f>
        <v>-3.7749938780608163E-3</v>
      </c>
      <c r="K56" s="77">
        <f>($H$254-H56)/H56</f>
        <v>0.18486763009437973</v>
      </c>
      <c r="M56" s="100" t="s">
        <v>649</v>
      </c>
      <c r="N56" s="77">
        <v>3.4409515717927032E-2</v>
      </c>
      <c r="O56" s="77">
        <v>-4.1371489203275837E-5</v>
      </c>
    </row>
    <row r="57" spans="1:15" x14ac:dyDescent="0.3">
      <c r="A57" s="100" t="s">
        <v>648</v>
      </c>
      <c r="B57" s="60">
        <v>48.5</v>
      </c>
      <c r="C57" s="77">
        <f t="shared" si="1"/>
        <v>-4.1067761806982102E-3</v>
      </c>
      <c r="D57" s="60"/>
      <c r="E57" s="60"/>
      <c r="G57" s="100" t="s">
        <v>648</v>
      </c>
      <c r="H57" s="60">
        <v>4091.95</v>
      </c>
      <c r="I57" s="77">
        <f t="shared" si="0"/>
        <v>-4.1348863697206048E-3</v>
      </c>
      <c r="J57" s="60"/>
      <c r="K57" s="60"/>
      <c r="M57" s="100" t="s">
        <v>648</v>
      </c>
      <c r="N57" s="77">
        <v>-4.1067761806982102E-3</v>
      </c>
      <c r="O57" s="77">
        <v>-4.1348863697206048E-3</v>
      </c>
    </row>
    <row r="58" spans="1:15" x14ac:dyDescent="0.3">
      <c r="A58" s="100" t="s">
        <v>647</v>
      </c>
      <c r="B58" s="60">
        <v>48.52</v>
      </c>
      <c r="C58" s="77">
        <f t="shared" si="1"/>
        <v>4.1237113402068303E-4</v>
      </c>
      <c r="D58" s="60"/>
      <c r="E58" s="60"/>
      <c r="G58" s="100" t="s">
        <v>647</v>
      </c>
      <c r="H58" s="60">
        <v>4146.22</v>
      </c>
      <c r="I58" s="77">
        <f t="shared" si="0"/>
        <v>1.3262625398648673E-2</v>
      </c>
      <c r="J58" s="60"/>
      <c r="K58" s="60"/>
      <c r="M58" s="100" t="s">
        <v>647</v>
      </c>
      <c r="N58" s="77">
        <v>4.1237113402068303E-4</v>
      </c>
      <c r="O58" s="77">
        <v>1.3262625398648673E-2</v>
      </c>
    </row>
    <row r="59" spans="1:15" x14ac:dyDescent="0.3">
      <c r="A59" s="100" t="s">
        <v>646</v>
      </c>
      <c r="B59" s="60">
        <v>49.5</v>
      </c>
      <c r="C59" s="77">
        <f t="shared" si="1"/>
        <v>2.0197856553998285E-2</v>
      </c>
      <c r="D59" s="60"/>
      <c r="E59" s="60"/>
      <c r="G59" s="100" t="s">
        <v>646</v>
      </c>
      <c r="H59" s="60">
        <v>4137.6400000000003</v>
      </c>
      <c r="I59" s="77">
        <f t="shared" si="0"/>
        <v>-2.0693547375681769E-3</v>
      </c>
      <c r="J59" s="60"/>
      <c r="K59" s="60"/>
      <c r="M59" s="100" t="s">
        <v>646</v>
      </c>
      <c r="N59" s="77">
        <v>2.0197856553998285E-2</v>
      </c>
      <c r="O59" s="77">
        <v>-2.0693547375681769E-3</v>
      </c>
    </row>
    <row r="60" spans="1:15" x14ac:dyDescent="0.3">
      <c r="A60" s="100" t="s">
        <v>645</v>
      </c>
      <c r="B60" s="60">
        <v>49.26</v>
      </c>
      <c r="C60" s="77">
        <f t="shared" si="1"/>
        <v>-4.8484848484848884E-3</v>
      </c>
      <c r="D60" s="60"/>
      <c r="E60" s="60"/>
      <c r="G60" s="100" t="s">
        <v>645</v>
      </c>
      <c r="H60" s="60">
        <v>4151.32</v>
      </c>
      <c r="I60" s="77">
        <f t="shared" si="0"/>
        <v>3.3062325383550477E-3</v>
      </c>
      <c r="J60" s="60"/>
      <c r="K60" s="60"/>
      <c r="M60" s="100" t="s">
        <v>645</v>
      </c>
      <c r="N60" s="77">
        <v>-4.8484848484848884E-3</v>
      </c>
      <c r="O60" s="77">
        <v>3.3062325383550477E-3</v>
      </c>
    </row>
    <row r="61" spans="1:15" x14ac:dyDescent="0.3">
      <c r="A61" s="100" t="s">
        <v>644</v>
      </c>
      <c r="B61" s="60">
        <v>49.96</v>
      </c>
      <c r="C61" s="77">
        <f t="shared" si="1"/>
        <v>1.4210312626877849E-2</v>
      </c>
      <c r="D61" s="60"/>
      <c r="E61" s="60"/>
      <c r="G61" s="100" t="s">
        <v>644</v>
      </c>
      <c r="H61" s="60">
        <v>4154.87</v>
      </c>
      <c r="I61" s="77">
        <f t="shared" si="0"/>
        <v>8.5514968732841167E-4</v>
      </c>
      <c r="J61" s="60"/>
      <c r="K61" s="60"/>
      <c r="M61" s="100" t="s">
        <v>644</v>
      </c>
      <c r="N61" s="77">
        <v>1.4210312626877849E-2</v>
      </c>
      <c r="O61" s="77">
        <v>8.5514968732841167E-4</v>
      </c>
    </row>
    <row r="62" spans="1:15" x14ac:dyDescent="0.3">
      <c r="A62" s="100" t="s">
        <v>643</v>
      </c>
      <c r="B62" s="60">
        <v>49.8</v>
      </c>
      <c r="C62" s="77">
        <f t="shared" si="1"/>
        <v>-3.2025620496397857E-3</v>
      </c>
      <c r="D62" s="77">
        <f>(B62-B57)/B57</f>
        <v>2.6804123711340149E-2</v>
      </c>
      <c r="E62" s="77">
        <f>($B$254-B62)/B62</f>
        <v>0.23092369477911648</v>
      </c>
      <c r="G62" s="100" t="s">
        <v>643</v>
      </c>
      <c r="H62" s="60">
        <v>4154.5200000000004</v>
      </c>
      <c r="I62" s="77">
        <f t="shared" si="0"/>
        <v>-8.4238496029828691E-5</v>
      </c>
      <c r="J62" s="77">
        <f>(H62-H57)/H57</f>
        <v>1.5290998179352295E-2</v>
      </c>
      <c r="K62" s="77">
        <f>($H$254-H62)/H62</f>
        <v>0.17186823026486805</v>
      </c>
      <c r="M62" s="100" t="s">
        <v>643</v>
      </c>
      <c r="N62" s="77">
        <v>-3.2025620496397857E-3</v>
      </c>
      <c r="O62" s="77">
        <v>-8.4238496029828691E-5</v>
      </c>
    </row>
    <row r="63" spans="1:15" x14ac:dyDescent="0.3">
      <c r="A63" s="100" t="s">
        <v>642</v>
      </c>
      <c r="B63" s="60">
        <v>49.99</v>
      </c>
      <c r="C63" s="77">
        <f t="shared" si="1"/>
        <v>3.8152610441768041E-3</v>
      </c>
      <c r="D63" s="60"/>
      <c r="E63" s="60"/>
      <c r="G63" s="100" t="s">
        <v>642</v>
      </c>
      <c r="H63" s="60">
        <v>4129.79</v>
      </c>
      <c r="I63" s="77">
        <f t="shared" si="0"/>
        <v>-5.9525528821621921E-3</v>
      </c>
      <c r="J63" s="60"/>
      <c r="K63" s="60"/>
      <c r="M63" s="100" t="s">
        <v>642</v>
      </c>
      <c r="N63" s="77">
        <v>3.8152610441768041E-3</v>
      </c>
      <c r="O63" s="77">
        <v>-5.9525528821621921E-3</v>
      </c>
    </row>
    <row r="64" spans="1:15" x14ac:dyDescent="0.3">
      <c r="A64" s="100" t="s">
        <v>641</v>
      </c>
      <c r="B64" s="60">
        <v>50.29</v>
      </c>
      <c r="C64" s="77">
        <f t="shared" si="1"/>
        <v>6.0012002400479528E-3</v>
      </c>
      <c r="D64" s="60"/>
      <c r="E64" s="60"/>
      <c r="G64" s="100" t="s">
        <v>641</v>
      </c>
      <c r="H64" s="60">
        <v>4133.5200000000004</v>
      </c>
      <c r="I64" s="77">
        <f t="shared" si="0"/>
        <v>9.031936248575528E-4</v>
      </c>
      <c r="J64" s="60"/>
      <c r="K64" s="60"/>
      <c r="M64" s="100" t="s">
        <v>641</v>
      </c>
      <c r="N64" s="77">
        <v>6.0012002400479528E-3</v>
      </c>
      <c r="O64" s="77">
        <v>9.031936248575528E-4</v>
      </c>
    </row>
    <row r="65" spans="1:15" x14ac:dyDescent="0.3">
      <c r="A65" s="100" t="s">
        <v>640</v>
      </c>
      <c r="B65" s="60">
        <v>50.17</v>
      </c>
      <c r="C65" s="77">
        <f t="shared" si="1"/>
        <v>-2.3861602704314464E-3</v>
      </c>
      <c r="D65" s="60"/>
      <c r="E65" s="60"/>
      <c r="G65" s="100" t="s">
        <v>640</v>
      </c>
      <c r="H65" s="60">
        <v>4137.04</v>
      </c>
      <c r="I65" s="77">
        <f t="shared" si="0"/>
        <v>8.5157444502494887E-4</v>
      </c>
      <c r="J65" s="60"/>
      <c r="K65" s="60"/>
      <c r="M65" s="100" t="s">
        <v>640</v>
      </c>
      <c r="N65" s="77">
        <v>-2.3861602704314464E-3</v>
      </c>
      <c r="O65" s="77">
        <v>8.5157444502494887E-4</v>
      </c>
    </row>
    <row r="66" spans="1:15" x14ac:dyDescent="0.3">
      <c r="A66" s="100" t="s">
        <v>639</v>
      </c>
      <c r="B66" s="60">
        <v>49.17</v>
      </c>
      <c r="C66" s="77">
        <f t="shared" si="1"/>
        <v>-1.9932230416583614E-2</v>
      </c>
      <c r="D66" s="60"/>
      <c r="E66" s="60"/>
      <c r="G66" s="100" t="s">
        <v>639</v>
      </c>
      <c r="H66" s="60">
        <v>4071.63</v>
      </c>
      <c r="I66" s="77">
        <f t="shared" si="0"/>
        <v>-1.5810821263512041E-2</v>
      </c>
      <c r="J66" s="60"/>
      <c r="K66" s="60"/>
      <c r="M66" s="100" t="s">
        <v>639</v>
      </c>
      <c r="N66" s="77">
        <v>-1.9932230416583614E-2</v>
      </c>
      <c r="O66" s="77">
        <v>-1.5810821263512041E-2</v>
      </c>
    </row>
    <row r="67" spans="1:15" x14ac:dyDescent="0.3">
      <c r="A67" s="100" t="s">
        <v>638</v>
      </c>
      <c r="B67" s="60">
        <v>50.02</v>
      </c>
      <c r="C67" s="77">
        <f t="shared" si="1"/>
        <v>1.7286963595688456E-2</v>
      </c>
      <c r="D67" s="60"/>
      <c r="E67" s="60"/>
      <c r="G67" s="100" t="s">
        <v>638</v>
      </c>
      <c r="H67" s="60">
        <v>4055.99</v>
      </c>
      <c r="I67" s="77">
        <f t="shared" si="0"/>
        <v>-3.8412134697898203E-3</v>
      </c>
      <c r="J67" s="60"/>
      <c r="K67" s="60"/>
      <c r="M67" s="100" t="s">
        <v>638</v>
      </c>
      <c r="N67" s="77">
        <v>1.7286963595688456E-2</v>
      </c>
      <c r="O67" s="77">
        <v>-3.8412134697898203E-3</v>
      </c>
    </row>
    <row r="68" spans="1:15" x14ac:dyDescent="0.3">
      <c r="A68" s="100" t="s">
        <v>637</v>
      </c>
      <c r="B68" s="60">
        <v>49.87</v>
      </c>
      <c r="C68" s="77">
        <f t="shared" si="1"/>
        <v>-2.9988004798081904E-3</v>
      </c>
      <c r="D68" s="77">
        <f>(B68-B63)/B63</f>
        <v>-2.4004800960192949E-3</v>
      </c>
      <c r="E68" s="77">
        <f>($B$254-B68)/B68</f>
        <v>0.22919590936434731</v>
      </c>
      <c r="G68" s="100" t="s">
        <v>637</v>
      </c>
      <c r="H68" s="60">
        <v>4135.3500000000004</v>
      </c>
      <c r="I68" s="77">
        <f t="shared" si="0"/>
        <v>1.9566123190639176E-2</v>
      </c>
      <c r="J68" s="77">
        <f>(H68-H63)/H63</f>
        <v>1.3463154300824981E-3</v>
      </c>
      <c r="K68" s="77">
        <f>($H$254-H68)/H68</f>
        <v>0.17730059124378825</v>
      </c>
      <c r="M68" s="100" t="s">
        <v>637</v>
      </c>
      <c r="N68" s="77">
        <v>-2.9988004798081904E-3</v>
      </c>
      <c r="O68" s="77">
        <v>1.9566123190639176E-2</v>
      </c>
    </row>
    <row r="69" spans="1:15" x14ac:dyDescent="0.3">
      <c r="A69" s="100" t="s">
        <v>636</v>
      </c>
      <c r="B69" s="60">
        <v>53.19</v>
      </c>
      <c r="C69" s="77">
        <f t="shared" si="1"/>
        <v>6.6573090034088636E-2</v>
      </c>
      <c r="D69" s="60"/>
      <c r="E69" s="60"/>
      <c r="G69" s="100" t="s">
        <v>636</v>
      </c>
      <c r="H69" s="60">
        <v>4169.4799999999996</v>
      </c>
      <c r="I69" s="77">
        <f t="shared" ref="I69:I132" si="2">(H69-H68)/H68</f>
        <v>8.2532312863479989E-3</v>
      </c>
      <c r="J69" s="60"/>
      <c r="K69" s="60"/>
      <c r="M69" s="100" t="s">
        <v>636</v>
      </c>
      <c r="N69" s="77">
        <v>6.6573090034088636E-2</v>
      </c>
      <c r="O69" s="77">
        <v>8.2532312863479989E-3</v>
      </c>
    </row>
    <row r="70" spans="1:15" x14ac:dyDescent="0.3">
      <c r="A70" s="100" t="s">
        <v>635</v>
      </c>
      <c r="B70" s="60">
        <v>53.14</v>
      </c>
      <c r="C70" s="77">
        <f t="shared" ref="C70:C133" si="3">(B70-B69)/B69</f>
        <v>-9.400263207369272E-4</v>
      </c>
      <c r="D70" s="60"/>
      <c r="E70" s="60"/>
      <c r="G70" s="100" t="s">
        <v>635</v>
      </c>
      <c r="H70" s="60">
        <v>4167.87</v>
      </c>
      <c r="I70" s="77">
        <f t="shared" si="2"/>
        <v>-3.8613927875890346E-4</v>
      </c>
      <c r="J70" s="60"/>
      <c r="K70" s="60"/>
      <c r="M70" s="100" t="s">
        <v>635</v>
      </c>
      <c r="N70" s="77">
        <v>-9.400263207369272E-4</v>
      </c>
      <c r="O70" s="77">
        <v>-3.8613927875890346E-4</v>
      </c>
    </row>
    <row r="71" spans="1:15" x14ac:dyDescent="0.3">
      <c r="A71" s="100" t="s">
        <v>634</v>
      </c>
      <c r="B71" s="60">
        <v>53.01</v>
      </c>
      <c r="C71" s="77">
        <f t="shared" si="3"/>
        <v>-2.4463680843056558E-3</v>
      </c>
      <c r="D71" s="60"/>
      <c r="E71" s="60"/>
      <c r="G71" s="100" t="s">
        <v>634</v>
      </c>
      <c r="H71" s="60">
        <v>4119.58</v>
      </c>
      <c r="I71" s="77">
        <f t="shared" si="2"/>
        <v>-1.1586253889876596E-2</v>
      </c>
      <c r="J71" s="60"/>
      <c r="K71" s="60"/>
      <c r="M71" s="100" t="s">
        <v>634</v>
      </c>
      <c r="N71" s="77">
        <v>-2.4463680843056558E-3</v>
      </c>
      <c r="O71" s="77">
        <v>-1.1586253889876596E-2</v>
      </c>
    </row>
    <row r="72" spans="1:15" x14ac:dyDescent="0.3">
      <c r="A72" s="100" t="s">
        <v>633</v>
      </c>
      <c r="B72" s="60">
        <v>53.53</v>
      </c>
      <c r="C72" s="77">
        <f t="shared" si="3"/>
        <v>9.8094699113375431E-3</v>
      </c>
      <c r="D72" s="60"/>
      <c r="E72" s="60"/>
      <c r="G72" s="100" t="s">
        <v>633</v>
      </c>
      <c r="H72" s="60">
        <v>4090.75</v>
      </c>
      <c r="I72" s="77">
        <f t="shared" si="2"/>
        <v>-6.9982862330625764E-3</v>
      </c>
      <c r="J72" s="60"/>
      <c r="K72" s="60"/>
      <c r="M72" s="100" t="s">
        <v>633</v>
      </c>
      <c r="N72" s="77">
        <v>9.8094699113375431E-3</v>
      </c>
      <c r="O72" s="77">
        <v>-6.9982862330625764E-3</v>
      </c>
    </row>
    <row r="73" spans="1:15" x14ac:dyDescent="0.3">
      <c r="A73" s="100" t="s">
        <v>632</v>
      </c>
      <c r="B73" s="60">
        <v>51.97</v>
      </c>
      <c r="C73" s="77">
        <f t="shared" si="3"/>
        <v>-2.9142536895198995E-2</v>
      </c>
      <c r="D73" s="60"/>
      <c r="E73" s="60"/>
      <c r="G73" s="100" t="s">
        <v>632</v>
      </c>
      <c r="H73" s="60">
        <v>4061.22</v>
      </c>
      <c r="I73" s="77">
        <f t="shared" si="2"/>
        <v>-7.2187251726456517E-3</v>
      </c>
      <c r="J73" s="60"/>
      <c r="K73" s="60"/>
      <c r="M73" s="100" t="s">
        <v>632</v>
      </c>
      <c r="N73" s="77">
        <v>-2.9142536895198995E-2</v>
      </c>
      <c r="O73" s="77">
        <v>-7.2187251726456517E-3</v>
      </c>
    </row>
    <row r="74" spans="1:15" x14ac:dyDescent="0.3">
      <c r="A74" s="100" t="s">
        <v>631</v>
      </c>
      <c r="B74" s="60">
        <v>51.84</v>
      </c>
      <c r="C74" s="77">
        <f t="shared" si="3"/>
        <v>-2.5014431402731472E-3</v>
      </c>
      <c r="D74" s="77">
        <f>(B74-B69)/B69</f>
        <v>-2.5380710659898373E-2</v>
      </c>
      <c r="E74" s="77">
        <f>($B$254-B74)/B74</f>
        <v>0.18248456790123443</v>
      </c>
      <c r="G74" s="100" t="s">
        <v>631</v>
      </c>
      <c r="H74" s="60">
        <v>4136.25</v>
      </c>
      <c r="I74" s="77">
        <f t="shared" si="2"/>
        <v>1.8474744042430651E-2</v>
      </c>
      <c r="J74" s="77">
        <f>(H74-H69)/H69</f>
        <v>-7.9698187783607474E-3</v>
      </c>
      <c r="K74" s="77">
        <f>($H$254-H74)/H74</f>
        <v>0.17704442429737086</v>
      </c>
      <c r="M74" s="100" t="s">
        <v>631</v>
      </c>
      <c r="N74" s="77">
        <v>-2.5014431402731472E-3</v>
      </c>
      <c r="O74" s="77">
        <v>1.8474744042430651E-2</v>
      </c>
    </row>
    <row r="75" spans="1:15" x14ac:dyDescent="0.3">
      <c r="A75" s="100" t="s">
        <v>630</v>
      </c>
      <c r="B75" s="60">
        <v>52.41</v>
      </c>
      <c r="C75" s="77">
        <f t="shared" si="3"/>
        <v>1.0995370370370239E-2</v>
      </c>
      <c r="D75" s="60"/>
      <c r="E75" s="60"/>
      <c r="G75" s="100" t="s">
        <v>630</v>
      </c>
      <c r="H75" s="60">
        <v>4138.12</v>
      </c>
      <c r="I75" s="77">
        <f t="shared" si="2"/>
        <v>4.5210033242668865E-4</v>
      </c>
      <c r="J75" s="60"/>
      <c r="K75" s="60"/>
      <c r="M75" s="100" t="s">
        <v>630</v>
      </c>
      <c r="N75" s="77">
        <v>1.0995370370370239E-2</v>
      </c>
      <c r="O75" s="77">
        <v>4.5210033242668865E-4</v>
      </c>
    </row>
    <row r="76" spans="1:15" x14ac:dyDescent="0.3">
      <c r="A76" s="100" t="s">
        <v>629</v>
      </c>
      <c r="B76" s="60">
        <v>52.71</v>
      </c>
      <c r="C76" s="77">
        <f t="shared" si="3"/>
        <v>5.7240984544934988E-3</v>
      </c>
      <c r="D76" s="60"/>
      <c r="E76" s="60"/>
      <c r="G76" s="100" t="s">
        <v>629</v>
      </c>
      <c r="H76" s="60">
        <v>4119.17</v>
      </c>
      <c r="I76" s="77">
        <f t="shared" si="2"/>
        <v>-4.5793742085777642E-3</v>
      </c>
      <c r="J76" s="60"/>
      <c r="K76" s="60"/>
      <c r="M76" s="100" t="s">
        <v>629</v>
      </c>
      <c r="N76" s="77">
        <v>5.7240984544934988E-3</v>
      </c>
      <c r="O76" s="77">
        <v>-4.5793742085777642E-3</v>
      </c>
    </row>
    <row r="77" spans="1:15" x14ac:dyDescent="0.3">
      <c r="A77" s="100" t="s">
        <v>628</v>
      </c>
      <c r="B77" s="60">
        <v>52.57</v>
      </c>
      <c r="C77" s="77">
        <f t="shared" si="3"/>
        <v>-2.6560424966799575E-3</v>
      </c>
      <c r="D77" s="60"/>
      <c r="E77" s="60"/>
      <c r="G77" s="100" t="s">
        <v>628</v>
      </c>
      <c r="H77" s="60">
        <v>4137.6400000000003</v>
      </c>
      <c r="I77" s="77">
        <f t="shared" si="2"/>
        <v>4.4839130213126079E-3</v>
      </c>
      <c r="J77" s="60"/>
      <c r="K77" s="60"/>
      <c r="M77" s="100" t="s">
        <v>628</v>
      </c>
      <c r="N77" s="77">
        <v>-2.6560424966799575E-3</v>
      </c>
      <c r="O77" s="77">
        <v>4.4839130213126079E-3</v>
      </c>
    </row>
    <row r="78" spans="1:15" x14ac:dyDescent="0.3">
      <c r="A78" s="100" t="s">
        <v>627</v>
      </c>
      <c r="B78" s="60">
        <v>52.5</v>
      </c>
      <c r="C78" s="77">
        <f t="shared" si="3"/>
        <v>-1.3315579227696458E-3</v>
      </c>
      <c r="D78" s="60"/>
      <c r="E78" s="60"/>
      <c r="G78" s="100" t="s">
        <v>627</v>
      </c>
      <c r="H78" s="60">
        <v>4130.62</v>
      </c>
      <c r="I78" s="77">
        <f t="shared" si="2"/>
        <v>-1.6966193288929041E-3</v>
      </c>
      <c r="J78" s="60"/>
      <c r="K78" s="60"/>
      <c r="M78" s="100" t="s">
        <v>627</v>
      </c>
      <c r="N78" s="77">
        <v>-1.3315579227696458E-3</v>
      </c>
      <c r="O78" s="77">
        <v>-1.6966193288929041E-3</v>
      </c>
    </row>
    <row r="79" spans="1:15" x14ac:dyDescent="0.3">
      <c r="A79" s="100" t="s">
        <v>626</v>
      </c>
      <c r="B79" s="60">
        <v>53.22</v>
      </c>
      <c r="C79" s="77">
        <f t="shared" si="3"/>
        <v>1.3714285714285693E-2</v>
      </c>
      <c r="D79" s="60"/>
      <c r="E79" s="60"/>
      <c r="G79" s="100" t="s">
        <v>626</v>
      </c>
      <c r="H79" s="60">
        <v>4124.08</v>
      </c>
      <c r="I79" s="77">
        <f t="shared" si="2"/>
        <v>-1.5832974226629329E-3</v>
      </c>
      <c r="J79" s="60"/>
      <c r="K79" s="60"/>
      <c r="M79" s="100" t="s">
        <v>626</v>
      </c>
      <c r="N79" s="77">
        <v>1.3714285714285693E-2</v>
      </c>
      <c r="O79" s="77">
        <v>-1.5832974226629329E-3</v>
      </c>
    </row>
    <row r="80" spans="1:15" x14ac:dyDescent="0.3">
      <c r="A80" s="100" t="s">
        <v>625</v>
      </c>
      <c r="B80" s="60">
        <v>54.74</v>
      </c>
      <c r="C80" s="77">
        <f t="shared" si="3"/>
        <v>2.8560691469372474E-2</v>
      </c>
      <c r="D80" s="77">
        <f>(B80-B75)/B75</f>
        <v>4.4457164663232317E-2</v>
      </c>
      <c r="E80" s="77">
        <f>($B$254-B80)/B80</f>
        <v>0.11983924004384353</v>
      </c>
      <c r="G80" s="100" t="s">
        <v>625</v>
      </c>
      <c r="H80" s="60">
        <v>4136.28</v>
      </c>
      <c r="I80" s="77">
        <f t="shared" si="2"/>
        <v>2.9582355337432393E-3</v>
      </c>
      <c r="J80" s="77">
        <f>(H80-H75)/H75</f>
        <v>-4.4464636114954266E-4</v>
      </c>
      <c r="K80" s="77">
        <f>($H$254-H80)/H80</f>
        <v>0.17703588731904041</v>
      </c>
      <c r="M80" s="100" t="s">
        <v>625</v>
      </c>
      <c r="N80" s="77">
        <v>2.8560691469372474E-2</v>
      </c>
      <c r="O80" s="77">
        <v>2.9582355337432393E-3</v>
      </c>
    </row>
    <row r="81" spans="1:15" x14ac:dyDescent="0.3">
      <c r="A81" s="100" t="s">
        <v>624</v>
      </c>
      <c r="B81" s="60">
        <v>53.45</v>
      </c>
      <c r="C81" s="77">
        <f t="shared" si="3"/>
        <v>-2.3565948118377769E-2</v>
      </c>
      <c r="D81" s="60"/>
      <c r="E81" s="60"/>
      <c r="G81" s="100" t="s">
        <v>624</v>
      </c>
      <c r="H81" s="60">
        <v>4109.8999999999996</v>
      </c>
      <c r="I81" s="77">
        <f t="shared" si="2"/>
        <v>-6.3777113735047214E-3</v>
      </c>
      <c r="J81" s="60"/>
      <c r="K81" s="60"/>
      <c r="M81" s="100" t="s">
        <v>624</v>
      </c>
      <c r="N81" s="77">
        <v>-2.3565948118377769E-2</v>
      </c>
      <c r="O81" s="77">
        <v>-6.3777113735047214E-3</v>
      </c>
    </row>
    <row r="82" spans="1:15" x14ac:dyDescent="0.3">
      <c r="A82" s="100" t="s">
        <v>623</v>
      </c>
      <c r="B82" s="60">
        <v>53.83</v>
      </c>
      <c r="C82" s="77">
        <f t="shared" si="3"/>
        <v>7.1094480823198393E-3</v>
      </c>
      <c r="D82" s="60"/>
      <c r="E82" s="60"/>
      <c r="G82" s="100" t="s">
        <v>623</v>
      </c>
      <c r="H82" s="60">
        <v>4158.7700000000004</v>
      </c>
      <c r="I82" s="77">
        <f t="shared" si="2"/>
        <v>1.1890800262780311E-2</v>
      </c>
      <c r="J82" s="60"/>
      <c r="K82" s="60"/>
      <c r="M82" s="100" t="s">
        <v>623</v>
      </c>
      <c r="N82" s="77">
        <v>7.1094480823198393E-3</v>
      </c>
      <c r="O82" s="77">
        <v>1.1890800262780311E-2</v>
      </c>
    </row>
    <row r="83" spans="1:15" x14ac:dyDescent="0.3">
      <c r="A83" s="100" t="s">
        <v>622</v>
      </c>
      <c r="B83" s="60">
        <v>54.02</v>
      </c>
      <c r="C83" s="77">
        <f t="shared" si="3"/>
        <v>3.5296303176668184E-3</v>
      </c>
      <c r="D83" s="60"/>
      <c r="E83" s="60"/>
      <c r="G83" s="100" t="s">
        <v>622</v>
      </c>
      <c r="H83" s="60">
        <v>4198.05</v>
      </c>
      <c r="I83" s="77">
        <f t="shared" si="2"/>
        <v>9.4451003541912004E-3</v>
      </c>
      <c r="J83" s="60"/>
      <c r="K83" s="60"/>
      <c r="M83" s="100" t="s">
        <v>622</v>
      </c>
      <c r="N83" s="77">
        <v>3.5296303176668184E-3</v>
      </c>
      <c r="O83" s="77">
        <v>9.4451003541912004E-3</v>
      </c>
    </row>
    <row r="84" spans="1:15" x14ac:dyDescent="0.3">
      <c r="A84" s="100" t="s">
        <v>621</v>
      </c>
      <c r="B84" s="60">
        <v>51.94</v>
      </c>
      <c r="C84" s="77">
        <f t="shared" si="3"/>
        <v>-3.8504257682339969E-2</v>
      </c>
      <c r="D84" s="60"/>
      <c r="E84" s="60"/>
      <c r="G84" s="100" t="s">
        <v>621</v>
      </c>
      <c r="H84" s="60">
        <v>4191.9799999999996</v>
      </c>
      <c r="I84" s="77">
        <f t="shared" si="2"/>
        <v>-1.4459094103216061E-3</v>
      </c>
      <c r="J84" s="60"/>
      <c r="K84" s="60"/>
      <c r="M84" s="100" t="s">
        <v>621</v>
      </c>
      <c r="N84" s="77">
        <v>-3.8504257682339969E-2</v>
      </c>
      <c r="O84" s="77">
        <v>-1.4459094103216061E-3</v>
      </c>
    </row>
    <row r="85" spans="1:15" x14ac:dyDescent="0.3">
      <c r="A85" s="100" t="s">
        <v>620</v>
      </c>
      <c r="B85" s="60">
        <v>51.22</v>
      </c>
      <c r="C85" s="77">
        <f t="shared" si="3"/>
        <v>-1.3862148633038099E-2</v>
      </c>
      <c r="D85" s="60"/>
      <c r="E85" s="60"/>
      <c r="G85" s="100" t="s">
        <v>620</v>
      </c>
      <c r="H85" s="60">
        <v>4192.63</v>
      </c>
      <c r="I85" s="77">
        <f t="shared" si="2"/>
        <v>1.5505799168902184E-4</v>
      </c>
      <c r="J85" s="60"/>
      <c r="K85" s="60"/>
      <c r="M85" s="100" t="s">
        <v>620</v>
      </c>
      <c r="N85" s="77">
        <v>-1.3862148633038099E-2</v>
      </c>
      <c r="O85" s="77">
        <v>1.5505799168902184E-4</v>
      </c>
    </row>
    <row r="86" spans="1:15" x14ac:dyDescent="0.3">
      <c r="A86" s="100" t="s">
        <v>619</v>
      </c>
      <c r="B86" s="60">
        <v>51.12</v>
      </c>
      <c r="C86" s="77">
        <f t="shared" si="3"/>
        <v>-1.9523623584537567E-3</v>
      </c>
      <c r="D86" s="77">
        <f>(B86-B81)/B81</f>
        <v>-4.3592142188961742E-2</v>
      </c>
      <c r="E86" s="77">
        <f>($B$254-B86)/B86</f>
        <v>0.19913928012519563</v>
      </c>
      <c r="G86" s="100" t="s">
        <v>619</v>
      </c>
      <c r="H86" s="60">
        <v>4145.58</v>
      </c>
      <c r="I86" s="77">
        <f t="shared" si="2"/>
        <v>-1.1222073018606503E-2</v>
      </c>
      <c r="J86" s="77">
        <f>(H86-H81)/H81</f>
        <v>8.6814764349498266E-3</v>
      </c>
      <c r="K86" s="77">
        <f>($H$254-H86)/H86</f>
        <v>0.17439538013981162</v>
      </c>
      <c r="M86" s="100" t="s">
        <v>619</v>
      </c>
      <c r="N86" s="77">
        <v>-1.9523623584537567E-3</v>
      </c>
      <c r="O86" s="77">
        <v>-1.1222073018606503E-2</v>
      </c>
    </row>
    <row r="87" spans="1:15" x14ac:dyDescent="0.3">
      <c r="A87" s="100" t="s">
        <v>618</v>
      </c>
      <c r="B87" s="60">
        <v>50.84</v>
      </c>
      <c r="C87" s="77">
        <f t="shared" si="3"/>
        <v>-5.4773082942095866E-3</v>
      </c>
      <c r="D87" s="60"/>
      <c r="E87" s="60"/>
      <c r="G87" s="100" t="s">
        <v>618</v>
      </c>
      <c r="H87" s="60">
        <v>4115.24</v>
      </c>
      <c r="I87" s="77">
        <f t="shared" si="2"/>
        <v>-7.3186381640205104E-3</v>
      </c>
      <c r="J87" s="60"/>
      <c r="K87" s="60"/>
      <c r="M87" s="100" t="s">
        <v>618</v>
      </c>
      <c r="N87" s="77">
        <v>-5.4773082942095866E-3</v>
      </c>
      <c r="O87" s="77">
        <v>-7.3186381640205104E-3</v>
      </c>
    </row>
    <row r="88" spans="1:15" x14ac:dyDescent="0.3">
      <c r="A88" s="100" t="s">
        <v>617</v>
      </c>
      <c r="B88" s="60">
        <v>51.67</v>
      </c>
      <c r="C88" s="77">
        <f t="shared" si="3"/>
        <v>1.6325727773406733E-2</v>
      </c>
      <c r="D88" s="60"/>
      <c r="E88" s="60"/>
      <c r="G88" s="100" t="s">
        <v>617</v>
      </c>
      <c r="H88" s="60">
        <v>4151.28</v>
      </c>
      <c r="I88" s="77">
        <f t="shared" si="2"/>
        <v>8.757690924466122E-3</v>
      </c>
      <c r="J88" s="60"/>
      <c r="K88" s="60"/>
      <c r="M88" s="100" t="s">
        <v>617</v>
      </c>
      <c r="N88" s="77">
        <v>1.6325727773406733E-2</v>
      </c>
      <c r="O88" s="77">
        <v>8.757690924466122E-3</v>
      </c>
    </row>
    <row r="89" spans="1:15" x14ac:dyDescent="0.3">
      <c r="A89" s="100" t="s">
        <v>616</v>
      </c>
      <c r="B89" s="60">
        <v>51.07</v>
      </c>
      <c r="C89" s="77">
        <f t="shared" si="3"/>
        <v>-1.1612154054577151E-2</v>
      </c>
      <c r="D89" s="60"/>
      <c r="E89" s="60"/>
      <c r="G89" s="100" t="s">
        <v>616</v>
      </c>
      <c r="H89" s="60">
        <v>4205.45</v>
      </c>
      <c r="I89" s="77">
        <f t="shared" si="2"/>
        <v>1.3048987300302576E-2</v>
      </c>
      <c r="J89" s="60"/>
      <c r="K89" s="60"/>
      <c r="M89" s="100" t="s">
        <v>616</v>
      </c>
      <c r="N89" s="77">
        <v>-1.1612154054577151E-2</v>
      </c>
      <c r="O89" s="77">
        <v>1.3048987300302576E-2</v>
      </c>
    </row>
    <row r="90" spans="1:15" x14ac:dyDescent="0.3">
      <c r="A90" s="100" t="s">
        <v>615</v>
      </c>
      <c r="B90" s="60">
        <v>51.46</v>
      </c>
      <c r="C90" s="77">
        <f t="shared" si="3"/>
        <v>7.6365772469160088E-3</v>
      </c>
      <c r="D90" s="60"/>
      <c r="E90" s="60"/>
      <c r="G90" s="100" t="s">
        <v>615</v>
      </c>
      <c r="H90" s="60">
        <v>4205.5200000000004</v>
      </c>
      <c r="I90" s="77">
        <f t="shared" si="2"/>
        <v>1.6645067709904639E-5</v>
      </c>
      <c r="J90" s="60"/>
      <c r="K90" s="60"/>
      <c r="M90" s="100" t="s">
        <v>615</v>
      </c>
      <c r="N90" s="77">
        <v>7.6365772469160088E-3</v>
      </c>
      <c r="O90" s="77">
        <v>1.6645067709904639E-5</v>
      </c>
    </row>
    <row r="91" spans="1:15" x14ac:dyDescent="0.3">
      <c r="A91" s="100" t="s">
        <v>614</v>
      </c>
      <c r="B91" s="60">
        <v>51.37</v>
      </c>
      <c r="C91" s="77">
        <f t="shared" si="3"/>
        <v>-1.7489312087058571E-3</v>
      </c>
      <c r="D91" s="60"/>
      <c r="E91" s="60"/>
      <c r="G91" s="100" t="s">
        <v>614</v>
      </c>
      <c r="H91" s="60">
        <v>4179.83</v>
      </c>
      <c r="I91" s="77">
        <f t="shared" si="2"/>
        <v>-6.1086381707851842E-3</v>
      </c>
      <c r="J91" s="60"/>
      <c r="K91" s="60"/>
      <c r="M91" s="100" t="s">
        <v>614</v>
      </c>
      <c r="N91" s="77">
        <v>-1.7489312087058571E-3</v>
      </c>
      <c r="O91" s="77">
        <v>-6.1086381707851842E-3</v>
      </c>
    </row>
    <row r="92" spans="1:15" x14ac:dyDescent="0.3">
      <c r="A92" s="100" t="s">
        <v>613</v>
      </c>
      <c r="B92" s="60">
        <v>50.44</v>
      </c>
      <c r="C92" s="77">
        <f t="shared" si="3"/>
        <v>-1.81039517227954E-2</v>
      </c>
      <c r="D92" s="77">
        <f>(B92-B87)/B87</f>
        <v>-7.8678206136901189E-3</v>
      </c>
      <c r="E92" s="77">
        <f>($B$254-B92)/B92</f>
        <v>0.21530531324345759</v>
      </c>
      <c r="G92" s="100" t="s">
        <v>613</v>
      </c>
      <c r="H92" s="60">
        <v>4221.0200000000004</v>
      </c>
      <c r="I92" s="77">
        <f t="shared" si="2"/>
        <v>9.8544677654355591E-3</v>
      </c>
      <c r="J92" s="77">
        <f>(H92-H87)/H87</f>
        <v>2.5704454661210685E-2</v>
      </c>
      <c r="K92" s="77">
        <f>($H$254-H92)/H92</f>
        <v>0.15340604877494057</v>
      </c>
      <c r="M92" s="100" t="s">
        <v>613</v>
      </c>
      <c r="N92" s="77">
        <v>-1.81039517227954E-2</v>
      </c>
      <c r="O92" s="77">
        <v>9.8544677654355591E-3</v>
      </c>
    </row>
    <row r="93" spans="1:15" x14ac:dyDescent="0.3">
      <c r="A93" s="100" t="s">
        <v>612</v>
      </c>
      <c r="B93" s="60">
        <v>51.99</v>
      </c>
      <c r="C93" s="77">
        <f t="shared" si="3"/>
        <v>3.0729579698651949E-2</v>
      </c>
      <c r="D93" s="60"/>
      <c r="E93" s="60"/>
      <c r="G93" s="100" t="s">
        <v>612</v>
      </c>
      <c r="H93" s="60">
        <v>4282.37</v>
      </c>
      <c r="I93" s="77">
        <f t="shared" si="2"/>
        <v>1.4534401637518762E-2</v>
      </c>
      <c r="J93" s="60"/>
      <c r="K93" s="60"/>
      <c r="M93" s="100" t="s">
        <v>612</v>
      </c>
      <c r="N93" s="77">
        <v>3.0729579698651949E-2</v>
      </c>
      <c r="O93" s="77">
        <v>1.4534401637518762E-2</v>
      </c>
    </row>
    <row r="94" spans="1:15" x14ac:dyDescent="0.3">
      <c r="A94" s="100" t="s">
        <v>611</v>
      </c>
      <c r="B94" s="60">
        <v>51.59</v>
      </c>
      <c r="C94" s="77">
        <f t="shared" si="3"/>
        <v>-7.6937872667820458E-3</v>
      </c>
      <c r="D94" s="60"/>
      <c r="E94" s="60"/>
      <c r="G94" s="100" t="s">
        <v>611</v>
      </c>
      <c r="H94" s="60">
        <v>4273.79</v>
      </c>
      <c r="I94" s="77">
        <f t="shared" si="2"/>
        <v>-2.0035634473433935E-3</v>
      </c>
      <c r="J94" s="60"/>
      <c r="K94" s="60"/>
      <c r="M94" s="100" t="s">
        <v>611</v>
      </c>
      <c r="N94" s="77">
        <v>-7.6937872667820458E-3</v>
      </c>
      <c r="O94" s="77">
        <v>-2.0035634473433935E-3</v>
      </c>
    </row>
    <row r="95" spans="1:15" x14ac:dyDescent="0.3">
      <c r="A95" s="100" t="s">
        <v>610</v>
      </c>
      <c r="B95" s="60">
        <v>53.28</v>
      </c>
      <c r="C95" s="77">
        <f t="shared" si="3"/>
        <v>3.275828648962973E-2</v>
      </c>
      <c r="D95" s="60"/>
      <c r="E95" s="60"/>
      <c r="G95" s="100" t="s">
        <v>610</v>
      </c>
      <c r="H95" s="60">
        <v>4283.8500000000004</v>
      </c>
      <c r="I95" s="77">
        <f t="shared" si="2"/>
        <v>2.35388261940816E-3</v>
      </c>
      <c r="J95" s="60"/>
      <c r="K95" s="60"/>
      <c r="M95" s="100" t="s">
        <v>610</v>
      </c>
      <c r="N95" s="77">
        <v>3.275828648962973E-2</v>
      </c>
      <c r="O95" s="77">
        <v>2.35388261940816E-3</v>
      </c>
    </row>
    <row r="96" spans="1:15" x14ac:dyDescent="0.3">
      <c r="A96" s="100" t="s">
        <v>609</v>
      </c>
      <c r="B96" s="60">
        <v>54.19</v>
      </c>
      <c r="C96" s="77">
        <f t="shared" si="3"/>
        <v>1.7079579579579514E-2</v>
      </c>
      <c r="D96" s="60"/>
      <c r="E96" s="60"/>
      <c r="G96" s="100" t="s">
        <v>609</v>
      </c>
      <c r="H96" s="60">
        <v>4267.5200000000004</v>
      </c>
      <c r="I96" s="77">
        <f t="shared" si="2"/>
        <v>-3.8119915496574171E-3</v>
      </c>
      <c r="J96" s="60"/>
      <c r="K96" s="60"/>
      <c r="M96" s="100" t="s">
        <v>609</v>
      </c>
      <c r="N96" s="77">
        <v>1.7079579579579514E-2</v>
      </c>
      <c r="O96" s="77">
        <v>-3.8119915496574171E-3</v>
      </c>
    </row>
    <row r="97" spans="1:15" x14ac:dyDescent="0.3">
      <c r="A97" s="100" t="s">
        <v>608</v>
      </c>
      <c r="B97" s="60">
        <v>53.61</v>
      </c>
      <c r="C97" s="77">
        <f t="shared" si="3"/>
        <v>-1.0703081749400227E-2</v>
      </c>
      <c r="D97" s="60"/>
      <c r="E97" s="60"/>
      <c r="G97" s="100" t="s">
        <v>608</v>
      </c>
      <c r="H97" s="60">
        <v>4293.93</v>
      </c>
      <c r="I97" s="77">
        <f t="shared" si="2"/>
        <v>6.1886060287942067E-3</v>
      </c>
      <c r="J97" s="60"/>
      <c r="K97" s="60"/>
      <c r="M97" s="100" t="s">
        <v>608</v>
      </c>
      <c r="N97" s="77">
        <v>-1.0703081749400227E-2</v>
      </c>
      <c r="O97" s="77">
        <v>6.1886060287942067E-3</v>
      </c>
    </row>
    <row r="98" spans="1:15" x14ac:dyDescent="0.3">
      <c r="A98" s="100" t="s">
        <v>607</v>
      </c>
      <c r="B98" s="60">
        <v>53.8</v>
      </c>
      <c r="C98" s="77">
        <f t="shared" si="3"/>
        <v>3.5441149039357905E-3</v>
      </c>
      <c r="D98" s="77">
        <f>(B98-B93)/B93</f>
        <v>3.481438738218879E-2</v>
      </c>
      <c r="E98" s="77">
        <f>($B$254-B98)/B98</f>
        <v>0.13940520446096655</v>
      </c>
      <c r="G98" s="100" t="s">
        <v>607</v>
      </c>
      <c r="H98" s="60">
        <v>4298.8599999999997</v>
      </c>
      <c r="I98" s="77">
        <f t="shared" si="2"/>
        <v>1.1481323635921827E-3</v>
      </c>
      <c r="J98" s="77">
        <f>(H98-H93)/H93</f>
        <v>3.8506714739734733E-3</v>
      </c>
      <c r="K98" s="77">
        <f>($H$254-H98)/H98</f>
        <v>0.13252118003377653</v>
      </c>
      <c r="M98" s="100" t="s">
        <v>607</v>
      </c>
      <c r="N98" s="77">
        <v>3.5441149039357905E-3</v>
      </c>
      <c r="O98" s="77">
        <v>1.1481323635921827E-3</v>
      </c>
    </row>
    <row r="99" spans="1:15" x14ac:dyDescent="0.3">
      <c r="A99" s="100" t="s">
        <v>606</v>
      </c>
      <c r="B99" s="60">
        <v>52.79</v>
      </c>
      <c r="C99" s="77">
        <f t="shared" si="3"/>
        <v>-1.877323420074346E-2</v>
      </c>
      <c r="D99" s="60"/>
      <c r="E99" s="60"/>
      <c r="G99" s="100" t="s">
        <v>606</v>
      </c>
      <c r="H99" s="60">
        <v>4338.93</v>
      </c>
      <c r="I99" s="77">
        <f t="shared" si="2"/>
        <v>9.3210758201012871E-3</v>
      </c>
      <c r="J99" s="60"/>
      <c r="K99" s="60"/>
      <c r="M99" s="100" t="s">
        <v>606</v>
      </c>
      <c r="N99" s="77">
        <v>-1.877323420074346E-2</v>
      </c>
      <c r="O99" s="77">
        <v>9.3210758201012871E-3</v>
      </c>
    </row>
    <row r="100" spans="1:15" x14ac:dyDescent="0.3">
      <c r="A100" s="100" t="s">
        <v>605</v>
      </c>
      <c r="B100" s="60">
        <v>52.2</v>
      </c>
      <c r="C100" s="77">
        <f t="shared" si="3"/>
        <v>-1.1176359158931545E-2</v>
      </c>
      <c r="D100" s="60"/>
      <c r="E100" s="60"/>
      <c r="G100" s="100" t="s">
        <v>605</v>
      </c>
      <c r="H100" s="60">
        <v>4369.01</v>
      </c>
      <c r="I100" s="77">
        <f t="shared" si="2"/>
        <v>6.9325847616808576E-3</v>
      </c>
      <c r="J100" s="60"/>
      <c r="K100" s="60"/>
      <c r="M100" s="100" t="s">
        <v>605</v>
      </c>
      <c r="N100" s="77">
        <v>-1.1176359158931545E-2</v>
      </c>
      <c r="O100" s="77">
        <v>6.9325847616808576E-3</v>
      </c>
    </row>
    <row r="101" spans="1:15" x14ac:dyDescent="0.3">
      <c r="A101" s="100" t="s">
        <v>604</v>
      </c>
      <c r="B101" s="60">
        <v>53.08</v>
      </c>
      <c r="C101" s="77">
        <f t="shared" si="3"/>
        <v>1.6858237547892632E-2</v>
      </c>
      <c r="D101" s="60"/>
      <c r="E101" s="60"/>
      <c r="G101" s="100" t="s">
        <v>604</v>
      </c>
      <c r="H101" s="60">
        <v>4372.59</v>
      </c>
      <c r="I101" s="77">
        <f t="shared" si="2"/>
        <v>8.1940760034880373E-4</v>
      </c>
      <c r="J101" s="60"/>
      <c r="K101" s="60"/>
      <c r="M101" s="100" t="s">
        <v>604</v>
      </c>
      <c r="N101" s="77">
        <v>1.6858237547892632E-2</v>
      </c>
      <c r="O101" s="77">
        <v>8.1940760034880373E-4</v>
      </c>
    </row>
    <row r="102" spans="1:15" x14ac:dyDescent="0.3">
      <c r="A102" s="100" t="s">
        <v>603</v>
      </c>
      <c r="B102" s="60">
        <v>52.57</v>
      </c>
      <c r="C102" s="77">
        <f t="shared" si="3"/>
        <v>-9.6081386586284474E-3</v>
      </c>
      <c r="D102" s="60"/>
      <c r="E102" s="60"/>
      <c r="G102" s="100" t="s">
        <v>603</v>
      </c>
      <c r="H102" s="60">
        <v>4425.84</v>
      </c>
      <c r="I102" s="77">
        <f t="shared" si="2"/>
        <v>1.2178136985173546E-2</v>
      </c>
      <c r="J102" s="60"/>
      <c r="K102" s="60"/>
      <c r="M102" s="100" t="s">
        <v>603</v>
      </c>
      <c r="N102" s="77">
        <v>-9.6081386586284474E-3</v>
      </c>
      <c r="O102" s="77">
        <v>1.2178136985173546E-2</v>
      </c>
    </row>
    <row r="103" spans="1:15" x14ac:dyDescent="0.3">
      <c r="A103" s="100" t="s">
        <v>602</v>
      </c>
      <c r="B103" s="60">
        <v>51.78</v>
      </c>
      <c r="C103" s="77">
        <f t="shared" si="3"/>
        <v>-1.5027582271257355E-2</v>
      </c>
      <c r="D103" s="60"/>
      <c r="E103" s="60"/>
      <c r="G103" s="100" t="s">
        <v>602</v>
      </c>
      <c r="H103" s="60">
        <v>4409.59</v>
      </c>
      <c r="I103" s="77">
        <f t="shared" si="2"/>
        <v>-3.671619398803391E-3</v>
      </c>
      <c r="J103" s="60"/>
      <c r="K103" s="60"/>
      <c r="M103" s="100" t="s">
        <v>602</v>
      </c>
      <c r="N103" s="77">
        <v>-1.5027582271257355E-2</v>
      </c>
      <c r="O103" s="77">
        <v>-3.671619398803391E-3</v>
      </c>
    </row>
    <row r="104" spans="1:15" x14ac:dyDescent="0.3">
      <c r="A104" s="100" t="s">
        <v>601</v>
      </c>
      <c r="B104" s="60">
        <v>50.49</v>
      </c>
      <c r="C104" s="77">
        <f t="shared" si="3"/>
        <v>-2.4913093858632659E-2</v>
      </c>
      <c r="D104" s="77">
        <f>(B104-B99)/B99</f>
        <v>-4.3568857738207942E-2</v>
      </c>
      <c r="E104" s="77">
        <f>($B$254-B104)/B104</f>
        <v>0.21410180233709636</v>
      </c>
      <c r="G104" s="100" t="s">
        <v>601</v>
      </c>
      <c r="H104" s="60">
        <v>4388.71</v>
      </c>
      <c r="I104" s="77">
        <f t="shared" si="2"/>
        <v>-4.7351341054383987E-3</v>
      </c>
      <c r="J104" s="77">
        <f>(H104-H99)/H99</f>
        <v>1.1472874648818888E-2</v>
      </c>
      <c r="K104" s="77">
        <f>($H$254-H104)/H104</f>
        <v>0.10933508935427498</v>
      </c>
      <c r="M104" s="100" t="s">
        <v>601</v>
      </c>
      <c r="N104" s="77">
        <v>-2.4913093858632659E-2</v>
      </c>
      <c r="O104" s="77">
        <v>-4.7351341054383987E-3</v>
      </c>
    </row>
    <row r="105" spans="1:15" x14ac:dyDescent="0.3">
      <c r="A105" s="100" t="s">
        <v>600</v>
      </c>
      <c r="B105" s="60">
        <v>51.26</v>
      </c>
      <c r="C105" s="77">
        <f t="shared" si="3"/>
        <v>1.5250544662309289E-2</v>
      </c>
      <c r="D105" s="60"/>
      <c r="E105" s="60"/>
      <c r="G105" s="100" t="s">
        <v>600</v>
      </c>
      <c r="H105" s="60">
        <v>4365.6899999999996</v>
      </c>
      <c r="I105" s="77">
        <f t="shared" si="2"/>
        <v>-5.2452770859775276E-3</v>
      </c>
      <c r="J105" s="60"/>
      <c r="K105" s="60"/>
      <c r="M105" s="100" t="s">
        <v>600</v>
      </c>
      <c r="N105" s="77">
        <v>1.5250544662309289E-2</v>
      </c>
      <c r="O105" s="77">
        <v>-5.2452770859775276E-3</v>
      </c>
    </row>
    <row r="106" spans="1:15" x14ac:dyDescent="0.3">
      <c r="A106" s="100" t="s">
        <v>599</v>
      </c>
      <c r="B106" s="60">
        <v>51.51</v>
      </c>
      <c r="C106" s="77">
        <f t="shared" si="3"/>
        <v>4.8770971517752637E-3</v>
      </c>
      <c r="D106" s="60"/>
      <c r="E106" s="60"/>
      <c r="G106" s="100" t="s">
        <v>599</v>
      </c>
      <c r="H106" s="60">
        <v>4381.8900000000003</v>
      </c>
      <c r="I106" s="77">
        <f t="shared" si="2"/>
        <v>3.7107536265746604E-3</v>
      </c>
      <c r="J106" s="60"/>
      <c r="K106" s="60"/>
      <c r="M106" s="100" t="s">
        <v>599</v>
      </c>
      <c r="N106" s="77">
        <v>4.8770971517752637E-3</v>
      </c>
      <c r="O106" s="77">
        <v>3.7107536265746604E-3</v>
      </c>
    </row>
    <row r="107" spans="1:15" x14ac:dyDescent="0.3">
      <c r="A107" s="100" t="s">
        <v>598</v>
      </c>
      <c r="B107" s="60">
        <v>50.78</v>
      </c>
      <c r="C107" s="77">
        <f t="shared" si="3"/>
        <v>-1.4172005435837642E-2</v>
      </c>
      <c r="D107" s="60"/>
      <c r="E107" s="60"/>
      <c r="G107" s="100" t="s">
        <v>598</v>
      </c>
      <c r="H107" s="60">
        <v>4348.33</v>
      </c>
      <c r="I107" s="77">
        <f t="shared" si="2"/>
        <v>-7.6587956338475859E-3</v>
      </c>
      <c r="J107" s="60"/>
      <c r="K107" s="60"/>
      <c r="M107" s="100" t="s">
        <v>598</v>
      </c>
      <c r="N107" s="77">
        <v>-1.4172005435837642E-2</v>
      </c>
      <c r="O107" s="77">
        <v>-7.6587956338475859E-3</v>
      </c>
    </row>
    <row r="108" spans="1:15" x14ac:dyDescent="0.3">
      <c r="A108" s="100" t="s">
        <v>597</v>
      </c>
      <c r="B108" s="60">
        <v>50.27</v>
      </c>
      <c r="C108" s="77">
        <f t="shared" si="3"/>
        <v>-1.0043324143363489E-2</v>
      </c>
      <c r="D108" s="60"/>
      <c r="E108" s="60"/>
      <c r="G108" s="100" t="s">
        <v>597</v>
      </c>
      <c r="H108" s="60">
        <v>4328.82</v>
      </c>
      <c r="I108" s="77">
        <f t="shared" si="2"/>
        <v>-4.4867799822001135E-3</v>
      </c>
      <c r="J108" s="60"/>
      <c r="K108" s="60"/>
      <c r="M108" s="100" t="s">
        <v>597</v>
      </c>
      <c r="N108" s="77">
        <v>-1.0043324143363489E-2</v>
      </c>
      <c r="O108" s="77">
        <v>-4.4867799822001135E-3</v>
      </c>
    </row>
    <row r="109" spans="1:15" x14ac:dyDescent="0.3">
      <c r="A109" s="100" t="s">
        <v>596</v>
      </c>
      <c r="B109" s="60">
        <v>50.32</v>
      </c>
      <c r="C109" s="77">
        <f t="shared" si="3"/>
        <v>9.94629003381682E-4</v>
      </c>
      <c r="D109" s="60"/>
      <c r="E109" s="60"/>
      <c r="G109" s="100" t="s">
        <v>596</v>
      </c>
      <c r="H109" s="60">
        <v>4378.41</v>
      </c>
      <c r="I109" s="77">
        <f t="shared" si="2"/>
        <v>1.1455777787018206E-2</v>
      </c>
      <c r="J109" s="60"/>
      <c r="K109" s="60"/>
      <c r="M109" s="100" t="s">
        <v>596</v>
      </c>
      <c r="N109" s="77">
        <v>9.94629003381682E-4</v>
      </c>
      <c r="O109" s="77">
        <v>1.1455777787018206E-2</v>
      </c>
    </row>
    <row r="110" spans="1:15" x14ac:dyDescent="0.3">
      <c r="A110" s="100" t="s">
        <v>595</v>
      </c>
      <c r="B110" s="60">
        <v>50.45</v>
      </c>
      <c r="C110" s="77">
        <f t="shared" si="3"/>
        <v>2.5834658187599874E-3</v>
      </c>
      <c r="D110" s="77">
        <f>(B110-B105)/B105</f>
        <v>-1.5801794771751761E-2</v>
      </c>
      <c r="E110" s="77">
        <f>($B$254-B110)/B110</f>
        <v>0.21506442021803754</v>
      </c>
      <c r="G110" s="100" t="s">
        <v>595</v>
      </c>
      <c r="H110" s="60">
        <v>4376.8599999999997</v>
      </c>
      <c r="I110" s="77">
        <f t="shared" si="2"/>
        <v>-3.5400978894168934E-4</v>
      </c>
      <c r="J110" s="77">
        <f>(H110-H105)/H105</f>
        <v>2.5585875314097137E-3</v>
      </c>
      <c r="K110" s="77">
        <f>($H$254-H110)/H110</f>
        <v>0.11233852579246321</v>
      </c>
      <c r="M110" s="100" t="s">
        <v>595</v>
      </c>
      <c r="N110" s="77">
        <v>2.5834658187599874E-3</v>
      </c>
      <c r="O110" s="77">
        <v>-3.5400978894168934E-4</v>
      </c>
    </row>
    <row r="111" spans="1:15" x14ac:dyDescent="0.3">
      <c r="A111" s="100" t="s">
        <v>594</v>
      </c>
      <c r="B111" s="60">
        <v>50.33</v>
      </c>
      <c r="C111" s="77">
        <f t="shared" si="3"/>
        <v>-2.3785926660060365E-3</v>
      </c>
      <c r="D111" s="60"/>
      <c r="E111" s="60"/>
      <c r="G111" s="100" t="s">
        <v>594</v>
      </c>
      <c r="H111" s="60">
        <v>4396.4399999999996</v>
      </c>
      <c r="I111" s="77">
        <f t="shared" si="2"/>
        <v>4.4735266835128221E-3</v>
      </c>
      <c r="J111" s="60"/>
      <c r="K111" s="60"/>
      <c r="M111" s="100" t="s">
        <v>594</v>
      </c>
      <c r="N111" s="77">
        <v>-2.3785926660060365E-3</v>
      </c>
      <c r="O111" s="77">
        <v>4.4735266835128221E-3</v>
      </c>
    </row>
    <row r="112" spans="1:15" x14ac:dyDescent="0.3">
      <c r="A112" s="100" t="s">
        <v>593</v>
      </c>
      <c r="B112" s="60">
        <v>52.66</v>
      </c>
      <c r="C112" s="77">
        <f t="shared" si="3"/>
        <v>4.6294456586528879E-2</v>
      </c>
      <c r="D112" s="60"/>
      <c r="E112" s="60"/>
      <c r="G112" s="100" t="s">
        <v>593</v>
      </c>
      <c r="H112" s="60">
        <v>4450.38</v>
      </c>
      <c r="I112" s="77">
        <f t="shared" si="2"/>
        <v>1.2269017659743E-2</v>
      </c>
      <c r="J112" s="60"/>
      <c r="K112" s="60"/>
      <c r="M112" s="100" t="s">
        <v>593</v>
      </c>
      <c r="N112" s="77">
        <v>4.6294456586528879E-2</v>
      </c>
      <c r="O112" s="77">
        <v>1.2269017659743E-2</v>
      </c>
    </row>
    <row r="113" spans="1:15" x14ac:dyDescent="0.3">
      <c r="A113" s="100" t="s">
        <v>592</v>
      </c>
      <c r="B113" s="60">
        <v>53.5</v>
      </c>
      <c r="C113" s="77">
        <f t="shared" si="3"/>
        <v>1.5951386251424296E-2</v>
      </c>
      <c r="D113" s="60"/>
      <c r="E113" s="60"/>
      <c r="G113" s="100" t="s">
        <v>592</v>
      </c>
      <c r="H113" s="60">
        <v>4455.59</v>
      </c>
      <c r="I113" s="77">
        <f t="shared" si="2"/>
        <v>1.1706865481150006E-3</v>
      </c>
      <c r="J113" s="60"/>
      <c r="K113" s="60"/>
      <c r="M113" s="100" t="s">
        <v>592</v>
      </c>
      <c r="N113" s="77">
        <v>1.5951386251424296E-2</v>
      </c>
      <c r="O113" s="77">
        <v>1.1706865481150006E-3</v>
      </c>
    </row>
    <row r="114" spans="1:15" x14ac:dyDescent="0.3">
      <c r="A114" s="100" t="s">
        <v>591</v>
      </c>
      <c r="B114" s="60">
        <v>52.54</v>
      </c>
      <c r="C114" s="77">
        <f t="shared" si="3"/>
        <v>-1.7943925233644877E-2</v>
      </c>
      <c r="D114" s="60"/>
      <c r="E114" s="60"/>
      <c r="G114" s="100" t="s">
        <v>591</v>
      </c>
      <c r="H114" s="60">
        <v>4446.82</v>
      </c>
      <c r="I114" s="77">
        <f t="shared" si="2"/>
        <v>-1.9683139606652398E-3</v>
      </c>
      <c r="J114" s="60"/>
      <c r="K114" s="60"/>
      <c r="M114" s="100" t="s">
        <v>591</v>
      </c>
      <c r="N114" s="77">
        <v>-1.7943925233644877E-2</v>
      </c>
      <c r="O114" s="77">
        <v>-1.9683139606652398E-3</v>
      </c>
    </row>
    <row r="115" spans="1:15" x14ac:dyDescent="0.3">
      <c r="A115" s="100" t="s">
        <v>590</v>
      </c>
      <c r="B115" s="60">
        <v>52.45</v>
      </c>
      <c r="C115" s="77">
        <f t="shared" si="3"/>
        <v>-1.7129805862199526E-3</v>
      </c>
      <c r="D115" s="60"/>
      <c r="E115" s="60"/>
      <c r="G115" s="100" t="s">
        <v>590</v>
      </c>
      <c r="H115" s="60">
        <v>4411.59</v>
      </c>
      <c r="I115" s="77">
        <f t="shared" si="2"/>
        <v>-7.9225154155103117E-3</v>
      </c>
      <c r="J115" s="60"/>
      <c r="K115" s="60"/>
      <c r="M115" s="100" t="s">
        <v>590</v>
      </c>
      <c r="N115" s="77">
        <v>-1.7129805862199526E-3</v>
      </c>
      <c r="O115" s="77">
        <v>-7.9225154155103117E-3</v>
      </c>
    </row>
    <row r="116" spans="1:15" x14ac:dyDescent="0.3">
      <c r="A116" s="100" t="s">
        <v>589</v>
      </c>
      <c r="B116" s="60">
        <v>51.5</v>
      </c>
      <c r="C116" s="77">
        <f t="shared" si="3"/>
        <v>-1.8112488083889471E-2</v>
      </c>
      <c r="D116" s="77">
        <f>(B116-B111)/B111</f>
        <v>2.3246572620703392E-2</v>
      </c>
      <c r="E116" s="77">
        <f>($B$254-B116)/B116</f>
        <v>0.19029126213592226</v>
      </c>
      <c r="G116" s="100" t="s">
        <v>589</v>
      </c>
      <c r="H116" s="60">
        <v>4398.95</v>
      </c>
      <c r="I116" s="77">
        <f t="shared" si="2"/>
        <v>-2.8651801277998017E-3</v>
      </c>
      <c r="J116" s="77">
        <f>(H116-H111)/H111</f>
        <v>5.7091646877933477E-4</v>
      </c>
      <c r="K116" s="77">
        <f>($H$254-H116)/H116</f>
        <v>0.10675274781481953</v>
      </c>
      <c r="M116" s="100" t="s">
        <v>589</v>
      </c>
      <c r="N116" s="77">
        <v>-1.8112488083889471E-2</v>
      </c>
      <c r="O116" s="77">
        <v>-2.8651801277998017E-3</v>
      </c>
    </row>
    <row r="117" spans="1:15" x14ac:dyDescent="0.3">
      <c r="A117" s="100" t="s">
        <v>588</v>
      </c>
      <c r="B117" s="60">
        <v>51.9</v>
      </c>
      <c r="C117" s="77">
        <f t="shared" si="3"/>
        <v>7.7669902912621087E-3</v>
      </c>
      <c r="D117" s="60"/>
      <c r="E117" s="60"/>
      <c r="G117" s="100" t="s">
        <v>588</v>
      </c>
      <c r="H117" s="60">
        <v>4409.53</v>
      </c>
      <c r="I117" s="77">
        <f t="shared" si="2"/>
        <v>2.4051194034939993E-3</v>
      </c>
      <c r="J117" s="60"/>
      <c r="K117" s="60"/>
      <c r="M117" s="100" t="s">
        <v>588</v>
      </c>
      <c r="N117" s="77">
        <v>7.7669902912621087E-3</v>
      </c>
      <c r="O117" s="77">
        <v>2.4051194034939993E-3</v>
      </c>
    </row>
    <row r="118" spans="1:15" x14ac:dyDescent="0.3">
      <c r="A118" s="100" t="s">
        <v>587</v>
      </c>
      <c r="B118" s="60">
        <v>52.03</v>
      </c>
      <c r="C118" s="77">
        <f t="shared" si="3"/>
        <v>2.5048169556840571E-3</v>
      </c>
      <c r="D118" s="60"/>
      <c r="E118" s="60"/>
      <c r="G118" s="100" t="s">
        <v>587</v>
      </c>
      <c r="H118" s="60">
        <v>4439.26</v>
      </c>
      <c r="I118" s="77">
        <f t="shared" si="2"/>
        <v>6.7422151567174899E-3</v>
      </c>
      <c r="J118" s="60"/>
      <c r="K118" s="60"/>
      <c r="M118" s="100" t="s">
        <v>587</v>
      </c>
      <c r="N118" s="77">
        <v>2.5048169556840571E-3</v>
      </c>
      <c r="O118" s="77">
        <v>6.7422151567174899E-3</v>
      </c>
    </row>
    <row r="119" spans="1:15" x14ac:dyDescent="0.3">
      <c r="A119" s="100" t="s">
        <v>586</v>
      </c>
      <c r="B119" s="60">
        <v>52.22</v>
      </c>
      <c r="C119" s="77">
        <f t="shared" si="3"/>
        <v>3.6517393811262297E-3</v>
      </c>
      <c r="D119" s="60"/>
      <c r="E119" s="60"/>
      <c r="G119" s="100" t="s">
        <v>586</v>
      </c>
      <c r="H119" s="60">
        <v>4472.16</v>
      </c>
      <c r="I119" s="77">
        <f t="shared" si="2"/>
        <v>7.4111451007599543E-3</v>
      </c>
      <c r="J119" s="60"/>
      <c r="K119" s="60"/>
      <c r="M119" s="100" t="s">
        <v>586</v>
      </c>
      <c r="N119" s="77">
        <v>3.6517393811262297E-3</v>
      </c>
      <c r="O119" s="77">
        <v>7.4111451007599543E-3</v>
      </c>
    </row>
    <row r="120" spans="1:15" x14ac:dyDescent="0.3">
      <c r="A120" s="100" t="s">
        <v>585</v>
      </c>
      <c r="B120" s="60">
        <v>52.52</v>
      </c>
      <c r="C120" s="77">
        <f t="shared" si="3"/>
        <v>5.7449253159709739E-3</v>
      </c>
      <c r="D120" s="60"/>
      <c r="E120" s="60"/>
      <c r="G120" s="100" t="s">
        <v>585</v>
      </c>
      <c r="H120" s="60">
        <v>4510.04</v>
      </c>
      <c r="I120" s="77">
        <f t="shared" si="2"/>
        <v>8.470179957783288E-3</v>
      </c>
      <c r="J120" s="60"/>
      <c r="K120" s="60"/>
      <c r="M120" s="100" t="s">
        <v>585</v>
      </c>
      <c r="N120" s="77">
        <v>5.7449253159709739E-3</v>
      </c>
      <c r="O120" s="77">
        <v>8.470179957783288E-3</v>
      </c>
    </row>
    <row r="121" spans="1:15" x14ac:dyDescent="0.3">
      <c r="A121" s="100" t="s">
        <v>584</v>
      </c>
      <c r="B121" s="60">
        <v>52.23</v>
      </c>
      <c r="C121" s="77">
        <f t="shared" si="3"/>
        <v>-5.5217060167556406E-3</v>
      </c>
      <c r="D121" s="60"/>
      <c r="E121" s="60"/>
      <c r="G121" s="100" t="s">
        <v>584</v>
      </c>
      <c r="H121" s="60">
        <v>4505.42</v>
      </c>
      <c r="I121" s="77">
        <f t="shared" si="2"/>
        <v>-1.0243811584819405E-3</v>
      </c>
      <c r="J121" s="60"/>
      <c r="K121" s="60"/>
      <c r="M121" s="100" t="s">
        <v>584</v>
      </c>
      <c r="N121" s="77">
        <v>-5.5217060167556406E-3</v>
      </c>
      <c r="O121" s="77">
        <v>-1.0243811584819405E-3</v>
      </c>
    </row>
    <row r="122" spans="1:15" x14ac:dyDescent="0.3">
      <c r="A122" s="100" t="s">
        <v>583</v>
      </c>
      <c r="B122" s="60">
        <v>52.9</v>
      </c>
      <c r="C122" s="77">
        <f t="shared" si="3"/>
        <v>1.2827876699215044E-2</v>
      </c>
      <c r="D122" s="77">
        <f>(B122-B117)/B117</f>
        <v>1.926782273603083E-2</v>
      </c>
      <c r="E122" s="77">
        <f>($B$254-B122)/B122</f>
        <v>0.15879017013232513</v>
      </c>
      <c r="G122" s="100" t="s">
        <v>583</v>
      </c>
      <c r="H122" s="60">
        <v>4522.79</v>
      </c>
      <c r="I122" s="77">
        <f t="shared" si="2"/>
        <v>3.8553564373576469E-3</v>
      </c>
      <c r="J122" s="77">
        <f>(H122-H117)/H117</f>
        <v>2.5685277115701725E-2</v>
      </c>
      <c r="K122" s="77">
        <f>($H$254-H122)/H122</f>
        <v>7.6448386946995156E-2</v>
      </c>
      <c r="M122" s="100" t="s">
        <v>583</v>
      </c>
      <c r="N122" s="77">
        <v>1.2827876699215044E-2</v>
      </c>
      <c r="O122" s="77">
        <v>3.8553564373576469E-3</v>
      </c>
    </row>
    <row r="123" spans="1:15" x14ac:dyDescent="0.3">
      <c r="A123" s="100" t="s">
        <v>582</v>
      </c>
      <c r="B123" s="60">
        <v>53.9</v>
      </c>
      <c r="C123" s="77">
        <f t="shared" si="3"/>
        <v>1.890359168241966E-2</v>
      </c>
      <c r="D123" s="60"/>
      <c r="E123" s="60"/>
      <c r="G123" s="100" t="s">
        <v>582</v>
      </c>
      <c r="H123" s="60">
        <v>4554.9799999999996</v>
      </c>
      <c r="I123" s="77">
        <f t="shared" si="2"/>
        <v>7.1172882225351165E-3</v>
      </c>
      <c r="J123" s="60"/>
      <c r="K123" s="60"/>
      <c r="M123" s="100" t="s">
        <v>582</v>
      </c>
      <c r="N123" s="77">
        <v>1.890359168241966E-2</v>
      </c>
      <c r="O123" s="77">
        <v>7.1172882225351165E-3</v>
      </c>
    </row>
    <row r="124" spans="1:15" x14ac:dyDescent="0.3">
      <c r="A124" s="100" t="s">
        <v>581</v>
      </c>
      <c r="B124" s="60">
        <v>54.26</v>
      </c>
      <c r="C124" s="77">
        <f t="shared" si="3"/>
        <v>6.6790352504638118E-3</v>
      </c>
      <c r="D124" s="60"/>
      <c r="E124" s="60"/>
      <c r="G124" s="100" t="s">
        <v>581</v>
      </c>
      <c r="H124" s="60">
        <v>4565.72</v>
      </c>
      <c r="I124" s="77">
        <f t="shared" si="2"/>
        <v>2.3578588709501891E-3</v>
      </c>
      <c r="J124" s="60"/>
      <c r="K124" s="60"/>
      <c r="M124" s="100" t="s">
        <v>581</v>
      </c>
      <c r="N124" s="77">
        <v>6.6790352504638118E-3</v>
      </c>
      <c r="O124" s="77">
        <v>2.3578588709501891E-3</v>
      </c>
    </row>
    <row r="125" spans="1:15" x14ac:dyDescent="0.3">
      <c r="A125" s="100" t="s">
        <v>580</v>
      </c>
      <c r="B125" s="60">
        <v>53.25</v>
      </c>
      <c r="C125" s="77">
        <f t="shared" si="3"/>
        <v>-1.861408035385179E-2</v>
      </c>
      <c r="D125" s="60"/>
      <c r="E125" s="60"/>
      <c r="G125" s="100" t="s">
        <v>580</v>
      </c>
      <c r="H125" s="60">
        <v>4534.87</v>
      </c>
      <c r="I125" s="77">
        <f t="shared" si="2"/>
        <v>-6.7568751478409459E-3</v>
      </c>
      <c r="J125" s="60"/>
      <c r="K125" s="60"/>
      <c r="M125" s="100" t="s">
        <v>580</v>
      </c>
      <c r="N125" s="77">
        <v>-1.861408035385179E-2</v>
      </c>
      <c r="O125" s="77">
        <v>-6.7568751478409459E-3</v>
      </c>
    </row>
    <row r="126" spans="1:15" x14ac:dyDescent="0.3">
      <c r="A126" s="100" t="s">
        <v>579</v>
      </c>
      <c r="B126" s="60">
        <v>52.02</v>
      </c>
      <c r="C126" s="77">
        <f t="shared" si="3"/>
        <v>-2.3098591549295715E-2</v>
      </c>
      <c r="D126" s="60"/>
      <c r="E126" s="60"/>
      <c r="G126" s="100" t="s">
        <v>579</v>
      </c>
      <c r="H126" s="60">
        <v>4536.34</v>
      </c>
      <c r="I126" s="77">
        <f t="shared" si="2"/>
        <v>3.2415482693004533E-4</v>
      </c>
      <c r="J126" s="60"/>
      <c r="K126" s="60"/>
      <c r="M126" s="100" t="s">
        <v>579</v>
      </c>
      <c r="N126" s="77">
        <v>-2.3098591549295715E-2</v>
      </c>
      <c r="O126" s="77">
        <v>3.2415482693004533E-4</v>
      </c>
    </row>
    <row r="127" spans="1:15" x14ac:dyDescent="0.3">
      <c r="A127" s="100" t="s">
        <v>578</v>
      </c>
      <c r="B127" s="60">
        <v>53.21</v>
      </c>
      <c r="C127" s="77">
        <f t="shared" si="3"/>
        <v>2.2875816993464006E-2</v>
      </c>
      <c r="D127" s="60"/>
      <c r="E127" s="60"/>
      <c r="G127" s="100" t="s">
        <v>578</v>
      </c>
      <c r="H127" s="60">
        <v>4554.6400000000003</v>
      </c>
      <c r="I127" s="77">
        <f t="shared" si="2"/>
        <v>4.0340891555747981E-3</v>
      </c>
      <c r="J127" s="60"/>
      <c r="K127" s="60"/>
      <c r="M127" s="100" t="s">
        <v>578</v>
      </c>
      <c r="N127" s="77">
        <v>2.2875816993464006E-2</v>
      </c>
      <c r="O127" s="77">
        <v>4.0340891555747981E-3</v>
      </c>
    </row>
    <row r="128" spans="1:15" x14ac:dyDescent="0.3">
      <c r="A128" s="100" t="s">
        <v>577</v>
      </c>
      <c r="B128" s="60">
        <v>52.17</v>
      </c>
      <c r="C128" s="77">
        <f t="shared" si="3"/>
        <v>-1.9545198271001676E-2</v>
      </c>
      <c r="D128" s="77">
        <f>(B128-B123)/B123</f>
        <v>-3.2096474953617754E-2</v>
      </c>
      <c r="E128" s="77">
        <f>($B$254-B128)/B128</f>
        <v>0.17500479202606853</v>
      </c>
      <c r="G128" s="100" t="s">
        <v>577</v>
      </c>
      <c r="H128" s="60">
        <v>4567.46</v>
      </c>
      <c r="I128" s="77">
        <f t="shared" si="2"/>
        <v>2.8147120299298533E-3</v>
      </c>
      <c r="J128" s="77">
        <f>(H128-H123)/H123</f>
        <v>2.7398583528359015E-3</v>
      </c>
      <c r="K128" s="77">
        <f>($H$254-H128)/H128</f>
        <v>6.5920664877196541E-2</v>
      </c>
      <c r="M128" s="100" t="s">
        <v>577</v>
      </c>
      <c r="N128" s="77">
        <v>-1.9545198271001676E-2</v>
      </c>
      <c r="O128" s="77">
        <v>2.8147120299298533E-3</v>
      </c>
    </row>
    <row r="129" spans="1:15" x14ac:dyDescent="0.3">
      <c r="A129" s="100" t="s">
        <v>576</v>
      </c>
      <c r="B129" s="60">
        <v>52.78</v>
      </c>
      <c r="C129" s="77">
        <f t="shared" si="3"/>
        <v>1.1692543607437213E-2</v>
      </c>
      <c r="D129" s="60"/>
      <c r="E129" s="60"/>
      <c r="G129" s="100" t="s">
        <v>576</v>
      </c>
      <c r="H129" s="60">
        <v>4566.75</v>
      </c>
      <c r="I129" s="77">
        <f t="shared" si="2"/>
        <v>-1.554474478156429E-4</v>
      </c>
      <c r="J129" s="60"/>
      <c r="K129" s="60"/>
      <c r="M129" s="100" t="s">
        <v>576</v>
      </c>
      <c r="N129" s="77">
        <v>1.1692543607437213E-2</v>
      </c>
      <c r="O129" s="77">
        <v>-1.554474478156429E-4</v>
      </c>
    </row>
    <row r="130" spans="1:15" x14ac:dyDescent="0.3">
      <c r="A130" s="100" t="s">
        <v>575</v>
      </c>
      <c r="B130" s="60">
        <v>51.11</v>
      </c>
      <c r="C130" s="77">
        <f t="shared" si="3"/>
        <v>-3.1640773020083397E-2</v>
      </c>
      <c r="D130" s="60"/>
      <c r="E130" s="60"/>
      <c r="G130" s="100" t="s">
        <v>575</v>
      </c>
      <c r="H130" s="60">
        <v>4537.41</v>
      </c>
      <c r="I130" s="77">
        <f t="shared" si="2"/>
        <v>-6.4247002791920178E-3</v>
      </c>
      <c r="J130" s="60"/>
      <c r="K130" s="60"/>
      <c r="M130" s="100" t="s">
        <v>575</v>
      </c>
      <c r="N130" s="77">
        <v>-3.1640773020083397E-2</v>
      </c>
      <c r="O130" s="77">
        <v>-6.4247002791920178E-3</v>
      </c>
    </row>
    <row r="131" spans="1:15" x14ac:dyDescent="0.3">
      <c r="A131" s="100" t="s">
        <v>574</v>
      </c>
      <c r="B131" s="60">
        <v>56.11</v>
      </c>
      <c r="C131" s="77">
        <f t="shared" si="3"/>
        <v>9.7828213656818624E-2</v>
      </c>
      <c r="D131" s="60"/>
      <c r="E131" s="60"/>
      <c r="G131" s="100" t="s">
        <v>574</v>
      </c>
      <c r="H131" s="60">
        <v>4582.2299999999996</v>
      </c>
      <c r="I131" s="77">
        <f t="shared" si="2"/>
        <v>9.8778818753429178E-3</v>
      </c>
      <c r="J131" s="60"/>
      <c r="K131" s="60"/>
      <c r="M131" s="100" t="s">
        <v>574</v>
      </c>
      <c r="N131" s="77">
        <v>9.7828213656818624E-2</v>
      </c>
      <c r="O131" s="77">
        <v>9.8778818753429178E-3</v>
      </c>
    </row>
    <row r="132" spans="1:15" x14ac:dyDescent="0.3">
      <c r="A132" s="100" t="s">
        <v>573</v>
      </c>
      <c r="B132" s="60">
        <v>55.58</v>
      </c>
      <c r="C132" s="77">
        <f t="shared" si="3"/>
        <v>-9.4457315986455383E-3</v>
      </c>
      <c r="D132" s="60"/>
      <c r="E132" s="60"/>
      <c r="G132" s="100" t="s">
        <v>573</v>
      </c>
      <c r="H132" s="60">
        <v>4588.96</v>
      </c>
      <c r="I132" s="77">
        <f t="shared" si="2"/>
        <v>1.4687171966488966E-3</v>
      </c>
      <c r="J132" s="60"/>
      <c r="K132" s="60"/>
      <c r="M132" s="100" t="s">
        <v>573</v>
      </c>
      <c r="N132" s="77">
        <v>-9.4457315986455383E-3</v>
      </c>
      <c r="O132" s="77">
        <v>1.4687171966488966E-3</v>
      </c>
    </row>
    <row r="133" spans="1:15" x14ac:dyDescent="0.3">
      <c r="A133" s="100" t="s">
        <v>572</v>
      </c>
      <c r="B133" s="60">
        <v>55.58</v>
      </c>
      <c r="C133" s="77">
        <f t="shared" si="3"/>
        <v>0</v>
      </c>
      <c r="D133" s="60"/>
      <c r="E133" s="60"/>
      <c r="G133" s="100" t="s">
        <v>572</v>
      </c>
      <c r="H133" s="60">
        <v>4576.7299999999996</v>
      </c>
      <c r="I133" s="77">
        <f t="shared" ref="I133:I196" si="4">(H133-H132)/H132</f>
        <v>-2.6650918726684202E-3</v>
      </c>
      <c r="J133" s="60"/>
      <c r="K133" s="60"/>
      <c r="M133" s="100" t="s">
        <v>572</v>
      </c>
      <c r="N133" s="77">
        <v>0</v>
      </c>
      <c r="O133" s="77">
        <v>-2.6650918726684202E-3</v>
      </c>
    </row>
    <row r="134" spans="1:15" x14ac:dyDescent="0.3">
      <c r="A134" s="100" t="s">
        <v>571</v>
      </c>
      <c r="B134" s="60">
        <v>54.19</v>
      </c>
      <c r="C134" s="77">
        <f t="shared" ref="C134:C197" si="5">(B134-B133)/B133</f>
        <v>-2.5008996041741643E-2</v>
      </c>
      <c r="D134" s="77">
        <f>(B134-B129)/B129</f>
        <v>2.6714664645699063E-2</v>
      </c>
      <c r="E134" s="77">
        <f>($B$254-B134)/B134</f>
        <v>0.13120501937626869</v>
      </c>
      <c r="G134" s="100" t="s">
        <v>571</v>
      </c>
      <c r="H134" s="60">
        <v>4513.3900000000003</v>
      </c>
      <c r="I134" s="77">
        <f t="shared" si="4"/>
        <v>-1.3839575417382987E-2</v>
      </c>
      <c r="J134" s="77">
        <f>(H134-H129)/H129</f>
        <v>-1.1684458312804439E-2</v>
      </c>
      <c r="K134" s="77">
        <f>($H$254-H134)/H134</f>
        <v>7.8690297093758757E-2</v>
      </c>
      <c r="M134" s="100" t="s">
        <v>571</v>
      </c>
      <c r="N134" s="77">
        <v>-2.5008996041741643E-2</v>
      </c>
      <c r="O134" s="77">
        <v>-1.3839575417382987E-2</v>
      </c>
    </row>
    <row r="135" spans="1:15" x14ac:dyDescent="0.3">
      <c r="A135" s="100" t="s">
        <v>570</v>
      </c>
      <c r="B135" s="60">
        <v>54.48</v>
      </c>
      <c r="C135" s="77">
        <f t="shared" si="5"/>
        <v>5.3515408747001137E-3</v>
      </c>
      <c r="D135" s="60"/>
      <c r="E135" s="60"/>
      <c r="G135" s="100" t="s">
        <v>570</v>
      </c>
      <c r="H135" s="60">
        <v>4501.8900000000003</v>
      </c>
      <c r="I135" s="77">
        <f t="shared" si="4"/>
        <v>-2.5479739176096014E-3</v>
      </c>
      <c r="J135" s="60"/>
      <c r="K135" s="60"/>
      <c r="M135" s="100" t="s">
        <v>570</v>
      </c>
      <c r="N135" s="77">
        <v>5.3515408747001137E-3</v>
      </c>
      <c r="O135" s="77">
        <v>-2.5479739176096014E-3</v>
      </c>
    </row>
    <row r="136" spans="1:15" x14ac:dyDescent="0.3">
      <c r="A136" s="100" t="s">
        <v>569</v>
      </c>
      <c r="B136" s="60">
        <v>54.19</v>
      </c>
      <c r="C136" s="77">
        <f t="shared" si="5"/>
        <v>-5.3230543318648895E-3</v>
      </c>
      <c r="D136" s="60"/>
      <c r="E136" s="60"/>
      <c r="G136" s="100" t="s">
        <v>569</v>
      </c>
      <c r="H136" s="60">
        <v>4478.03</v>
      </c>
      <c r="I136" s="77">
        <f t="shared" si="4"/>
        <v>-5.2999962238083516E-3</v>
      </c>
      <c r="J136" s="60"/>
      <c r="K136" s="60"/>
      <c r="M136" s="100" t="s">
        <v>569</v>
      </c>
      <c r="N136" s="77">
        <v>-5.3230543318648895E-3</v>
      </c>
      <c r="O136" s="77">
        <v>-5.2999962238083516E-3</v>
      </c>
    </row>
    <row r="137" spans="1:15" x14ac:dyDescent="0.3">
      <c r="A137" s="100" t="s">
        <v>568</v>
      </c>
      <c r="B137" s="60">
        <v>54.28</v>
      </c>
      <c r="C137" s="77">
        <f t="shared" si="5"/>
        <v>1.6608230300794134E-3</v>
      </c>
      <c r="D137" s="60"/>
      <c r="E137" s="60"/>
      <c r="G137" s="100" t="s">
        <v>568</v>
      </c>
      <c r="H137" s="60">
        <v>4518.4399999999996</v>
      </c>
      <c r="I137" s="77">
        <f t="shared" si="4"/>
        <v>9.024057453835695E-3</v>
      </c>
      <c r="J137" s="60"/>
      <c r="K137" s="60"/>
      <c r="M137" s="100" t="s">
        <v>568</v>
      </c>
      <c r="N137" s="77">
        <v>1.6608230300794134E-3</v>
      </c>
      <c r="O137" s="77">
        <v>9.024057453835695E-3</v>
      </c>
    </row>
    <row r="138" spans="1:15" x14ac:dyDescent="0.3">
      <c r="A138" s="100" t="s">
        <v>567</v>
      </c>
      <c r="B138" s="60">
        <v>54.75</v>
      </c>
      <c r="C138" s="77">
        <f t="shared" si="5"/>
        <v>8.6588061901252556E-3</v>
      </c>
      <c r="D138" s="60"/>
      <c r="E138" s="60"/>
      <c r="G138" s="100" t="s">
        <v>567</v>
      </c>
      <c r="H138" s="60">
        <v>4499.38</v>
      </c>
      <c r="I138" s="77">
        <f t="shared" si="4"/>
        <v>-4.218270022396998E-3</v>
      </c>
      <c r="J138" s="60"/>
      <c r="K138" s="60"/>
      <c r="M138" s="100" t="s">
        <v>567</v>
      </c>
      <c r="N138" s="77">
        <v>8.6588061901252556E-3</v>
      </c>
      <c r="O138" s="77">
        <v>-4.218270022396998E-3</v>
      </c>
    </row>
    <row r="139" spans="1:15" x14ac:dyDescent="0.3">
      <c r="A139" s="100" t="s">
        <v>566</v>
      </c>
      <c r="B139" s="60">
        <v>54</v>
      </c>
      <c r="C139" s="77">
        <f t="shared" si="5"/>
        <v>-1.3698630136986301E-2</v>
      </c>
      <c r="D139" s="60"/>
      <c r="E139" s="60"/>
      <c r="G139" s="100" t="s">
        <v>566</v>
      </c>
      <c r="H139" s="60">
        <v>4467.71</v>
      </c>
      <c r="I139" s="77">
        <f t="shared" si="4"/>
        <v>-7.0387475607750563E-3</v>
      </c>
      <c r="J139" s="60"/>
      <c r="K139" s="60"/>
      <c r="M139" s="100" t="s">
        <v>566</v>
      </c>
      <c r="N139" s="77">
        <v>-1.3698630136986301E-2</v>
      </c>
      <c r="O139" s="77">
        <v>-7.0387475607750563E-3</v>
      </c>
    </row>
    <row r="140" spans="1:15" x14ac:dyDescent="0.3">
      <c r="A140" s="100" t="s">
        <v>565</v>
      </c>
      <c r="B140" s="60">
        <v>54.67</v>
      </c>
      <c r="C140" s="77">
        <f t="shared" si="5"/>
        <v>1.2407407407407438E-2</v>
      </c>
      <c r="D140" s="77">
        <f>(B140-B135)/B135</f>
        <v>3.4875183553598537E-3</v>
      </c>
      <c r="E140" s="77">
        <f>($B$254-B140)/B140</f>
        <v>0.12127309310407894</v>
      </c>
      <c r="G140" s="100" t="s">
        <v>565</v>
      </c>
      <c r="H140" s="60">
        <v>4468.83</v>
      </c>
      <c r="I140" s="77">
        <f t="shared" si="4"/>
        <v>2.5068771249698186E-4</v>
      </c>
      <c r="J140" s="77">
        <f>(H140-H135)/H135</f>
        <v>-7.343582362074684E-3</v>
      </c>
      <c r="K140" s="77">
        <f>($H$254-H140)/H140</f>
        <v>8.9446230892649817E-2</v>
      </c>
      <c r="M140" s="100" t="s">
        <v>565</v>
      </c>
      <c r="N140" s="77">
        <v>1.2407407407407438E-2</v>
      </c>
      <c r="O140" s="77">
        <v>2.5068771249698186E-4</v>
      </c>
    </row>
    <row r="141" spans="1:15" x14ac:dyDescent="0.3">
      <c r="A141" s="100" t="s">
        <v>564</v>
      </c>
      <c r="B141" s="60">
        <v>53.32</v>
      </c>
      <c r="C141" s="77">
        <f t="shared" si="5"/>
        <v>-2.4693616242912043E-2</v>
      </c>
      <c r="D141" s="60"/>
      <c r="E141" s="60"/>
      <c r="G141" s="100" t="s">
        <v>564</v>
      </c>
      <c r="H141" s="60">
        <v>4464.05</v>
      </c>
      <c r="I141" s="77">
        <f t="shared" si="4"/>
        <v>-1.0696312010078132E-3</v>
      </c>
      <c r="J141" s="60"/>
      <c r="K141" s="60"/>
      <c r="M141" s="100" t="s">
        <v>564</v>
      </c>
      <c r="N141" s="77">
        <v>-2.4693616242912043E-2</v>
      </c>
      <c r="O141" s="77">
        <v>-1.0696312010078132E-3</v>
      </c>
    </row>
    <row r="142" spans="1:15" x14ac:dyDescent="0.3">
      <c r="A142" s="100" t="s">
        <v>563</v>
      </c>
      <c r="B142" s="60">
        <v>53.19</v>
      </c>
      <c r="C142" s="77">
        <f t="shared" si="5"/>
        <v>-2.4381095273818933E-3</v>
      </c>
      <c r="D142" s="60"/>
      <c r="E142" s="60"/>
      <c r="G142" s="100" t="s">
        <v>563</v>
      </c>
      <c r="H142" s="60">
        <v>4489.72</v>
      </c>
      <c r="I142" s="77">
        <f t="shared" si="4"/>
        <v>5.7503836202551653E-3</v>
      </c>
      <c r="J142" s="60"/>
      <c r="K142" s="60"/>
      <c r="M142" s="100" t="s">
        <v>563</v>
      </c>
      <c r="N142" s="77">
        <v>-2.4381095273818933E-3</v>
      </c>
      <c r="O142" s="77">
        <v>5.7503836202551653E-3</v>
      </c>
    </row>
    <row r="143" spans="1:15" x14ac:dyDescent="0.3">
      <c r="A143" s="100" t="s">
        <v>562</v>
      </c>
      <c r="B143" s="60">
        <v>52.48</v>
      </c>
      <c r="C143" s="77">
        <f t="shared" si="5"/>
        <v>-1.3348373754465142E-2</v>
      </c>
      <c r="D143" s="60"/>
      <c r="E143" s="60"/>
      <c r="G143" s="100" t="s">
        <v>562</v>
      </c>
      <c r="H143" s="60">
        <v>4437.8599999999997</v>
      </c>
      <c r="I143" s="77">
        <f t="shared" si="4"/>
        <v>-1.1550831677699406E-2</v>
      </c>
      <c r="J143" s="60"/>
      <c r="K143" s="60"/>
      <c r="M143" s="100" t="s">
        <v>562</v>
      </c>
      <c r="N143" s="77">
        <v>-1.3348373754465142E-2</v>
      </c>
      <c r="O143" s="77">
        <v>-1.1550831677699406E-2</v>
      </c>
    </row>
    <row r="144" spans="1:15" x14ac:dyDescent="0.3">
      <c r="A144" s="100" t="s">
        <v>561</v>
      </c>
      <c r="B144" s="60">
        <v>51.75</v>
      </c>
      <c r="C144" s="77">
        <f t="shared" si="5"/>
        <v>-1.3910060975609697E-2</v>
      </c>
      <c r="D144" s="60"/>
      <c r="E144" s="60"/>
      <c r="G144" s="100" t="s">
        <v>561</v>
      </c>
      <c r="H144" s="60">
        <v>4404.33</v>
      </c>
      <c r="I144" s="77">
        <f t="shared" si="4"/>
        <v>-7.5554433893813113E-3</v>
      </c>
      <c r="J144" s="60"/>
      <c r="K144" s="60"/>
      <c r="M144" s="100" t="s">
        <v>561</v>
      </c>
      <c r="N144" s="77">
        <v>-1.3910060975609697E-2</v>
      </c>
      <c r="O144" s="77">
        <v>-7.5554433893813113E-3</v>
      </c>
    </row>
    <row r="145" spans="1:15" x14ac:dyDescent="0.3">
      <c r="A145" s="100" t="s">
        <v>560</v>
      </c>
      <c r="B145" s="60">
        <v>51.07</v>
      </c>
      <c r="C145" s="77">
        <f t="shared" si="5"/>
        <v>-1.3140096618357482E-2</v>
      </c>
      <c r="D145" s="60"/>
      <c r="E145" s="60"/>
      <c r="G145" s="100" t="s">
        <v>560</v>
      </c>
      <c r="H145" s="60">
        <v>4370.3599999999997</v>
      </c>
      <c r="I145" s="77">
        <f t="shared" si="4"/>
        <v>-7.7128643857295558E-3</v>
      </c>
      <c r="J145" s="60"/>
      <c r="K145" s="60"/>
      <c r="M145" s="100" t="s">
        <v>560</v>
      </c>
      <c r="N145" s="77">
        <v>-1.3140096618357482E-2</v>
      </c>
      <c r="O145" s="77">
        <v>-7.7128643857295558E-3</v>
      </c>
    </row>
    <row r="146" spans="1:15" x14ac:dyDescent="0.3">
      <c r="A146" s="100" t="s">
        <v>559</v>
      </c>
      <c r="B146" s="60">
        <v>50.91</v>
      </c>
      <c r="C146" s="77">
        <f t="shared" si="5"/>
        <v>-3.1329547679656098E-3</v>
      </c>
      <c r="D146" s="77">
        <f>(B146-B141)/B141</f>
        <v>-4.5198799699925053E-2</v>
      </c>
      <c r="E146" s="77">
        <f>($B$254-B146)/B146</f>
        <v>0.20408564132783347</v>
      </c>
      <c r="G146" s="100" t="s">
        <v>559</v>
      </c>
      <c r="H146" s="60">
        <v>4369.71</v>
      </c>
      <c r="I146" s="77">
        <f t="shared" si="4"/>
        <v>-1.4872916647590501E-4</v>
      </c>
      <c r="J146" s="77">
        <f>(H146-H141)/H141</f>
        <v>-2.1133275836964224E-2</v>
      </c>
      <c r="K146" s="77">
        <f>($H$254-H146)/H146</f>
        <v>0.11415860549098227</v>
      </c>
      <c r="M146" s="100" t="s">
        <v>559</v>
      </c>
      <c r="N146" s="77">
        <v>-3.1329547679656098E-3</v>
      </c>
      <c r="O146" s="77">
        <v>-1.4872916647590501E-4</v>
      </c>
    </row>
    <row r="147" spans="1:15" x14ac:dyDescent="0.3">
      <c r="A147" s="100" t="s">
        <v>558</v>
      </c>
      <c r="B147" s="60">
        <v>51.41</v>
      </c>
      <c r="C147" s="77">
        <f t="shared" si="5"/>
        <v>9.8212531919072872E-3</v>
      </c>
      <c r="D147" s="60"/>
      <c r="E147" s="60"/>
      <c r="G147" s="100" t="s">
        <v>558</v>
      </c>
      <c r="H147" s="60">
        <v>4399.7700000000004</v>
      </c>
      <c r="I147" s="77">
        <f t="shared" si="4"/>
        <v>6.8791750482298363E-3</v>
      </c>
      <c r="J147" s="60"/>
      <c r="K147" s="60"/>
      <c r="M147" s="100" t="s">
        <v>558</v>
      </c>
      <c r="N147" s="77">
        <v>9.8212531919072872E-3</v>
      </c>
      <c r="O147" s="77">
        <v>6.8791750482298363E-3</v>
      </c>
    </row>
    <row r="148" spans="1:15" x14ac:dyDescent="0.3">
      <c r="A148" s="100" t="s">
        <v>557</v>
      </c>
      <c r="B148" s="60">
        <v>50.15</v>
      </c>
      <c r="C148" s="77">
        <f t="shared" si="5"/>
        <v>-2.4508850418206538E-2</v>
      </c>
      <c r="D148" s="60"/>
      <c r="E148" s="60"/>
      <c r="G148" s="100" t="s">
        <v>557</v>
      </c>
      <c r="H148" s="60">
        <v>4387.55</v>
      </c>
      <c r="I148" s="77">
        <f t="shared" si="4"/>
        <v>-2.777417910481742E-3</v>
      </c>
      <c r="J148" s="60"/>
      <c r="K148" s="60"/>
      <c r="M148" s="100" t="s">
        <v>557</v>
      </c>
      <c r="N148" s="77">
        <v>-2.4508850418206538E-2</v>
      </c>
      <c r="O148" s="77">
        <v>-2.777417910481742E-3</v>
      </c>
    </row>
    <row r="149" spans="1:15" x14ac:dyDescent="0.3">
      <c r="A149" s="100" t="s">
        <v>556</v>
      </c>
      <c r="B149" s="60">
        <v>50.29</v>
      </c>
      <c r="C149" s="77">
        <f t="shared" si="5"/>
        <v>2.791625124626133E-3</v>
      </c>
      <c r="D149" s="60"/>
      <c r="E149" s="60"/>
      <c r="G149" s="100" t="s">
        <v>556</v>
      </c>
      <c r="H149" s="60">
        <v>4436.01</v>
      </c>
      <c r="I149" s="77">
        <f t="shared" si="4"/>
        <v>1.1044888377340438E-2</v>
      </c>
      <c r="J149" s="60"/>
      <c r="K149" s="60"/>
      <c r="M149" s="100" t="s">
        <v>556</v>
      </c>
      <c r="N149" s="77">
        <v>2.791625124626133E-3</v>
      </c>
      <c r="O149" s="77">
        <v>1.1044888377340438E-2</v>
      </c>
    </row>
    <row r="150" spans="1:15" x14ac:dyDescent="0.3">
      <c r="A150" s="100" t="s">
        <v>555</v>
      </c>
      <c r="B150" s="60">
        <v>48.48</v>
      </c>
      <c r="C150" s="77">
        <f t="shared" si="5"/>
        <v>-3.5991250745675128E-2</v>
      </c>
      <c r="D150" s="60"/>
      <c r="E150" s="60"/>
      <c r="G150" s="100" t="s">
        <v>555</v>
      </c>
      <c r="H150" s="60">
        <v>4376.3100000000004</v>
      </c>
      <c r="I150" s="77">
        <f t="shared" si="4"/>
        <v>-1.3458039995401232E-2</v>
      </c>
      <c r="J150" s="60"/>
      <c r="K150" s="60"/>
      <c r="M150" s="100" t="s">
        <v>555</v>
      </c>
      <c r="N150" s="77">
        <v>-3.5991250745675128E-2</v>
      </c>
      <c r="O150" s="77">
        <v>-1.3458039995401232E-2</v>
      </c>
    </row>
    <row r="151" spans="1:15" x14ac:dyDescent="0.3">
      <c r="A151" s="100" t="s">
        <v>554</v>
      </c>
      <c r="B151" s="60">
        <v>48.39</v>
      </c>
      <c r="C151" s="77">
        <f t="shared" si="5"/>
        <v>-1.8564356435642802E-3</v>
      </c>
      <c r="D151" s="60"/>
      <c r="E151" s="60"/>
      <c r="G151" s="100" t="s">
        <v>554</v>
      </c>
      <c r="H151" s="60">
        <v>4405.71</v>
      </c>
      <c r="I151" s="77">
        <f t="shared" si="4"/>
        <v>6.7179884423177591E-3</v>
      </c>
      <c r="J151" s="60"/>
      <c r="K151" s="60"/>
      <c r="M151" s="100" t="s">
        <v>554</v>
      </c>
      <c r="N151" s="77">
        <v>-1.8564356435642802E-3</v>
      </c>
      <c r="O151" s="77">
        <v>6.7179884423177591E-3</v>
      </c>
    </row>
    <row r="152" spans="1:15" x14ac:dyDescent="0.3">
      <c r="A152" s="100" t="s">
        <v>553</v>
      </c>
      <c r="B152" s="60">
        <v>48.28</v>
      </c>
      <c r="C152" s="77">
        <f t="shared" si="5"/>
        <v>-2.2731969415168305E-3</v>
      </c>
      <c r="D152" s="77">
        <f>(B152-B147)/B147</f>
        <v>-6.0883096673798785E-2</v>
      </c>
      <c r="E152" s="77">
        <f>($B$254-B152)/B152</f>
        <v>0.26967688483844232</v>
      </c>
      <c r="G152" s="100" t="s">
        <v>553</v>
      </c>
      <c r="H152" s="60">
        <v>4433.3100000000004</v>
      </c>
      <c r="I152" s="77">
        <f t="shared" si="4"/>
        <v>6.2645975336552712E-3</v>
      </c>
      <c r="J152" s="77">
        <f>(H152-H147)/H147</f>
        <v>7.6231257543007839E-3</v>
      </c>
      <c r="K152" s="77">
        <f>($H$254-H152)/H152</f>
        <v>9.8174952800503409E-2</v>
      </c>
      <c r="M152" s="100" t="s">
        <v>553</v>
      </c>
      <c r="N152" s="77">
        <v>-2.2731969415168305E-3</v>
      </c>
      <c r="O152" s="77">
        <v>6.2645975336552712E-3</v>
      </c>
    </row>
    <row r="153" spans="1:15" x14ac:dyDescent="0.3">
      <c r="A153" s="100" t="s">
        <v>552</v>
      </c>
      <c r="B153" s="60">
        <v>49.77</v>
      </c>
      <c r="C153" s="77">
        <f t="shared" si="5"/>
        <v>3.0861640430820257E-2</v>
      </c>
      <c r="D153" s="60"/>
      <c r="E153" s="60"/>
      <c r="G153" s="100" t="s">
        <v>552</v>
      </c>
      <c r="H153" s="60">
        <v>4497.63</v>
      </c>
      <c r="I153" s="77">
        <f t="shared" si="4"/>
        <v>1.4508347036412907E-2</v>
      </c>
      <c r="J153" s="60"/>
      <c r="K153" s="60"/>
      <c r="M153" s="100" t="s">
        <v>552</v>
      </c>
      <c r="N153" s="77">
        <v>3.0861640430820257E-2</v>
      </c>
      <c r="O153" s="77">
        <v>1.4508347036412907E-2</v>
      </c>
    </row>
    <row r="154" spans="1:15" x14ac:dyDescent="0.3">
      <c r="A154" s="100" t="s">
        <v>551</v>
      </c>
      <c r="B154" s="60">
        <v>50.09</v>
      </c>
      <c r="C154" s="77">
        <f t="shared" si="5"/>
        <v>6.42957604982922E-3</v>
      </c>
      <c r="D154" s="60"/>
      <c r="E154" s="60"/>
      <c r="G154" s="100" t="s">
        <v>551</v>
      </c>
      <c r="H154" s="60">
        <v>4514.87</v>
      </c>
      <c r="I154" s="77">
        <f t="shared" si="4"/>
        <v>3.8331298928546325E-3</v>
      </c>
      <c r="J154" s="60"/>
      <c r="K154" s="60"/>
      <c r="M154" s="100" t="s">
        <v>551</v>
      </c>
      <c r="N154" s="77">
        <v>6.42957604982922E-3</v>
      </c>
      <c r="O154" s="77">
        <v>3.8331298928546325E-3</v>
      </c>
    </row>
    <row r="155" spans="1:15" x14ac:dyDescent="0.3">
      <c r="A155" s="100" t="s">
        <v>550</v>
      </c>
      <c r="B155" s="60">
        <v>50.31</v>
      </c>
      <c r="C155" s="77">
        <f t="shared" si="5"/>
        <v>4.3920942303852838E-3</v>
      </c>
      <c r="D155" s="60"/>
      <c r="E155" s="60"/>
      <c r="G155" s="100" t="s">
        <v>550</v>
      </c>
      <c r="H155" s="60">
        <v>4507.66</v>
      </c>
      <c r="I155" s="77">
        <f t="shared" si="4"/>
        <v>-1.5969452055098012E-3</v>
      </c>
      <c r="J155" s="60"/>
      <c r="K155" s="60"/>
      <c r="M155" s="100" t="s">
        <v>550</v>
      </c>
      <c r="N155" s="77">
        <v>4.3920942303852838E-3</v>
      </c>
      <c r="O155" s="77">
        <v>-1.5969452055098012E-3</v>
      </c>
    </row>
    <row r="156" spans="1:15" x14ac:dyDescent="0.3">
      <c r="A156" s="100" t="s">
        <v>549</v>
      </c>
      <c r="B156" s="60">
        <v>51.56</v>
      </c>
      <c r="C156" s="77">
        <f t="shared" si="5"/>
        <v>2.4845955078513216E-2</v>
      </c>
      <c r="D156" s="60"/>
      <c r="E156" s="60"/>
      <c r="G156" s="100" t="s">
        <v>549</v>
      </c>
      <c r="H156" s="60">
        <v>4515.7700000000004</v>
      </c>
      <c r="I156" s="77">
        <f t="shared" si="4"/>
        <v>1.7991596526802337E-3</v>
      </c>
      <c r="J156" s="60"/>
      <c r="K156" s="60"/>
      <c r="M156" s="100" t="s">
        <v>549</v>
      </c>
      <c r="N156" s="77">
        <v>2.4845955078513216E-2</v>
      </c>
      <c r="O156" s="77">
        <v>1.7991596526802337E-3</v>
      </c>
    </row>
    <row r="157" spans="1:15" x14ac:dyDescent="0.3">
      <c r="A157" s="100" t="s">
        <v>548</v>
      </c>
      <c r="B157" s="60">
        <v>50.43</v>
      </c>
      <c r="C157" s="77">
        <f t="shared" si="5"/>
        <v>-2.1916214119472508E-2</v>
      </c>
      <c r="D157" s="60"/>
      <c r="E157" s="60"/>
      <c r="G157" s="100" t="s">
        <v>548</v>
      </c>
      <c r="H157" s="60">
        <v>4496.83</v>
      </c>
      <c r="I157" s="77">
        <f t="shared" si="4"/>
        <v>-4.1941905810084458E-3</v>
      </c>
      <c r="J157" s="60"/>
      <c r="K157" s="60"/>
      <c r="M157" s="100" t="s">
        <v>548</v>
      </c>
      <c r="N157" s="77">
        <v>-2.1916214119472508E-2</v>
      </c>
      <c r="O157" s="77">
        <v>-4.1941905810084458E-3</v>
      </c>
    </row>
    <row r="158" spans="1:15" x14ac:dyDescent="0.3">
      <c r="A158" s="100" t="s">
        <v>547</v>
      </c>
      <c r="B158" s="60">
        <v>48.89</v>
      </c>
      <c r="C158" s="77">
        <f t="shared" si="5"/>
        <v>-3.0537378544517137E-2</v>
      </c>
      <c r="D158" s="77">
        <f>(B158-B153)/B153</f>
        <v>-1.768133413703039E-2</v>
      </c>
      <c r="E158" s="77">
        <f>($B$254-B158)/B158</f>
        <v>0.25383514011045194</v>
      </c>
      <c r="G158" s="100" t="s">
        <v>547</v>
      </c>
      <c r="H158" s="60">
        <v>4465.4799999999996</v>
      </c>
      <c r="I158" s="77">
        <f t="shared" si="4"/>
        <v>-6.9715777558858943E-3</v>
      </c>
      <c r="J158" s="77">
        <f>(H158-H153)/H153</f>
        <v>-7.1482091679396804E-3</v>
      </c>
      <c r="K158" s="77">
        <f>($H$254-H158)/H158</f>
        <v>9.0263532699732321E-2</v>
      </c>
      <c r="M158" s="100" t="s">
        <v>547</v>
      </c>
      <c r="N158" s="77">
        <v>-3.0537378544517137E-2</v>
      </c>
      <c r="O158" s="77">
        <v>-6.9715777558858943E-3</v>
      </c>
    </row>
    <row r="159" spans="1:15" x14ac:dyDescent="0.3">
      <c r="A159" s="100" t="s">
        <v>546</v>
      </c>
      <c r="B159" s="60">
        <v>49.27</v>
      </c>
      <c r="C159" s="77">
        <f t="shared" si="5"/>
        <v>7.7725506238495098E-3</v>
      </c>
      <c r="D159" s="60"/>
      <c r="E159" s="60"/>
      <c r="G159" s="100" t="s">
        <v>546</v>
      </c>
      <c r="H159" s="60">
        <v>4451.1400000000003</v>
      </c>
      <c r="I159" s="77">
        <f t="shared" si="4"/>
        <v>-3.2113009127796425E-3</v>
      </c>
      <c r="J159" s="60"/>
      <c r="K159" s="60"/>
      <c r="M159" s="100" t="s">
        <v>546</v>
      </c>
      <c r="N159" s="77">
        <v>7.7725506238495098E-3</v>
      </c>
      <c r="O159" s="77">
        <v>-3.2113009127796425E-3</v>
      </c>
    </row>
    <row r="160" spans="1:15" x14ac:dyDescent="0.3">
      <c r="A160" s="100" t="s">
        <v>545</v>
      </c>
      <c r="B160" s="60">
        <v>49.04</v>
      </c>
      <c r="C160" s="77">
        <f t="shared" si="5"/>
        <v>-4.6681550639335089E-3</v>
      </c>
      <c r="D160" s="60"/>
      <c r="E160" s="60"/>
      <c r="G160" s="100" t="s">
        <v>545</v>
      </c>
      <c r="H160" s="60">
        <v>4457.49</v>
      </c>
      <c r="I160" s="77">
        <f t="shared" si="4"/>
        <v>1.4266008258557255E-3</v>
      </c>
      <c r="J160" s="60"/>
      <c r="K160" s="60"/>
      <c r="M160" s="100" t="s">
        <v>545</v>
      </c>
      <c r="N160" s="77">
        <v>-4.6681550639335089E-3</v>
      </c>
      <c r="O160" s="77">
        <v>1.4266008258557255E-3</v>
      </c>
    </row>
    <row r="161" spans="1:15" x14ac:dyDescent="0.3">
      <c r="A161" s="100" t="s">
        <v>544</v>
      </c>
      <c r="B161" s="60">
        <v>49.03</v>
      </c>
      <c r="C161" s="77">
        <f t="shared" si="5"/>
        <v>-2.0391517128870332E-4</v>
      </c>
      <c r="D161" s="60"/>
      <c r="E161" s="60"/>
      <c r="G161" s="100" t="s">
        <v>544</v>
      </c>
      <c r="H161" s="60">
        <v>4487.46</v>
      </c>
      <c r="I161" s="77">
        <f t="shared" si="4"/>
        <v>6.723514803174041E-3</v>
      </c>
      <c r="J161" s="60"/>
      <c r="K161" s="60"/>
      <c r="M161" s="100" t="s">
        <v>544</v>
      </c>
      <c r="N161" s="77">
        <v>-2.0391517128870332E-4</v>
      </c>
      <c r="O161" s="77">
        <v>6.723514803174041E-3</v>
      </c>
    </row>
    <row r="162" spans="1:15" x14ac:dyDescent="0.3">
      <c r="A162" s="100" t="s">
        <v>543</v>
      </c>
      <c r="B162" s="60">
        <v>49.11</v>
      </c>
      <c r="C162" s="77">
        <f t="shared" si="5"/>
        <v>1.6316540893330266E-3</v>
      </c>
      <c r="D162" s="60"/>
      <c r="E162" s="60"/>
      <c r="G162" s="100" t="s">
        <v>543</v>
      </c>
      <c r="H162" s="60">
        <v>4461.8999999999996</v>
      </c>
      <c r="I162" s="77">
        <f t="shared" si="4"/>
        <v>-5.6958724980279265E-3</v>
      </c>
      <c r="J162" s="60"/>
      <c r="K162" s="60"/>
      <c r="M162" s="100" t="s">
        <v>543</v>
      </c>
      <c r="N162" s="77">
        <v>1.6316540893330266E-3</v>
      </c>
      <c r="O162" s="77">
        <v>-5.6958724980279265E-3</v>
      </c>
    </row>
    <row r="163" spans="1:15" x14ac:dyDescent="0.3">
      <c r="A163" s="100" t="s">
        <v>542</v>
      </c>
      <c r="B163" s="60">
        <v>47.14</v>
      </c>
      <c r="C163" s="77">
        <f t="shared" si="5"/>
        <v>-4.0114029729179372E-2</v>
      </c>
      <c r="D163" s="60"/>
      <c r="E163" s="60"/>
      <c r="G163" s="100" t="s">
        <v>542</v>
      </c>
      <c r="H163" s="60">
        <v>4467.4399999999996</v>
      </c>
      <c r="I163" s="77">
        <f t="shared" si="4"/>
        <v>1.2416235236110097E-3</v>
      </c>
      <c r="J163" s="60"/>
      <c r="K163" s="60"/>
      <c r="M163" s="100" t="s">
        <v>542</v>
      </c>
      <c r="N163" s="77">
        <v>-4.0114029729179372E-2</v>
      </c>
      <c r="O163" s="77">
        <v>1.2416235236110097E-3</v>
      </c>
    </row>
    <row r="164" spans="1:15" x14ac:dyDescent="0.3">
      <c r="A164" s="100" t="s">
        <v>541</v>
      </c>
      <c r="B164" s="60">
        <v>47.44</v>
      </c>
      <c r="C164" s="77">
        <f t="shared" si="5"/>
        <v>6.3640220619430874E-3</v>
      </c>
      <c r="D164" s="77">
        <f>(B164-B159)/B159</f>
        <v>-3.7142277247818253E-2</v>
      </c>
      <c r="E164" s="77">
        <f>($B$254-B164)/B164</f>
        <v>0.29215851602023607</v>
      </c>
      <c r="G164" s="100" t="s">
        <v>541</v>
      </c>
      <c r="H164" s="60">
        <v>4505.1000000000004</v>
      </c>
      <c r="I164" s="77">
        <f t="shared" si="4"/>
        <v>8.429883781315645E-3</v>
      </c>
      <c r="J164" s="77">
        <f>(H164-H159)/H159</f>
        <v>1.2122737096564034E-2</v>
      </c>
      <c r="K164" s="77">
        <f>($H$254-H164)/H164</f>
        <v>8.0675234733968121E-2</v>
      </c>
      <c r="M164" s="100" t="s">
        <v>541</v>
      </c>
      <c r="N164" s="77">
        <v>6.3640220619430874E-3</v>
      </c>
      <c r="O164" s="77">
        <v>8.429883781315645E-3</v>
      </c>
    </row>
    <row r="165" spans="1:15" x14ac:dyDescent="0.3">
      <c r="A165" s="100" t="s">
        <v>540</v>
      </c>
      <c r="B165" s="60">
        <v>47.38</v>
      </c>
      <c r="C165" s="77">
        <f t="shared" si="5"/>
        <v>-1.2647554806069809E-3</v>
      </c>
      <c r="D165" s="60"/>
      <c r="E165" s="60"/>
      <c r="G165" s="100" t="s">
        <v>540</v>
      </c>
      <c r="H165" s="60">
        <v>4450.32</v>
      </c>
      <c r="I165" s="77">
        <f t="shared" si="4"/>
        <v>-1.2159552507158698E-2</v>
      </c>
      <c r="J165" s="60"/>
      <c r="K165" s="60"/>
      <c r="M165" s="100" t="s">
        <v>540</v>
      </c>
      <c r="N165" s="77">
        <v>-1.2647554806069809E-3</v>
      </c>
      <c r="O165" s="77">
        <v>-1.2159552507158698E-2</v>
      </c>
    </row>
    <row r="166" spans="1:15" x14ac:dyDescent="0.3">
      <c r="A166" s="100" t="s">
        <v>539</v>
      </c>
      <c r="B166" s="60">
        <v>47.01</v>
      </c>
      <c r="C166" s="77">
        <f t="shared" si="5"/>
        <v>-7.8092021950190906E-3</v>
      </c>
      <c r="D166" s="60"/>
      <c r="E166" s="60"/>
      <c r="G166" s="100" t="s">
        <v>539</v>
      </c>
      <c r="H166" s="60">
        <v>4453.53</v>
      </c>
      <c r="I166" s="77">
        <f t="shared" si="4"/>
        <v>7.2129644609826636E-4</v>
      </c>
      <c r="J166" s="60"/>
      <c r="K166" s="60"/>
      <c r="M166" s="100" t="s">
        <v>539</v>
      </c>
      <c r="N166" s="77">
        <v>-7.8092021950190906E-3</v>
      </c>
      <c r="O166" s="77">
        <v>7.2129644609826636E-4</v>
      </c>
    </row>
    <row r="167" spans="1:15" x14ac:dyDescent="0.3">
      <c r="A167" s="100" t="s">
        <v>538</v>
      </c>
      <c r="B167" s="60">
        <v>47.84</v>
      </c>
      <c r="C167" s="77">
        <f t="shared" si="5"/>
        <v>1.7655817911082863E-2</v>
      </c>
      <c r="D167" s="60"/>
      <c r="E167" s="60"/>
      <c r="G167" s="100" t="s">
        <v>538</v>
      </c>
      <c r="H167" s="60">
        <v>4443.95</v>
      </c>
      <c r="I167" s="77">
        <f t="shared" si="4"/>
        <v>-2.151102608492573E-3</v>
      </c>
      <c r="J167" s="60"/>
      <c r="K167" s="60"/>
      <c r="M167" s="100" t="s">
        <v>538</v>
      </c>
      <c r="N167" s="77">
        <v>1.7655817911082863E-2</v>
      </c>
      <c r="O167" s="77">
        <v>-2.151102608492573E-3</v>
      </c>
    </row>
    <row r="168" spans="1:15" x14ac:dyDescent="0.3">
      <c r="A168" s="100" t="s">
        <v>537</v>
      </c>
      <c r="B168" s="60">
        <v>47.58</v>
      </c>
      <c r="C168" s="77">
        <f t="shared" si="5"/>
        <v>-5.4347826086957587E-3</v>
      </c>
      <c r="D168" s="60"/>
      <c r="E168" s="60"/>
      <c r="G168" s="100" t="s">
        <v>537</v>
      </c>
      <c r="H168" s="60">
        <v>4402.2</v>
      </c>
      <c r="I168" s="77">
        <f t="shared" si="4"/>
        <v>-9.3947951709627692E-3</v>
      </c>
      <c r="J168" s="60"/>
      <c r="K168" s="60"/>
      <c r="M168" s="100" t="s">
        <v>537</v>
      </c>
      <c r="N168" s="77">
        <v>-5.4347826086957587E-3</v>
      </c>
      <c r="O168" s="77">
        <v>-9.3947951709627692E-3</v>
      </c>
    </row>
    <row r="169" spans="1:15" x14ac:dyDescent="0.3">
      <c r="A169" s="100" t="s">
        <v>536</v>
      </c>
      <c r="B169" s="60">
        <v>47.8</v>
      </c>
      <c r="C169" s="77">
        <f t="shared" si="5"/>
        <v>4.6237915090373873E-3</v>
      </c>
      <c r="D169" s="60"/>
      <c r="E169" s="60"/>
      <c r="G169" s="100" t="s">
        <v>536</v>
      </c>
      <c r="H169" s="60">
        <v>4330</v>
      </c>
      <c r="I169" s="77">
        <f t="shared" si="4"/>
        <v>-1.6400890463858939E-2</v>
      </c>
      <c r="J169" s="60"/>
      <c r="K169" s="60"/>
      <c r="M169" s="100" t="s">
        <v>536</v>
      </c>
      <c r="N169" s="77">
        <v>4.6237915090373873E-3</v>
      </c>
      <c r="O169" s="77">
        <v>-1.6400890463858939E-2</v>
      </c>
    </row>
    <row r="170" spans="1:15" x14ac:dyDescent="0.3">
      <c r="A170" s="100" t="s">
        <v>535</v>
      </c>
      <c r="B170" s="60">
        <v>47.65</v>
      </c>
      <c r="C170" s="77">
        <f t="shared" si="5"/>
        <v>-3.1380753138075018E-3</v>
      </c>
      <c r="D170" s="77">
        <f>(B170-B165)/B165</f>
        <v>5.6986070071759392E-3</v>
      </c>
      <c r="E170" s="77">
        <f>($B$254-B170)/B170</f>
        <v>0.28646379853095488</v>
      </c>
      <c r="G170" s="100" t="s">
        <v>535</v>
      </c>
      <c r="H170" s="60">
        <v>4320.0600000000004</v>
      </c>
      <c r="I170" s="77">
        <f t="shared" si="4"/>
        <v>-2.2956120092377827E-3</v>
      </c>
      <c r="J170" s="77">
        <f>(H170-H165)/H165</f>
        <v>-2.9269805317370282E-2</v>
      </c>
      <c r="K170" s="77">
        <f>($H$254-H170)/H170</f>
        <v>0.12696351439563333</v>
      </c>
      <c r="M170" s="100" t="s">
        <v>535</v>
      </c>
      <c r="N170" s="77">
        <v>-3.1380753138075018E-3</v>
      </c>
      <c r="O170" s="77">
        <v>-2.2956120092377827E-3</v>
      </c>
    </row>
    <row r="171" spans="1:15" x14ac:dyDescent="0.3">
      <c r="A171" s="100" t="s">
        <v>534</v>
      </c>
      <c r="B171" s="60">
        <v>48.05</v>
      </c>
      <c r="C171" s="77">
        <f t="shared" si="5"/>
        <v>8.3945435466946192E-3</v>
      </c>
      <c r="D171" s="60"/>
      <c r="E171" s="60"/>
      <c r="G171" s="100" t="s">
        <v>534</v>
      </c>
      <c r="H171" s="60">
        <v>4337.4399999999996</v>
      </c>
      <c r="I171" s="77">
        <f t="shared" si="4"/>
        <v>4.0230922718664085E-3</v>
      </c>
      <c r="J171" s="60"/>
      <c r="K171" s="60"/>
      <c r="M171" s="100" t="s">
        <v>534</v>
      </c>
      <c r="N171" s="77">
        <v>8.3945435466946192E-3</v>
      </c>
      <c r="O171" s="77">
        <v>4.0230922718664085E-3</v>
      </c>
    </row>
    <row r="172" spans="1:15" x14ac:dyDescent="0.3">
      <c r="A172" s="100" t="s">
        <v>533</v>
      </c>
      <c r="B172" s="60">
        <v>47.16</v>
      </c>
      <c r="C172" s="77">
        <f t="shared" si="5"/>
        <v>-1.8522372528616039E-2</v>
      </c>
      <c r="D172" s="60"/>
      <c r="E172" s="60"/>
      <c r="G172" s="100" t="s">
        <v>533</v>
      </c>
      <c r="H172" s="60">
        <v>4273.53</v>
      </c>
      <c r="I172" s="77">
        <f t="shared" si="4"/>
        <v>-1.4734497768268809E-2</v>
      </c>
      <c r="J172" s="60"/>
      <c r="K172" s="60"/>
      <c r="M172" s="100" t="s">
        <v>533</v>
      </c>
      <c r="N172" s="77">
        <v>-1.8522372528616039E-2</v>
      </c>
      <c r="O172" s="77">
        <v>-1.4734497768268809E-2</v>
      </c>
    </row>
    <row r="173" spans="1:15" x14ac:dyDescent="0.3">
      <c r="A173" s="100" t="s">
        <v>532</v>
      </c>
      <c r="B173" s="60">
        <v>47.07</v>
      </c>
      <c r="C173" s="77">
        <f t="shared" si="5"/>
        <v>-1.9083969465648074E-3</v>
      </c>
      <c r="D173" s="60"/>
      <c r="E173" s="60"/>
      <c r="G173" s="100" t="s">
        <v>532</v>
      </c>
      <c r="H173" s="60">
        <v>4274.51</v>
      </c>
      <c r="I173" s="77">
        <f t="shared" si="4"/>
        <v>2.2931861950202127E-4</v>
      </c>
      <c r="J173" s="60"/>
      <c r="K173" s="60"/>
      <c r="M173" s="100" t="s">
        <v>532</v>
      </c>
      <c r="N173" s="77">
        <v>-1.9083969465648074E-3</v>
      </c>
      <c r="O173" s="77">
        <v>2.2931861950202127E-4</v>
      </c>
    </row>
    <row r="174" spans="1:15" x14ac:dyDescent="0.3">
      <c r="A174" s="100" t="s">
        <v>531</v>
      </c>
      <c r="B174" s="60">
        <v>47.86</v>
      </c>
      <c r="C174" s="77">
        <f t="shared" si="5"/>
        <v>1.6783513915445063E-2</v>
      </c>
      <c r="D174" s="60"/>
      <c r="E174" s="60"/>
      <c r="G174" s="100" t="s">
        <v>531</v>
      </c>
      <c r="H174" s="60">
        <v>4299.7</v>
      </c>
      <c r="I174" s="77">
        <f t="shared" si="4"/>
        <v>5.8930731241708641E-3</v>
      </c>
      <c r="J174" s="60"/>
      <c r="K174" s="60"/>
      <c r="M174" s="100" t="s">
        <v>531</v>
      </c>
      <c r="N174" s="77">
        <v>1.6783513915445063E-2</v>
      </c>
      <c r="O174" s="77">
        <v>5.8930731241708641E-3</v>
      </c>
    </row>
    <row r="175" spans="1:15" x14ac:dyDescent="0.3">
      <c r="A175" s="100" t="s">
        <v>530</v>
      </c>
      <c r="B175" s="60">
        <v>48.95</v>
      </c>
      <c r="C175" s="77">
        <f t="shared" si="5"/>
        <v>2.2774759715837933E-2</v>
      </c>
      <c r="D175" s="60"/>
      <c r="E175" s="60"/>
      <c r="G175" s="100" t="s">
        <v>530</v>
      </c>
      <c r="H175" s="60">
        <v>4288.05</v>
      </c>
      <c r="I175" s="77">
        <f t="shared" si="4"/>
        <v>-2.7094913598622317E-3</v>
      </c>
      <c r="J175" s="60"/>
      <c r="K175" s="60"/>
      <c r="M175" s="100" t="s">
        <v>530</v>
      </c>
      <c r="N175" s="77">
        <v>2.2774759715837933E-2</v>
      </c>
      <c r="O175" s="77">
        <v>-2.7094913598622317E-3</v>
      </c>
    </row>
    <row r="176" spans="1:15" x14ac:dyDescent="0.3">
      <c r="A176" s="100" t="s">
        <v>529</v>
      </c>
      <c r="B176" s="60">
        <v>48.93</v>
      </c>
      <c r="C176" s="77">
        <f t="shared" si="5"/>
        <v>-4.085801838611466E-4</v>
      </c>
      <c r="D176" s="77">
        <f>(B176-B171)/B171</f>
        <v>1.8314255983350732E-2</v>
      </c>
      <c r="E176" s="77">
        <f>($B$254-B176)/B176</f>
        <v>0.25281013693030857</v>
      </c>
      <c r="G176" s="100" t="s">
        <v>529</v>
      </c>
      <c r="H176" s="60">
        <v>4288.3900000000003</v>
      </c>
      <c r="I176" s="77">
        <f t="shared" si="4"/>
        <v>7.9290120217848556E-5</v>
      </c>
      <c r="J176" s="77">
        <f>(H176-H171)/H171</f>
        <v>-1.1308513777712033E-2</v>
      </c>
      <c r="K176" s="77">
        <f>($H$254-H176)/H176</f>
        <v>0.13528620298060573</v>
      </c>
      <c r="M176" s="100" t="s">
        <v>529</v>
      </c>
      <c r="N176" s="77">
        <v>-4.085801838611466E-4</v>
      </c>
      <c r="O176" s="77">
        <v>7.9290120217848556E-5</v>
      </c>
    </row>
    <row r="177" spans="1:15" x14ac:dyDescent="0.3">
      <c r="A177" s="100" t="s">
        <v>528</v>
      </c>
      <c r="B177" s="60">
        <v>48.4</v>
      </c>
      <c r="C177" s="77">
        <f t="shared" si="5"/>
        <v>-1.083180053137137E-2</v>
      </c>
      <c r="D177" s="60"/>
      <c r="E177" s="60"/>
      <c r="G177" s="100" t="s">
        <v>528</v>
      </c>
      <c r="H177" s="60">
        <v>4229.45</v>
      </c>
      <c r="I177" s="77">
        <f t="shared" si="4"/>
        <v>-1.3744085775780773E-2</v>
      </c>
      <c r="J177" s="60"/>
      <c r="K177" s="60"/>
      <c r="M177" s="100" t="s">
        <v>528</v>
      </c>
      <c r="N177" s="77">
        <v>-1.083180053137137E-2</v>
      </c>
      <c r="O177" s="77">
        <v>-1.3744085775780773E-2</v>
      </c>
    </row>
    <row r="178" spans="1:15" x14ac:dyDescent="0.3">
      <c r="A178" s="100" t="s">
        <v>527</v>
      </c>
      <c r="B178" s="60">
        <v>48.82</v>
      </c>
      <c r="C178" s="77">
        <f t="shared" si="5"/>
        <v>8.6776859504132595E-3</v>
      </c>
      <c r="D178" s="60"/>
      <c r="E178" s="60"/>
      <c r="G178" s="100" t="s">
        <v>527</v>
      </c>
      <c r="H178" s="60">
        <v>4263.75</v>
      </c>
      <c r="I178" s="77">
        <f t="shared" si="4"/>
        <v>8.1098015108347857E-3</v>
      </c>
      <c r="J178" s="60"/>
      <c r="K178" s="60"/>
      <c r="M178" s="100" t="s">
        <v>527</v>
      </c>
      <c r="N178" s="77">
        <v>8.6776859504132595E-3</v>
      </c>
      <c r="O178" s="77">
        <v>8.1098015108347857E-3</v>
      </c>
    </row>
    <row r="179" spans="1:15" x14ac:dyDescent="0.3">
      <c r="A179" s="100" t="s">
        <v>526</v>
      </c>
      <c r="B179" s="60">
        <v>47.97</v>
      </c>
      <c r="C179" s="77">
        <f t="shared" si="5"/>
        <v>-1.7410897173289665E-2</v>
      </c>
      <c r="D179" s="60"/>
      <c r="E179" s="60"/>
      <c r="G179" s="100" t="s">
        <v>526</v>
      </c>
      <c r="H179" s="60">
        <v>4258.1899999999996</v>
      </c>
      <c r="I179" s="77">
        <f t="shared" si="4"/>
        <v>-1.3040164174729757E-3</v>
      </c>
      <c r="J179" s="60"/>
      <c r="K179" s="60"/>
      <c r="M179" s="100" t="s">
        <v>526</v>
      </c>
      <c r="N179" s="77">
        <v>-1.7410897173289665E-2</v>
      </c>
      <c r="O179" s="77">
        <v>-1.3040164174729757E-3</v>
      </c>
    </row>
    <row r="180" spans="1:15" x14ac:dyDescent="0.3">
      <c r="A180" s="100" t="s">
        <v>525</v>
      </c>
      <c r="B180" s="60">
        <v>48.56</v>
      </c>
      <c r="C180" s="77">
        <f t="shared" si="5"/>
        <v>1.2299353762768469E-2</v>
      </c>
      <c r="D180" s="60"/>
      <c r="E180" s="60"/>
      <c r="G180" s="100" t="s">
        <v>525</v>
      </c>
      <c r="H180" s="60">
        <v>4308.5</v>
      </c>
      <c r="I180" s="77">
        <f t="shared" si="4"/>
        <v>1.1814879091820798E-2</v>
      </c>
      <c r="J180" s="60"/>
      <c r="K180" s="60"/>
      <c r="M180" s="100" t="s">
        <v>525</v>
      </c>
      <c r="N180" s="77">
        <v>1.2299353762768469E-2</v>
      </c>
      <c r="O180" s="77">
        <v>1.1814879091820798E-2</v>
      </c>
    </row>
    <row r="181" spans="1:15" x14ac:dyDescent="0.3">
      <c r="A181" s="100" t="s">
        <v>524</v>
      </c>
      <c r="B181" s="60">
        <v>47.9</v>
      </c>
      <c r="C181" s="77">
        <f t="shared" si="5"/>
        <v>-1.3591433278418526E-2</v>
      </c>
      <c r="D181" s="60"/>
      <c r="E181" s="60"/>
      <c r="G181" s="100" t="s">
        <v>524</v>
      </c>
      <c r="H181" s="60">
        <v>4335.66</v>
      </c>
      <c r="I181" s="77">
        <f t="shared" si="4"/>
        <v>6.3038180341185692E-3</v>
      </c>
      <c r="J181" s="60"/>
      <c r="K181" s="60"/>
      <c r="M181" s="100" t="s">
        <v>524</v>
      </c>
      <c r="N181" s="77">
        <v>-1.3591433278418526E-2</v>
      </c>
      <c r="O181" s="77">
        <v>6.3038180341185692E-3</v>
      </c>
    </row>
    <row r="182" spans="1:15" x14ac:dyDescent="0.3">
      <c r="A182" s="100" t="s">
        <v>523</v>
      </c>
      <c r="B182" s="60">
        <v>48.67</v>
      </c>
      <c r="C182" s="77">
        <f t="shared" si="5"/>
        <v>1.6075156576200483E-2</v>
      </c>
      <c r="D182" s="77">
        <f>(B182-B177)/B177</f>
        <v>5.5785123966942797E-3</v>
      </c>
      <c r="E182" s="77">
        <f>($B$254-B182)/B182</f>
        <v>0.25950277378261755</v>
      </c>
      <c r="G182" s="100" t="s">
        <v>523</v>
      </c>
      <c r="H182" s="60">
        <v>4358.24</v>
      </c>
      <c r="I182" s="77">
        <f t="shared" si="4"/>
        <v>5.2079729499084175E-3</v>
      </c>
      <c r="J182" s="77">
        <f>(H182-H177)/H177</f>
        <v>3.0450767830332542E-2</v>
      </c>
      <c r="K182" s="77">
        <f>($H$254-H182)/H182</f>
        <v>0.11709084401042633</v>
      </c>
      <c r="M182" s="100" t="s">
        <v>523</v>
      </c>
      <c r="N182" s="77">
        <v>1.6075156576200483E-2</v>
      </c>
      <c r="O182" s="77">
        <v>5.2079729499084175E-3</v>
      </c>
    </row>
    <row r="183" spans="1:15" x14ac:dyDescent="0.3">
      <c r="A183" s="100" t="s">
        <v>522</v>
      </c>
      <c r="B183" s="60">
        <v>48.48</v>
      </c>
      <c r="C183" s="77">
        <f t="shared" si="5"/>
        <v>-3.9038422025889628E-3</v>
      </c>
      <c r="D183" s="60"/>
      <c r="E183" s="60"/>
      <c r="G183" s="100" t="s">
        <v>522</v>
      </c>
      <c r="H183" s="60">
        <v>4376.95</v>
      </c>
      <c r="I183" s="77">
        <f t="shared" si="4"/>
        <v>4.2930173648078208E-3</v>
      </c>
      <c r="J183" s="60"/>
      <c r="K183" s="60"/>
      <c r="M183" s="100" t="s">
        <v>522</v>
      </c>
      <c r="N183" s="77">
        <v>-3.9038422025889628E-3</v>
      </c>
      <c r="O183" s="77">
        <v>4.2930173648078208E-3</v>
      </c>
    </row>
    <row r="184" spans="1:15" x14ac:dyDescent="0.3">
      <c r="A184" s="100" t="s">
        <v>521</v>
      </c>
      <c r="B184" s="60">
        <v>48.46</v>
      </c>
      <c r="C184" s="77">
        <f t="shared" si="5"/>
        <v>-4.1254125412533047E-4</v>
      </c>
      <c r="D184" s="60"/>
      <c r="E184" s="60"/>
      <c r="G184" s="100" t="s">
        <v>521</v>
      </c>
      <c r="H184" s="60">
        <v>4349.6099999999997</v>
      </c>
      <c r="I184" s="77">
        <f t="shared" si="4"/>
        <v>-6.246358765807274E-3</v>
      </c>
      <c r="J184" s="60"/>
      <c r="K184" s="60"/>
      <c r="M184" s="100" t="s">
        <v>521</v>
      </c>
      <c r="N184" s="77">
        <v>-4.1254125412533047E-4</v>
      </c>
      <c r="O184" s="77">
        <v>-6.246358765807274E-3</v>
      </c>
    </row>
    <row r="185" spans="1:15" x14ac:dyDescent="0.3">
      <c r="A185" s="100" t="s">
        <v>520</v>
      </c>
      <c r="B185" s="60">
        <v>48.09</v>
      </c>
      <c r="C185" s="77">
        <f t="shared" si="5"/>
        <v>-7.6351630210482347E-3</v>
      </c>
      <c r="D185" s="60"/>
      <c r="E185" s="60"/>
      <c r="G185" s="100" t="s">
        <v>520</v>
      </c>
      <c r="H185" s="60">
        <v>4327.78</v>
      </c>
      <c r="I185" s="77">
        <f t="shared" si="4"/>
        <v>-5.0188407696322036E-3</v>
      </c>
      <c r="J185" s="60"/>
      <c r="K185" s="60"/>
      <c r="M185" s="100" t="s">
        <v>520</v>
      </c>
      <c r="N185" s="77">
        <v>-7.6351630210482347E-3</v>
      </c>
      <c r="O185" s="77">
        <v>-5.0188407696322036E-3</v>
      </c>
    </row>
    <row r="186" spans="1:15" x14ac:dyDescent="0.3">
      <c r="A186" s="100" t="s">
        <v>519</v>
      </c>
      <c r="B186" s="60">
        <v>49.4</v>
      </c>
      <c r="C186" s="77">
        <f t="shared" si="5"/>
        <v>2.7240590559367749E-2</v>
      </c>
      <c r="D186" s="60"/>
      <c r="E186" s="60"/>
      <c r="G186" s="100" t="s">
        <v>519</v>
      </c>
      <c r="H186" s="60">
        <v>4373.63</v>
      </c>
      <c r="I186" s="77">
        <f t="shared" si="4"/>
        <v>1.0594346293018676E-2</v>
      </c>
      <c r="J186" s="60"/>
      <c r="K186" s="60"/>
      <c r="M186" s="100" t="s">
        <v>519</v>
      </c>
      <c r="N186" s="77">
        <v>2.7240590559367749E-2</v>
      </c>
      <c r="O186" s="77">
        <v>1.0594346293018676E-2</v>
      </c>
    </row>
    <row r="187" spans="1:15" x14ac:dyDescent="0.3">
      <c r="A187" s="100" t="s">
        <v>518</v>
      </c>
      <c r="B187" s="60">
        <v>50.48</v>
      </c>
      <c r="C187" s="77">
        <f t="shared" si="5"/>
        <v>2.1862348178137619E-2</v>
      </c>
      <c r="D187" s="60"/>
      <c r="E187" s="60"/>
      <c r="G187" s="100" t="s">
        <v>518</v>
      </c>
      <c r="H187" s="60">
        <v>4373.2</v>
      </c>
      <c r="I187" s="77">
        <f t="shared" si="4"/>
        <v>-9.8316501395932218E-5</v>
      </c>
      <c r="J187" s="60"/>
      <c r="K187" s="60"/>
      <c r="M187" s="100" t="s">
        <v>518</v>
      </c>
      <c r="N187" s="77">
        <v>2.1862348178137619E-2</v>
      </c>
      <c r="O187" s="77">
        <v>-9.8316501395932218E-5</v>
      </c>
    </row>
    <row r="188" spans="1:15" x14ac:dyDescent="0.3">
      <c r="A188" s="100" t="s">
        <v>517</v>
      </c>
      <c r="B188" s="60">
        <v>49.19</v>
      </c>
      <c r="C188" s="77">
        <f t="shared" si="5"/>
        <v>-2.5554675118858939E-2</v>
      </c>
      <c r="D188" s="77">
        <f>(B188-B183)/B183</f>
        <v>1.4645214521452165E-2</v>
      </c>
      <c r="E188" s="77">
        <f>($B$254-B188)/B188</f>
        <v>0.24618824964423663</v>
      </c>
      <c r="G188" s="100" t="s">
        <v>517</v>
      </c>
      <c r="H188" s="60">
        <v>4314.6000000000004</v>
      </c>
      <c r="I188" s="77">
        <f t="shared" si="4"/>
        <v>-1.3399798774352753E-2</v>
      </c>
      <c r="J188" s="77">
        <f>(H188-H183)/H183</f>
        <v>-1.4245079336067229E-2</v>
      </c>
      <c r="K188" s="77">
        <f>($H$254-H188)/H188</f>
        <v>0.1283896537338339</v>
      </c>
      <c r="M188" s="100" t="s">
        <v>517</v>
      </c>
      <c r="N188" s="77">
        <v>-2.5554675118858939E-2</v>
      </c>
      <c r="O188" s="77">
        <v>-1.3399798774352753E-2</v>
      </c>
    </row>
    <row r="189" spans="1:15" x14ac:dyDescent="0.3">
      <c r="A189" s="100" t="s">
        <v>516</v>
      </c>
      <c r="B189" s="60">
        <v>48.78</v>
      </c>
      <c r="C189" s="77">
        <f t="shared" si="5"/>
        <v>-8.335027444602492E-3</v>
      </c>
      <c r="D189" s="60"/>
      <c r="E189" s="60"/>
      <c r="G189" s="100" t="s">
        <v>516</v>
      </c>
      <c r="H189" s="60">
        <v>4278</v>
      </c>
      <c r="I189" s="77">
        <f t="shared" si="4"/>
        <v>-8.4828257544153247E-3</v>
      </c>
      <c r="J189" s="60"/>
      <c r="K189" s="60"/>
      <c r="M189" s="100" t="s">
        <v>516</v>
      </c>
      <c r="N189" s="77">
        <v>-8.335027444602492E-3</v>
      </c>
      <c r="O189" s="77">
        <v>-8.4828257544153247E-3</v>
      </c>
    </row>
    <row r="190" spans="1:15" x14ac:dyDescent="0.3">
      <c r="A190" s="100" t="s">
        <v>515</v>
      </c>
      <c r="B190" s="60">
        <v>48.43</v>
      </c>
      <c r="C190" s="77">
        <f t="shared" si="5"/>
        <v>-7.1750717507175358E-3</v>
      </c>
      <c r="D190" s="60"/>
      <c r="E190" s="60"/>
      <c r="G190" s="100" t="s">
        <v>515</v>
      </c>
      <c r="H190" s="60">
        <v>4224.16</v>
      </c>
      <c r="I190" s="77">
        <f t="shared" si="4"/>
        <v>-1.2585320243104289E-2</v>
      </c>
      <c r="J190" s="60"/>
      <c r="K190" s="60"/>
      <c r="M190" s="100" t="s">
        <v>515</v>
      </c>
      <c r="N190" s="77">
        <v>-7.1750717507175358E-3</v>
      </c>
      <c r="O190" s="77">
        <v>-1.2585320243104289E-2</v>
      </c>
    </row>
    <row r="191" spans="1:15" x14ac:dyDescent="0.3">
      <c r="A191" s="100" t="s">
        <v>514</v>
      </c>
      <c r="B191" s="60">
        <v>48.02</v>
      </c>
      <c r="C191" s="77">
        <f t="shared" si="5"/>
        <v>-8.465826966756072E-3</v>
      </c>
      <c r="D191" s="60"/>
      <c r="E191" s="60"/>
      <c r="G191" s="100" t="s">
        <v>514</v>
      </c>
      <c r="H191" s="60">
        <v>4217.04</v>
      </c>
      <c r="I191" s="77">
        <f t="shared" si="4"/>
        <v>-1.6855422143100382E-3</v>
      </c>
      <c r="J191" s="60"/>
      <c r="K191" s="60"/>
      <c r="M191" s="100" t="s">
        <v>514</v>
      </c>
      <c r="N191" s="77">
        <v>-8.465826966756072E-3</v>
      </c>
      <c r="O191" s="77">
        <v>-1.6855422143100382E-3</v>
      </c>
    </row>
    <row r="192" spans="1:15" x14ac:dyDescent="0.3">
      <c r="A192" s="100" t="s">
        <v>513</v>
      </c>
      <c r="B192" s="60">
        <v>48.62</v>
      </c>
      <c r="C192" s="77">
        <f t="shared" si="5"/>
        <v>1.2494793835901588E-2</v>
      </c>
      <c r="D192" s="60"/>
      <c r="E192" s="60"/>
      <c r="G192" s="100" t="s">
        <v>513</v>
      </c>
      <c r="H192" s="60">
        <v>4247.68</v>
      </c>
      <c r="I192" s="77">
        <f t="shared" si="4"/>
        <v>7.2657598694819891E-3</v>
      </c>
      <c r="J192" s="60"/>
      <c r="K192" s="60"/>
      <c r="M192" s="100" t="s">
        <v>513</v>
      </c>
      <c r="N192" s="77">
        <v>1.2494793835901588E-2</v>
      </c>
      <c r="O192" s="77">
        <v>7.2657598694819891E-3</v>
      </c>
    </row>
    <row r="193" spans="1:15" x14ac:dyDescent="0.3">
      <c r="A193" s="100" t="s">
        <v>512</v>
      </c>
      <c r="B193" s="60">
        <v>47.96</v>
      </c>
      <c r="C193" s="77">
        <f t="shared" si="5"/>
        <v>-1.3574660633484094E-2</v>
      </c>
      <c r="D193" s="60"/>
      <c r="E193" s="60"/>
      <c r="G193" s="100" t="s">
        <v>512</v>
      </c>
      <c r="H193" s="60">
        <v>4186.7700000000004</v>
      </c>
      <c r="I193" s="77">
        <f t="shared" si="4"/>
        <v>-1.4339592436341685E-2</v>
      </c>
      <c r="J193" s="60"/>
      <c r="K193" s="60"/>
      <c r="M193" s="100" t="s">
        <v>512</v>
      </c>
      <c r="N193" s="77">
        <v>-1.3574660633484094E-2</v>
      </c>
      <c r="O193" s="77">
        <v>-1.4339592436341685E-2</v>
      </c>
    </row>
    <row r="194" spans="1:15" x14ac:dyDescent="0.3">
      <c r="A194" s="100" t="s">
        <v>511</v>
      </c>
      <c r="B194" s="60">
        <v>46.78</v>
      </c>
      <c r="C194" s="77">
        <f t="shared" si="5"/>
        <v>-2.4603836530442028E-2</v>
      </c>
      <c r="D194" s="77">
        <f>(B194-B189)/B189</f>
        <v>-4.1000410004100041E-2</v>
      </c>
      <c r="E194" s="77">
        <f>($B$254-B194)/B194</f>
        <v>0.31038905515177417</v>
      </c>
      <c r="G194" s="100" t="s">
        <v>511</v>
      </c>
      <c r="H194" s="60">
        <v>4137.2299999999996</v>
      </c>
      <c r="I194" s="77">
        <f t="shared" si="4"/>
        <v>-1.1832510503323772E-2</v>
      </c>
      <c r="J194" s="77">
        <f>(H194-H189)/H189</f>
        <v>-3.2905563347358682E-2</v>
      </c>
      <c r="K194" s="77">
        <f>($H$254-H194)/H194</f>
        <v>0.17676561370772248</v>
      </c>
      <c r="M194" s="100" t="s">
        <v>511</v>
      </c>
      <c r="N194" s="77">
        <v>-2.4603836530442028E-2</v>
      </c>
      <c r="O194" s="77">
        <v>-1.1832510503323772E-2</v>
      </c>
    </row>
    <row r="195" spans="1:15" x14ac:dyDescent="0.3">
      <c r="A195" s="100" t="s">
        <v>510</v>
      </c>
      <c r="B195" s="60">
        <v>46.1</v>
      </c>
      <c r="C195" s="77">
        <f t="shared" si="5"/>
        <v>-1.4536126549807604E-2</v>
      </c>
      <c r="D195" s="60"/>
      <c r="E195" s="60"/>
      <c r="G195" s="100" t="s">
        <v>510</v>
      </c>
      <c r="H195" s="60">
        <v>4117.37</v>
      </c>
      <c r="I195" s="77">
        <f t="shared" si="4"/>
        <v>-4.800313253070212E-3</v>
      </c>
      <c r="J195" s="60"/>
      <c r="K195" s="60"/>
      <c r="M195" s="100" t="s">
        <v>510</v>
      </c>
      <c r="N195" s="77">
        <v>-1.4536126549807604E-2</v>
      </c>
      <c r="O195" s="77">
        <v>-4.800313253070212E-3</v>
      </c>
    </row>
    <row r="196" spans="1:15" x14ac:dyDescent="0.3">
      <c r="A196" s="100" t="s">
        <v>509</v>
      </c>
      <c r="B196" s="60">
        <v>48.09</v>
      </c>
      <c r="C196" s="77">
        <f t="shared" si="5"/>
        <v>4.31670281995662E-2</v>
      </c>
      <c r="D196" s="60"/>
      <c r="E196" s="60"/>
      <c r="G196" s="100" t="s">
        <v>509</v>
      </c>
      <c r="H196" s="60">
        <v>4166.82</v>
      </c>
      <c r="I196" s="77">
        <f t="shared" si="4"/>
        <v>1.2010093822027125E-2</v>
      </c>
      <c r="J196" s="60"/>
      <c r="K196" s="60"/>
      <c r="M196" s="100" t="s">
        <v>509</v>
      </c>
      <c r="N196" s="77">
        <v>4.31670281995662E-2</v>
      </c>
      <c r="O196" s="77">
        <v>1.2010093822027125E-2</v>
      </c>
    </row>
    <row r="197" spans="1:15" x14ac:dyDescent="0.3">
      <c r="A197" s="100" t="s">
        <v>508</v>
      </c>
      <c r="B197" s="60">
        <v>48.22</v>
      </c>
      <c r="C197" s="77">
        <f t="shared" si="5"/>
        <v>2.7032647119982415E-3</v>
      </c>
      <c r="D197" s="60"/>
      <c r="E197" s="60"/>
      <c r="G197" s="100" t="s">
        <v>508</v>
      </c>
      <c r="H197" s="60">
        <v>4193.8</v>
      </c>
      <c r="I197" s="77">
        <f t="shared" ref="I197:I254" si="6">(H197-H196)/H196</f>
        <v>6.4749617214087665E-3</v>
      </c>
      <c r="J197" s="60"/>
      <c r="K197" s="60"/>
      <c r="M197" s="100" t="s">
        <v>508</v>
      </c>
      <c r="N197" s="77">
        <v>2.7032647119982415E-3</v>
      </c>
      <c r="O197" s="77">
        <v>6.4749617214087665E-3</v>
      </c>
    </row>
    <row r="198" spans="1:15" x14ac:dyDescent="0.3">
      <c r="A198" s="100" t="s">
        <v>507</v>
      </c>
      <c r="B198" s="60">
        <v>46.5</v>
      </c>
      <c r="C198" s="77">
        <f t="shared" ref="C198:C254" si="7">(B198-B197)/B197</f>
        <v>-3.566984653670674E-2</v>
      </c>
      <c r="D198" s="60"/>
      <c r="E198" s="60"/>
      <c r="G198" s="100" t="s">
        <v>507</v>
      </c>
      <c r="H198" s="60">
        <v>4237.8599999999997</v>
      </c>
      <c r="I198" s="77">
        <f t="shared" si="6"/>
        <v>1.0505985025513732E-2</v>
      </c>
      <c r="J198" s="60"/>
      <c r="K198" s="60"/>
      <c r="M198" s="100" t="s">
        <v>507</v>
      </c>
      <c r="N198" s="77">
        <v>-3.566984653670674E-2</v>
      </c>
      <c r="O198" s="77">
        <v>1.0505985025513732E-2</v>
      </c>
    </row>
    <row r="199" spans="1:15" x14ac:dyDescent="0.3">
      <c r="A199" s="100" t="s">
        <v>506</v>
      </c>
      <c r="B199" s="60">
        <v>47.15</v>
      </c>
      <c r="C199" s="77">
        <f t="shared" si="7"/>
        <v>1.3978494623655883E-2</v>
      </c>
      <c r="D199" s="60"/>
      <c r="E199" s="60"/>
      <c r="G199" s="100" t="s">
        <v>506</v>
      </c>
      <c r="H199" s="60">
        <v>4317.78</v>
      </c>
      <c r="I199" s="77">
        <f t="shared" si="6"/>
        <v>1.8858574846738703E-2</v>
      </c>
      <c r="J199" s="60"/>
      <c r="K199" s="60"/>
      <c r="M199" s="100" t="s">
        <v>506</v>
      </c>
      <c r="N199" s="77">
        <v>1.3978494623655883E-2</v>
      </c>
      <c r="O199" s="77">
        <v>1.8858574846738703E-2</v>
      </c>
    </row>
    <row r="200" spans="1:15" x14ac:dyDescent="0.3">
      <c r="A200" s="100" t="s">
        <v>505</v>
      </c>
      <c r="B200" s="60">
        <v>47.7</v>
      </c>
      <c r="C200" s="77">
        <f t="shared" si="7"/>
        <v>1.166489925768832E-2</v>
      </c>
      <c r="D200" s="77">
        <f>(B200-B195)/B195</f>
        <v>3.4707158351410007E-2</v>
      </c>
      <c r="E200" s="77">
        <f>($B$254-B200)/B200</f>
        <v>0.28511530398322837</v>
      </c>
      <c r="G200" s="100" t="s">
        <v>505</v>
      </c>
      <c r="H200" s="60">
        <v>4358.34</v>
      </c>
      <c r="I200" s="77">
        <f t="shared" si="6"/>
        <v>9.3937162152773878E-3</v>
      </c>
      <c r="J200" s="77">
        <f>(H200-H195)/H195</f>
        <v>5.8525223625761166E-2</v>
      </c>
      <c r="K200" s="77">
        <f>($H$254-H200)/H200</f>
        <v>0.11706521290216</v>
      </c>
      <c r="M200" s="100" t="s">
        <v>505</v>
      </c>
      <c r="N200" s="77">
        <v>1.166489925768832E-2</v>
      </c>
      <c r="O200" s="77">
        <v>9.3937162152773878E-3</v>
      </c>
    </row>
    <row r="201" spans="1:15" x14ac:dyDescent="0.3">
      <c r="A201" s="100" t="s">
        <v>272</v>
      </c>
      <c r="B201" s="60">
        <v>49.16</v>
      </c>
      <c r="C201" s="77">
        <f t="shared" si="7"/>
        <v>3.0607966457022927E-2</v>
      </c>
      <c r="D201" s="60"/>
      <c r="E201" s="60"/>
      <c r="G201" s="100" t="s">
        <v>272</v>
      </c>
      <c r="H201" s="60">
        <v>4365.9799999999996</v>
      </c>
      <c r="I201" s="77">
        <f t="shared" si="6"/>
        <v>1.7529609897344901E-3</v>
      </c>
      <c r="J201" s="60"/>
      <c r="K201" s="60"/>
      <c r="M201" s="100" t="s">
        <v>272</v>
      </c>
      <c r="N201" s="77">
        <v>3.0607966457022927E-2</v>
      </c>
      <c r="O201" s="77">
        <v>1.7529609897344901E-3</v>
      </c>
    </row>
    <row r="202" spans="1:15" x14ac:dyDescent="0.3">
      <c r="A202" s="100" t="s">
        <v>504</v>
      </c>
      <c r="B202" s="60">
        <v>50.19</v>
      </c>
      <c r="C202" s="77">
        <f t="shared" si="7"/>
        <v>2.0951993490642824E-2</v>
      </c>
      <c r="D202" s="60"/>
      <c r="E202" s="60"/>
      <c r="G202" s="100" t="s">
        <v>504</v>
      </c>
      <c r="H202" s="60">
        <v>4378.38</v>
      </c>
      <c r="I202" s="77">
        <f t="shared" si="6"/>
        <v>2.8401412741241479E-3</v>
      </c>
      <c r="J202" s="60"/>
      <c r="K202" s="60"/>
      <c r="M202" s="100" t="s">
        <v>504</v>
      </c>
      <c r="N202" s="77">
        <v>2.0951993490642824E-2</v>
      </c>
      <c r="O202" s="77">
        <v>2.8401412741241479E-3</v>
      </c>
    </row>
    <row r="203" spans="1:15" x14ac:dyDescent="0.3">
      <c r="A203" s="100" t="s">
        <v>503</v>
      </c>
      <c r="B203" s="60">
        <v>50.01</v>
      </c>
      <c r="C203" s="77">
        <f t="shared" si="7"/>
        <v>-3.5863717872086018E-3</v>
      </c>
      <c r="D203" s="60"/>
      <c r="E203" s="60"/>
      <c r="G203" s="100" t="s">
        <v>503</v>
      </c>
      <c r="H203" s="60">
        <v>4382.78</v>
      </c>
      <c r="I203" s="77">
        <f t="shared" si="6"/>
        <v>1.0049378994056331E-3</v>
      </c>
      <c r="J203" s="60"/>
      <c r="K203" s="60"/>
      <c r="M203" s="100" t="s">
        <v>503</v>
      </c>
      <c r="N203" s="77">
        <v>-3.5863717872086018E-3</v>
      </c>
      <c r="O203" s="77">
        <v>1.0049378994056331E-3</v>
      </c>
    </row>
    <row r="204" spans="1:15" x14ac:dyDescent="0.3">
      <c r="A204" s="100" t="s">
        <v>502</v>
      </c>
      <c r="B204" s="60">
        <v>49.64</v>
      </c>
      <c r="C204" s="77">
        <f t="shared" si="7"/>
        <v>-7.3985202959407611E-3</v>
      </c>
      <c r="D204" s="60"/>
      <c r="E204" s="60"/>
      <c r="G204" s="100" t="s">
        <v>502</v>
      </c>
      <c r="H204" s="60">
        <v>4347.3500000000004</v>
      </c>
      <c r="I204" s="77">
        <f t="shared" si="6"/>
        <v>-8.0839102122395798E-3</v>
      </c>
      <c r="J204" s="60"/>
      <c r="K204" s="60"/>
      <c r="M204" s="100" t="s">
        <v>502</v>
      </c>
      <c r="N204" s="77">
        <v>-7.3985202959407611E-3</v>
      </c>
      <c r="O204" s="77">
        <v>-8.0839102122395798E-3</v>
      </c>
    </row>
    <row r="205" spans="1:15" x14ac:dyDescent="0.3">
      <c r="A205" s="100" t="s">
        <v>501</v>
      </c>
      <c r="B205" s="60">
        <v>50.03</v>
      </c>
      <c r="C205" s="77">
        <f t="shared" si="7"/>
        <v>7.8565672844480364E-3</v>
      </c>
      <c r="D205" s="60"/>
      <c r="E205" s="60"/>
      <c r="G205" s="100" t="s">
        <v>501</v>
      </c>
      <c r="H205" s="60">
        <v>4415.24</v>
      </c>
      <c r="I205" s="77">
        <f t="shared" si="6"/>
        <v>1.5616409996894525E-2</v>
      </c>
      <c r="J205" s="60"/>
      <c r="K205" s="60"/>
      <c r="M205" s="100" t="s">
        <v>501</v>
      </c>
      <c r="N205" s="77">
        <v>7.8565672844480364E-3</v>
      </c>
      <c r="O205" s="77">
        <v>1.5616409996894525E-2</v>
      </c>
    </row>
    <row r="206" spans="1:15" x14ac:dyDescent="0.3">
      <c r="A206" s="100" t="s">
        <v>271</v>
      </c>
      <c r="B206" s="60">
        <v>49.43</v>
      </c>
      <c r="C206" s="77">
        <f t="shared" si="7"/>
        <v>-1.1992804317409582E-2</v>
      </c>
      <c r="D206" s="77">
        <f>(B206-B201)/B201</f>
        <v>5.4922701383239049E-3</v>
      </c>
      <c r="E206" s="77">
        <f>($B$254-B206)/B206</f>
        <v>0.2401375682783734</v>
      </c>
      <c r="G206" s="100" t="s">
        <v>271</v>
      </c>
      <c r="H206" s="60">
        <v>4411.55</v>
      </c>
      <c r="I206" s="77">
        <f t="shared" si="6"/>
        <v>-8.3574165843750285E-4</v>
      </c>
      <c r="J206" s="77">
        <f>(H206-H201)/H201</f>
        <v>1.0437519182405926E-2</v>
      </c>
      <c r="K206" s="77">
        <f>($H$254-H206)/H206</f>
        <v>0.10359170812979565</v>
      </c>
      <c r="M206" s="100" t="s">
        <v>271</v>
      </c>
      <c r="N206" s="77">
        <v>-1.1992804317409582E-2</v>
      </c>
      <c r="O206" s="77">
        <v>-8.3574165843750285E-4</v>
      </c>
    </row>
    <row r="207" spans="1:15" x14ac:dyDescent="0.3">
      <c r="A207" s="100" t="s">
        <v>500</v>
      </c>
      <c r="B207" s="60">
        <v>50.89</v>
      </c>
      <c r="C207" s="77">
        <f t="shared" si="7"/>
        <v>2.9536718591948227E-2</v>
      </c>
      <c r="D207" s="60"/>
      <c r="E207" s="60"/>
      <c r="G207" s="100" t="s">
        <v>500</v>
      </c>
      <c r="H207" s="60">
        <v>4495.7</v>
      </c>
      <c r="I207" s="77">
        <f t="shared" si="6"/>
        <v>1.9074928313177825E-2</v>
      </c>
      <c r="J207" s="60"/>
      <c r="K207" s="60"/>
      <c r="M207" s="100" t="s">
        <v>500</v>
      </c>
      <c r="N207" s="77">
        <v>2.9536718591948227E-2</v>
      </c>
      <c r="O207" s="77">
        <v>1.9074928313177825E-2</v>
      </c>
    </row>
    <row r="208" spans="1:15" x14ac:dyDescent="0.3">
      <c r="A208" s="100" t="s">
        <v>499</v>
      </c>
      <c r="B208" s="60">
        <v>52.55</v>
      </c>
      <c r="C208" s="77">
        <f t="shared" si="7"/>
        <v>3.2619375122813848E-2</v>
      </c>
      <c r="D208" s="60"/>
      <c r="E208" s="60"/>
      <c r="G208" s="100" t="s">
        <v>499</v>
      </c>
      <c r="H208" s="60">
        <v>4502.88</v>
      </c>
      <c r="I208" s="77">
        <f t="shared" si="6"/>
        <v>1.5970816558045001E-3</v>
      </c>
      <c r="J208" s="60"/>
      <c r="K208" s="60"/>
      <c r="M208" s="100" t="s">
        <v>499</v>
      </c>
      <c r="N208" s="77">
        <v>3.2619375122813848E-2</v>
      </c>
      <c r="O208" s="77">
        <v>1.5970816558045001E-3</v>
      </c>
    </row>
    <row r="209" spans="1:15" x14ac:dyDescent="0.3">
      <c r="A209" s="100" t="s">
        <v>498</v>
      </c>
      <c r="B209" s="60">
        <v>51.61</v>
      </c>
      <c r="C209" s="77">
        <f t="shared" si="7"/>
        <v>-1.7887725975261615E-2</v>
      </c>
      <c r="D209" s="60"/>
      <c r="E209" s="60"/>
      <c r="G209" s="100" t="s">
        <v>498</v>
      </c>
      <c r="H209" s="60">
        <v>4508.24</v>
      </c>
      <c r="I209" s="77">
        <f t="shared" si="6"/>
        <v>1.1903492875669954E-3</v>
      </c>
      <c r="J209" s="60"/>
      <c r="K209" s="60"/>
      <c r="M209" s="100" t="s">
        <v>498</v>
      </c>
      <c r="N209" s="77">
        <v>-1.7887725975261615E-2</v>
      </c>
      <c r="O209" s="77">
        <v>1.1903492875669954E-3</v>
      </c>
    </row>
    <row r="210" spans="1:15" x14ac:dyDescent="0.3">
      <c r="A210" s="100" t="s">
        <v>497</v>
      </c>
      <c r="B210" s="60">
        <v>52.54</v>
      </c>
      <c r="C210" s="77">
        <f t="shared" si="7"/>
        <v>1.8019763611703155E-2</v>
      </c>
      <c r="D210" s="60"/>
      <c r="E210" s="60"/>
      <c r="G210" s="100" t="s">
        <v>497</v>
      </c>
      <c r="H210" s="60">
        <v>4514.0200000000004</v>
      </c>
      <c r="I210" s="77">
        <f t="shared" si="6"/>
        <v>1.2820967827801215E-3</v>
      </c>
      <c r="J210" s="60"/>
      <c r="K210" s="60"/>
      <c r="M210" s="100" t="s">
        <v>497</v>
      </c>
      <c r="N210" s="77">
        <v>1.8019763611703155E-2</v>
      </c>
      <c r="O210" s="77">
        <v>1.2820967827801215E-3</v>
      </c>
    </row>
    <row r="211" spans="1:15" x14ac:dyDescent="0.3">
      <c r="A211" s="100" t="s">
        <v>458</v>
      </c>
      <c r="B211" s="60">
        <v>54.48</v>
      </c>
      <c r="C211" s="77">
        <f t="shared" si="7"/>
        <v>3.6924248191853783E-2</v>
      </c>
      <c r="D211" s="60"/>
      <c r="E211" s="60"/>
      <c r="G211" s="100" t="s">
        <v>458</v>
      </c>
      <c r="H211" s="60">
        <v>4547.38</v>
      </c>
      <c r="I211" s="77">
        <f t="shared" si="6"/>
        <v>7.390308416887756E-3</v>
      </c>
      <c r="J211" s="60"/>
      <c r="K211" s="60"/>
      <c r="M211" s="100" t="s">
        <v>458</v>
      </c>
      <c r="N211" s="77">
        <v>3.6924248191853783E-2</v>
      </c>
      <c r="O211" s="77">
        <v>7.390308416887756E-3</v>
      </c>
    </row>
    <row r="212" spans="1:15" x14ac:dyDescent="0.3">
      <c r="A212" s="100" t="s">
        <v>496</v>
      </c>
      <c r="B212" s="60">
        <v>54.55</v>
      </c>
      <c r="C212" s="77">
        <f t="shared" si="7"/>
        <v>1.2848751835536029E-3</v>
      </c>
      <c r="D212" s="77">
        <f>(B212-B207)/B207</f>
        <v>7.1919827078011325E-2</v>
      </c>
      <c r="E212" s="77">
        <f>($B$254-B212)/B212</f>
        <v>0.12373968835930339</v>
      </c>
      <c r="G212" s="100" t="s">
        <v>496</v>
      </c>
      <c r="H212" s="60">
        <v>4538.1899999999996</v>
      </c>
      <c r="I212" s="77">
        <f t="shared" si="6"/>
        <v>-2.0209439281521466E-3</v>
      </c>
      <c r="J212" s="77">
        <f>(H212-H207)/H207</f>
        <v>9.4512534199345556E-3</v>
      </c>
      <c r="K212" s="77">
        <f>($H$254-H212)/H212</f>
        <v>7.2795541834960772E-2</v>
      </c>
      <c r="M212" s="100" t="s">
        <v>496</v>
      </c>
      <c r="N212" s="77">
        <v>1.2848751835536029E-3</v>
      </c>
      <c r="O212" s="77">
        <v>-2.0209439281521466E-3</v>
      </c>
    </row>
    <row r="213" spans="1:15" x14ac:dyDescent="0.3">
      <c r="A213" s="100" t="s">
        <v>495</v>
      </c>
      <c r="B213" s="60">
        <v>55.11</v>
      </c>
      <c r="C213" s="77">
        <f t="shared" si="7"/>
        <v>1.0265811182401509E-2</v>
      </c>
      <c r="D213" s="60"/>
      <c r="E213" s="60"/>
      <c r="G213" s="100" t="s">
        <v>495</v>
      </c>
      <c r="H213" s="60">
        <v>4556.62</v>
      </c>
      <c r="I213" s="77">
        <f t="shared" si="6"/>
        <v>4.0610904347328546E-3</v>
      </c>
      <c r="J213" s="60"/>
      <c r="K213" s="60"/>
      <c r="M213" s="100" t="s">
        <v>495</v>
      </c>
      <c r="N213" s="77">
        <v>1.0265811182401509E-2</v>
      </c>
      <c r="O213" s="77">
        <v>4.0610904347328546E-3</v>
      </c>
    </row>
    <row r="214" spans="1:15" x14ac:dyDescent="0.3">
      <c r="A214" s="100" t="s">
        <v>494</v>
      </c>
      <c r="B214" s="60">
        <v>56.01</v>
      </c>
      <c r="C214" s="77">
        <f t="shared" si="7"/>
        <v>1.6330974414806725E-2</v>
      </c>
      <c r="D214" s="60"/>
      <c r="E214" s="60"/>
      <c r="G214" s="100" t="s">
        <v>494</v>
      </c>
      <c r="H214" s="60">
        <v>4559.34</v>
      </c>
      <c r="I214" s="77">
        <f t="shared" si="6"/>
        <v>5.969336920788336E-4</v>
      </c>
      <c r="J214" s="60"/>
      <c r="K214" s="60"/>
      <c r="M214" s="100" t="s">
        <v>494</v>
      </c>
      <c r="N214" s="77">
        <v>1.6330974414806725E-2</v>
      </c>
      <c r="O214" s="77">
        <v>5.969336920788336E-4</v>
      </c>
    </row>
    <row r="215" spans="1:15" x14ac:dyDescent="0.3">
      <c r="A215" s="100" t="s">
        <v>457</v>
      </c>
      <c r="B215" s="60">
        <v>57.11</v>
      </c>
      <c r="C215" s="77">
        <f t="shared" si="7"/>
        <v>1.9639350116050731E-2</v>
      </c>
      <c r="D215" s="60"/>
      <c r="E215" s="60"/>
      <c r="G215" s="100" t="s">
        <v>457</v>
      </c>
      <c r="H215" s="60">
        <v>4550.43</v>
      </c>
      <c r="I215" s="77">
        <f t="shared" si="6"/>
        <v>-1.9542302175314529E-3</v>
      </c>
      <c r="J215" s="60"/>
      <c r="K215" s="60"/>
      <c r="M215" s="100" t="s">
        <v>457</v>
      </c>
      <c r="N215" s="77">
        <v>1.9639350116050731E-2</v>
      </c>
      <c r="O215" s="77">
        <v>-1.9542302175314529E-3</v>
      </c>
    </row>
    <row r="216" spans="1:15" x14ac:dyDescent="0.3">
      <c r="A216" s="100" t="s">
        <v>493</v>
      </c>
      <c r="B216" s="60">
        <v>57.5</v>
      </c>
      <c r="C216" s="77">
        <f t="shared" si="7"/>
        <v>6.8289266328138776E-3</v>
      </c>
      <c r="D216" s="60"/>
      <c r="E216" s="60"/>
      <c r="G216" s="100" t="s">
        <v>493</v>
      </c>
      <c r="H216" s="60">
        <v>4554.8900000000003</v>
      </c>
      <c r="I216" s="77">
        <f t="shared" si="6"/>
        <v>9.8012715281853269E-4</v>
      </c>
      <c r="J216" s="60"/>
      <c r="K216" s="60"/>
      <c r="M216" s="100" t="s">
        <v>493</v>
      </c>
      <c r="N216" s="77">
        <v>6.8289266328138776E-3</v>
      </c>
      <c r="O216" s="77">
        <v>9.8012715281853269E-4</v>
      </c>
    </row>
    <row r="217" spans="1:15" x14ac:dyDescent="0.3">
      <c r="A217" s="100" t="s">
        <v>492</v>
      </c>
      <c r="B217" s="60">
        <v>58.64</v>
      </c>
      <c r="C217" s="77">
        <f t="shared" si="7"/>
        <v>1.982608695652175E-2</v>
      </c>
      <c r="D217" s="60"/>
      <c r="E217" s="60"/>
      <c r="G217" s="100" t="s">
        <v>492</v>
      </c>
      <c r="H217" s="60">
        <v>4550.58</v>
      </c>
      <c r="I217" s="77">
        <f t="shared" si="6"/>
        <v>-9.4623580371872864E-4</v>
      </c>
      <c r="J217" s="60"/>
      <c r="K217" s="60"/>
      <c r="M217" s="100" t="s">
        <v>492</v>
      </c>
      <c r="N217" s="77">
        <v>1.982608695652175E-2</v>
      </c>
      <c r="O217" s="77">
        <v>-9.4623580371872864E-4</v>
      </c>
    </row>
    <row r="218" spans="1:15" x14ac:dyDescent="0.3">
      <c r="A218" s="100" t="s">
        <v>491</v>
      </c>
      <c r="B218" s="60">
        <v>58.91</v>
      </c>
      <c r="C218" s="77">
        <f t="shared" si="7"/>
        <v>4.6043656207366305E-3</v>
      </c>
      <c r="D218" s="77">
        <f>(B218-B213)/B213</f>
        <v>6.8953003084739561E-2</v>
      </c>
      <c r="E218" s="77">
        <f>($B$254-B218)/B218</f>
        <v>4.0570361568494327E-2</v>
      </c>
      <c r="G218" s="100" t="s">
        <v>491</v>
      </c>
      <c r="H218" s="60">
        <v>4567.8</v>
      </c>
      <c r="I218" s="77">
        <f t="shared" si="6"/>
        <v>3.7841330116161575E-3</v>
      </c>
      <c r="J218" s="77">
        <f>(H218-H213)/H213</f>
        <v>2.4535730431768047E-3</v>
      </c>
      <c r="K218" s="77">
        <f>($H$254-H218)/H218</f>
        <v>6.5841324050965447E-2</v>
      </c>
      <c r="M218" s="100" t="s">
        <v>491</v>
      </c>
      <c r="N218" s="77">
        <v>4.6043656207366305E-3</v>
      </c>
      <c r="O218" s="77">
        <v>3.7841330116161575E-3</v>
      </c>
    </row>
    <row r="219" spans="1:15" x14ac:dyDescent="0.3">
      <c r="A219" s="100" t="s">
        <v>490</v>
      </c>
      <c r="B219" s="60">
        <v>59.15</v>
      </c>
      <c r="C219" s="77">
        <f t="shared" si="7"/>
        <v>4.0740112035308439E-3</v>
      </c>
      <c r="D219" s="60"/>
      <c r="E219" s="60"/>
      <c r="G219" s="100" t="s">
        <v>490</v>
      </c>
      <c r="H219" s="60">
        <v>4594.63</v>
      </c>
      <c r="I219" s="77">
        <f t="shared" si="6"/>
        <v>5.873724769035406E-3</v>
      </c>
      <c r="J219" s="60"/>
      <c r="K219" s="60"/>
      <c r="M219" s="100" t="s">
        <v>490</v>
      </c>
      <c r="N219" s="77">
        <v>4.0740112035308439E-3</v>
      </c>
      <c r="O219" s="77">
        <v>5.873724769035406E-3</v>
      </c>
    </row>
    <row r="220" spans="1:15" x14ac:dyDescent="0.3">
      <c r="A220" s="100" t="s">
        <v>456</v>
      </c>
      <c r="B220" s="60">
        <v>59.83</v>
      </c>
      <c r="C220" s="77">
        <f t="shared" si="7"/>
        <v>1.1496196111580722E-2</v>
      </c>
      <c r="D220" s="60"/>
      <c r="E220" s="60"/>
      <c r="G220" s="100" t="s">
        <v>456</v>
      </c>
      <c r="H220" s="60">
        <v>4569.78</v>
      </c>
      <c r="I220" s="77">
        <f t="shared" si="6"/>
        <v>-5.4084877345945952E-3</v>
      </c>
      <c r="J220" s="60"/>
      <c r="K220" s="60"/>
      <c r="M220" s="100" t="s">
        <v>456</v>
      </c>
      <c r="N220" s="77">
        <v>1.1496196111580722E-2</v>
      </c>
      <c r="O220" s="77">
        <v>-5.4084877345945952E-3</v>
      </c>
    </row>
    <row r="221" spans="1:15" x14ac:dyDescent="0.3">
      <c r="A221" s="100" t="s">
        <v>489</v>
      </c>
      <c r="B221" s="60">
        <v>59.86</v>
      </c>
      <c r="C221" s="77">
        <f t="shared" si="7"/>
        <v>5.0142069196057394E-4</v>
      </c>
      <c r="D221" s="60"/>
      <c r="E221" s="60"/>
      <c r="G221" s="100" t="s">
        <v>489</v>
      </c>
      <c r="H221" s="60">
        <v>4567.18</v>
      </c>
      <c r="I221" s="77">
        <f t="shared" si="6"/>
        <v>-5.68955179461474E-4</v>
      </c>
      <c r="J221" s="60"/>
      <c r="K221" s="60"/>
      <c r="M221" s="100" t="s">
        <v>489</v>
      </c>
      <c r="N221" s="77">
        <v>5.0142069196057394E-4</v>
      </c>
      <c r="O221" s="77">
        <v>-5.68955179461474E-4</v>
      </c>
    </row>
    <row r="222" spans="1:15" x14ac:dyDescent="0.3">
      <c r="A222" s="100" t="s">
        <v>488</v>
      </c>
      <c r="B222" s="60">
        <v>59.31</v>
      </c>
      <c r="C222" s="77">
        <f t="shared" si="7"/>
        <v>-9.1881055796858863E-3</v>
      </c>
      <c r="D222" s="60"/>
      <c r="E222" s="60"/>
      <c r="G222" s="100" t="s">
        <v>488</v>
      </c>
      <c r="H222" s="60">
        <v>4549.34</v>
      </c>
      <c r="I222" s="77">
        <f t="shared" si="6"/>
        <v>-3.9061302598102426E-3</v>
      </c>
      <c r="J222" s="60"/>
      <c r="K222" s="60"/>
      <c r="M222" s="100" t="s">
        <v>488</v>
      </c>
      <c r="N222" s="77">
        <v>-9.1881055796858863E-3</v>
      </c>
      <c r="O222" s="77">
        <v>-3.9061302598102426E-3</v>
      </c>
    </row>
    <row r="223" spans="1:15" x14ac:dyDescent="0.3">
      <c r="A223" s="100" t="s">
        <v>487</v>
      </c>
      <c r="B223" s="60">
        <v>59.74</v>
      </c>
      <c r="C223" s="77">
        <f t="shared" si="7"/>
        <v>7.2500421514078523E-3</v>
      </c>
      <c r="D223" s="60"/>
      <c r="E223" s="60"/>
      <c r="G223" s="100" t="s">
        <v>487</v>
      </c>
      <c r="H223" s="60">
        <v>4585.59</v>
      </c>
      <c r="I223" s="77">
        <f t="shared" si="6"/>
        <v>7.9681887922204101E-3</v>
      </c>
      <c r="J223" s="60"/>
      <c r="K223" s="60"/>
      <c r="M223" s="100" t="s">
        <v>487</v>
      </c>
      <c r="N223" s="77">
        <v>7.2500421514078523E-3</v>
      </c>
      <c r="O223" s="77">
        <v>7.9681887922204101E-3</v>
      </c>
    </row>
    <row r="224" spans="1:15" x14ac:dyDescent="0.3">
      <c r="A224" s="100" t="s">
        <v>486</v>
      </c>
      <c r="B224" s="60">
        <v>60.43</v>
      </c>
      <c r="C224" s="77">
        <f t="shared" si="7"/>
        <v>1.1550050217609603E-2</v>
      </c>
      <c r="D224" s="77">
        <f>(B224-B219)/B219</f>
        <v>2.1639898562975504E-2</v>
      </c>
      <c r="E224" s="77">
        <f>($B$254-B224)/B224</f>
        <v>1.4396822770147236E-2</v>
      </c>
      <c r="G224" s="100" t="s">
        <v>486</v>
      </c>
      <c r="H224" s="60">
        <v>4604.37</v>
      </c>
      <c r="I224" s="77">
        <f t="shared" si="6"/>
        <v>4.0954381006587468E-3</v>
      </c>
      <c r="J224" s="77">
        <f>(H224-H219)/H219</f>
        <v>2.119866017502994E-3</v>
      </c>
      <c r="K224" s="77">
        <f>($H$254-H224)/H224</f>
        <v>5.7375927651339989E-2</v>
      </c>
      <c r="M224" s="100" t="s">
        <v>486</v>
      </c>
      <c r="N224" s="77">
        <v>1.1550050217609603E-2</v>
      </c>
      <c r="O224" s="77">
        <v>4.0954381006587468E-3</v>
      </c>
    </row>
    <row r="225" spans="1:15" x14ac:dyDescent="0.3">
      <c r="A225" s="100" t="s">
        <v>455</v>
      </c>
      <c r="B225" s="60">
        <v>60.78</v>
      </c>
      <c r="C225" s="77">
        <f t="shared" si="7"/>
        <v>5.7918252523581236E-3</v>
      </c>
      <c r="D225" s="60"/>
      <c r="E225" s="60"/>
      <c r="G225" s="100" t="s">
        <v>455</v>
      </c>
      <c r="H225" s="60">
        <v>4622.4399999999996</v>
      </c>
      <c r="I225" s="77">
        <f t="shared" si="6"/>
        <v>3.9245325636297059E-3</v>
      </c>
      <c r="J225" s="60"/>
      <c r="K225" s="60"/>
      <c r="M225" s="100" t="s">
        <v>455</v>
      </c>
      <c r="N225" s="77">
        <v>5.7918252523581236E-3</v>
      </c>
      <c r="O225" s="77">
        <v>3.9245325636297059E-3</v>
      </c>
    </row>
    <row r="226" spans="1:15" x14ac:dyDescent="0.3">
      <c r="A226" s="100" t="s">
        <v>485</v>
      </c>
      <c r="B226" s="60">
        <v>60.66</v>
      </c>
      <c r="C226" s="77">
        <f t="shared" si="7"/>
        <v>-1.9743336623890186E-3</v>
      </c>
      <c r="D226" s="60"/>
      <c r="E226" s="60"/>
      <c r="G226" s="100" t="s">
        <v>485</v>
      </c>
      <c r="H226" s="60">
        <v>4643.7</v>
      </c>
      <c r="I226" s="77">
        <f t="shared" si="6"/>
        <v>4.5993025328614802E-3</v>
      </c>
      <c r="J226" s="60"/>
      <c r="K226" s="60"/>
      <c r="M226" s="100" t="s">
        <v>485</v>
      </c>
      <c r="N226" s="77">
        <v>-1.9743336623890186E-3</v>
      </c>
      <c r="O226" s="77">
        <v>4.5993025328614802E-3</v>
      </c>
    </row>
    <row r="227" spans="1:15" x14ac:dyDescent="0.3">
      <c r="A227" s="100" t="s">
        <v>484</v>
      </c>
      <c r="B227" s="60">
        <v>61.51</v>
      </c>
      <c r="C227" s="77">
        <f t="shared" si="7"/>
        <v>1.4012528849324126E-2</v>
      </c>
      <c r="D227" s="60"/>
      <c r="E227" s="60"/>
      <c r="G227" s="100" t="s">
        <v>484</v>
      </c>
      <c r="H227" s="60">
        <v>4707.09</v>
      </c>
      <c r="I227" s="77">
        <f t="shared" si="6"/>
        <v>1.3650752632599076E-2</v>
      </c>
      <c r="J227" s="60"/>
      <c r="K227" s="60"/>
      <c r="M227" s="100" t="s">
        <v>484</v>
      </c>
      <c r="N227" s="77">
        <v>1.4012528849324126E-2</v>
      </c>
      <c r="O227" s="77">
        <v>1.3650752632599076E-2</v>
      </c>
    </row>
    <row r="228" spans="1:15" x14ac:dyDescent="0.3">
      <c r="A228" s="100" t="s">
        <v>483</v>
      </c>
      <c r="B228" s="60">
        <v>62.6</v>
      </c>
      <c r="C228" s="77">
        <f t="shared" si="7"/>
        <v>1.7720695821817647E-2</v>
      </c>
      <c r="D228" s="60"/>
      <c r="E228" s="60"/>
      <c r="G228" s="100" t="s">
        <v>483</v>
      </c>
      <c r="H228" s="60">
        <v>4719.55</v>
      </c>
      <c r="I228" s="77">
        <f t="shared" si="6"/>
        <v>2.6470706954827795E-3</v>
      </c>
      <c r="J228" s="60"/>
      <c r="K228" s="60"/>
      <c r="M228" s="100" t="s">
        <v>483</v>
      </c>
      <c r="N228" s="77">
        <v>1.7720695821817647E-2</v>
      </c>
      <c r="O228" s="77">
        <v>2.6470706954827795E-3</v>
      </c>
    </row>
    <row r="229" spans="1:15" x14ac:dyDescent="0.3">
      <c r="A229" s="100" t="s">
        <v>482</v>
      </c>
      <c r="B229" s="60">
        <v>61.71</v>
      </c>
      <c r="C229" s="77">
        <f t="shared" si="7"/>
        <v>-1.4217252396166143E-2</v>
      </c>
      <c r="D229" s="60"/>
      <c r="E229" s="60"/>
      <c r="G229" s="100" t="s">
        <v>482</v>
      </c>
      <c r="H229" s="60">
        <v>4719.1899999999996</v>
      </c>
      <c r="I229" s="77">
        <f t="shared" si="6"/>
        <v>-7.6278458751487336E-5</v>
      </c>
      <c r="J229" s="60"/>
      <c r="K229" s="60"/>
      <c r="M229" s="100" t="s">
        <v>482</v>
      </c>
      <c r="N229" s="77">
        <v>-1.4217252396166143E-2</v>
      </c>
      <c r="O229" s="77">
        <v>-7.6278458751487336E-5</v>
      </c>
    </row>
    <row r="230" spans="1:15" x14ac:dyDescent="0.3">
      <c r="A230" s="100" t="s">
        <v>454</v>
      </c>
      <c r="B230" s="60">
        <v>62.08</v>
      </c>
      <c r="C230" s="77">
        <f t="shared" si="7"/>
        <v>5.9957867444498042E-3</v>
      </c>
      <c r="D230" s="77">
        <f>(B230-B225)/B225</f>
        <v>2.1388614675880175E-2</v>
      </c>
      <c r="E230" s="77">
        <f>($B$254-B230)/B230</f>
        <v>-1.2564432989690739E-2</v>
      </c>
      <c r="G230" s="100" t="s">
        <v>454</v>
      </c>
      <c r="H230" s="60">
        <v>4740.5600000000004</v>
      </c>
      <c r="I230" s="77">
        <f t="shared" si="6"/>
        <v>4.5283194785547525E-3</v>
      </c>
      <c r="J230" s="77">
        <f>(H230-H225)/H225</f>
        <v>2.5553603724440082E-2</v>
      </c>
      <c r="K230" s="77">
        <f>($H$254-H230)/H230</f>
        <v>2.6998919958823381E-2</v>
      </c>
      <c r="M230" s="100" t="s">
        <v>454</v>
      </c>
      <c r="N230" s="77">
        <v>5.9957867444498042E-3</v>
      </c>
      <c r="O230" s="77">
        <v>4.5283194785547525E-3</v>
      </c>
    </row>
    <row r="231" spans="1:15" x14ac:dyDescent="0.3">
      <c r="A231" s="100" t="s">
        <v>481</v>
      </c>
      <c r="B231" s="60">
        <v>63.75</v>
      </c>
      <c r="C231" s="77">
        <f t="shared" si="7"/>
        <v>2.6900773195876318E-2</v>
      </c>
      <c r="D231" s="60"/>
      <c r="E231" s="60"/>
      <c r="G231" s="100" t="s">
        <v>481</v>
      </c>
      <c r="H231" s="60">
        <v>4768.37</v>
      </c>
      <c r="I231" s="77">
        <f t="shared" si="6"/>
        <v>5.8663955313295237E-3</v>
      </c>
      <c r="J231" s="60"/>
      <c r="K231" s="60"/>
      <c r="M231" s="100" t="s">
        <v>481</v>
      </c>
      <c r="N231" s="77">
        <v>2.6900773195876318E-2</v>
      </c>
      <c r="O231" s="77">
        <v>5.8663955313295237E-3</v>
      </c>
    </row>
    <row r="232" spans="1:15" x14ac:dyDescent="0.3">
      <c r="A232" s="100" t="s">
        <v>480</v>
      </c>
      <c r="B232" s="60">
        <v>63.07</v>
      </c>
      <c r="C232" s="77">
        <f t="shared" si="7"/>
        <v>-1.0666666666666663E-2</v>
      </c>
      <c r="D232" s="60"/>
      <c r="E232" s="60"/>
      <c r="G232" s="100" t="s">
        <v>480</v>
      </c>
      <c r="H232" s="60">
        <v>4698.3500000000004</v>
      </c>
      <c r="I232" s="77">
        <f t="shared" si="6"/>
        <v>-1.4684263175886001E-2</v>
      </c>
      <c r="J232" s="60"/>
      <c r="K232" s="60"/>
      <c r="M232" s="100" t="s">
        <v>480</v>
      </c>
      <c r="N232" s="77">
        <v>-1.0666666666666663E-2</v>
      </c>
      <c r="O232" s="77">
        <v>-1.4684263175886001E-2</v>
      </c>
    </row>
    <row r="233" spans="1:15" x14ac:dyDescent="0.3">
      <c r="A233" s="100" t="s">
        <v>479</v>
      </c>
      <c r="B233" s="60">
        <v>63.81</v>
      </c>
      <c r="C233" s="77">
        <f t="shared" si="7"/>
        <v>1.1732995084826415E-2</v>
      </c>
      <c r="D233" s="60"/>
      <c r="E233" s="60"/>
      <c r="G233" s="100" t="s">
        <v>479</v>
      </c>
      <c r="H233" s="60">
        <v>4746.75</v>
      </c>
      <c r="I233" s="77">
        <f t="shared" si="6"/>
        <v>1.0301488820543304E-2</v>
      </c>
      <c r="J233" s="60"/>
      <c r="K233" s="60"/>
      <c r="M233" s="100" t="s">
        <v>479</v>
      </c>
      <c r="N233" s="77">
        <v>1.1732995084826415E-2</v>
      </c>
      <c r="O233" s="77">
        <v>1.0301488820543304E-2</v>
      </c>
    </row>
    <row r="234" spans="1:15" x14ac:dyDescent="0.3">
      <c r="A234" s="100" t="s">
        <v>478</v>
      </c>
      <c r="B234" s="60">
        <v>62.17</v>
      </c>
      <c r="C234" s="77">
        <f t="shared" si="7"/>
        <v>-2.5701300736561676E-2</v>
      </c>
      <c r="D234" s="60"/>
      <c r="E234" s="60"/>
      <c r="G234" s="100" t="s">
        <v>478</v>
      </c>
      <c r="H234" s="60">
        <v>4754.63</v>
      </c>
      <c r="I234" s="77">
        <f t="shared" si="6"/>
        <v>1.6600832148312233E-3</v>
      </c>
      <c r="J234" s="60"/>
      <c r="K234" s="60"/>
      <c r="M234" s="100" t="s">
        <v>478</v>
      </c>
      <c r="N234" s="77">
        <v>-2.5701300736561676E-2</v>
      </c>
      <c r="O234" s="77">
        <v>1.6600832148312233E-3</v>
      </c>
    </row>
    <row r="235" spans="1:15" x14ac:dyDescent="0.3">
      <c r="A235" s="100" t="s">
        <v>477</v>
      </c>
      <c r="B235" s="60">
        <v>62.67</v>
      </c>
      <c r="C235" s="77">
        <f t="shared" si="7"/>
        <v>8.0424642110342604E-3</v>
      </c>
      <c r="D235" s="60"/>
      <c r="E235" s="60"/>
      <c r="G235" s="100" t="s">
        <v>477</v>
      </c>
      <c r="H235" s="60">
        <v>4774.75</v>
      </c>
      <c r="I235" s="77">
        <f t="shared" si="6"/>
        <v>4.2316647141838358E-3</v>
      </c>
      <c r="J235" s="60"/>
      <c r="K235" s="60"/>
      <c r="M235" s="100" t="s">
        <v>477</v>
      </c>
      <c r="N235" s="77">
        <v>8.0424642110342604E-3</v>
      </c>
      <c r="O235" s="77">
        <v>4.2316647141838358E-3</v>
      </c>
    </row>
    <row r="236" spans="1:15" x14ac:dyDescent="0.3">
      <c r="A236" s="100" t="s">
        <v>476</v>
      </c>
      <c r="B236" s="60">
        <v>62.66</v>
      </c>
      <c r="C236" s="77">
        <f t="shared" si="7"/>
        <v>-1.5956598053303201E-4</v>
      </c>
      <c r="D236" s="77">
        <f>(B236-B231)/B231</f>
        <v>-1.7098039215686329E-2</v>
      </c>
      <c r="E236" s="77">
        <f>($B$254-B236)/B236</f>
        <v>-2.1704436642195971E-2</v>
      </c>
      <c r="G236" s="100" t="s">
        <v>476</v>
      </c>
      <c r="H236" s="60">
        <v>4781.58</v>
      </c>
      <c r="I236" s="77">
        <f t="shared" si="6"/>
        <v>1.4304413843656584E-3</v>
      </c>
      <c r="J236" s="77">
        <f>(H236-H231)/H231</f>
        <v>2.770338711131904E-3</v>
      </c>
      <c r="K236" s="77">
        <f>($H$254-H236)/H236</f>
        <v>1.8188548555080175E-2</v>
      </c>
      <c r="M236" s="100" t="s">
        <v>476</v>
      </c>
      <c r="N236" s="77">
        <v>-1.5956598053303201E-4</v>
      </c>
      <c r="O236" s="77">
        <v>1.4304413843656584E-3</v>
      </c>
    </row>
    <row r="237" spans="1:15" x14ac:dyDescent="0.3">
      <c r="A237" s="100" t="s">
        <v>475</v>
      </c>
      <c r="B237" s="60">
        <v>62.56</v>
      </c>
      <c r="C237" s="77">
        <f t="shared" si="7"/>
        <v>-1.5959144589849077E-3</v>
      </c>
      <c r="D237" s="60"/>
      <c r="E237" s="60"/>
      <c r="G237" s="100" t="s">
        <v>475</v>
      </c>
      <c r="H237" s="60">
        <v>4783.3500000000004</v>
      </c>
      <c r="I237" s="77">
        <f t="shared" si="6"/>
        <v>3.7017052940668913E-4</v>
      </c>
      <c r="J237" s="60"/>
      <c r="K237" s="60"/>
      <c r="M237" s="100" t="s">
        <v>475</v>
      </c>
      <c r="N237" s="77">
        <v>-1.5959144589849077E-3</v>
      </c>
      <c r="O237" s="77">
        <v>3.7017052940668913E-4</v>
      </c>
    </row>
    <row r="238" spans="1:15" x14ac:dyDescent="0.3">
      <c r="A238" s="100" t="s">
        <v>474</v>
      </c>
      <c r="B238" s="60">
        <v>62.34</v>
      </c>
      <c r="C238" s="77">
        <f t="shared" si="7"/>
        <v>-3.5166240409206977E-3</v>
      </c>
      <c r="D238" s="60"/>
      <c r="E238" s="60"/>
      <c r="G238" s="100" t="s">
        <v>474</v>
      </c>
      <c r="H238" s="60">
        <v>4769.83</v>
      </c>
      <c r="I238" s="77">
        <f t="shared" si="6"/>
        <v>-2.8264709879060566E-3</v>
      </c>
      <c r="J238" s="60"/>
      <c r="K238" s="60"/>
      <c r="M238" s="100" t="s">
        <v>474</v>
      </c>
      <c r="N238" s="77">
        <v>-3.5166240409206977E-3</v>
      </c>
      <c r="O238" s="77">
        <v>-2.8264709879060566E-3</v>
      </c>
    </row>
    <row r="239" spans="1:15" x14ac:dyDescent="0.3">
      <c r="A239" s="100" t="s">
        <v>473</v>
      </c>
      <c r="B239" s="60">
        <v>62.13</v>
      </c>
      <c r="C239" s="77">
        <f t="shared" si="7"/>
        <v>-3.3686236766121407E-3</v>
      </c>
      <c r="D239" s="60"/>
      <c r="E239" s="60"/>
      <c r="G239" s="100" t="s">
        <v>473</v>
      </c>
      <c r="H239" s="60">
        <v>4742.83</v>
      </c>
      <c r="I239" s="77">
        <f t="shared" si="6"/>
        <v>-5.6605790982068548E-3</v>
      </c>
      <c r="J239" s="60"/>
      <c r="K239" s="60"/>
      <c r="M239" s="100" t="s">
        <v>473</v>
      </c>
      <c r="N239" s="77">
        <v>-3.3686236766121407E-3</v>
      </c>
      <c r="O239" s="77">
        <v>-5.6605790982068548E-3</v>
      </c>
    </row>
    <row r="240" spans="1:15" x14ac:dyDescent="0.3">
      <c r="A240" s="100" t="s">
        <v>472</v>
      </c>
      <c r="B240" s="60">
        <v>60.95</v>
      </c>
      <c r="C240" s="77">
        <f t="shared" si="7"/>
        <v>-1.8992435216481567E-2</v>
      </c>
      <c r="D240" s="60"/>
      <c r="E240" s="60"/>
      <c r="G240" s="100" t="s">
        <v>472</v>
      </c>
      <c r="H240" s="60">
        <v>4704.8100000000004</v>
      </c>
      <c r="I240" s="77">
        <f t="shared" si="6"/>
        <v>-8.0163109367191159E-3</v>
      </c>
      <c r="J240" s="60"/>
      <c r="K240" s="60"/>
      <c r="M240" s="100" t="s">
        <v>472</v>
      </c>
      <c r="N240" s="77">
        <v>-1.8992435216481567E-2</v>
      </c>
      <c r="O240" s="77">
        <v>-8.0163109367191159E-3</v>
      </c>
    </row>
    <row r="241" spans="1:15" x14ac:dyDescent="0.3">
      <c r="A241" s="100" t="s">
        <v>471</v>
      </c>
      <c r="B241" s="60">
        <v>60.33</v>
      </c>
      <c r="C241" s="77">
        <f t="shared" si="7"/>
        <v>-1.0172272354388917E-2</v>
      </c>
      <c r="D241" s="60"/>
      <c r="E241" s="60"/>
      <c r="G241" s="100" t="s">
        <v>471</v>
      </c>
      <c r="H241" s="60">
        <v>4688.68</v>
      </c>
      <c r="I241" s="77">
        <f t="shared" si="6"/>
        <v>-3.4284062480738025E-3</v>
      </c>
      <c r="J241" s="60"/>
      <c r="K241" s="60"/>
      <c r="M241" s="100" t="s">
        <v>471</v>
      </c>
      <c r="N241" s="77">
        <v>-1.0172272354388917E-2</v>
      </c>
      <c r="O241" s="77">
        <v>-3.4284062480738025E-3</v>
      </c>
    </row>
    <row r="242" spans="1:15" x14ac:dyDescent="0.3">
      <c r="A242" s="100" t="s">
        <v>470</v>
      </c>
      <c r="B242" s="60">
        <v>60.4</v>
      </c>
      <c r="C242" s="77">
        <f t="shared" si="7"/>
        <v>1.1602850986242382E-3</v>
      </c>
      <c r="D242" s="77">
        <f>(B242-B237)/B237</f>
        <v>-3.4526854219948909E-2</v>
      </c>
      <c r="E242" s="77">
        <f>($B$254-B242)/B242</f>
        <v>1.4900662251655606E-2</v>
      </c>
      <c r="G242" s="100" t="s">
        <v>470</v>
      </c>
      <c r="H242" s="60">
        <v>4697.24</v>
      </c>
      <c r="I242" s="77">
        <f t="shared" si="6"/>
        <v>1.8256737503944587E-3</v>
      </c>
      <c r="J242" s="77">
        <f>(H242-H237)/H237</f>
        <v>-1.800202786749884E-2</v>
      </c>
      <c r="K242" s="77">
        <f>($H$254-H242)/H242</f>
        <v>3.6470352802922656E-2</v>
      </c>
      <c r="M242" s="100" t="s">
        <v>470</v>
      </c>
      <c r="N242" s="77">
        <v>1.1602850986242382E-3</v>
      </c>
      <c r="O242" s="77">
        <v>1.8256737503944587E-3</v>
      </c>
    </row>
    <row r="243" spans="1:15" x14ac:dyDescent="0.3">
      <c r="A243" s="100" t="s">
        <v>451</v>
      </c>
      <c r="B243" s="60">
        <v>62.87</v>
      </c>
      <c r="C243" s="77">
        <f t="shared" si="7"/>
        <v>4.0894039735099322E-2</v>
      </c>
      <c r="D243" s="60"/>
      <c r="E243" s="60"/>
      <c r="G243" s="100" t="s">
        <v>451</v>
      </c>
      <c r="H243" s="60">
        <v>4763.54</v>
      </c>
      <c r="I243" s="77">
        <f t="shared" si="6"/>
        <v>1.4114671594383123E-2</v>
      </c>
      <c r="J243" s="60"/>
      <c r="K243" s="60"/>
      <c r="M243" s="100" t="s">
        <v>451</v>
      </c>
      <c r="N243" s="77">
        <v>4.0894039735099322E-2</v>
      </c>
      <c r="O243" s="77">
        <v>1.4114671594383123E-2</v>
      </c>
    </row>
    <row r="244" spans="1:15" x14ac:dyDescent="0.3">
      <c r="A244" s="100" t="s">
        <v>469</v>
      </c>
      <c r="B244" s="60">
        <v>62.54</v>
      </c>
      <c r="C244" s="77">
        <f t="shared" si="7"/>
        <v>-5.2489263559726152E-3</v>
      </c>
      <c r="D244" s="60"/>
      <c r="E244" s="60"/>
      <c r="G244" s="100" t="s">
        <v>469</v>
      </c>
      <c r="H244" s="60">
        <v>4756.5</v>
      </c>
      <c r="I244" s="77">
        <f t="shared" si="6"/>
        <v>-1.4778924917183364E-3</v>
      </c>
      <c r="J244" s="60"/>
      <c r="K244" s="60"/>
      <c r="M244" s="100" t="s">
        <v>469</v>
      </c>
      <c r="N244" s="77">
        <v>-5.2489263559726152E-3</v>
      </c>
      <c r="O244" s="77">
        <v>-1.4778924917183364E-3</v>
      </c>
    </row>
    <row r="245" spans="1:15" x14ac:dyDescent="0.3">
      <c r="A245" s="100" t="s">
        <v>468</v>
      </c>
      <c r="B245" s="60">
        <v>62.96</v>
      </c>
      <c r="C245" s="77">
        <f t="shared" si="7"/>
        <v>6.7157019507515462E-3</v>
      </c>
      <c r="D245" s="60"/>
      <c r="E245" s="60"/>
      <c r="G245" s="100" t="s">
        <v>468</v>
      </c>
      <c r="H245" s="60">
        <v>4783.45</v>
      </c>
      <c r="I245" s="77">
        <f t="shared" si="6"/>
        <v>5.6659308314937068E-3</v>
      </c>
      <c r="J245" s="60"/>
      <c r="K245" s="60"/>
      <c r="M245" s="100" t="s">
        <v>468</v>
      </c>
      <c r="N245" s="77">
        <v>6.7157019507515462E-3</v>
      </c>
      <c r="O245" s="77">
        <v>5.6659308314937068E-3</v>
      </c>
    </row>
    <row r="246" spans="1:15" x14ac:dyDescent="0.3">
      <c r="A246" s="100" t="s">
        <v>467</v>
      </c>
      <c r="B246" s="60">
        <v>63.62</v>
      </c>
      <c r="C246" s="77">
        <f t="shared" si="7"/>
        <v>1.0482846251588256E-2</v>
      </c>
      <c r="D246" s="60"/>
      <c r="E246" s="60"/>
      <c r="G246" s="100" t="s">
        <v>467</v>
      </c>
      <c r="H246" s="60">
        <v>4780.24</v>
      </c>
      <c r="I246" s="77">
        <f t="shared" si="6"/>
        <v>-6.7106377196375763E-4</v>
      </c>
      <c r="J246" s="60"/>
      <c r="K246" s="60"/>
      <c r="M246" s="100" t="s">
        <v>467</v>
      </c>
      <c r="N246" s="77">
        <v>1.0482846251588256E-2</v>
      </c>
      <c r="O246" s="77">
        <v>-6.7106377196375763E-4</v>
      </c>
    </row>
    <row r="247" spans="1:15" x14ac:dyDescent="0.3">
      <c r="A247" s="100" t="s">
        <v>466</v>
      </c>
      <c r="B247" s="60">
        <v>63.2</v>
      </c>
      <c r="C247" s="77">
        <f t="shared" si="7"/>
        <v>-6.6016975793774697E-3</v>
      </c>
      <c r="D247" s="60"/>
      <c r="E247" s="60"/>
      <c r="G247" s="100" t="s">
        <v>466</v>
      </c>
      <c r="H247" s="60">
        <v>4783.83</v>
      </c>
      <c r="I247" s="77">
        <f t="shared" si="6"/>
        <v>7.5100831757404351E-4</v>
      </c>
      <c r="J247" s="60"/>
      <c r="K247" s="60"/>
      <c r="M247" s="100" t="s">
        <v>466</v>
      </c>
      <c r="N247" s="77">
        <v>-6.6016975793774697E-3</v>
      </c>
      <c r="O247" s="77">
        <v>7.5100831757404351E-4</v>
      </c>
    </row>
    <row r="248" spans="1:15" x14ac:dyDescent="0.3">
      <c r="A248" s="100" t="s">
        <v>465</v>
      </c>
      <c r="B248" s="60">
        <v>62.87</v>
      </c>
      <c r="C248" s="77">
        <f t="shared" si="7"/>
        <v>-5.2215189873418572E-3</v>
      </c>
      <c r="D248" s="77">
        <f>(B248-B243)/B243</f>
        <v>0</v>
      </c>
      <c r="E248" s="77">
        <f>($B$254-B248)/B248</f>
        <v>-2.4972164784475909E-2</v>
      </c>
      <c r="G248" s="100" t="s">
        <v>465</v>
      </c>
      <c r="H248" s="60">
        <v>4765.9799999999996</v>
      </c>
      <c r="I248" s="77">
        <f t="shared" si="6"/>
        <v>-3.7313198838588254E-3</v>
      </c>
      <c r="J248" s="77">
        <f>(H248-H243)/H243</f>
        <v>5.1222410224320569E-4</v>
      </c>
      <c r="K248" s="77">
        <f>($H$254-H248)/H248</f>
        <v>2.1521282086790258E-2</v>
      </c>
      <c r="M248" s="100" t="s">
        <v>465</v>
      </c>
      <c r="N248" s="77">
        <v>-5.2215189873418572E-3</v>
      </c>
      <c r="O248" s="77">
        <v>-3.7313198838588254E-3</v>
      </c>
    </row>
    <row r="249" spans="1:15" x14ac:dyDescent="0.3">
      <c r="A249" s="100" t="s">
        <v>464</v>
      </c>
      <c r="B249" s="60">
        <v>63.09</v>
      </c>
      <c r="C249" s="77">
        <f t="shared" si="7"/>
        <v>3.4992842373151897E-3</v>
      </c>
      <c r="D249" s="60"/>
      <c r="E249" s="60"/>
      <c r="G249" s="100" t="s">
        <v>464</v>
      </c>
      <c r="H249" s="60">
        <v>4739.21</v>
      </c>
      <c r="I249" s="77">
        <f t="shared" si="6"/>
        <v>-5.6168930629166575E-3</v>
      </c>
      <c r="J249" s="60"/>
      <c r="K249" s="60"/>
      <c r="M249" s="100" t="s">
        <v>464</v>
      </c>
      <c r="N249" s="77">
        <v>3.4992842373151897E-3</v>
      </c>
      <c r="O249" s="77">
        <v>-5.6168930629166575E-3</v>
      </c>
    </row>
    <row r="250" spans="1:15" x14ac:dyDescent="0.3">
      <c r="A250" s="100" t="s">
        <v>463</v>
      </c>
      <c r="B250" s="60">
        <v>64.069999999999993</v>
      </c>
      <c r="C250" s="77">
        <f t="shared" si="7"/>
        <v>1.5533365034078138E-2</v>
      </c>
      <c r="D250" s="60"/>
      <c r="E250" s="60"/>
      <c r="G250" s="100" t="s">
        <v>463</v>
      </c>
      <c r="H250" s="60">
        <v>4780.9399999999996</v>
      </c>
      <c r="I250" s="77">
        <f t="shared" si="6"/>
        <v>8.8052650125230916E-3</v>
      </c>
      <c r="J250" s="60"/>
      <c r="K250" s="60"/>
      <c r="M250" s="100" t="s">
        <v>463</v>
      </c>
      <c r="N250" s="77">
        <v>1.5533365034078138E-2</v>
      </c>
      <c r="O250" s="77">
        <v>8.8052650125230916E-3</v>
      </c>
    </row>
    <row r="251" spans="1:15" x14ac:dyDescent="0.3">
      <c r="A251" s="100" t="s">
        <v>462</v>
      </c>
      <c r="B251" s="60">
        <v>64.819999999999993</v>
      </c>
      <c r="C251" s="77">
        <f t="shared" si="7"/>
        <v>1.1705946620883411E-2</v>
      </c>
      <c r="D251" s="60"/>
      <c r="E251" s="60"/>
      <c r="G251" s="100" t="s">
        <v>462</v>
      </c>
      <c r="H251" s="60">
        <v>4839.8100000000004</v>
      </c>
      <c r="I251" s="77">
        <f t="shared" si="6"/>
        <v>1.2313478102632705E-2</v>
      </c>
      <c r="J251" s="60"/>
      <c r="K251" s="60"/>
      <c r="M251" s="100" t="s">
        <v>462</v>
      </c>
      <c r="N251" s="77">
        <v>1.1705946620883411E-2</v>
      </c>
      <c r="O251" s="77">
        <v>1.2313478102632705E-2</v>
      </c>
    </row>
    <row r="252" spans="1:15" x14ac:dyDescent="0.3">
      <c r="A252" s="100" t="s">
        <v>449</v>
      </c>
      <c r="B252" s="60">
        <v>63.54</v>
      </c>
      <c r="C252" s="77">
        <f t="shared" si="7"/>
        <v>-1.9746991669237799E-2</v>
      </c>
      <c r="D252" s="60"/>
      <c r="E252" s="60"/>
      <c r="G252" s="100" t="s">
        <v>449</v>
      </c>
      <c r="H252" s="60">
        <v>4850.43</v>
      </c>
      <c r="I252" s="77">
        <f t="shared" si="6"/>
        <v>2.1943010159489506E-3</v>
      </c>
      <c r="J252" s="60"/>
      <c r="K252" s="60"/>
      <c r="M252" s="100" t="s">
        <v>449</v>
      </c>
      <c r="N252" s="77">
        <v>-1.9746991669237799E-2</v>
      </c>
      <c r="O252" s="77">
        <v>2.1943010159489506E-3</v>
      </c>
    </row>
    <row r="253" spans="1:15" x14ac:dyDescent="0.3">
      <c r="A253" s="100" t="s">
        <v>461</v>
      </c>
      <c r="B253" s="60">
        <v>62.11</v>
      </c>
      <c r="C253" s="77">
        <f t="shared" si="7"/>
        <v>-2.250550834120239E-2</v>
      </c>
      <c r="D253" s="60"/>
      <c r="E253" s="60"/>
      <c r="G253" s="100" t="s">
        <v>461</v>
      </c>
      <c r="H253" s="60">
        <v>4864.6000000000004</v>
      </c>
      <c r="I253" s="77">
        <f t="shared" si="6"/>
        <v>2.9213904746589626E-3</v>
      </c>
      <c r="J253" s="60"/>
      <c r="K253" s="60"/>
      <c r="M253" s="100" t="s">
        <v>461</v>
      </c>
      <c r="N253" s="77">
        <v>-2.250550834120239E-2</v>
      </c>
      <c r="O253" s="77">
        <v>2.9213904746589626E-3</v>
      </c>
    </row>
    <row r="254" spans="1:15" x14ac:dyDescent="0.3">
      <c r="A254" s="100" t="s">
        <v>460</v>
      </c>
      <c r="B254" s="60">
        <v>61.3</v>
      </c>
      <c r="C254" s="77">
        <f t="shared" si="7"/>
        <v>-1.3041378199967835E-2</v>
      </c>
      <c r="D254" s="77">
        <f>(B254-B249)/B249</f>
        <v>-2.8372166745918626E-2</v>
      </c>
      <c r="E254" s="77">
        <f>($B$254-B254)/B254</f>
        <v>0</v>
      </c>
      <c r="G254" s="100" t="s">
        <v>460</v>
      </c>
      <c r="H254" s="60">
        <v>4868.55</v>
      </c>
      <c r="I254" s="77">
        <f t="shared" si="6"/>
        <v>8.119886527154993E-4</v>
      </c>
      <c r="J254" s="77">
        <f>(H254-H249)/H249</f>
        <v>2.7291468409291874E-2</v>
      </c>
      <c r="K254" s="77">
        <f>($H$254-H254)/H254</f>
        <v>0</v>
      </c>
      <c r="M254" s="100" t="s">
        <v>460</v>
      </c>
      <c r="N254" s="77">
        <v>-1.3041378199967835E-2</v>
      </c>
      <c r="O254" s="77">
        <v>8.119886527154993E-4</v>
      </c>
    </row>
    <row r="255" spans="1:15" x14ac:dyDescent="0.3">
      <c r="A255" s="99"/>
    </row>
    <row r="256" spans="1:15" x14ac:dyDescent="0.3">
      <c r="A256" s="99"/>
    </row>
    <row r="257" spans="1:1" x14ac:dyDescent="0.3">
      <c r="A257" s="99"/>
    </row>
    <row r="258" spans="1:1" x14ac:dyDescent="0.3">
      <c r="A258" s="99"/>
    </row>
    <row r="259" spans="1:1" x14ac:dyDescent="0.3">
      <c r="A259" s="99"/>
    </row>
    <row r="260" spans="1:1" x14ac:dyDescent="0.3">
      <c r="A260" s="99"/>
    </row>
    <row r="261" spans="1:1" x14ac:dyDescent="0.3">
      <c r="A261" s="99"/>
    </row>
    <row r="262" spans="1:1" x14ac:dyDescent="0.3">
      <c r="A262" s="99"/>
    </row>
    <row r="263" spans="1:1" x14ac:dyDescent="0.3">
      <c r="A263" s="99"/>
    </row>
    <row r="264" spans="1:1" x14ac:dyDescent="0.3">
      <c r="A264" s="99"/>
    </row>
    <row r="265" spans="1:1" x14ac:dyDescent="0.3">
      <c r="A265" s="99"/>
    </row>
    <row r="266" spans="1:1" x14ac:dyDescent="0.3">
      <c r="A266" s="99"/>
    </row>
    <row r="267" spans="1:1" x14ac:dyDescent="0.3">
      <c r="A267" s="99"/>
    </row>
    <row r="268" spans="1:1" x14ac:dyDescent="0.3">
      <c r="A268" s="99"/>
    </row>
    <row r="269" spans="1:1" x14ac:dyDescent="0.3">
      <c r="A269" s="99"/>
    </row>
    <row r="270" spans="1:1" x14ac:dyDescent="0.3">
      <c r="A270" s="99"/>
    </row>
    <row r="271" spans="1:1" x14ac:dyDescent="0.3">
      <c r="A271" s="99"/>
    </row>
    <row r="272" spans="1:1" x14ac:dyDescent="0.3">
      <c r="A272" s="99"/>
    </row>
    <row r="273" spans="1:1" x14ac:dyDescent="0.3">
      <c r="A273" s="99"/>
    </row>
    <row r="274" spans="1:1" x14ac:dyDescent="0.3">
      <c r="A274" s="99"/>
    </row>
    <row r="275" spans="1:1" x14ac:dyDescent="0.3">
      <c r="A275" s="99"/>
    </row>
    <row r="276" spans="1:1" x14ac:dyDescent="0.3">
      <c r="A276" s="99"/>
    </row>
    <row r="277" spans="1:1" x14ac:dyDescent="0.3">
      <c r="A277" s="99"/>
    </row>
    <row r="278" spans="1:1" x14ac:dyDescent="0.3">
      <c r="A278" s="99"/>
    </row>
    <row r="279" spans="1:1" x14ac:dyDescent="0.3">
      <c r="A279" s="99"/>
    </row>
    <row r="280" spans="1:1" x14ac:dyDescent="0.3">
      <c r="A280" s="99"/>
    </row>
    <row r="281" spans="1:1" x14ac:dyDescent="0.3">
      <c r="A281" s="99"/>
    </row>
    <row r="282" spans="1:1" x14ac:dyDescent="0.3">
      <c r="A282" s="99"/>
    </row>
    <row r="283" spans="1:1" x14ac:dyDescent="0.3">
      <c r="A283" s="99"/>
    </row>
    <row r="284" spans="1:1" x14ac:dyDescent="0.3">
      <c r="A284" s="99"/>
    </row>
    <row r="285" spans="1:1" x14ac:dyDescent="0.3">
      <c r="A285" s="99"/>
    </row>
    <row r="286" spans="1:1" x14ac:dyDescent="0.3">
      <c r="A286" s="99"/>
    </row>
    <row r="287" spans="1:1" x14ac:dyDescent="0.3">
      <c r="A287" s="99"/>
    </row>
    <row r="288" spans="1:1" x14ac:dyDescent="0.3">
      <c r="A288" s="99"/>
    </row>
    <row r="289" spans="1:1" x14ac:dyDescent="0.3">
      <c r="A289" s="99"/>
    </row>
    <row r="290" spans="1:1" x14ac:dyDescent="0.3">
      <c r="A290" s="99"/>
    </row>
    <row r="291" spans="1:1" x14ac:dyDescent="0.3">
      <c r="A291" s="99"/>
    </row>
    <row r="292" spans="1:1" x14ac:dyDescent="0.3">
      <c r="A292" s="99"/>
    </row>
    <row r="293" spans="1:1" x14ac:dyDescent="0.3">
      <c r="A293" s="99"/>
    </row>
    <row r="294" spans="1:1" x14ac:dyDescent="0.3">
      <c r="A294" s="99"/>
    </row>
    <row r="295" spans="1:1" x14ac:dyDescent="0.3">
      <c r="A295" s="99"/>
    </row>
    <row r="296" spans="1:1" x14ac:dyDescent="0.3">
      <c r="A296" s="99"/>
    </row>
    <row r="297" spans="1:1" x14ac:dyDescent="0.3">
      <c r="A297" s="99"/>
    </row>
    <row r="298" spans="1:1" x14ac:dyDescent="0.3">
      <c r="A298" s="99"/>
    </row>
    <row r="299" spans="1:1" x14ac:dyDescent="0.3">
      <c r="A299" s="99"/>
    </row>
    <row r="300" spans="1:1" x14ac:dyDescent="0.3">
      <c r="A300" s="99"/>
    </row>
    <row r="301" spans="1:1" x14ac:dyDescent="0.3">
      <c r="A301" s="99"/>
    </row>
    <row r="302" spans="1:1" x14ac:dyDescent="0.3">
      <c r="A302" s="99"/>
    </row>
    <row r="303" spans="1:1" x14ac:dyDescent="0.3">
      <c r="A303" s="99"/>
    </row>
    <row r="304" spans="1:1" x14ac:dyDescent="0.3">
      <c r="A304" s="99"/>
    </row>
    <row r="305" spans="1:1" x14ac:dyDescent="0.3">
      <c r="A305" s="99"/>
    </row>
    <row r="306" spans="1:1" x14ac:dyDescent="0.3">
      <c r="A306" s="99"/>
    </row>
    <row r="307" spans="1:1" x14ac:dyDescent="0.3">
      <c r="A307" s="99"/>
    </row>
    <row r="308" spans="1:1" x14ac:dyDescent="0.3">
      <c r="A308" s="99"/>
    </row>
    <row r="309" spans="1:1" x14ac:dyDescent="0.3">
      <c r="A309" s="99"/>
    </row>
    <row r="310" spans="1:1" x14ac:dyDescent="0.3">
      <c r="A310" s="99"/>
    </row>
    <row r="311" spans="1:1" x14ac:dyDescent="0.3">
      <c r="A311" s="99"/>
    </row>
    <row r="312" spans="1:1" x14ac:dyDescent="0.3">
      <c r="A312" s="99"/>
    </row>
    <row r="313" spans="1:1" x14ac:dyDescent="0.3">
      <c r="A313" s="99"/>
    </row>
    <row r="314" spans="1:1" x14ac:dyDescent="0.3">
      <c r="A314" s="99"/>
    </row>
    <row r="315" spans="1:1" x14ac:dyDescent="0.3">
      <c r="A315" s="99"/>
    </row>
    <row r="316" spans="1:1" x14ac:dyDescent="0.3">
      <c r="A316" s="99"/>
    </row>
    <row r="317" spans="1:1" x14ac:dyDescent="0.3">
      <c r="A317" s="99"/>
    </row>
    <row r="318" spans="1:1" x14ac:dyDescent="0.3">
      <c r="A318" s="99"/>
    </row>
    <row r="319" spans="1:1" x14ac:dyDescent="0.3">
      <c r="A319" s="99"/>
    </row>
    <row r="320" spans="1:1" x14ac:dyDescent="0.3">
      <c r="A320" s="99"/>
    </row>
    <row r="321" spans="1:1" x14ac:dyDescent="0.3">
      <c r="A321" s="99"/>
    </row>
    <row r="322" spans="1:1" x14ac:dyDescent="0.3">
      <c r="A322" s="99"/>
    </row>
    <row r="323" spans="1:1" x14ac:dyDescent="0.3">
      <c r="A323" s="99"/>
    </row>
    <row r="324" spans="1:1" x14ac:dyDescent="0.3">
      <c r="A324" s="99"/>
    </row>
    <row r="325" spans="1:1" x14ac:dyDescent="0.3">
      <c r="A325" s="99"/>
    </row>
    <row r="326" spans="1:1" x14ac:dyDescent="0.3">
      <c r="A326" s="99"/>
    </row>
    <row r="327" spans="1:1" x14ac:dyDescent="0.3">
      <c r="A327" s="99"/>
    </row>
    <row r="328" spans="1:1" x14ac:dyDescent="0.3">
      <c r="A328" s="99"/>
    </row>
    <row r="329" spans="1:1" x14ac:dyDescent="0.3">
      <c r="A329" s="99"/>
    </row>
    <row r="330" spans="1:1" x14ac:dyDescent="0.3">
      <c r="A330" s="99"/>
    </row>
    <row r="331" spans="1:1" x14ac:dyDescent="0.3">
      <c r="A331" s="99"/>
    </row>
    <row r="332" spans="1:1" x14ac:dyDescent="0.3">
      <c r="A332" s="99"/>
    </row>
    <row r="333" spans="1:1" x14ac:dyDescent="0.3">
      <c r="A333" s="99"/>
    </row>
    <row r="334" spans="1:1" x14ac:dyDescent="0.3">
      <c r="A334" s="99"/>
    </row>
    <row r="335" spans="1:1" x14ac:dyDescent="0.3">
      <c r="A335" s="99"/>
    </row>
    <row r="336" spans="1:1" x14ac:dyDescent="0.3">
      <c r="A336" s="99"/>
    </row>
    <row r="337" spans="1:1" x14ac:dyDescent="0.3">
      <c r="A337" s="99"/>
    </row>
    <row r="338" spans="1:1" x14ac:dyDescent="0.3">
      <c r="A338" s="99"/>
    </row>
    <row r="339" spans="1:1" x14ac:dyDescent="0.3">
      <c r="A339" s="99"/>
    </row>
    <row r="340" spans="1:1" x14ac:dyDescent="0.3">
      <c r="A340" s="99"/>
    </row>
    <row r="341" spans="1:1" x14ac:dyDescent="0.3">
      <c r="A341" s="99"/>
    </row>
    <row r="342" spans="1:1" x14ac:dyDescent="0.3">
      <c r="A342" s="99"/>
    </row>
    <row r="343" spans="1:1" x14ac:dyDescent="0.3">
      <c r="A343" s="99"/>
    </row>
    <row r="344" spans="1:1" x14ac:dyDescent="0.3">
      <c r="A344" s="99"/>
    </row>
    <row r="345" spans="1:1" x14ac:dyDescent="0.3">
      <c r="A345" s="99"/>
    </row>
    <row r="346" spans="1:1" x14ac:dyDescent="0.3">
      <c r="A346" s="99"/>
    </row>
    <row r="347" spans="1:1" x14ac:dyDescent="0.3">
      <c r="A347" s="99"/>
    </row>
    <row r="348" spans="1:1" x14ac:dyDescent="0.3">
      <c r="A348" s="99"/>
    </row>
    <row r="349" spans="1:1" x14ac:dyDescent="0.3">
      <c r="A349" s="99"/>
    </row>
    <row r="350" spans="1:1" x14ac:dyDescent="0.3">
      <c r="A350" s="99"/>
    </row>
    <row r="351" spans="1:1" x14ac:dyDescent="0.3">
      <c r="A351" s="99"/>
    </row>
    <row r="352" spans="1:1" x14ac:dyDescent="0.3">
      <c r="A352" s="99"/>
    </row>
    <row r="353" spans="1:1" x14ac:dyDescent="0.3">
      <c r="A353" s="99"/>
    </row>
    <row r="354" spans="1:1" x14ac:dyDescent="0.3">
      <c r="A354" s="99"/>
    </row>
    <row r="355" spans="1:1" x14ac:dyDescent="0.3">
      <c r="A355" s="99"/>
    </row>
    <row r="356" spans="1:1" x14ac:dyDescent="0.3">
      <c r="A356" s="99"/>
    </row>
    <row r="357" spans="1:1" x14ac:dyDescent="0.3">
      <c r="A357" s="99"/>
    </row>
    <row r="358" spans="1:1" x14ac:dyDescent="0.3">
      <c r="A358" s="99"/>
    </row>
    <row r="359" spans="1:1" x14ac:dyDescent="0.3">
      <c r="A359" s="99"/>
    </row>
    <row r="360" spans="1:1" x14ac:dyDescent="0.3">
      <c r="A360" s="99"/>
    </row>
    <row r="361" spans="1:1" x14ac:dyDescent="0.3">
      <c r="A361" s="99"/>
    </row>
    <row r="362" spans="1:1" x14ac:dyDescent="0.3">
      <c r="A362" s="99"/>
    </row>
    <row r="363" spans="1:1" x14ac:dyDescent="0.3">
      <c r="A363" s="99"/>
    </row>
    <row r="364" spans="1:1" x14ac:dyDescent="0.3">
      <c r="A364" s="99"/>
    </row>
    <row r="365" spans="1:1" x14ac:dyDescent="0.3">
      <c r="A365" s="99"/>
    </row>
    <row r="366" spans="1:1" x14ac:dyDescent="0.3">
      <c r="A366" s="99"/>
    </row>
    <row r="367" spans="1:1" x14ac:dyDescent="0.3">
      <c r="A367" s="99"/>
    </row>
    <row r="368" spans="1:1" x14ac:dyDescent="0.3">
      <c r="A368" s="99"/>
    </row>
    <row r="369" spans="1:1" x14ac:dyDescent="0.3">
      <c r="A369" s="99"/>
    </row>
    <row r="370" spans="1:1" x14ac:dyDescent="0.3">
      <c r="A370" s="99"/>
    </row>
    <row r="371" spans="1:1" x14ac:dyDescent="0.3">
      <c r="A371" s="99"/>
    </row>
    <row r="372" spans="1:1" x14ac:dyDescent="0.3">
      <c r="A372" s="99"/>
    </row>
  </sheetData>
  <sortState xmlns:xlrd2="http://schemas.microsoft.com/office/spreadsheetml/2017/richdata2" ref="F3:H254">
    <sortCondition descending="1" ref="F3:F254"/>
  </sortState>
  <mergeCells count="2">
    <mergeCell ref="A1:E1"/>
    <mergeCell ref="G1:K1"/>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33DBB7-3E8C-4ECE-8DBE-CC95390D9324}">
  <dimension ref="A1:G34"/>
  <sheetViews>
    <sheetView workbookViewId="0">
      <pane xSplit="2" ySplit="1" topLeftCell="C47" activePane="bottomRight" state="frozen"/>
      <selection pane="topRight" activeCell="D1" sqref="D1"/>
      <selection pane="bottomLeft" activeCell="A2" sqref="A2"/>
      <selection pane="bottomRight" activeCell="E42" sqref="E42"/>
    </sheetView>
  </sheetViews>
  <sheetFormatPr defaultRowHeight="14.4" x14ac:dyDescent="0.3"/>
  <cols>
    <col min="1" max="1" width="69.33203125" style="6" bestFit="1" customWidth="1"/>
    <col min="2" max="2" width="10.21875" style="7" customWidth="1"/>
    <col min="3" max="3" width="11.33203125" style="6" customWidth="1"/>
    <col min="4" max="4" width="11.109375" style="6" customWidth="1"/>
    <col min="5" max="5" width="10.88671875" style="6" customWidth="1"/>
    <col min="6" max="6" width="11.33203125" style="6" customWidth="1"/>
    <col min="7" max="16384" width="8.88671875" style="6"/>
  </cols>
  <sheetData>
    <row r="1" spans="1:6" x14ac:dyDescent="0.3">
      <c r="A1" s="3" t="s">
        <v>70</v>
      </c>
      <c r="B1" s="4"/>
      <c r="C1" s="4">
        <v>2019</v>
      </c>
      <c r="D1" s="4">
        <v>2020</v>
      </c>
      <c r="E1" s="4">
        <v>2021</v>
      </c>
      <c r="F1" s="5">
        <v>2022</v>
      </c>
    </row>
    <row r="2" spans="1:6" x14ac:dyDescent="0.3">
      <c r="A2" s="6" t="s">
        <v>37</v>
      </c>
      <c r="B2" s="7" t="s">
        <v>38</v>
      </c>
      <c r="C2" s="8">
        <v>5220051</v>
      </c>
      <c r="D2" s="8">
        <v>4597414</v>
      </c>
      <c r="E2" s="8">
        <v>6285029</v>
      </c>
      <c r="F2" s="8">
        <v>7444550</v>
      </c>
    </row>
    <row r="3" spans="1:6" x14ac:dyDescent="0.3">
      <c r="A3" s="9" t="s">
        <v>39</v>
      </c>
      <c r="B3" s="10" t="s">
        <v>40</v>
      </c>
      <c r="C3" s="11">
        <v>2728894</v>
      </c>
      <c r="D3" s="11">
        <v>2407633</v>
      </c>
      <c r="E3" s="11">
        <v>3185817</v>
      </c>
      <c r="F3" s="11">
        <v>3929193</v>
      </c>
    </row>
    <row r="4" spans="1:6" x14ac:dyDescent="0.3">
      <c r="A4" s="12" t="s">
        <v>41</v>
      </c>
      <c r="B4" s="13" t="s">
        <v>42</v>
      </c>
      <c r="C4" s="2">
        <f>C2-C3</f>
        <v>2491157</v>
      </c>
      <c r="D4" s="2">
        <f t="shared" ref="D4:F4" si="0">D2-D3</f>
        <v>2189781</v>
      </c>
      <c r="E4" s="2">
        <f t="shared" si="0"/>
        <v>3099212</v>
      </c>
      <c r="F4" s="2">
        <f t="shared" si="0"/>
        <v>3515357</v>
      </c>
    </row>
    <row r="6" spans="1:6" x14ac:dyDescent="0.3">
      <c r="A6" s="14" t="s">
        <v>43</v>
      </c>
      <c r="B6" s="13" t="s">
        <v>44</v>
      </c>
    </row>
    <row r="7" spans="1:6" x14ac:dyDescent="0.3">
      <c r="A7" s="6" t="s">
        <v>45</v>
      </c>
      <c r="B7" s="7" t="s">
        <v>46</v>
      </c>
      <c r="C7" s="8">
        <f>1995207-111515</f>
        <v>1883692</v>
      </c>
      <c r="D7" s="8">
        <f>2072114-142810</f>
        <v>1929304</v>
      </c>
      <c r="E7" s="8">
        <f>2526184-139577</f>
        <v>2386607</v>
      </c>
      <c r="F7" s="8">
        <f>2968687-153716</f>
        <v>2814971</v>
      </c>
    </row>
    <row r="8" spans="1:6" x14ac:dyDescent="0.3">
      <c r="A8" s="6" t="s">
        <v>47</v>
      </c>
      <c r="B8" s="7" t="s">
        <v>48</v>
      </c>
      <c r="C8" s="6">
        <v>0</v>
      </c>
      <c r="D8" s="6">
        <v>0</v>
      </c>
      <c r="E8" s="6">
        <v>0</v>
      </c>
      <c r="F8" s="6">
        <v>0</v>
      </c>
    </row>
    <row r="9" spans="1:6" x14ac:dyDescent="0.3">
      <c r="A9" s="9" t="s">
        <v>49</v>
      </c>
      <c r="B9" s="10"/>
      <c r="C9" s="11">
        <v>-22493</v>
      </c>
      <c r="D9" s="11">
        <v>-16017</v>
      </c>
      <c r="E9" s="11">
        <v>-25159</v>
      </c>
      <c r="F9" s="11">
        <v>0</v>
      </c>
    </row>
    <row r="10" spans="1:6" x14ac:dyDescent="0.3">
      <c r="A10" s="12" t="s">
        <v>54</v>
      </c>
      <c r="B10" s="13" t="s">
        <v>50</v>
      </c>
      <c r="C10" s="2">
        <f>C4-SUM(C7:C9)</f>
        <v>629958</v>
      </c>
      <c r="D10" s="2">
        <f>D4-SUM(D7:D9)</f>
        <v>276494</v>
      </c>
      <c r="E10" s="2">
        <f t="shared" ref="E10:F10" si="1">E4-SUM(E7:E9)</f>
        <v>737764</v>
      </c>
      <c r="F10" s="2">
        <f t="shared" si="1"/>
        <v>700386</v>
      </c>
    </row>
    <row r="11" spans="1:6" x14ac:dyDescent="0.3">
      <c r="C11" s="8"/>
      <c r="D11" s="8"/>
      <c r="E11" s="8"/>
      <c r="F11" s="8"/>
    </row>
    <row r="12" spans="1:6" x14ac:dyDescent="0.3">
      <c r="A12" s="9" t="s">
        <v>51</v>
      </c>
      <c r="B12" s="10" t="s">
        <v>52</v>
      </c>
      <c r="C12" s="11">
        <v>111515</v>
      </c>
      <c r="D12" s="11">
        <v>142810</v>
      </c>
      <c r="E12" s="11">
        <v>139577</v>
      </c>
      <c r="F12" s="11">
        <v>153716</v>
      </c>
    </row>
    <row r="13" spans="1:6" x14ac:dyDescent="0.3">
      <c r="A13" s="12" t="s">
        <v>55</v>
      </c>
      <c r="B13" s="13" t="s">
        <v>53</v>
      </c>
      <c r="C13" s="2">
        <f>C10-C12</f>
        <v>518443</v>
      </c>
      <c r="D13" s="2">
        <f t="shared" ref="D13:F13" si="2">D10-D12</f>
        <v>133684</v>
      </c>
      <c r="E13" s="2">
        <f t="shared" si="2"/>
        <v>598187</v>
      </c>
      <c r="F13" s="2">
        <f t="shared" si="2"/>
        <v>546670</v>
      </c>
    </row>
    <row r="14" spans="1:6" x14ac:dyDescent="0.3">
      <c r="C14" s="8"/>
      <c r="D14" s="8"/>
      <c r="E14" s="8"/>
      <c r="F14" s="8"/>
    </row>
    <row r="15" spans="1:6" x14ac:dyDescent="0.3">
      <c r="A15" s="6" t="s">
        <v>58</v>
      </c>
      <c r="C15" s="8">
        <v>11782</v>
      </c>
      <c r="D15" s="8">
        <v>5912</v>
      </c>
      <c r="E15" s="8">
        <v>0</v>
      </c>
      <c r="F15" s="8">
        <v>0</v>
      </c>
    </row>
    <row r="16" spans="1:6" x14ac:dyDescent="0.3">
      <c r="A16" s="6" t="s">
        <v>59</v>
      </c>
      <c r="B16" s="7" t="s">
        <v>60</v>
      </c>
      <c r="C16" s="8">
        <v>7509</v>
      </c>
      <c r="D16" s="8">
        <v>16327</v>
      </c>
      <c r="E16" s="8">
        <v>0</v>
      </c>
      <c r="F16" s="8">
        <v>0</v>
      </c>
    </row>
    <row r="17" spans="1:7" x14ac:dyDescent="0.3">
      <c r="A17" s="9" t="s">
        <v>61</v>
      </c>
      <c r="B17" s="10"/>
      <c r="C17" s="11">
        <v>0</v>
      </c>
      <c r="D17" s="11">
        <v>0</v>
      </c>
      <c r="E17" s="11">
        <v>0</v>
      </c>
      <c r="F17" s="11">
        <v>0</v>
      </c>
    </row>
    <row r="18" spans="1:7" x14ac:dyDescent="0.3">
      <c r="A18" s="12" t="s">
        <v>62</v>
      </c>
      <c r="B18" s="13"/>
      <c r="C18" s="2">
        <f>C15-C16-C17</f>
        <v>4273</v>
      </c>
      <c r="D18" s="2">
        <f t="shared" ref="D18:F18" si="3">D15-D16-D17</f>
        <v>-10415</v>
      </c>
      <c r="E18" s="2">
        <f t="shared" si="3"/>
        <v>0</v>
      </c>
      <c r="F18" s="2">
        <f t="shared" si="3"/>
        <v>0</v>
      </c>
    </row>
    <row r="19" spans="1:7" x14ac:dyDescent="0.3">
      <c r="C19" s="8"/>
      <c r="D19" s="8"/>
      <c r="E19" s="8"/>
      <c r="F19" s="8"/>
    </row>
    <row r="20" spans="1:7" x14ac:dyDescent="0.3">
      <c r="A20" s="12" t="s">
        <v>63</v>
      </c>
      <c r="B20" s="13"/>
      <c r="C20" s="2">
        <f>-6711-80692</f>
        <v>-87403</v>
      </c>
      <c r="D20" s="2">
        <f>31460-47663</f>
        <v>-16203</v>
      </c>
      <c r="E20" s="2">
        <f>-28430-101129</f>
        <v>-129559</v>
      </c>
      <c r="F20" s="2">
        <f>-24413-56134</f>
        <v>-80547</v>
      </c>
    </row>
    <row r="21" spans="1:7" x14ac:dyDescent="0.3">
      <c r="C21" s="8"/>
      <c r="D21" s="8"/>
      <c r="E21" s="8"/>
      <c r="F21" s="8"/>
    </row>
    <row r="22" spans="1:7" x14ac:dyDescent="0.3">
      <c r="A22" s="12" t="s">
        <v>64</v>
      </c>
      <c r="B22" s="13" t="s">
        <v>65</v>
      </c>
      <c r="C22" s="2">
        <f>C13+C18+C20</f>
        <v>435313</v>
      </c>
      <c r="D22" s="2">
        <f t="shared" ref="D22:F22" si="4">D13+D18+D20</f>
        <v>107066</v>
      </c>
      <c r="E22" s="2">
        <f t="shared" si="4"/>
        <v>468628</v>
      </c>
      <c r="F22" s="2">
        <f t="shared" si="4"/>
        <v>466123</v>
      </c>
    </row>
    <row r="24" spans="1:7" x14ac:dyDescent="0.3">
      <c r="A24" s="6" t="s">
        <v>66</v>
      </c>
      <c r="B24" s="7" t="s">
        <v>67</v>
      </c>
      <c r="C24" s="8">
        <v>88753</v>
      </c>
      <c r="D24" s="8">
        <v>8502</v>
      </c>
      <c r="E24" s="8">
        <v>-245875</v>
      </c>
      <c r="F24" s="8">
        <v>93095</v>
      </c>
    </row>
    <row r="26" spans="1:7" x14ac:dyDescent="0.3">
      <c r="A26" s="12" t="s">
        <v>69</v>
      </c>
      <c r="B26" s="13" t="s">
        <v>68</v>
      </c>
      <c r="C26" s="2">
        <f>C22-C24</f>
        <v>346560</v>
      </c>
      <c r="D26" s="2">
        <f t="shared" ref="D26:F26" si="5">D22-D24</f>
        <v>98564</v>
      </c>
      <c r="E26" s="2">
        <f t="shared" si="5"/>
        <v>714503</v>
      </c>
      <c r="F26" s="2">
        <f t="shared" si="5"/>
        <v>373028</v>
      </c>
      <c r="G26" s="34"/>
    </row>
    <row r="29" spans="1:7" x14ac:dyDescent="0.3">
      <c r="A29" s="6" t="s">
        <v>162</v>
      </c>
      <c r="B29" s="7" t="s">
        <v>161</v>
      </c>
      <c r="C29" s="47">
        <f>C24/C22</f>
        <v>0.20388318290517399</v>
      </c>
      <c r="D29" s="47">
        <f t="shared" ref="D29:F29" si="6">D24/D22</f>
        <v>7.9408962695907193E-2</v>
      </c>
      <c r="E29" s="47">
        <f t="shared" si="6"/>
        <v>-0.52466988741603149</v>
      </c>
      <c r="F29" s="47">
        <f t="shared" si="6"/>
        <v>0.19972196179978247</v>
      </c>
    </row>
    <row r="30" spans="1:7" x14ac:dyDescent="0.3">
      <c r="B30" s="48" t="s">
        <v>163</v>
      </c>
      <c r="C30" s="49">
        <f>AVERAGE(C29:D29,F29)</f>
        <v>0.16100470246695456</v>
      </c>
    </row>
    <row r="31" spans="1:7" ht="15" customHeight="1" x14ac:dyDescent="0.3">
      <c r="A31" s="6" t="s">
        <v>197</v>
      </c>
      <c r="B31" s="7" t="s">
        <v>198</v>
      </c>
      <c r="C31" s="47">
        <f>C3/C2</f>
        <v>0.5227715208146434</v>
      </c>
      <c r="D31" s="47">
        <f t="shared" ref="D31:F31" si="7">D3/D2</f>
        <v>0.52369288473911635</v>
      </c>
      <c r="E31" s="47">
        <f t="shared" si="7"/>
        <v>0.50688978523408568</v>
      </c>
      <c r="F31" s="47">
        <f t="shared" si="7"/>
        <v>0.52779456112189449</v>
      </c>
    </row>
    <row r="32" spans="1:7" x14ac:dyDescent="0.3">
      <c r="A32" s="6" t="s">
        <v>199</v>
      </c>
      <c r="B32" s="7" t="s">
        <v>201</v>
      </c>
      <c r="C32" s="47">
        <f>C7/C2</f>
        <v>0.36085701078399424</v>
      </c>
      <c r="D32" s="47">
        <f t="shared" ref="D32:F32" si="8">D7/D2</f>
        <v>0.41964982923008459</v>
      </c>
      <c r="E32" s="47">
        <f t="shared" si="8"/>
        <v>0.37972887635045122</v>
      </c>
      <c r="F32" s="47">
        <f t="shared" si="8"/>
        <v>0.37812507136092849</v>
      </c>
    </row>
    <row r="33" spans="1:6" x14ac:dyDescent="0.3">
      <c r="A33" s="6" t="s">
        <v>200</v>
      </c>
      <c r="B33" s="7" t="s">
        <v>202</v>
      </c>
      <c r="C33" s="47">
        <f>C8/C2</f>
        <v>0</v>
      </c>
      <c r="D33" s="47">
        <f t="shared" ref="D33:F33" si="9">D8/D2</f>
        <v>0</v>
      </c>
      <c r="E33" s="47">
        <f t="shared" si="9"/>
        <v>0</v>
      </c>
      <c r="F33" s="47">
        <f t="shared" si="9"/>
        <v>0</v>
      </c>
    </row>
    <row r="34" spans="1:6" x14ac:dyDescent="0.3">
      <c r="A34" s="6" t="s">
        <v>203</v>
      </c>
      <c r="B34" s="7" t="s">
        <v>728</v>
      </c>
      <c r="C34" s="47">
        <f>C9/C2</f>
        <v>-4.3089617323662163E-3</v>
      </c>
      <c r="D34" s="47">
        <f t="shared" ref="D34:F34" si="10">D9/D2</f>
        <v>-3.4839150879168159E-3</v>
      </c>
      <c r="E34" s="47">
        <f t="shared" si="10"/>
        <v>-4.003004600296991E-3</v>
      </c>
      <c r="F34" s="47">
        <f t="shared" si="10"/>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5B87B3-D5DA-44B4-ACE9-93CEEEF0D778}">
  <dimension ref="A1:J238"/>
  <sheetViews>
    <sheetView zoomScaleNormal="100" workbookViewId="0">
      <pane xSplit="2" ySplit="1" topLeftCell="C2" activePane="bottomRight" state="frozen"/>
      <selection pane="topRight" activeCell="D1" sqref="D1"/>
      <selection pane="bottomLeft" activeCell="A2" sqref="A2"/>
      <selection pane="bottomRight" activeCell="G18" sqref="G18"/>
    </sheetView>
  </sheetViews>
  <sheetFormatPr defaultRowHeight="14.4" x14ac:dyDescent="0.3"/>
  <cols>
    <col min="1" max="1" width="41.44140625" bestFit="1" customWidth="1"/>
    <col min="2" max="2" width="9.21875" style="40" customWidth="1"/>
    <col min="3" max="6" width="11.77734375" customWidth="1"/>
    <col min="7" max="7" width="20.21875" customWidth="1"/>
    <col min="8" max="8" width="10.5546875" customWidth="1"/>
    <col min="9" max="9" width="8.88671875" customWidth="1"/>
    <col min="10" max="10" width="9" customWidth="1"/>
    <col min="11" max="11" width="8.88671875" customWidth="1"/>
  </cols>
  <sheetData>
    <row r="1" spans="1:6" x14ac:dyDescent="0.3">
      <c r="A1" s="3" t="s">
        <v>86</v>
      </c>
      <c r="B1" s="4"/>
      <c r="C1" s="4">
        <v>2019</v>
      </c>
      <c r="D1" s="4">
        <v>2020</v>
      </c>
      <c r="E1" s="4">
        <v>2021</v>
      </c>
      <c r="F1" s="5">
        <v>2022</v>
      </c>
    </row>
    <row r="3" spans="1:6" ht="14.4" customHeight="1" x14ac:dyDescent="0.3">
      <c r="A3" s="3" t="s">
        <v>71</v>
      </c>
      <c r="B3" s="4"/>
      <c r="C3" s="4"/>
      <c r="D3" s="4"/>
      <c r="E3" s="4"/>
      <c r="F3" s="5"/>
    </row>
    <row r="4" spans="1:6" x14ac:dyDescent="0.3">
      <c r="A4" s="36" t="s">
        <v>72</v>
      </c>
      <c r="B4" s="39"/>
      <c r="C4" s="36"/>
      <c r="D4" s="36"/>
      <c r="E4" s="36"/>
      <c r="F4" s="36"/>
    </row>
    <row r="5" spans="1:6" x14ac:dyDescent="0.3">
      <c r="A5" t="s">
        <v>73</v>
      </c>
      <c r="B5" s="40" t="s">
        <v>75</v>
      </c>
      <c r="C5" s="8">
        <v>824876</v>
      </c>
      <c r="D5" s="8">
        <v>1370826</v>
      </c>
      <c r="E5" s="8">
        <v>796283</v>
      </c>
      <c r="F5" s="8">
        <v>615733</v>
      </c>
    </row>
    <row r="6" spans="1:6" x14ac:dyDescent="0.3">
      <c r="A6" t="s">
        <v>74</v>
      </c>
      <c r="B6" s="40" t="s">
        <v>76</v>
      </c>
      <c r="C6" s="8">
        <v>112037</v>
      </c>
      <c r="D6" s="8">
        <v>100767</v>
      </c>
      <c r="E6" s="8">
        <v>98580</v>
      </c>
      <c r="F6" s="8">
        <v>102166</v>
      </c>
    </row>
    <row r="7" spans="1:6" x14ac:dyDescent="0.3">
      <c r="A7" t="s">
        <v>77</v>
      </c>
      <c r="B7" s="40" t="s">
        <v>78</v>
      </c>
      <c r="C7" s="8">
        <v>699235</v>
      </c>
      <c r="D7" s="8">
        <v>689022</v>
      </c>
      <c r="E7" s="8">
        <v>812836</v>
      </c>
      <c r="F7" s="8">
        <v>934323</v>
      </c>
    </row>
    <row r="8" spans="1:6" x14ac:dyDescent="0.3">
      <c r="A8" t="s">
        <v>80</v>
      </c>
      <c r="B8" s="40" t="s">
        <v>81</v>
      </c>
      <c r="C8" s="8">
        <v>1069863</v>
      </c>
      <c r="D8" s="8">
        <v>1016774</v>
      </c>
      <c r="E8" s="8">
        <v>1470994</v>
      </c>
      <c r="F8" s="8">
        <v>1818016</v>
      </c>
    </row>
    <row r="9" spans="1:6" x14ac:dyDescent="0.3">
      <c r="A9" s="41" t="s">
        <v>79</v>
      </c>
      <c r="B9" s="42"/>
      <c r="C9" s="11">
        <v>113580</v>
      </c>
      <c r="D9" s="11">
        <v>166962</v>
      </c>
      <c r="E9" s="11">
        <v>193547</v>
      </c>
      <c r="F9" s="11">
        <f>176035</f>
        <v>176035</v>
      </c>
    </row>
    <row r="10" spans="1:6" x14ac:dyDescent="0.3">
      <c r="A10" s="35" t="s">
        <v>82</v>
      </c>
      <c r="B10" s="43" t="s">
        <v>92</v>
      </c>
      <c r="C10" s="44">
        <f>SUM(C5:C9)</f>
        <v>2819591</v>
      </c>
      <c r="D10" s="44">
        <f t="shared" ref="D10:F10" si="0">SUM(D5:D9)</f>
        <v>3344351</v>
      </c>
      <c r="E10" s="44">
        <f t="shared" si="0"/>
        <v>3372240</v>
      </c>
      <c r="F10" s="44">
        <f t="shared" si="0"/>
        <v>3646273</v>
      </c>
    </row>
    <row r="12" spans="1:6" x14ac:dyDescent="0.3">
      <c r="A12" s="36" t="s">
        <v>89</v>
      </c>
    </row>
    <row r="13" spans="1:6" x14ac:dyDescent="0.3">
      <c r="A13" t="s">
        <v>83</v>
      </c>
      <c r="B13" s="40" t="s">
        <v>84</v>
      </c>
      <c r="C13" s="8">
        <v>1812585</v>
      </c>
      <c r="D13" s="8">
        <v>2106962</v>
      </c>
      <c r="E13" s="8">
        <v>2353489</v>
      </c>
      <c r="F13" s="8">
        <v>2545935</v>
      </c>
    </row>
    <row r="14" spans="1:6" x14ac:dyDescent="0.3">
      <c r="A14" t="s">
        <v>85</v>
      </c>
      <c r="C14" s="8">
        <v>0</v>
      </c>
      <c r="D14" s="8">
        <v>93497</v>
      </c>
      <c r="E14" s="8">
        <v>93497</v>
      </c>
      <c r="F14" s="8">
        <v>93497</v>
      </c>
    </row>
    <row r="15" spans="1:6" x14ac:dyDescent="0.3">
      <c r="A15" t="s">
        <v>87</v>
      </c>
      <c r="C15">
        <v>0</v>
      </c>
      <c r="D15">
        <v>0</v>
      </c>
      <c r="E15">
        <v>0</v>
      </c>
      <c r="F15">
        <v>0</v>
      </c>
    </row>
    <row r="16" spans="1:6" x14ac:dyDescent="0.3">
      <c r="A16" t="s">
        <v>204</v>
      </c>
      <c r="C16" s="8">
        <v>94589</v>
      </c>
      <c r="D16" s="8">
        <v>108412</v>
      </c>
      <c r="E16" s="8">
        <v>145590</v>
      </c>
      <c r="F16" s="8">
        <v>70498</v>
      </c>
    </row>
    <row r="17" spans="1:10" x14ac:dyDescent="0.3">
      <c r="A17" t="s">
        <v>88</v>
      </c>
      <c r="C17" s="8">
        <v>49088</v>
      </c>
      <c r="D17" s="8">
        <v>63884</v>
      </c>
      <c r="E17" s="8">
        <v>451355</v>
      </c>
      <c r="F17" s="8">
        <v>454190</v>
      </c>
    </row>
    <row r="18" spans="1:10" x14ac:dyDescent="0.3">
      <c r="A18" s="41" t="s">
        <v>90</v>
      </c>
      <c r="B18" s="42"/>
      <c r="C18" s="11">
        <v>117090</v>
      </c>
      <c r="D18" s="11">
        <v>95263</v>
      </c>
      <c r="E18" s="11">
        <v>75109</v>
      </c>
      <c r="F18" s="11">
        <v>83094</v>
      </c>
      <c r="J18" s="35"/>
    </row>
    <row r="19" spans="1:10" x14ac:dyDescent="0.3">
      <c r="A19" s="35" t="s">
        <v>91</v>
      </c>
      <c r="B19" s="43" t="s">
        <v>93</v>
      </c>
      <c r="C19" s="44">
        <f>SUM(C13:C18)</f>
        <v>2073352</v>
      </c>
      <c r="D19" s="44">
        <f t="shared" ref="D19:F19" si="1">SUM(D13:D18)</f>
        <v>2468018</v>
      </c>
      <c r="E19" s="44">
        <f t="shared" si="1"/>
        <v>3119040</v>
      </c>
      <c r="F19" s="44">
        <f t="shared" si="1"/>
        <v>3247214</v>
      </c>
    </row>
    <row r="20" spans="1:10" x14ac:dyDescent="0.3">
      <c r="A20" s="35"/>
      <c r="B20" s="43"/>
      <c r="C20" s="44"/>
      <c r="D20" s="44"/>
      <c r="E20" s="44"/>
      <c r="F20" s="44"/>
      <c r="J20" s="35"/>
    </row>
    <row r="21" spans="1:10" x14ac:dyDescent="0.3">
      <c r="A21" s="35" t="s">
        <v>96</v>
      </c>
      <c r="B21" s="43" t="s">
        <v>97</v>
      </c>
      <c r="C21" s="44">
        <f>C10+C19</f>
        <v>4892943</v>
      </c>
      <c r="D21" s="44">
        <f t="shared" ref="D21:F21" si="2">D10+D19</f>
        <v>5812369</v>
      </c>
      <c r="E21" s="44">
        <f t="shared" si="2"/>
        <v>6491280</v>
      </c>
      <c r="F21" s="44">
        <f t="shared" si="2"/>
        <v>6893487</v>
      </c>
    </row>
    <row r="23" spans="1:10" ht="14.4" customHeight="1" x14ac:dyDescent="0.3">
      <c r="A23" s="3" t="s">
        <v>94</v>
      </c>
      <c r="B23" s="4"/>
      <c r="C23" s="4"/>
      <c r="D23" s="4"/>
      <c r="E23" s="4"/>
      <c r="F23" s="5"/>
    </row>
    <row r="24" spans="1:10" x14ac:dyDescent="0.3">
      <c r="A24" s="36" t="s">
        <v>95</v>
      </c>
    </row>
    <row r="25" spans="1:10" x14ac:dyDescent="0.3">
      <c r="A25" t="s">
        <v>98</v>
      </c>
      <c r="B25" s="40" t="s">
        <v>99</v>
      </c>
      <c r="C25" s="8">
        <v>975079</v>
      </c>
      <c r="D25" s="8">
        <v>952789</v>
      </c>
      <c r="E25" s="8">
        <v>1141762</v>
      </c>
      <c r="F25" s="8">
        <v>1251527</v>
      </c>
    </row>
    <row r="26" spans="1:10" x14ac:dyDescent="0.3">
      <c r="A26" t="s">
        <v>100</v>
      </c>
      <c r="C26" s="8">
        <v>0</v>
      </c>
      <c r="D26" s="8">
        <v>0</v>
      </c>
      <c r="E26" s="8">
        <v>0</v>
      </c>
      <c r="F26" s="8">
        <v>0</v>
      </c>
    </row>
    <row r="27" spans="1:10" x14ac:dyDescent="0.3">
      <c r="A27" t="s">
        <v>101</v>
      </c>
      <c r="C27">
        <v>0</v>
      </c>
      <c r="D27">
        <v>0</v>
      </c>
      <c r="E27">
        <v>0</v>
      </c>
      <c r="F27">
        <v>0</v>
      </c>
      <c r="J27" s="35"/>
    </row>
    <row r="28" spans="1:10" x14ac:dyDescent="0.3">
      <c r="A28" t="s">
        <v>103</v>
      </c>
      <c r="B28" s="40" t="s">
        <v>102</v>
      </c>
      <c r="C28" s="8">
        <v>263152</v>
      </c>
      <c r="D28" s="8">
        <v>259917</v>
      </c>
      <c r="E28" s="8">
        <v>303820</v>
      </c>
      <c r="F28" s="8">
        <v>361513</v>
      </c>
    </row>
    <row r="29" spans="1:10" x14ac:dyDescent="0.3">
      <c r="A29" s="41" t="s">
        <v>104</v>
      </c>
      <c r="B29" s="42"/>
      <c r="C29" s="11">
        <v>0</v>
      </c>
      <c r="D29" s="11">
        <v>0</v>
      </c>
      <c r="E29" s="11">
        <v>0</v>
      </c>
      <c r="F29" s="11">
        <v>0</v>
      </c>
    </row>
    <row r="30" spans="1:10" x14ac:dyDescent="0.3">
      <c r="A30" s="35" t="s">
        <v>105</v>
      </c>
      <c r="B30" s="43" t="s">
        <v>106</v>
      </c>
      <c r="C30" s="44">
        <f>SUM(C25:C29)</f>
        <v>1238231</v>
      </c>
      <c r="D30" s="44">
        <f t="shared" ref="D30:F30" si="3">SUM(D25:D29)</f>
        <v>1212706</v>
      </c>
      <c r="E30" s="44">
        <f t="shared" si="3"/>
        <v>1445582</v>
      </c>
      <c r="F30" s="44">
        <f t="shared" si="3"/>
        <v>1613040</v>
      </c>
    </row>
    <row r="31" spans="1:10" x14ac:dyDescent="0.3">
      <c r="C31" s="38"/>
      <c r="D31" s="38"/>
      <c r="E31" s="38"/>
      <c r="F31" s="38"/>
    </row>
    <row r="32" spans="1:10" x14ac:dyDescent="0.3">
      <c r="A32" s="36" t="s">
        <v>107</v>
      </c>
      <c r="C32" s="37"/>
      <c r="D32" s="37"/>
      <c r="E32" s="37"/>
      <c r="F32" s="37"/>
    </row>
    <row r="33" spans="1:10" x14ac:dyDescent="0.3">
      <c r="A33" t="s">
        <v>108</v>
      </c>
      <c r="B33" s="40" t="s">
        <v>109</v>
      </c>
      <c r="C33" s="8">
        <v>1015194</v>
      </c>
      <c r="D33" s="8">
        <v>1744484</v>
      </c>
      <c r="E33" s="8">
        <v>1358193</v>
      </c>
      <c r="F33" s="8">
        <v>1280160</v>
      </c>
    </row>
    <row r="34" spans="1:10" x14ac:dyDescent="0.3">
      <c r="A34" s="41" t="s">
        <v>110</v>
      </c>
      <c r="B34" s="42"/>
      <c r="C34" s="11">
        <f>322+103089</f>
        <v>103411</v>
      </c>
      <c r="D34" s="11">
        <f>11439+118077</f>
        <v>129516</v>
      </c>
      <c r="E34" s="11">
        <f>11820+133613</f>
        <v>145433</v>
      </c>
      <c r="F34" s="11">
        <f>8656+120045</f>
        <v>128701</v>
      </c>
      <c r="J34" s="35"/>
    </row>
    <row r="35" spans="1:10" x14ac:dyDescent="0.3">
      <c r="A35" s="35" t="s">
        <v>111</v>
      </c>
      <c r="B35" s="43" t="s">
        <v>112</v>
      </c>
      <c r="C35" s="44">
        <f>C33+C34</f>
        <v>1118605</v>
      </c>
      <c r="D35" s="44">
        <f t="shared" ref="D35:F35" si="4">D33+D34</f>
        <v>1874000</v>
      </c>
      <c r="E35" s="44">
        <f t="shared" si="4"/>
        <v>1503626</v>
      </c>
      <c r="F35" s="44">
        <f t="shared" si="4"/>
        <v>1408861</v>
      </c>
    </row>
    <row r="37" spans="1:10" x14ac:dyDescent="0.3">
      <c r="A37" s="35" t="s">
        <v>125</v>
      </c>
      <c r="B37" s="43" t="s">
        <v>113</v>
      </c>
      <c r="C37" s="44">
        <f>C30+C35</f>
        <v>2356836</v>
      </c>
      <c r="D37" s="44">
        <f t="shared" ref="D37:F37" si="5">D30+D35</f>
        <v>3086706</v>
      </c>
      <c r="E37" s="44">
        <f t="shared" si="5"/>
        <v>2949208</v>
      </c>
      <c r="F37" s="44">
        <f t="shared" si="5"/>
        <v>3021901</v>
      </c>
    </row>
    <row r="39" spans="1:10" x14ac:dyDescent="0.3">
      <c r="A39" s="36" t="s">
        <v>114</v>
      </c>
    </row>
    <row r="40" spans="1:10" x14ac:dyDescent="0.3">
      <c r="A40" t="s">
        <v>115</v>
      </c>
      <c r="B40" s="40" t="s">
        <v>118</v>
      </c>
      <c r="C40" s="8">
        <v>153</v>
      </c>
      <c r="D40" s="8">
        <v>155</v>
      </c>
      <c r="E40" s="8">
        <v>156</v>
      </c>
      <c r="F40" s="8">
        <v>155</v>
      </c>
    </row>
    <row r="41" spans="1:10" x14ac:dyDescent="0.3">
      <c r="A41" t="s">
        <v>116</v>
      </c>
      <c r="C41" s="8">
        <v>306669</v>
      </c>
      <c r="D41" s="8">
        <v>372165</v>
      </c>
      <c r="E41" s="8">
        <v>429608</v>
      </c>
      <c r="F41" s="8">
        <v>403799</v>
      </c>
    </row>
    <row r="42" spans="1:10" x14ac:dyDescent="0.3">
      <c r="A42" t="s">
        <v>117</v>
      </c>
      <c r="B42" s="40" t="s">
        <v>119</v>
      </c>
      <c r="C42" s="8">
        <v>2037836</v>
      </c>
      <c r="D42" s="8">
        <v>2136400</v>
      </c>
      <c r="E42" s="8">
        <v>2877903</v>
      </c>
      <c r="F42" s="8">
        <v>3250931</v>
      </c>
      <c r="J42" s="35"/>
    </row>
    <row r="43" spans="1:10" x14ac:dyDescent="0.3">
      <c r="A43" s="41" t="s">
        <v>120</v>
      </c>
      <c r="B43" s="42"/>
      <c r="C43" s="11">
        <f>-29993+221442</f>
        <v>191449</v>
      </c>
      <c r="D43" s="11">
        <f>-27285+244228</f>
        <v>216943</v>
      </c>
      <c r="E43" s="11">
        <f>-48323+282728</f>
        <v>234405</v>
      </c>
      <c r="F43" s="11">
        <f>-84897+301598</f>
        <v>216701</v>
      </c>
    </row>
    <row r="44" spans="1:10" x14ac:dyDescent="0.3">
      <c r="A44" s="35" t="s">
        <v>121</v>
      </c>
      <c r="B44" s="43" t="s">
        <v>122</v>
      </c>
      <c r="C44" s="44">
        <f>SUM(C40:C43)</f>
        <v>2536107</v>
      </c>
      <c r="D44" s="44">
        <f>SUM(D40:D43)</f>
        <v>2725663</v>
      </c>
      <c r="E44" s="44">
        <f t="shared" ref="E44:F44" si="6">SUM(E40:E43)</f>
        <v>3542072</v>
      </c>
      <c r="F44" s="44">
        <f t="shared" si="6"/>
        <v>3871586</v>
      </c>
    </row>
    <row r="46" spans="1:10" x14ac:dyDescent="0.3">
      <c r="A46" s="35" t="s">
        <v>123</v>
      </c>
      <c r="B46" s="43" t="s">
        <v>124</v>
      </c>
      <c r="C46" s="44">
        <f>C37+C44</f>
        <v>4892943</v>
      </c>
      <c r="D46" s="44">
        <f t="shared" ref="D46:F46" si="7">D37+D44</f>
        <v>5812369</v>
      </c>
      <c r="E46" s="44">
        <f t="shared" si="7"/>
        <v>6491280</v>
      </c>
      <c r="F46" s="44">
        <f t="shared" si="7"/>
        <v>6893487</v>
      </c>
    </row>
    <row r="48" spans="1:10" x14ac:dyDescent="0.3">
      <c r="A48" s="36" t="s">
        <v>126</v>
      </c>
      <c r="C48" s="37"/>
      <c r="D48" s="37"/>
      <c r="E48" s="37"/>
      <c r="F48" s="37"/>
    </row>
    <row r="49" spans="1:10" x14ac:dyDescent="0.3">
      <c r="A49" t="s">
        <v>127</v>
      </c>
      <c r="B49" s="40" t="s">
        <v>128</v>
      </c>
      <c r="C49" s="37">
        <f>C10-C30</f>
        <v>1581360</v>
      </c>
      <c r="D49" s="37">
        <f t="shared" ref="D49:F49" si="8">D10-D30</f>
        <v>2131645</v>
      </c>
      <c r="E49" s="37">
        <f t="shared" si="8"/>
        <v>1926658</v>
      </c>
      <c r="F49" s="37">
        <f t="shared" si="8"/>
        <v>2033233</v>
      </c>
      <c r="J49" s="35"/>
    </row>
    <row r="50" spans="1:10" x14ac:dyDescent="0.3">
      <c r="A50" t="s">
        <v>129</v>
      </c>
      <c r="C50" s="45">
        <f>C10/C30</f>
        <v>2.2771122674202147</v>
      </c>
      <c r="D50" s="45">
        <f t="shared" ref="D50:F50" si="9">D10/D30</f>
        <v>2.7577590941250394</v>
      </c>
      <c r="E50" s="45">
        <f t="shared" si="9"/>
        <v>2.3327905300425713</v>
      </c>
      <c r="F50" s="45">
        <f t="shared" si="9"/>
        <v>2.2604975698060805</v>
      </c>
    </row>
    <row r="51" spans="1:10" x14ac:dyDescent="0.3">
      <c r="A51" t="s">
        <v>130</v>
      </c>
      <c r="C51" s="45">
        <f>(C5+C6+C7)/C30</f>
        <v>1.3213592617209551</v>
      </c>
      <c r="D51" s="45">
        <f t="shared" ref="D51:E51" si="10">(D5+D6+D7)/D30</f>
        <v>1.7816478190097187</v>
      </c>
      <c r="E51" s="45">
        <f t="shared" si="10"/>
        <v>1.1813228166925156</v>
      </c>
      <c r="F51" s="45">
        <f>(F5+F6+F7)/F30</f>
        <v>1.0242907801418439</v>
      </c>
      <c r="J51" s="35"/>
    </row>
    <row r="52" spans="1:10" x14ac:dyDescent="0.3">
      <c r="A52" t="s">
        <v>131</v>
      </c>
      <c r="C52" s="45">
        <f>(C5+C6)/C30</f>
        <v>0.75665445300594159</v>
      </c>
      <c r="D52" s="45">
        <f t="shared" ref="D52:F52" si="11">(D5+D6)/D30</f>
        <v>1.2134787821615463</v>
      </c>
      <c r="E52" s="45">
        <f t="shared" si="11"/>
        <v>0.61903302614448719</v>
      </c>
      <c r="F52" s="45">
        <f t="shared" si="11"/>
        <v>0.44505963894261769</v>
      </c>
    </row>
    <row r="54" spans="1:10" x14ac:dyDescent="0.3">
      <c r="A54" s="36" t="s">
        <v>132</v>
      </c>
    </row>
    <row r="55" spans="1:10" x14ac:dyDescent="0.3">
      <c r="A55" t="s">
        <v>133</v>
      </c>
      <c r="B55" s="40" t="s">
        <v>134</v>
      </c>
      <c r="C55" s="45">
        <f>IS!C3/BS!C8</f>
        <v>2.5506948085876417</v>
      </c>
      <c r="D55" s="45">
        <f>IS!D3/BS!D8</f>
        <v>2.3679136169886328</v>
      </c>
      <c r="E55" s="45">
        <f>IS!E3/BS!E8</f>
        <v>2.1657579840570391</v>
      </c>
      <c r="F55" s="45">
        <f>IS!F3/BS!F8</f>
        <v>2.1612532562969742</v>
      </c>
    </row>
    <row r="56" spans="1:10" x14ac:dyDescent="0.3">
      <c r="A56" t="s">
        <v>135</v>
      </c>
      <c r="C56" s="45">
        <f>365/C55</f>
        <v>143.09826435178499</v>
      </c>
      <c r="D56" s="45">
        <f t="shared" ref="D56:F56" si="12">365/D55</f>
        <v>154.14413658560088</v>
      </c>
      <c r="E56" s="45">
        <f t="shared" si="12"/>
        <v>168.53221952171137</v>
      </c>
      <c r="F56" s="45">
        <f t="shared" si="12"/>
        <v>168.88349337892032</v>
      </c>
    </row>
    <row r="57" spans="1:10" x14ac:dyDescent="0.3">
      <c r="A57" t="s">
        <v>136</v>
      </c>
      <c r="B57" s="40" t="s">
        <v>137</v>
      </c>
      <c r="C57" s="45">
        <f>IS!C2/BS!C7</f>
        <v>7.4653743019156646</v>
      </c>
      <c r="D57" s="45">
        <f>IS!D2/BS!D7</f>
        <v>6.6723762085971128</v>
      </c>
      <c r="E57" s="45">
        <f>IS!E2/BS!E7</f>
        <v>7.7322227361977074</v>
      </c>
      <c r="F57" s="45">
        <f>IS!F2/BS!F7</f>
        <v>7.9678547996784834</v>
      </c>
    </row>
    <row r="58" spans="1:10" x14ac:dyDescent="0.3">
      <c r="A58" t="s">
        <v>138</v>
      </c>
      <c r="B58" s="40" t="s">
        <v>139</v>
      </c>
      <c r="C58" s="45">
        <f>365/C57</f>
        <v>48.892391089665601</v>
      </c>
      <c r="D58" s="45">
        <f t="shared" ref="D58:F58" si="13">365/D57</f>
        <v>54.703150510265118</v>
      </c>
      <c r="E58" s="45">
        <f t="shared" si="13"/>
        <v>47.205055060207364</v>
      </c>
      <c r="F58" s="45">
        <f t="shared" si="13"/>
        <v>45.809067707248929</v>
      </c>
    </row>
    <row r="59" spans="1:10" x14ac:dyDescent="0.3">
      <c r="A59" t="s">
        <v>140</v>
      </c>
      <c r="B59" s="40" t="s">
        <v>141</v>
      </c>
      <c r="C59" s="45">
        <f>IS!C2/BS!C21</f>
        <v>1.0668530166813714</v>
      </c>
      <c r="D59" s="45">
        <f>IS!D2/BS!D21</f>
        <v>0.79097077284666539</v>
      </c>
      <c r="E59" s="45">
        <f>IS!E2/BS!E21</f>
        <v>0.96822645148568542</v>
      </c>
      <c r="F59" s="45">
        <f>IS!F2/BS!F21</f>
        <v>1.0799396589853583</v>
      </c>
    </row>
    <row r="60" spans="1:10" x14ac:dyDescent="0.3">
      <c r="A60" t="s">
        <v>226</v>
      </c>
      <c r="B60" s="40" t="s">
        <v>227</v>
      </c>
      <c r="C60" s="45">
        <f>(C25/IS!C3)*365</f>
        <v>130.42054216836564</v>
      </c>
      <c r="D60" s="45">
        <f>(D25/IS!D3)*365</f>
        <v>144.4439351844737</v>
      </c>
      <c r="E60" s="45">
        <f>(E25/IS!E3)*365</f>
        <v>130.81201148716326</v>
      </c>
      <c r="F60" s="45">
        <f>(F25/IS!F3)*365</f>
        <v>116.25984139745744</v>
      </c>
    </row>
    <row r="62" spans="1:10" x14ac:dyDescent="0.3">
      <c r="A62" s="36" t="s">
        <v>142</v>
      </c>
      <c r="J62" s="35"/>
    </row>
    <row r="63" spans="1:10" x14ac:dyDescent="0.3">
      <c r="A63" t="s">
        <v>143</v>
      </c>
      <c r="C63" s="45">
        <f>C37/C21</f>
        <v>0.48168065722408782</v>
      </c>
      <c r="D63" s="45">
        <f t="shared" ref="D63:F63" si="14">D37/D21</f>
        <v>0.53105816234309966</v>
      </c>
      <c r="E63" s="45">
        <f t="shared" si="14"/>
        <v>0.45433381397813682</v>
      </c>
      <c r="F63" s="45">
        <f t="shared" si="14"/>
        <v>0.43837045025253546</v>
      </c>
    </row>
    <row r="64" spans="1:10" x14ac:dyDescent="0.3">
      <c r="A64" t="s">
        <v>144</v>
      </c>
      <c r="B64" s="40" t="s">
        <v>146</v>
      </c>
      <c r="C64" s="45">
        <f>C35/C44</f>
        <v>0.44107168979857714</v>
      </c>
      <c r="D64" s="45">
        <f t="shared" ref="D64:F64" si="15">D35/D44</f>
        <v>0.68753914185282627</v>
      </c>
      <c r="E64" s="45">
        <f t="shared" si="15"/>
        <v>0.42450464022188145</v>
      </c>
      <c r="F64" s="45">
        <f t="shared" si="15"/>
        <v>0.36389763781561357</v>
      </c>
    </row>
    <row r="65" spans="1:10" x14ac:dyDescent="0.3">
      <c r="A65" t="s">
        <v>145</v>
      </c>
      <c r="B65" s="40" t="s">
        <v>147</v>
      </c>
      <c r="C65" s="45">
        <f>C21/C44</f>
        <v>1.9293125250630199</v>
      </c>
      <c r="D65" s="45">
        <f t="shared" ref="D65:F65" si="16">D21/D44</f>
        <v>2.132460616004253</v>
      </c>
      <c r="E65" s="45">
        <f t="shared" si="16"/>
        <v>1.8326222617722057</v>
      </c>
      <c r="F65" s="45">
        <f t="shared" si="16"/>
        <v>1.7805330941893065</v>
      </c>
    </row>
    <row r="66" spans="1:10" x14ac:dyDescent="0.3">
      <c r="A66" t="s">
        <v>148</v>
      </c>
      <c r="B66" s="40" t="s">
        <v>149</v>
      </c>
      <c r="C66" s="45">
        <f>IS!C13/IS!C16</f>
        <v>69.042881875083239</v>
      </c>
      <c r="D66" s="45">
        <f>IS!D13/IS!D16</f>
        <v>8.1879095975990683</v>
      </c>
      <c r="E66" s="45" t="e">
        <f>IS!E13/IS!E16</f>
        <v>#DIV/0!</v>
      </c>
      <c r="F66" s="45" t="e">
        <f>IS!F13/IS!F16</f>
        <v>#DIV/0!</v>
      </c>
    </row>
    <row r="67" spans="1:10" x14ac:dyDescent="0.3">
      <c r="A67" t="s">
        <v>150</v>
      </c>
      <c r="C67" s="45">
        <f>IS!C10/IS!C16</f>
        <v>83.893727526967638</v>
      </c>
      <c r="D67" s="45">
        <f>IS!D10/IS!D16</f>
        <v>16.93477062534452</v>
      </c>
      <c r="E67" s="45" t="e">
        <f>IS!E10/IS!E16</f>
        <v>#DIV/0!</v>
      </c>
      <c r="F67" s="45" t="e">
        <f>IS!F10/IS!F16</f>
        <v>#DIV/0!</v>
      </c>
      <c r="J67" s="35"/>
    </row>
    <row r="68" spans="1:10" x14ac:dyDescent="0.3">
      <c r="A68" t="s">
        <v>151</v>
      </c>
      <c r="C68" s="45">
        <f>C35/IS!C10</f>
        <v>1.7756818708548825</v>
      </c>
      <c r="D68" s="45">
        <f>D35/IS!D10</f>
        <v>6.7777239289098494</v>
      </c>
      <c r="E68" s="45">
        <f>E35/IS!E10</f>
        <v>2.0380853497866527</v>
      </c>
      <c r="F68" s="45">
        <f>F35/IS!F10</f>
        <v>2.0115493456465434</v>
      </c>
    </row>
    <row r="70" spans="1:10" x14ac:dyDescent="0.3">
      <c r="A70" s="36" t="s">
        <v>152</v>
      </c>
    </row>
    <row r="71" spans="1:10" x14ac:dyDescent="0.3">
      <c r="A71" t="s">
        <v>153</v>
      </c>
      <c r="B71" s="40" t="s">
        <v>154</v>
      </c>
      <c r="C71" s="46">
        <f>IS!C26/BS!C21</f>
        <v>7.0828538162001881E-2</v>
      </c>
      <c r="D71" s="46">
        <f>IS!D26/BS!D21</f>
        <v>1.6957629496681989E-2</v>
      </c>
      <c r="E71" s="46">
        <f>IS!E26/BS!E21</f>
        <v>0.11007120321415807</v>
      </c>
      <c r="F71" s="46">
        <f>IS!F26/BS!F21</f>
        <v>5.4113107053077779E-2</v>
      </c>
    </row>
    <row r="72" spans="1:10" x14ac:dyDescent="0.3">
      <c r="A72" t="s">
        <v>192</v>
      </c>
      <c r="B72" s="40" t="s">
        <v>193</v>
      </c>
      <c r="C72" s="46">
        <f>IS!C26/(BS!C21-BS!C30)</f>
        <v>9.4825529344035861E-2</v>
      </c>
      <c r="D72" s="46">
        <f>IS!D26/(BS!D21-BS!D30)</f>
        <v>2.1428526394216271E-2</v>
      </c>
      <c r="E72" s="46">
        <f>IS!E26/(BS!E21-BS!E30)</f>
        <v>0.14160637438071005</v>
      </c>
      <c r="F72" s="46">
        <f>IS!F26/(BS!F21-BS!F30)</f>
        <v>7.0643261829917051E-2</v>
      </c>
    </row>
    <row r="73" spans="1:10" x14ac:dyDescent="0.3">
      <c r="A73" t="s">
        <v>155</v>
      </c>
      <c r="B73" s="40" t="s">
        <v>156</v>
      </c>
      <c r="C73" s="46">
        <f>IS!C26/BS!C44</f>
        <v>0.13665038580785432</v>
      </c>
      <c r="D73" s="46">
        <f>IS!D26/BS!D44</f>
        <v>3.6161477042466368E-2</v>
      </c>
      <c r="E73" s="46">
        <f>IS!E26/BS!E44</f>
        <v>0.20171893739031843</v>
      </c>
      <c r="F73" s="46">
        <f>IS!F26/BS!F44</f>
        <v>9.6350177937413767E-2</v>
      </c>
    </row>
    <row r="74" spans="1:10" x14ac:dyDescent="0.3">
      <c r="A74" t="s">
        <v>160</v>
      </c>
      <c r="B74" s="40" t="s">
        <v>159</v>
      </c>
      <c r="C74" s="50">
        <f>IS!C13*(1-IS!$C$30)</f>
        <v>434971.23903892469</v>
      </c>
      <c r="D74" s="50">
        <f>IS!D13*(1-IS!$C$30)</f>
        <v>112160.24735540766</v>
      </c>
      <c r="E74" s="50">
        <f>IS!E13*(1-IS!$C$30)</f>
        <v>501876.0800453999</v>
      </c>
      <c r="F74" s="50">
        <f>IS!F13*(1-IS!$C$30)</f>
        <v>458653.55930238997</v>
      </c>
    </row>
    <row r="75" spans="1:10" x14ac:dyDescent="0.3">
      <c r="A75" t="s">
        <v>157</v>
      </c>
      <c r="B75" s="40" t="s">
        <v>158</v>
      </c>
      <c r="C75" s="46">
        <f>C74/(C35+C44)</f>
        <v>0.11901655699243188</v>
      </c>
      <c r="D75" s="46">
        <f>D74/(D35+D44)</f>
        <v>2.4384448894496761E-2</v>
      </c>
      <c r="E75" s="46">
        <f>E74/(E35+E44)</f>
        <v>9.9466135318720991E-2</v>
      </c>
      <c r="F75" s="46">
        <f>F74/(F35+F44)</f>
        <v>8.6858851021966513E-2</v>
      </c>
    </row>
    <row r="76" spans="1:10" x14ac:dyDescent="0.3">
      <c r="A76" t="s">
        <v>164</v>
      </c>
      <c r="B76" s="40" t="s">
        <v>165</v>
      </c>
      <c r="C76" s="46">
        <f>IS!C4/IS!C2</f>
        <v>0.4772284791853566</v>
      </c>
      <c r="D76" s="46">
        <f>IS!D4/IS!D2</f>
        <v>0.4763071152608836</v>
      </c>
      <c r="E76" s="46">
        <f>IS!E4/IS!E2</f>
        <v>0.49311021476591438</v>
      </c>
      <c r="F76" s="46">
        <f>IS!F4/IS!F2</f>
        <v>0.47220543887810545</v>
      </c>
      <c r="J76" s="35"/>
    </row>
    <row r="77" spans="1:10" x14ac:dyDescent="0.3">
      <c r="A77" t="s">
        <v>166</v>
      </c>
      <c r="B77" s="40" t="s">
        <v>167</v>
      </c>
      <c r="C77" s="46">
        <f>IS!C13/IS!C2</f>
        <v>9.9317612030993568E-2</v>
      </c>
      <c r="D77" s="46">
        <f>IS!D13/IS!D2</f>
        <v>2.9078086071865617E-2</v>
      </c>
      <c r="E77" s="46">
        <f>IS!E13/IS!E2</f>
        <v>9.5176490036879696E-2</v>
      </c>
      <c r="F77" s="46">
        <f>IS!F13/IS!F2</f>
        <v>7.343224237865284E-2</v>
      </c>
    </row>
    <row r="78" spans="1:10" x14ac:dyDescent="0.3">
      <c r="A78" t="s">
        <v>168</v>
      </c>
      <c r="B78" s="40" t="s">
        <v>169</v>
      </c>
      <c r="C78" s="46">
        <f>IS!C26/IS!C2</f>
        <v>6.6390155958246391E-2</v>
      </c>
      <c r="D78" s="46">
        <f>IS!D26/IS!D2</f>
        <v>2.1439008973305428E-2</v>
      </c>
      <c r="E78" s="46">
        <f>IS!E26/IS!E2</f>
        <v>0.11368332588441517</v>
      </c>
      <c r="F78" s="46">
        <f>IS!F26/IS!F2</f>
        <v>5.0107528326090896E-2</v>
      </c>
    </row>
    <row r="79" spans="1:10" x14ac:dyDescent="0.3">
      <c r="A79" t="s">
        <v>170</v>
      </c>
      <c r="C79" s="46">
        <f>IS!C10/IS!C2</f>
        <v>0.12068043013372858</v>
      </c>
      <c r="D79" s="46">
        <f>IS!D10/IS!D2</f>
        <v>6.0141201118715869E-2</v>
      </c>
      <c r="E79" s="46">
        <f>IS!E10/IS!E2</f>
        <v>0.11738434301576015</v>
      </c>
      <c r="F79" s="46">
        <f>IS!F10/IS!F2</f>
        <v>9.4080367517176994E-2</v>
      </c>
    </row>
    <row r="80" spans="1:10" x14ac:dyDescent="0.3">
      <c r="A80" t="s">
        <v>171</v>
      </c>
      <c r="C80" s="46">
        <f>C74/IS!C2</f>
        <v>8.3327009456215018E-2</v>
      </c>
      <c r="D80" s="46">
        <f>D74/IS!D2</f>
        <v>2.43963774755564E-2</v>
      </c>
      <c r="E80" s="46">
        <f>E74/IS!E2</f>
        <v>7.9852627576642826E-2</v>
      </c>
      <c r="F80" s="46">
        <f>F74/IS!F2</f>
        <v>6.1609306042996553E-2</v>
      </c>
    </row>
    <row r="81" spans="1:10" x14ac:dyDescent="0.3">
      <c r="A81" t="s">
        <v>172</v>
      </c>
      <c r="B81" s="40" t="s">
        <v>173</v>
      </c>
      <c r="D81" s="45">
        <f>(IS!D13-IS!C13)/(IS!D2-IS!C2)</f>
        <v>0.61795074818875206</v>
      </c>
      <c r="E81" s="45">
        <f>(IS!E13-IS!D13)/(IS!E2-IS!D2)</f>
        <v>0.27524227978537757</v>
      </c>
      <c r="F81" s="45">
        <f>(IS!F13-IS!E13)/(IS!F2-IS!E2)</f>
        <v>-4.4429553237931872E-2</v>
      </c>
    </row>
    <row r="82" spans="1:10" x14ac:dyDescent="0.3">
      <c r="J82" s="35"/>
    </row>
    <row r="83" spans="1:10" x14ac:dyDescent="0.3">
      <c r="A83" s="36" t="s">
        <v>174</v>
      </c>
    </row>
    <row r="84" spans="1:10" x14ac:dyDescent="0.3">
      <c r="A84" t="s">
        <v>175</v>
      </c>
      <c r="C84" t="s">
        <v>176</v>
      </c>
    </row>
    <row r="85" spans="1:10" x14ac:dyDescent="0.3">
      <c r="A85" t="s">
        <v>177</v>
      </c>
      <c r="C85" t="s">
        <v>178</v>
      </c>
    </row>
    <row r="86" spans="1:10" x14ac:dyDescent="0.3">
      <c r="A86" t="s">
        <v>179</v>
      </c>
      <c r="D86" s="46">
        <f>(D8-C8+D7-C7-(D25-C25))/IS!D2</f>
        <v>-8.920667140266245E-3</v>
      </c>
      <c r="E86" s="46">
        <f>(E8-D8+E7-D7-(E25-D25))/IS!E2</f>
        <v>6.1902816995752924E-2</v>
      </c>
      <c r="F86" s="46">
        <f>(F8-E8+F7-E7-(F25-E25))/IS!F2</f>
        <v>4.8188809263152242E-2</v>
      </c>
    </row>
    <row r="87" spans="1:10" x14ac:dyDescent="0.3">
      <c r="A87" t="s">
        <v>180</v>
      </c>
      <c r="C87" t="s">
        <v>181</v>
      </c>
    </row>
    <row r="88" spans="1:10" x14ac:dyDescent="0.3">
      <c r="A88" t="s">
        <v>182</v>
      </c>
      <c r="D88" s="45">
        <f>(IS!D10-(BS!D8-BS!C8+BS!D7-BS!C7-(BS!D25-BS!C25)))/IS!D10</f>
        <v>1.1483287159938371</v>
      </c>
      <c r="E88" s="45">
        <f>(IS!E10-(BS!E8-BS!D8+BS!E7-BS!D7-(BS!E25-BS!D25)))/IS!E10</f>
        <v>0.4726484350008946</v>
      </c>
      <c r="F88" s="45">
        <f>(IS!F10-(BS!F8-BS!E8+BS!F7-BS!E7-(BS!F25-BS!E25)))/IS!F10</f>
        <v>0.48779101809573577</v>
      </c>
    </row>
    <row r="90" spans="1:10" x14ac:dyDescent="0.3">
      <c r="A90" s="36" t="s">
        <v>183</v>
      </c>
      <c r="J90" s="35"/>
    </row>
    <row r="91" spans="1:10" x14ac:dyDescent="0.3">
      <c r="A91" t="s">
        <v>186</v>
      </c>
      <c r="B91" s="40" t="s">
        <v>187</v>
      </c>
      <c r="F91" s="37">
        <v>134370000</v>
      </c>
      <c r="J91" s="35"/>
    </row>
    <row r="92" spans="1:10" x14ac:dyDescent="0.3">
      <c r="A92" t="s">
        <v>185</v>
      </c>
      <c r="B92" s="40" t="s">
        <v>184</v>
      </c>
      <c r="F92" s="45">
        <f>IS!F26*1000/BS!F91</f>
        <v>2.7761256232790057</v>
      </c>
    </row>
    <row r="93" spans="1:10" x14ac:dyDescent="0.3">
      <c r="A93" t="s">
        <v>188</v>
      </c>
      <c r="B93" s="40" t="s">
        <v>189</v>
      </c>
      <c r="F93" s="45">
        <f>F94/F92</f>
        <v>17.459584535209153</v>
      </c>
    </row>
    <row r="94" spans="1:10" x14ac:dyDescent="0.3">
      <c r="B94" s="40" t="s">
        <v>190</v>
      </c>
      <c r="C94" t="s">
        <v>191</v>
      </c>
      <c r="F94" s="51">
        <v>48.47</v>
      </c>
    </row>
    <row r="96" spans="1:10" x14ac:dyDescent="0.3">
      <c r="A96" t="s">
        <v>224</v>
      </c>
      <c r="C96" s="46">
        <f>C9/IS!C2</f>
        <v>2.1758408107506996E-2</v>
      </c>
      <c r="D96" s="46">
        <f>D9/IS!D2</f>
        <v>3.6316503147204061E-2</v>
      </c>
      <c r="E96" s="46">
        <f>E9/IS!E2</f>
        <v>3.0794925528585468E-2</v>
      </c>
      <c r="F96" s="46">
        <f>F9/IS!F2</f>
        <v>2.3646157255979208E-2</v>
      </c>
      <c r="J96" s="35"/>
    </row>
    <row r="101" spans="1:10" ht="18" x14ac:dyDescent="0.35">
      <c r="A101" s="101"/>
    </row>
    <row r="105" spans="1:10" x14ac:dyDescent="0.3">
      <c r="J105" s="35"/>
    </row>
    <row r="111" spans="1:10" x14ac:dyDescent="0.3">
      <c r="J111" s="35"/>
    </row>
    <row r="115" spans="10:10" x14ac:dyDescent="0.3">
      <c r="J115" s="35"/>
    </row>
    <row r="118" spans="10:10" x14ac:dyDescent="0.3">
      <c r="J118" s="35"/>
    </row>
    <row r="124" spans="10:10" x14ac:dyDescent="0.3">
      <c r="J124" s="35"/>
    </row>
    <row r="128" spans="10:10" x14ac:dyDescent="0.3">
      <c r="J128" s="35"/>
    </row>
    <row r="133" spans="10:10" x14ac:dyDescent="0.3">
      <c r="J133" s="35"/>
    </row>
    <row r="137" spans="10:10" x14ac:dyDescent="0.3">
      <c r="J137" s="35"/>
    </row>
    <row r="141" spans="10:10" x14ac:dyDescent="0.3">
      <c r="J141" s="35"/>
    </row>
    <row r="149" spans="10:10" x14ac:dyDescent="0.3">
      <c r="J149" s="35"/>
    </row>
    <row r="154" spans="10:10" x14ac:dyDescent="0.3">
      <c r="J154" s="35"/>
    </row>
    <row r="158" spans="10:10" x14ac:dyDescent="0.3">
      <c r="J158" s="35"/>
    </row>
    <row r="162" spans="10:10" x14ac:dyDescent="0.3">
      <c r="J162" s="35"/>
    </row>
    <row r="165" spans="10:10" x14ac:dyDescent="0.3">
      <c r="J165" s="35"/>
    </row>
    <row r="170" spans="10:10" x14ac:dyDescent="0.3">
      <c r="J170" s="35"/>
    </row>
    <row r="180" spans="10:10" x14ac:dyDescent="0.3">
      <c r="J180" s="35"/>
    </row>
    <row r="184" spans="10:10" x14ac:dyDescent="0.3">
      <c r="J184" s="35"/>
    </row>
    <row r="191" spans="10:10" x14ac:dyDescent="0.3">
      <c r="J191" s="35"/>
    </row>
    <row r="196" spans="10:10" x14ac:dyDescent="0.3">
      <c r="J196" s="35"/>
    </row>
    <row r="205" spans="10:10" x14ac:dyDescent="0.3">
      <c r="J205" s="35"/>
    </row>
    <row r="214" spans="10:10" x14ac:dyDescent="0.3">
      <c r="J214" s="35"/>
    </row>
    <row r="221" spans="10:10" x14ac:dyDescent="0.3">
      <c r="J221" s="35"/>
    </row>
    <row r="225" spans="10:10" x14ac:dyDescent="0.3">
      <c r="J225" s="35"/>
    </row>
    <row r="228" spans="10:10" x14ac:dyDescent="0.3">
      <c r="J228" s="35"/>
    </row>
    <row r="231" spans="10:10" x14ac:dyDescent="0.3">
      <c r="J231" s="35"/>
    </row>
    <row r="238" spans="10:10" x14ac:dyDescent="0.3">
      <c r="J238" s="35"/>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E4914B-1C3A-44E7-8C68-0508483F0751}">
  <dimension ref="A1:I26"/>
  <sheetViews>
    <sheetView workbookViewId="0">
      <pane xSplit="2" ySplit="1" topLeftCell="C20" activePane="bottomRight" state="frozen"/>
      <selection pane="topRight" activeCell="D1" sqref="D1"/>
      <selection pane="bottomLeft" activeCell="A2" sqref="A2"/>
      <selection pane="bottomRight" activeCell="P8" sqref="P8"/>
    </sheetView>
  </sheetViews>
  <sheetFormatPr defaultRowHeight="14.4" x14ac:dyDescent="0.3"/>
  <cols>
    <col min="1" max="1" width="33.21875" customWidth="1"/>
    <col min="3" max="7" width="12.77734375" customWidth="1"/>
  </cols>
  <sheetData>
    <row r="1" spans="1:9" x14ac:dyDescent="0.3">
      <c r="A1" s="52" t="s">
        <v>70</v>
      </c>
      <c r="B1" s="53"/>
      <c r="C1" s="53">
        <v>2023</v>
      </c>
      <c r="D1" s="53">
        <v>2024</v>
      </c>
      <c r="E1" s="53">
        <v>2025</v>
      </c>
      <c r="F1" s="53">
        <v>2026</v>
      </c>
      <c r="G1" s="54">
        <v>2027</v>
      </c>
    </row>
    <row r="2" spans="1:9" x14ac:dyDescent="0.3">
      <c r="A2" s="6" t="s">
        <v>37</v>
      </c>
      <c r="B2" s="7" t="s">
        <v>38</v>
      </c>
      <c r="C2" s="8">
        <f>IS!F2*(1+Parameters!B2)</f>
        <v>8040114.0000000009</v>
      </c>
      <c r="D2" s="8">
        <f>C2*(1+Parameters!C2)</f>
        <v>8723523.6900000013</v>
      </c>
      <c r="E2" s="8">
        <f>D2*(1+Parameters!D2)</f>
        <v>9508640.8221000023</v>
      </c>
      <c r="F2" s="8">
        <f>E2*(1+Parameters!E2)</f>
        <v>10411961.700199502</v>
      </c>
      <c r="G2" s="8">
        <f>F2*(1+Parameters!F2)</f>
        <v>11505217.678720448</v>
      </c>
    </row>
    <row r="3" spans="1:9" x14ac:dyDescent="0.3">
      <c r="A3" s="9" t="s">
        <v>39</v>
      </c>
      <c r="B3" s="10" t="s">
        <v>40</v>
      </c>
      <c r="C3" s="11">
        <f>C2*Parameters!$B$3</f>
        <v>4183168.3040780076</v>
      </c>
      <c r="D3" s="11">
        <f>D2*Parameters!$B$3</f>
        <v>4538737.6099246377</v>
      </c>
      <c r="E3" s="11">
        <f>E2*Parameters!$B$3</f>
        <v>4947223.9948178558</v>
      </c>
      <c r="F3" s="11">
        <f>F2*Parameters!$B$3</f>
        <v>5417210.2743255515</v>
      </c>
      <c r="G3" s="11">
        <f>G2*Parameters!$B$3</f>
        <v>5986017.3531297343</v>
      </c>
    </row>
    <row r="4" spans="1:9" x14ac:dyDescent="0.3">
      <c r="A4" s="12" t="s">
        <v>41</v>
      </c>
      <c r="B4" s="13" t="s">
        <v>42</v>
      </c>
      <c r="C4" s="44">
        <f>C2-C3</f>
        <v>3856945.6959219933</v>
      </c>
      <c r="D4" s="44">
        <f t="shared" ref="D4:G4" si="0">D2-D3</f>
        <v>4184786.0800753636</v>
      </c>
      <c r="E4" s="44">
        <f t="shared" si="0"/>
        <v>4561416.8272821466</v>
      </c>
      <c r="F4" s="44">
        <f t="shared" si="0"/>
        <v>4994751.4258739501</v>
      </c>
      <c r="G4" s="44">
        <f t="shared" si="0"/>
        <v>5519200.3255907139</v>
      </c>
    </row>
    <row r="5" spans="1:9" x14ac:dyDescent="0.3">
      <c r="A5" s="6"/>
      <c r="B5" s="7"/>
    </row>
    <row r="6" spans="1:9" x14ac:dyDescent="0.3">
      <c r="A6" s="14" t="s">
        <v>43</v>
      </c>
      <c r="B6" s="13" t="s">
        <v>44</v>
      </c>
      <c r="I6" s="35"/>
    </row>
    <row r="7" spans="1:9" x14ac:dyDescent="0.3">
      <c r="A7" s="6" t="s">
        <v>45</v>
      </c>
      <c r="B7" s="7" t="s">
        <v>46</v>
      </c>
      <c r="C7" s="8">
        <f>C2*Parameters!$B$5</f>
        <v>3046616.0674747662</v>
      </c>
      <c r="D7" s="8">
        <f>D2*Parameters!$B$5</f>
        <v>3305578.4332101215</v>
      </c>
      <c r="E7" s="8">
        <f>E2*Parameters!$B$5</f>
        <v>3603080.492199033</v>
      </c>
      <c r="F7" s="8">
        <f>F2*Parameters!$B$5</f>
        <v>3945373.1389579405</v>
      </c>
      <c r="G7" s="8">
        <f>G2*Parameters!$B$5</f>
        <v>4359637.3185485238</v>
      </c>
    </row>
    <row r="8" spans="1:9" x14ac:dyDescent="0.3">
      <c r="A8" s="6" t="s">
        <v>47</v>
      </c>
      <c r="B8" s="7" t="s">
        <v>48</v>
      </c>
      <c r="C8">
        <v>0</v>
      </c>
      <c r="D8">
        <v>0</v>
      </c>
      <c r="E8">
        <v>0</v>
      </c>
      <c r="F8">
        <v>0</v>
      </c>
      <c r="G8">
        <v>0</v>
      </c>
    </row>
    <row r="9" spans="1:9" x14ac:dyDescent="0.3">
      <c r="A9" s="9" t="s">
        <v>49</v>
      </c>
      <c r="B9" s="10"/>
      <c r="C9" s="11">
        <f>C2*Parameters!$B$7</f>
        <v>-23710.057837986336</v>
      </c>
      <c r="D9" s="11">
        <f>D2*Parameters!$B$7</f>
        <v>-25725.412754215176</v>
      </c>
      <c r="E9" s="11">
        <f>E2*Parameters!$B$7</f>
        <v>-28040.699902094544</v>
      </c>
      <c r="F9" s="11">
        <f>F2*Parameters!$B$7</f>
        <v>-30704.566392793524</v>
      </c>
      <c r="G9" s="11">
        <f>G2*Parameters!$B$7</f>
        <v>-33928.545864036838</v>
      </c>
    </row>
    <row r="10" spans="1:9" x14ac:dyDescent="0.3">
      <c r="A10" s="12" t="s">
        <v>54</v>
      </c>
      <c r="B10" s="13" t="s">
        <v>50</v>
      </c>
      <c r="C10" s="44">
        <f>C4-SUM(C7:C9)</f>
        <v>834039.68628521357</v>
      </c>
      <c r="D10" s="44">
        <f t="shared" ref="D10:G10" si="1">D4-SUM(D7:D9)</f>
        <v>904933.05961945746</v>
      </c>
      <c r="E10" s="44">
        <f t="shared" si="1"/>
        <v>986377.03498520795</v>
      </c>
      <c r="F10" s="44">
        <f t="shared" si="1"/>
        <v>1080082.8533088029</v>
      </c>
      <c r="G10" s="44">
        <f t="shared" si="1"/>
        <v>1193491.5529062273</v>
      </c>
      <c r="I10" s="35"/>
    </row>
    <row r="11" spans="1:9" x14ac:dyDescent="0.3">
      <c r="A11" s="6"/>
      <c r="B11" s="7"/>
    </row>
    <row r="12" spans="1:9" x14ac:dyDescent="0.3">
      <c r="A12" s="9" t="s">
        <v>51</v>
      </c>
      <c r="B12" s="10" t="s">
        <v>52</v>
      </c>
      <c r="C12" s="62">
        <f>Parameters!B32</f>
        <v>179705.06666666665</v>
      </c>
      <c r="D12" s="62">
        <f>Parameters!C32</f>
        <v>179705.06666666665</v>
      </c>
      <c r="E12" s="62">
        <f>Parameters!D32</f>
        <v>179705.06666666665</v>
      </c>
      <c r="F12" s="62">
        <f>Parameters!E32</f>
        <v>179705.06666666665</v>
      </c>
      <c r="G12" s="62">
        <f>Parameters!F32</f>
        <v>179705.06666666665</v>
      </c>
    </row>
    <row r="13" spans="1:9" x14ac:dyDescent="0.3">
      <c r="A13" s="12" t="s">
        <v>55</v>
      </c>
      <c r="B13" s="13" t="s">
        <v>53</v>
      </c>
      <c r="C13" s="44">
        <f>C10-C12</f>
        <v>654334.61961854692</v>
      </c>
      <c r="D13" s="44">
        <f t="shared" ref="D13:G13" si="2">D10-D12</f>
        <v>725227.99295279081</v>
      </c>
      <c r="E13" s="44">
        <f t="shared" si="2"/>
        <v>806671.9683185413</v>
      </c>
      <c r="F13" s="44">
        <f t="shared" si="2"/>
        <v>900377.78664213629</v>
      </c>
      <c r="G13" s="44">
        <f t="shared" si="2"/>
        <v>1013786.4862395606</v>
      </c>
      <c r="I13" s="35"/>
    </row>
    <row r="14" spans="1:9" x14ac:dyDescent="0.3">
      <c r="A14" s="6"/>
      <c r="B14" s="7"/>
    </row>
    <row r="15" spans="1:9" x14ac:dyDescent="0.3">
      <c r="A15" s="6" t="s">
        <v>58</v>
      </c>
      <c r="B15" s="7"/>
      <c r="C15" s="37">
        <f>AVERAGE(IS!C15:F15)</f>
        <v>4423.5</v>
      </c>
      <c r="D15" s="37">
        <f>C15</f>
        <v>4423.5</v>
      </c>
      <c r="E15" s="37">
        <f t="shared" ref="E15:G15" si="3">D15</f>
        <v>4423.5</v>
      </c>
      <c r="F15" s="37">
        <f t="shared" si="3"/>
        <v>4423.5</v>
      </c>
      <c r="G15" s="37">
        <f t="shared" si="3"/>
        <v>4423.5</v>
      </c>
    </row>
    <row r="16" spans="1:9" x14ac:dyDescent="0.3">
      <c r="A16" s="6" t="s">
        <v>59</v>
      </c>
      <c r="B16" s="7" t="s">
        <v>60</v>
      </c>
      <c r="C16" s="37">
        <f>Parameters!B41</f>
        <v>57607.200000000004</v>
      </c>
      <c r="D16" s="37">
        <f>Parameters!C41</f>
        <v>44805.600000000006</v>
      </c>
      <c r="E16" s="37">
        <f>Parameters!D41</f>
        <v>32004</v>
      </c>
      <c r="F16" s="37">
        <f>Parameters!E41</f>
        <v>19202.400000000001</v>
      </c>
      <c r="G16" s="37">
        <f>Parameters!F41</f>
        <v>6400.8</v>
      </c>
      <c r="I16" s="35"/>
    </row>
    <row r="17" spans="1:9" x14ac:dyDescent="0.3">
      <c r="A17" s="9" t="s">
        <v>61</v>
      </c>
      <c r="B17" s="10"/>
      <c r="C17" s="62">
        <f>AVERAGE(IS!C17:F17)</f>
        <v>0</v>
      </c>
      <c r="D17" s="62">
        <f>C17</f>
        <v>0</v>
      </c>
      <c r="E17" s="62">
        <f t="shared" ref="E17:G17" si="4">D17</f>
        <v>0</v>
      </c>
      <c r="F17" s="62">
        <f t="shared" si="4"/>
        <v>0</v>
      </c>
      <c r="G17" s="62">
        <f t="shared" si="4"/>
        <v>0</v>
      </c>
    </row>
    <row r="18" spans="1:9" x14ac:dyDescent="0.3">
      <c r="A18" s="12" t="s">
        <v>62</v>
      </c>
      <c r="B18" s="13"/>
      <c r="C18" s="44">
        <f>C15-C16-C17</f>
        <v>-53183.700000000004</v>
      </c>
      <c r="D18" s="44">
        <f t="shared" ref="D18:G18" si="5">D15-D16-D17</f>
        <v>-40382.100000000006</v>
      </c>
      <c r="E18" s="44">
        <f t="shared" si="5"/>
        <v>-27580.5</v>
      </c>
      <c r="F18" s="44">
        <f t="shared" si="5"/>
        <v>-14778.900000000001</v>
      </c>
      <c r="G18" s="44">
        <f t="shared" si="5"/>
        <v>-1977.3000000000002</v>
      </c>
    </row>
    <row r="19" spans="1:9" x14ac:dyDescent="0.3">
      <c r="A19" s="6"/>
      <c r="B19" s="7"/>
      <c r="I19" s="35"/>
    </row>
    <row r="20" spans="1:9" x14ac:dyDescent="0.3">
      <c r="A20" s="12" t="s">
        <v>63</v>
      </c>
      <c r="B20" s="13"/>
      <c r="C20" s="44">
        <f>AVERAGE(IS!C20:F20)</f>
        <v>-78428</v>
      </c>
      <c r="D20" s="44">
        <f>C20</f>
        <v>-78428</v>
      </c>
      <c r="E20" s="44">
        <f t="shared" ref="E20:G20" si="6">D20</f>
        <v>-78428</v>
      </c>
      <c r="F20" s="44">
        <f t="shared" si="6"/>
        <v>-78428</v>
      </c>
      <c r="G20" s="44">
        <f t="shared" si="6"/>
        <v>-78428</v>
      </c>
    </row>
    <row r="21" spans="1:9" x14ac:dyDescent="0.3">
      <c r="A21" s="6"/>
      <c r="B21" s="7"/>
    </row>
    <row r="22" spans="1:9" x14ac:dyDescent="0.3">
      <c r="A22" s="12" t="s">
        <v>64</v>
      </c>
      <c r="B22" s="13" t="s">
        <v>65</v>
      </c>
      <c r="C22" s="44">
        <f>C13+C18+C20</f>
        <v>522722.91961854696</v>
      </c>
      <c r="D22" s="44">
        <f t="shared" ref="D22:G22" si="7">D13+D18+D20</f>
        <v>606417.89295279083</v>
      </c>
      <c r="E22" s="44">
        <f t="shared" si="7"/>
        <v>700663.4683185413</v>
      </c>
      <c r="F22" s="44">
        <f t="shared" si="7"/>
        <v>807170.88664213626</v>
      </c>
      <c r="G22" s="44">
        <f t="shared" si="7"/>
        <v>933381.1862395606</v>
      </c>
      <c r="I22" s="35"/>
    </row>
    <row r="23" spans="1:9" x14ac:dyDescent="0.3">
      <c r="A23" s="6"/>
      <c r="B23" s="7"/>
    </row>
    <row r="24" spans="1:9" x14ac:dyDescent="0.3">
      <c r="A24" s="6" t="s">
        <v>66</v>
      </c>
      <c r="B24" s="7" t="s">
        <v>67</v>
      </c>
      <c r="C24" s="37">
        <f>C22*IS!$C$30</f>
        <v>84160.848145841956</v>
      </c>
      <c r="D24" s="37">
        <f>D22*IS!$C$30</f>
        <v>97636.132425501593</v>
      </c>
      <c r="E24" s="37">
        <f>E22*IS!$C$30</f>
        <v>112810.11324609119</v>
      </c>
      <c r="F24" s="37">
        <f>F22*IS!$C$30</f>
        <v>129958.30844380506</v>
      </c>
      <c r="G24" s="37">
        <f>G22*IS!$C$30</f>
        <v>150278.76017875355</v>
      </c>
    </row>
    <row r="25" spans="1:9" x14ac:dyDescent="0.3">
      <c r="A25" s="6"/>
      <c r="B25" s="7"/>
    </row>
    <row r="26" spans="1:9" x14ac:dyDescent="0.3">
      <c r="A26" s="12" t="s">
        <v>69</v>
      </c>
      <c r="B26" s="13" t="s">
        <v>68</v>
      </c>
      <c r="C26" s="44">
        <f>C22-C24</f>
        <v>438562.07147270499</v>
      </c>
      <c r="D26" s="44">
        <f t="shared" ref="D26:G26" si="8">D22-D24</f>
        <v>508781.76052728924</v>
      </c>
      <c r="E26" s="44">
        <f t="shared" si="8"/>
        <v>587853.35507245013</v>
      </c>
      <c r="F26" s="44">
        <f t="shared" si="8"/>
        <v>677212.57819833118</v>
      </c>
      <c r="G26" s="44">
        <f t="shared" si="8"/>
        <v>783102.42606080708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82830F-C7DB-48EF-BB2A-DEFBE6D4EF1D}">
  <dimension ref="A1:I51"/>
  <sheetViews>
    <sheetView workbookViewId="0">
      <pane xSplit="2" ySplit="1" topLeftCell="C29" activePane="bottomRight" state="frozen"/>
      <selection pane="topRight" activeCell="D1" sqref="D1"/>
      <selection pane="bottomLeft" activeCell="A2" sqref="A2"/>
      <selection pane="bottomRight" activeCell="J27" sqref="J27"/>
    </sheetView>
  </sheetViews>
  <sheetFormatPr defaultRowHeight="14.4" x14ac:dyDescent="0.3"/>
  <cols>
    <col min="1" max="1" width="41.44140625" bestFit="1" customWidth="1"/>
    <col min="3" max="7" width="12.77734375" customWidth="1"/>
  </cols>
  <sheetData>
    <row r="1" spans="1:9" x14ac:dyDescent="0.3">
      <c r="A1" s="52" t="s">
        <v>86</v>
      </c>
      <c r="B1" s="53"/>
      <c r="C1" s="53">
        <v>2023</v>
      </c>
      <c r="D1" s="53">
        <v>2024</v>
      </c>
      <c r="E1" s="53">
        <v>2025</v>
      </c>
      <c r="F1" s="53">
        <v>2026</v>
      </c>
      <c r="G1" s="54">
        <v>2027</v>
      </c>
    </row>
    <row r="2" spans="1:9" x14ac:dyDescent="0.3">
      <c r="B2" s="40"/>
    </row>
    <row r="3" spans="1:9" x14ac:dyDescent="0.3">
      <c r="A3" s="52" t="s">
        <v>71</v>
      </c>
      <c r="B3" s="64"/>
      <c r="C3" s="53"/>
      <c r="D3" s="53"/>
      <c r="E3" s="53"/>
      <c r="F3" s="53"/>
      <c r="G3" s="54"/>
    </row>
    <row r="4" spans="1:9" x14ac:dyDescent="0.3">
      <c r="A4" s="36" t="s">
        <v>72</v>
      </c>
      <c r="B4" s="39"/>
    </row>
    <row r="5" spans="1:9" x14ac:dyDescent="0.3">
      <c r="A5" t="s">
        <v>73</v>
      </c>
      <c r="B5" s="40" t="s">
        <v>75</v>
      </c>
      <c r="C5" s="37">
        <f>CFf!C37</f>
        <v>2791534.8349337238</v>
      </c>
      <c r="D5" s="37">
        <f>CFf!D37</f>
        <v>3236460.8363551996</v>
      </c>
      <c r="E5" s="37">
        <f>CFf!E37</f>
        <v>3762314.4364862847</v>
      </c>
      <c r="F5" s="37">
        <f>CFf!F37</f>
        <v>4379684.2960455976</v>
      </c>
      <c r="G5" s="37">
        <f>CFf!G37</f>
        <v>5106410.0265044272</v>
      </c>
      <c r="I5" s="35"/>
    </row>
    <row r="6" spans="1:9" x14ac:dyDescent="0.3">
      <c r="A6" t="s">
        <v>74</v>
      </c>
      <c r="B6" s="40" t="s">
        <v>76</v>
      </c>
      <c r="C6" s="8">
        <v>102166</v>
      </c>
      <c r="D6" s="37">
        <f>C6</f>
        <v>102166</v>
      </c>
      <c r="E6" s="37">
        <f t="shared" ref="E6:G6" si="0">D6</f>
        <v>102166</v>
      </c>
      <c r="F6" s="37">
        <f t="shared" si="0"/>
        <v>102166</v>
      </c>
      <c r="G6" s="37">
        <f t="shared" si="0"/>
        <v>102166</v>
      </c>
    </row>
    <row r="7" spans="1:9" x14ac:dyDescent="0.3">
      <c r="A7" t="s">
        <v>77</v>
      </c>
      <c r="B7" s="40" t="s">
        <v>78</v>
      </c>
      <c r="C7" s="8">
        <f>ISf!C2*Parameters!$B$43/365</f>
        <v>1041958.4920126391</v>
      </c>
      <c r="D7" s="8">
        <f>ISf!D2*Parameters!$B$43/365</f>
        <v>1130524.9638337134</v>
      </c>
      <c r="E7" s="8">
        <f>ISf!E2*Parameters!$B$43/365</f>
        <v>1232272.2105787478</v>
      </c>
      <c r="F7" s="8">
        <f>ISf!F2*Parameters!$B$43/365</f>
        <v>1349338.0705837288</v>
      </c>
      <c r="G7" s="8">
        <f>ISf!G2*Parameters!$B$43/365</f>
        <v>1491018.5679950202</v>
      </c>
    </row>
    <row r="8" spans="1:9" x14ac:dyDescent="0.3">
      <c r="A8" t="s">
        <v>80</v>
      </c>
      <c r="B8" s="40" t="s">
        <v>81</v>
      </c>
      <c r="C8" s="8">
        <f>ISf!C3*Parameters!$B$44/365</f>
        <v>27274.901231838339</v>
      </c>
      <c r="D8" s="8">
        <f>ISf!D3*Parameters!$B$44/365</f>
        <v>29593.267836544597</v>
      </c>
      <c r="E8" s="8">
        <f>ISf!E3*Parameters!$B$44/365</f>
        <v>32256.661941833616</v>
      </c>
      <c r="F8" s="8">
        <f>ISf!F3*Parameters!$B$44/365</f>
        <v>35321.044826307807</v>
      </c>
      <c r="G8" s="8">
        <f>ISf!G3*Parameters!$B$44/365</f>
        <v>39029.754533070125</v>
      </c>
      <c r="I8" s="35"/>
    </row>
    <row r="9" spans="1:9" x14ac:dyDescent="0.3">
      <c r="A9" s="41" t="s">
        <v>79</v>
      </c>
      <c r="B9" s="42"/>
      <c r="C9" s="8">
        <f>ISf!C2*Parameters!$B$45</f>
        <v>226160.35472477437</v>
      </c>
      <c r="D9" s="8">
        <f>ISf!D2*Parameters!$B$45</f>
        <v>245383.98487638019</v>
      </c>
      <c r="E9" s="8">
        <f>ISf!E2*Parameters!$B$45</f>
        <v>267468.54351525445</v>
      </c>
      <c r="F9" s="8">
        <f>ISf!F2*Parameters!$B$45</f>
        <v>292878.05514920357</v>
      </c>
      <c r="G9" s="8">
        <f>ISf!G2*Parameters!$B$45</f>
        <v>323630.2509398699</v>
      </c>
    </row>
    <row r="10" spans="1:9" x14ac:dyDescent="0.3">
      <c r="A10" s="35" t="s">
        <v>82</v>
      </c>
      <c r="B10" s="43" t="s">
        <v>92</v>
      </c>
      <c r="C10" s="67">
        <f>SUM(C5:C9)</f>
        <v>4189094.5829029754</v>
      </c>
      <c r="D10" s="67">
        <f t="shared" ref="D10:G10" si="1">SUM(D5:D9)</f>
        <v>4744129.052901838</v>
      </c>
      <c r="E10" s="67">
        <f t="shared" si="1"/>
        <v>5396477.8525221208</v>
      </c>
      <c r="F10" s="67">
        <f t="shared" si="1"/>
        <v>6159387.4666048381</v>
      </c>
      <c r="G10" s="67">
        <f t="shared" si="1"/>
        <v>7062254.5999723878</v>
      </c>
    </row>
    <row r="11" spans="1:9" x14ac:dyDescent="0.3">
      <c r="B11" s="40"/>
      <c r="I11" s="35"/>
    </row>
    <row r="12" spans="1:9" x14ac:dyDescent="0.3">
      <c r="A12" s="36" t="s">
        <v>89</v>
      </c>
      <c r="B12" s="40"/>
    </row>
    <row r="13" spans="1:9" x14ac:dyDescent="0.3">
      <c r="A13" t="s">
        <v>83</v>
      </c>
      <c r="B13" s="40" t="s">
        <v>84</v>
      </c>
      <c r="C13" s="37">
        <f>Parameters!B18</f>
        <v>2376206</v>
      </c>
      <c r="D13" s="37">
        <f>Parameters!C18</f>
        <v>2206477</v>
      </c>
      <c r="E13" s="37">
        <f>Parameters!D18</f>
        <v>2036748</v>
      </c>
      <c r="F13" s="37">
        <f>Parameters!E18</f>
        <v>1867019</v>
      </c>
      <c r="G13" s="37">
        <f>Parameters!F18</f>
        <v>1697290</v>
      </c>
    </row>
    <row r="14" spans="1:9" x14ac:dyDescent="0.3">
      <c r="A14" t="s">
        <v>85</v>
      </c>
      <c r="B14" s="40"/>
      <c r="C14" s="37">
        <f>BS!F14</f>
        <v>93497</v>
      </c>
      <c r="D14" s="37">
        <f>C14</f>
        <v>93497</v>
      </c>
      <c r="E14" s="37">
        <f t="shared" ref="E14:G14" si="2">D14</f>
        <v>93497</v>
      </c>
      <c r="F14" s="37">
        <f t="shared" si="2"/>
        <v>93497</v>
      </c>
      <c r="G14" s="37">
        <f t="shared" si="2"/>
        <v>93497</v>
      </c>
    </row>
    <row r="15" spans="1:9" x14ac:dyDescent="0.3">
      <c r="A15" t="s">
        <v>87</v>
      </c>
      <c r="B15" s="40"/>
      <c r="C15" s="37">
        <f>Parameters!B24</f>
        <v>8333.3333333333339</v>
      </c>
      <c r="D15" s="37">
        <f>Parameters!C24</f>
        <v>6666.6666666666661</v>
      </c>
      <c r="E15" s="37">
        <f>Parameters!D24</f>
        <v>5000</v>
      </c>
      <c r="F15" s="37">
        <f>Parameters!E24</f>
        <v>3333.333333333333</v>
      </c>
      <c r="G15" s="37">
        <f>Parameters!F24</f>
        <v>1666.6666666666661</v>
      </c>
      <c r="I15" s="35"/>
    </row>
    <row r="16" spans="1:9" x14ac:dyDescent="0.3">
      <c r="A16" t="s">
        <v>204</v>
      </c>
      <c r="B16" s="40"/>
      <c r="C16" s="37">
        <f>BS!F16</f>
        <v>70498</v>
      </c>
      <c r="D16" s="37">
        <f>C16</f>
        <v>70498</v>
      </c>
      <c r="E16" s="37">
        <f t="shared" ref="E16:G16" si="3">D16</f>
        <v>70498</v>
      </c>
      <c r="F16" s="37">
        <f t="shared" si="3"/>
        <v>70498</v>
      </c>
      <c r="G16" s="37">
        <f t="shared" si="3"/>
        <v>70498</v>
      </c>
    </row>
    <row r="17" spans="1:9" x14ac:dyDescent="0.3">
      <c r="A17" t="s">
        <v>88</v>
      </c>
      <c r="B17" s="40"/>
      <c r="C17" s="37">
        <f>BS!F17</f>
        <v>454190</v>
      </c>
      <c r="D17" s="37">
        <f>C17</f>
        <v>454190</v>
      </c>
      <c r="E17" s="37">
        <f t="shared" ref="E17:G17" si="4">D17</f>
        <v>454190</v>
      </c>
      <c r="F17" s="37">
        <f t="shared" si="4"/>
        <v>454190</v>
      </c>
      <c r="G17" s="37">
        <f t="shared" si="4"/>
        <v>454190</v>
      </c>
    </row>
    <row r="18" spans="1:9" x14ac:dyDescent="0.3">
      <c r="A18" s="41" t="s">
        <v>90</v>
      </c>
      <c r="B18" s="42"/>
      <c r="C18" s="62">
        <f>Parameters!B30</f>
        <v>74784.600000000006</v>
      </c>
      <c r="D18" s="62">
        <f>Parameters!C30</f>
        <v>66475.199999999997</v>
      </c>
      <c r="E18" s="62">
        <f>Parameters!D30</f>
        <v>58165.8</v>
      </c>
      <c r="F18" s="62">
        <f>Parameters!E30</f>
        <v>49856.4</v>
      </c>
      <c r="G18" s="62">
        <f>Parameters!F30</f>
        <v>41547</v>
      </c>
    </row>
    <row r="19" spans="1:9" x14ac:dyDescent="0.3">
      <c r="A19" s="35" t="s">
        <v>91</v>
      </c>
      <c r="B19" s="43" t="s">
        <v>93</v>
      </c>
      <c r="C19" s="44">
        <f>SUM(C13:C18)</f>
        <v>3077508.9333333336</v>
      </c>
      <c r="D19" s="44">
        <f t="shared" ref="D19:G19" si="5">SUM(D13:D18)</f>
        <v>2897803.8666666667</v>
      </c>
      <c r="E19" s="44">
        <f t="shared" si="5"/>
        <v>2718098.8</v>
      </c>
      <c r="F19" s="44">
        <f t="shared" si="5"/>
        <v>2538393.7333333329</v>
      </c>
      <c r="G19" s="44">
        <f t="shared" si="5"/>
        <v>2358688.666666667</v>
      </c>
    </row>
    <row r="20" spans="1:9" x14ac:dyDescent="0.3">
      <c r="A20" s="35"/>
      <c r="B20" s="43"/>
    </row>
    <row r="21" spans="1:9" x14ac:dyDescent="0.3">
      <c r="A21" s="35" t="s">
        <v>96</v>
      </c>
      <c r="B21" s="43" t="s">
        <v>97</v>
      </c>
      <c r="C21" s="44">
        <f>C10+C19</f>
        <v>7266603.516236309</v>
      </c>
      <c r="D21" s="44">
        <f t="shared" ref="D21:G21" si="6">D10+D19</f>
        <v>7641932.9195685051</v>
      </c>
      <c r="E21" s="44">
        <f t="shared" si="6"/>
        <v>8114576.6525221206</v>
      </c>
      <c r="F21" s="44">
        <f t="shared" si="6"/>
        <v>8697781.1999381706</v>
      </c>
      <c r="G21" s="44">
        <f t="shared" si="6"/>
        <v>9420943.2666390538</v>
      </c>
      <c r="I21" s="35"/>
    </row>
    <row r="22" spans="1:9" x14ac:dyDescent="0.3">
      <c r="B22" s="40"/>
    </row>
    <row r="23" spans="1:9" x14ac:dyDescent="0.3">
      <c r="A23" s="52" t="s">
        <v>94</v>
      </c>
      <c r="B23" s="64"/>
      <c r="C23" s="53"/>
      <c r="D23" s="53"/>
      <c r="E23" s="53"/>
      <c r="F23" s="53"/>
      <c r="G23" s="54"/>
    </row>
    <row r="24" spans="1:9" x14ac:dyDescent="0.3">
      <c r="A24" s="36" t="s">
        <v>95</v>
      </c>
      <c r="B24" s="40"/>
      <c r="I24" s="35"/>
    </row>
    <row r="25" spans="1:9" x14ac:dyDescent="0.3">
      <c r="A25" t="s">
        <v>98</v>
      </c>
      <c r="B25" s="40" t="s">
        <v>99</v>
      </c>
      <c r="C25" s="37">
        <f>ISf!C3*Parameters!$B$46/365</f>
        <v>1442113.4447636039</v>
      </c>
      <c r="D25" s="37">
        <f>ISf!D3*Parameters!$B$46/365</f>
        <v>1564693.0875685101</v>
      </c>
      <c r="E25" s="37">
        <f>ISf!E3*Parameters!$B$46/365</f>
        <v>1705515.4654496762</v>
      </c>
      <c r="F25" s="37">
        <f>ISf!F3*Parameters!$B$46/365</f>
        <v>1867539.4346673952</v>
      </c>
      <c r="G25" s="37">
        <f>ISf!G3*Parameters!$B$46/365</f>
        <v>2063631.0753074714</v>
      </c>
    </row>
    <row r="26" spans="1:9" x14ac:dyDescent="0.3">
      <c r="A26" t="s">
        <v>100</v>
      </c>
      <c r="B26" s="40"/>
      <c r="C26" s="37">
        <f>BS!F26</f>
        <v>0</v>
      </c>
      <c r="D26" s="37">
        <f>C26</f>
        <v>0</v>
      </c>
      <c r="E26" s="37">
        <f t="shared" ref="E26:G26" si="7">D26</f>
        <v>0</v>
      </c>
      <c r="F26" s="37">
        <f t="shared" si="7"/>
        <v>0</v>
      </c>
      <c r="G26" s="37">
        <f t="shared" si="7"/>
        <v>0</v>
      </c>
    </row>
    <row r="27" spans="1:9" x14ac:dyDescent="0.3">
      <c r="A27" t="s">
        <v>101</v>
      </c>
      <c r="B27" s="40"/>
      <c r="C27" s="37">
        <f>BS!F27</f>
        <v>0</v>
      </c>
      <c r="D27" s="37">
        <f>C27</f>
        <v>0</v>
      </c>
      <c r="E27" s="37">
        <f t="shared" ref="E27:G27" si="8">D27</f>
        <v>0</v>
      </c>
      <c r="F27" s="37">
        <f t="shared" si="8"/>
        <v>0</v>
      </c>
      <c r="G27" s="37">
        <f t="shared" si="8"/>
        <v>0</v>
      </c>
    </row>
    <row r="28" spans="1:9" x14ac:dyDescent="0.3">
      <c r="A28" t="s">
        <v>103</v>
      </c>
      <c r="B28" s="40" t="s">
        <v>102</v>
      </c>
      <c r="C28" s="37">
        <f>BS!F28</f>
        <v>361513</v>
      </c>
      <c r="D28" s="37">
        <f t="shared" ref="D28:G29" si="9">C28</f>
        <v>361513</v>
      </c>
      <c r="E28" s="37">
        <f t="shared" si="9"/>
        <v>361513</v>
      </c>
      <c r="F28" s="37">
        <f t="shared" si="9"/>
        <v>361513</v>
      </c>
      <c r="G28" s="37">
        <f t="shared" si="9"/>
        <v>361513</v>
      </c>
      <c r="I28" s="35"/>
    </row>
    <row r="29" spans="1:9" x14ac:dyDescent="0.3">
      <c r="A29" s="41" t="s">
        <v>104</v>
      </c>
      <c r="B29" s="42"/>
      <c r="C29" s="62">
        <f>BS!F29</f>
        <v>0</v>
      </c>
      <c r="D29" s="62">
        <f t="shared" si="9"/>
        <v>0</v>
      </c>
      <c r="E29" s="62">
        <f t="shared" si="9"/>
        <v>0</v>
      </c>
      <c r="F29" s="62">
        <f t="shared" si="9"/>
        <v>0</v>
      </c>
      <c r="G29" s="62">
        <f t="shared" si="9"/>
        <v>0</v>
      </c>
    </row>
    <row r="30" spans="1:9" x14ac:dyDescent="0.3">
      <c r="A30" s="35" t="s">
        <v>105</v>
      </c>
      <c r="B30" s="43" t="s">
        <v>106</v>
      </c>
      <c r="C30" s="44">
        <f>SUM(C25:C29)</f>
        <v>1803626.4447636039</v>
      </c>
      <c r="D30" s="44">
        <f t="shared" ref="D30:G30" si="10">SUM(D25:D29)</f>
        <v>1926206.0875685101</v>
      </c>
      <c r="E30" s="44">
        <f t="shared" si="10"/>
        <v>2067028.4654496762</v>
      </c>
      <c r="F30" s="44">
        <f t="shared" si="10"/>
        <v>2229052.4346673954</v>
      </c>
      <c r="G30" s="44">
        <f t="shared" si="10"/>
        <v>2425144.0753074717</v>
      </c>
    </row>
    <row r="31" spans="1:9" x14ac:dyDescent="0.3">
      <c r="B31" s="40"/>
    </row>
    <row r="32" spans="1:9" x14ac:dyDescent="0.3">
      <c r="A32" s="36" t="s">
        <v>107</v>
      </c>
      <c r="B32" s="40"/>
    </row>
    <row r="33" spans="1:7" x14ac:dyDescent="0.3">
      <c r="A33" t="s">
        <v>108</v>
      </c>
      <c r="B33" s="40" t="s">
        <v>109</v>
      </c>
      <c r="C33" s="37">
        <f>Parameters!B40</f>
        <v>1024128</v>
      </c>
      <c r="D33" s="37">
        <f>Parameters!C40</f>
        <v>768096</v>
      </c>
      <c r="E33" s="37">
        <f>Parameters!D40</f>
        <v>512064</v>
      </c>
      <c r="F33" s="37">
        <f>Parameters!E40</f>
        <v>256032</v>
      </c>
      <c r="G33" s="37">
        <f>Parameters!F40</f>
        <v>0</v>
      </c>
    </row>
    <row r="34" spans="1:7" x14ac:dyDescent="0.3">
      <c r="A34" s="41" t="s">
        <v>110</v>
      </c>
      <c r="B34" s="42"/>
      <c r="C34" s="62">
        <f>BS!F34</f>
        <v>128701</v>
      </c>
      <c r="D34" s="62">
        <f>C34</f>
        <v>128701</v>
      </c>
      <c r="E34" s="62">
        <f t="shared" ref="E34:G34" si="11">D34</f>
        <v>128701</v>
      </c>
      <c r="F34" s="62">
        <f t="shared" si="11"/>
        <v>128701</v>
      </c>
      <c r="G34" s="62">
        <f t="shared" si="11"/>
        <v>128701</v>
      </c>
    </row>
    <row r="35" spans="1:7" x14ac:dyDescent="0.3">
      <c r="A35" s="35" t="s">
        <v>111</v>
      </c>
      <c r="B35" s="43" t="s">
        <v>112</v>
      </c>
      <c r="C35" s="44">
        <f>SUM(C33:C34)</f>
        <v>1152829</v>
      </c>
      <c r="D35" s="44">
        <f t="shared" ref="D35:G35" si="12">SUM(D33:D34)</f>
        <v>896797</v>
      </c>
      <c r="E35" s="44">
        <f t="shared" si="12"/>
        <v>640765</v>
      </c>
      <c r="F35" s="44">
        <f t="shared" si="12"/>
        <v>384733</v>
      </c>
      <c r="G35" s="44">
        <f t="shared" si="12"/>
        <v>128701</v>
      </c>
    </row>
    <row r="36" spans="1:7" x14ac:dyDescent="0.3">
      <c r="B36" s="40"/>
    </row>
    <row r="37" spans="1:7" x14ac:dyDescent="0.3">
      <c r="A37" s="35" t="s">
        <v>125</v>
      </c>
      <c r="B37" s="43" t="s">
        <v>113</v>
      </c>
      <c r="C37" s="44">
        <f>C30+C35</f>
        <v>2956455.4447636036</v>
      </c>
      <c r="D37" s="44">
        <f t="shared" ref="D37:G37" si="13">D30+D35</f>
        <v>2823003.0875685103</v>
      </c>
      <c r="E37" s="44">
        <f t="shared" si="13"/>
        <v>2707793.4654496759</v>
      </c>
      <c r="F37" s="44">
        <f t="shared" si="13"/>
        <v>2613785.4346673954</v>
      </c>
      <c r="G37" s="44">
        <f t="shared" si="13"/>
        <v>2553845.0753074717</v>
      </c>
    </row>
    <row r="38" spans="1:7" x14ac:dyDescent="0.3">
      <c r="B38" s="40"/>
    </row>
    <row r="39" spans="1:7" x14ac:dyDescent="0.3">
      <c r="A39" s="36" t="s">
        <v>114</v>
      </c>
      <c r="B39" s="40"/>
    </row>
    <row r="40" spans="1:7" x14ac:dyDescent="0.3">
      <c r="A40" t="s">
        <v>115</v>
      </c>
      <c r="B40" s="40" t="s">
        <v>118</v>
      </c>
      <c r="C40" s="37">
        <f>BS!F40</f>
        <v>155</v>
      </c>
      <c r="D40" s="37">
        <f>C40</f>
        <v>155</v>
      </c>
      <c r="E40" s="37">
        <f>D40</f>
        <v>155</v>
      </c>
      <c r="F40" s="37">
        <f t="shared" ref="F40:G40" si="14">E40</f>
        <v>155</v>
      </c>
      <c r="G40" s="37">
        <f t="shared" si="14"/>
        <v>155</v>
      </c>
    </row>
    <row r="41" spans="1:7" x14ac:dyDescent="0.3">
      <c r="A41" t="s">
        <v>116</v>
      </c>
      <c r="B41" s="40"/>
      <c r="C41" s="37">
        <f>BS!F41</f>
        <v>403799</v>
      </c>
      <c r="D41" s="37">
        <f>C41</f>
        <v>403799</v>
      </c>
      <c r="E41" s="37">
        <f t="shared" ref="E41:G41" si="15">D41</f>
        <v>403799</v>
      </c>
      <c r="F41" s="37">
        <f t="shared" si="15"/>
        <v>403799</v>
      </c>
      <c r="G41" s="37">
        <f t="shared" si="15"/>
        <v>403799</v>
      </c>
    </row>
    <row r="42" spans="1:7" x14ac:dyDescent="0.3">
      <c r="A42" t="s">
        <v>117</v>
      </c>
      <c r="B42" s="40" t="s">
        <v>119</v>
      </c>
      <c r="C42" s="37">
        <f>BS!F42+ISf!C26</f>
        <v>3689493.0714727049</v>
      </c>
      <c r="D42" s="37">
        <f>C42+ISf!D26</f>
        <v>4198274.8319999939</v>
      </c>
      <c r="E42" s="37">
        <f>D42+ISf!E26</f>
        <v>4786128.1870724438</v>
      </c>
      <c r="F42" s="37">
        <f>E42+ISf!F26</f>
        <v>5463340.7652707752</v>
      </c>
      <c r="G42" s="37">
        <f>F42+ISf!G26</f>
        <v>6246443.1913315821</v>
      </c>
    </row>
    <row r="43" spans="1:7" x14ac:dyDescent="0.3">
      <c r="A43" s="41" t="s">
        <v>120</v>
      </c>
      <c r="B43" s="42"/>
      <c r="C43" s="62">
        <f>BS!F43</f>
        <v>216701</v>
      </c>
      <c r="D43" s="62">
        <f>C43</f>
        <v>216701</v>
      </c>
      <c r="E43" s="62">
        <f t="shared" ref="E43:G43" si="16">D43</f>
        <v>216701</v>
      </c>
      <c r="F43" s="62">
        <f t="shared" si="16"/>
        <v>216701</v>
      </c>
      <c r="G43" s="62">
        <f t="shared" si="16"/>
        <v>216701</v>
      </c>
    </row>
    <row r="44" spans="1:7" x14ac:dyDescent="0.3">
      <c r="A44" s="35" t="s">
        <v>121</v>
      </c>
      <c r="B44" s="43" t="s">
        <v>122</v>
      </c>
      <c r="C44" s="44">
        <f>SUM(C40:C43)</f>
        <v>4310148.0714727044</v>
      </c>
      <c r="D44" s="44">
        <f t="shared" ref="D44:G44" si="17">SUM(D40:D43)</f>
        <v>4818929.8319999939</v>
      </c>
      <c r="E44" s="44">
        <f t="shared" si="17"/>
        <v>5406783.1870724438</v>
      </c>
      <c r="F44" s="44">
        <f t="shared" si="17"/>
        <v>6083995.7652707752</v>
      </c>
      <c r="G44" s="44">
        <f t="shared" si="17"/>
        <v>6867098.1913315821</v>
      </c>
    </row>
    <row r="45" spans="1:7" x14ac:dyDescent="0.3">
      <c r="B45" s="40"/>
    </row>
    <row r="46" spans="1:7" x14ac:dyDescent="0.3">
      <c r="A46" s="35" t="s">
        <v>123</v>
      </c>
      <c r="B46" s="43" t="s">
        <v>124</v>
      </c>
      <c r="C46" s="44">
        <f>C37+C44</f>
        <v>7266603.516236308</v>
      </c>
      <c r="D46" s="44">
        <f t="shared" ref="D46:G46" si="18">D37+D44</f>
        <v>7641932.9195685042</v>
      </c>
      <c r="E46" s="44">
        <f t="shared" si="18"/>
        <v>8114576.6525221197</v>
      </c>
      <c r="F46" s="44">
        <f t="shared" si="18"/>
        <v>8697781.1999381706</v>
      </c>
      <c r="G46" s="44">
        <f t="shared" si="18"/>
        <v>9420943.2666390538</v>
      </c>
    </row>
    <row r="48" spans="1:7" x14ac:dyDescent="0.3">
      <c r="B48" s="68" t="s">
        <v>228</v>
      </c>
      <c r="C48" s="69">
        <f>C21-C46</f>
        <v>0</v>
      </c>
      <c r="D48" s="69">
        <f t="shared" ref="D48:G48" si="19">D21-D46</f>
        <v>0</v>
      </c>
      <c r="E48" s="69">
        <f t="shared" si="19"/>
        <v>0</v>
      </c>
      <c r="F48" s="69">
        <f t="shared" si="19"/>
        <v>0</v>
      </c>
      <c r="G48" s="69">
        <f t="shared" si="19"/>
        <v>0</v>
      </c>
    </row>
    <row r="51" spans="2:7" x14ac:dyDescent="0.3">
      <c r="B51" s="40"/>
      <c r="C51" s="45"/>
      <c r="D51" s="45"/>
      <c r="E51" s="45"/>
      <c r="F51" s="45"/>
      <c r="G51" s="45"/>
    </row>
  </sheetData>
  <pageMargins left="0.7" right="0.7" top="0.75" bottom="0.75" header="0.3" footer="0.3"/>
  <pageSetup orientation="portrait" horizontalDpi="360" verticalDpi="36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15474D-6556-429D-9E27-18A6864461B9}">
  <dimension ref="A1:J37"/>
  <sheetViews>
    <sheetView workbookViewId="0">
      <pane xSplit="2" ySplit="1" topLeftCell="C20" activePane="bottomRight" state="frozen"/>
      <selection pane="topRight" activeCell="D1" sqref="D1"/>
      <selection pane="bottomLeft" activeCell="A2" sqref="A2"/>
      <selection pane="bottomRight" activeCell="J49" sqref="J49"/>
    </sheetView>
  </sheetViews>
  <sheetFormatPr defaultRowHeight="14.4" x14ac:dyDescent="0.3"/>
  <cols>
    <col min="1" max="1" width="32.5546875" bestFit="1" customWidth="1"/>
    <col min="2" max="2" width="8.88671875" style="40"/>
    <col min="3" max="7" width="12.77734375" customWidth="1"/>
  </cols>
  <sheetData>
    <row r="1" spans="1:10" x14ac:dyDescent="0.3">
      <c r="A1" s="70" t="s">
        <v>229</v>
      </c>
      <c r="B1" s="71"/>
      <c r="C1" s="71">
        <v>2023</v>
      </c>
      <c r="D1" s="71">
        <v>2024</v>
      </c>
      <c r="E1" s="71">
        <v>2025</v>
      </c>
      <c r="F1" s="71">
        <v>2026</v>
      </c>
      <c r="G1" s="72">
        <v>2027</v>
      </c>
    </row>
    <row r="2" spans="1:10" x14ac:dyDescent="0.3">
      <c r="A2" s="36" t="s">
        <v>230</v>
      </c>
      <c r="B2" s="39" t="s">
        <v>231</v>
      </c>
    </row>
    <row r="3" spans="1:10" x14ac:dyDescent="0.3">
      <c r="A3" t="s">
        <v>232</v>
      </c>
      <c r="C3" s="37">
        <f>ISf!C26</f>
        <v>438562.07147270499</v>
      </c>
      <c r="D3" s="37">
        <f>ISf!D26</f>
        <v>508781.76052728924</v>
      </c>
      <c r="E3" s="37">
        <f>ISf!E26</f>
        <v>587853.35507245013</v>
      </c>
      <c r="F3" s="37">
        <f>ISf!F26</f>
        <v>677212.57819833118</v>
      </c>
      <c r="G3" s="37">
        <f>ISf!G26</f>
        <v>783102.42606080708</v>
      </c>
    </row>
    <row r="4" spans="1:10" x14ac:dyDescent="0.3">
      <c r="A4" t="s">
        <v>233</v>
      </c>
      <c r="C4" s="37">
        <f>ISf!C12</f>
        <v>179705.06666666665</v>
      </c>
      <c r="D4" s="37">
        <f>ISf!D12</f>
        <v>179705.06666666665</v>
      </c>
      <c r="E4" s="37">
        <f>ISf!E12</f>
        <v>179705.06666666665</v>
      </c>
      <c r="F4" s="37">
        <f>ISf!F12</f>
        <v>179705.06666666665</v>
      </c>
      <c r="G4" s="37">
        <f>ISf!G12</f>
        <v>179705.06666666665</v>
      </c>
    </row>
    <row r="5" spans="1:10" x14ac:dyDescent="0.3">
      <c r="A5" t="s">
        <v>234</v>
      </c>
      <c r="C5" s="37">
        <f>-C6-C7-C8-C9+C10+C11+C12</f>
        <v>1823566.696794352</v>
      </c>
      <c r="D5" s="37">
        <f t="shared" ref="D5:G5" si="0">-D6-D7-D8-D9+D10+D11+D12</f>
        <v>12471.17422751979</v>
      </c>
      <c r="E5" s="37">
        <f t="shared" si="0"/>
        <v>14327.178391968424</v>
      </c>
      <c r="F5" s="37">
        <f t="shared" si="0"/>
        <v>16484.214694314694</v>
      </c>
      <c r="G5" s="37">
        <f t="shared" si="0"/>
        <v>19950.237731356261</v>
      </c>
    </row>
    <row r="6" spans="1:10" x14ac:dyDescent="0.3">
      <c r="A6" t="s">
        <v>235</v>
      </c>
      <c r="C6" s="74">
        <f>BSf!C6-BS!F6</f>
        <v>0</v>
      </c>
      <c r="D6" s="74">
        <f>BSf!D6-BSf!C6</f>
        <v>0</v>
      </c>
      <c r="E6" s="74">
        <f>BSf!E6-BSf!D6</f>
        <v>0</v>
      </c>
      <c r="F6" s="74">
        <f>BSf!F6-BSf!E6</f>
        <v>0</v>
      </c>
      <c r="G6" s="74">
        <f>BSf!G6-BSf!F6</f>
        <v>0</v>
      </c>
    </row>
    <row r="7" spans="1:10" x14ac:dyDescent="0.3">
      <c r="A7" s="73" t="s">
        <v>236</v>
      </c>
      <c r="C7" s="74">
        <f>BSf!C7-BS!F7</f>
        <v>107635.49201263906</v>
      </c>
      <c r="D7" s="74">
        <f>BSf!D7-BSf!C7</f>
        <v>88566.471821074374</v>
      </c>
      <c r="E7" s="74">
        <f>BSf!E7-BSf!D7</f>
        <v>101747.24674503435</v>
      </c>
      <c r="F7" s="74">
        <f>BSf!F7-BSf!E7</f>
        <v>117065.86000498105</v>
      </c>
      <c r="G7" s="74">
        <f>BSf!G7-BSf!F7</f>
        <v>141680.49741129135</v>
      </c>
    </row>
    <row r="8" spans="1:10" x14ac:dyDescent="0.3">
      <c r="A8" s="73" t="s">
        <v>237</v>
      </c>
      <c r="C8" s="74">
        <f>BSf!C8-BS!F8</f>
        <v>-1790741.0987681616</v>
      </c>
      <c r="D8" s="74">
        <f>BSf!D8-BSf!C8</f>
        <v>2318.3666047062579</v>
      </c>
      <c r="E8" s="74">
        <f>BSf!E8-BSf!D8</f>
        <v>2663.3941052890186</v>
      </c>
      <c r="F8" s="74">
        <f>BSf!F8-BSf!E8</f>
        <v>3064.3828844741911</v>
      </c>
      <c r="G8" s="74">
        <f>BSf!G8-BSf!F8</f>
        <v>3708.7097067623181</v>
      </c>
    </row>
    <row r="9" spans="1:10" x14ac:dyDescent="0.3">
      <c r="A9" s="73" t="s">
        <v>238</v>
      </c>
      <c r="C9" s="74">
        <f>BSf!C9-BS!F9</f>
        <v>50125.35472477437</v>
      </c>
      <c r="D9" s="74">
        <f>BSf!D9-BSf!C9</f>
        <v>19223.630151605816</v>
      </c>
      <c r="E9" s="74">
        <f>BSf!E9-BSf!D9</f>
        <v>22084.558638874267</v>
      </c>
      <c r="F9" s="74">
        <f>BSf!F9-BSf!E9</f>
        <v>25409.511633949121</v>
      </c>
      <c r="G9" s="74">
        <f>BSf!G9-BSf!F9</f>
        <v>30752.19579066633</v>
      </c>
    </row>
    <row r="10" spans="1:10" x14ac:dyDescent="0.3">
      <c r="A10" s="73" t="s">
        <v>239</v>
      </c>
      <c r="C10" s="74">
        <f>BSf!C25-BS!F25</f>
        <v>190586.44476360385</v>
      </c>
      <c r="D10" s="74">
        <f>BSf!D25-BSf!C25</f>
        <v>122579.64280490624</v>
      </c>
      <c r="E10" s="74">
        <f>BSf!E25-BSf!D25</f>
        <v>140822.37788116606</v>
      </c>
      <c r="F10" s="74">
        <f>BSf!F25-BSf!E25</f>
        <v>162023.96921771904</v>
      </c>
      <c r="G10" s="74">
        <f>BSf!G25-BSf!F25</f>
        <v>196091.64064007625</v>
      </c>
      <c r="J10" s="35"/>
    </row>
    <row r="11" spans="1:10" x14ac:dyDescent="0.3">
      <c r="A11" s="73" t="s">
        <v>240</v>
      </c>
      <c r="C11" s="74">
        <f>BSf!C28-BS!F28</f>
        <v>0</v>
      </c>
      <c r="D11" s="74">
        <f>BSf!D28-BSf!C28</f>
        <v>0</v>
      </c>
      <c r="E11" s="74">
        <f>BSf!E28-BSf!D28</f>
        <v>0</v>
      </c>
      <c r="F11" s="74">
        <f>BSf!F28-BSf!E28</f>
        <v>0</v>
      </c>
      <c r="G11" s="74">
        <f>BSf!G28-BSf!F28</f>
        <v>0</v>
      </c>
    </row>
    <row r="12" spans="1:10" x14ac:dyDescent="0.3">
      <c r="A12" s="73" t="s">
        <v>241</v>
      </c>
      <c r="C12" s="74">
        <f>BSf!C26+BSf!C27+BSf!C29-BS!F26-BS!F27-BS!F29</f>
        <v>0</v>
      </c>
      <c r="D12" s="74">
        <f>BSf!D26+BSf!D27+BSf!D29-BSf!C26-BSf!C27-BSf!C29</f>
        <v>0</v>
      </c>
      <c r="E12" s="74">
        <f>BSf!E26+BSf!E27+BSf!E29-BSf!D26-BSf!D27-BSf!D29</f>
        <v>0</v>
      </c>
      <c r="F12" s="74">
        <f>BSf!F26+BSf!F27+BSf!F29-BSf!E26-BSf!E27-BSf!E29</f>
        <v>0</v>
      </c>
      <c r="G12" s="74">
        <f>BSf!G26+BSf!G27+BSf!G29-BSf!F26-BSf!F27-BSf!F29</f>
        <v>0</v>
      </c>
    </row>
    <row r="13" spans="1:10" x14ac:dyDescent="0.3">
      <c r="A13" s="41" t="s">
        <v>242</v>
      </c>
      <c r="B13" s="42"/>
      <c r="C13" s="62">
        <f>ISf!C16</f>
        <v>57607.200000000004</v>
      </c>
      <c r="D13" s="62">
        <f>ISf!D16</f>
        <v>44805.600000000006</v>
      </c>
      <c r="E13" s="62">
        <f>ISf!E16</f>
        <v>32004</v>
      </c>
      <c r="F13" s="62">
        <f>ISf!F16</f>
        <v>19202.400000000001</v>
      </c>
      <c r="G13" s="62">
        <f>ISf!G16</f>
        <v>6400.8</v>
      </c>
      <c r="J13" s="35"/>
    </row>
    <row r="14" spans="1:10" x14ac:dyDescent="0.3">
      <c r="A14" s="35" t="s">
        <v>230</v>
      </c>
      <c r="B14" s="43" t="s">
        <v>231</v>
      </c>
      <c r="C14" s="44">
        <f>C3+C4+C5+C13</f>
        <v>2499441.034933724</v>
      </c>
      <c r="D14" s="44">
        <f t="shared" ref="D14:G14" si="1">D3+D4+D5+D13</f>
        <v>745763.60142147564</v>
      </c>
      <c r="E14" s="44">
        <f t="shared" si="1"/>
        <v>813889.60013108514</v>
      </c>
      <c r="F14" s="44">
        <f t="shared" si="1"/>
        <v>892604.25955931249</v>
      </c>
      <c r="G14" s="44">
        <f t="shared" si="1"/>
        <v>989158.53045883006</v>
      </c>
    </row>
    <row r="16" spans="1:10" x14ac:dyDescent="0.3">
      <c r="A16" s="36" t="s">
        <v>243</v>
      </c>
      <c r="B16" s="39" t="s">
        <v>244</v>
      </c>
    </row>
    <row r="17" spans="1:7" x14ac:dyDescent="0.3">
      <c r="A17" s="35" t="s">
        <v>245</v>
      </c>
    </row>
    <row r="18" spans="1:7" x14ac:dyDescent="0.3">
      <c r="A18" t="s">
        <v>246</v>
      </c>
      <c r="C18" s="37">
        <f>Parameters!B38</f>
        <v>256032</v>
      </c>
      <c r="D18" s="37">
        <f>Parameters!C38</f>
        <v>256032</v>
      </c>
      <c r="E18" s="37">
        <f>Parameters!D38</f>
        <v>256032</v>
      </c>
      <c r="F18" s="37">
        <f>Parameters!E38</f>
        <v>256032</v>
      </c>
      <c r="G18" s="37">
        <f>Parameters!F38</f>
        <v>256032</v>
      </c>
    </row>
    <row r="19" spans="1:7" x14ac:dyDescent="0.3">
      <c r="A19" t="s">
        <v>221</v>
      </c>
      <c r="C19" s="37">
        <f>Parameters!B41</f>
        <v>57607.200000000004</v>
      </c>
      <c r="D19" s="37">
        <f>Parameters!C41</f>
        <v>44805.600000000006</v>
      </c>
      <c r="E19" s="37">
        <f>Parameters!D41</f>
        <v>32004</v>
      </c>
      <c r="F19" s="37">
        <f>Parameters!E41</f>
        <v>19202.400000000001</v>
      </c>
      <c r="G19" s="37">
        <f>Parameters!F41</f>
        <v>6400.8</v>
      </c>
    </row>
    <row r="20" spans="1:7" x14ac:dyDescent="0.3">
      <c r="A20" t="s">
        <v>247</v>
      </c>
      <c r="C20">
        <v>0</v>
      </c>
      <c r="D20">
        <v>0</v>
      </c>
      <c r="E20">
        <v>0</v>
      </c>
      <c r="F20">
        <v>0</v>
      </c>
      <c r="G20">
        <v>0</v>
      </c>
    </row>
    <row r="21" spans="1:7" x14ac:dyDescent="0.3">
      <c r="A21" t="s">
        <v>248</v>
      </c>
      <c r="C21">
        <v>0</v>
      </c>
      <c r="D21">
        <v>0</v>
      </c>
      <c r="E21">
        <v>0</v>
      </c>
      <c r="F21">
        <v>0</v>
      </c>
      <c r="G21">
        <v>0</v>
      </c>
    </row>
    <row r="22" spans="1:7" x14ac:dyDescent="0.3">
      <c r="A22" s="35" t="s">
        <v>249</v>
      </c>
    </row>
    <row r="23" spans="1:7" x14ac:dyDescent="0.3">
      <c r="A23" t="s">
        <v>250</v>
      </c>
      <c r="C23">
        <v>0</v>
      </c>
      <c r="D23">
        <v>0</v>
      </c>
      <c r="E23">
        <v>0</v>
      </c>
      <c r="F23">
        <v>0</v>
      </c>
      <c r="G23">
        <v>0</v>
      </c>
    </row>
    <row r="24" spans="1:7" x14ac:dyDescent="0.3">
      <c r="A24" t="s">
        <v>251</v>
      </c>
      <c r="C24">
        <v>0</v>
      </c>
      <c r="D24">
        <v>0</v>
      </c>
      <c r="E24">
        <v>0</v>
      </c>
      <c r="F24">
        <v>0</v>
      </c>
      <c r="G24">
        <v>0</v>
      </c>
    </row>
    <row r="25" spans="1:7" x14ac:dyDescent="0.3">
      <c r="A25" s="41" t="s">
        <v>252</v>
      </c>
      <c r="B25" s="42"/>
      <c r="C25" s="41">
        <v>0</v>
      </c>
      <c r="D25" s="41">
        <v>0</v>
      </c>
      <c r="E25" s="41">
        <v>0</v>
      </c>
      <c r="F25" s="41">
        <v>0</v>
      </c>
      <c r="G25" s="41">
        <v>0</v>
      </c>
    </row>
    <row r="26" spans="1:7" x14ac:dyDescent="0.3">
      <c r="A26" s="35" t="s">
        <v>243</v>
      </c>
      <c r="B26" s="43" t="s">
        <v>244</v>
      </c>
      <c r="C26" s="44">
        <f>SUM(C23:C25)-SUM(C18:C21)</f>
        <v>-313639.2</v>
      </c>
      <c r="D26" s="44">
        <f t="shared" ref="D26:G26" si="2">SUM(D23:D25)-SUM(D18:D21)</f>
        <v>-300837.59999999998</v>
      </c>
      <c r="E26" s="44">
        <f t="shared" si="2"/>
        <v>-288036</v>
      </c>
      <c r="F26" s="44">
        <f t="shared" si="2"/>
        <v>-275234.40000000002</v>
      </c>
      <c r="G26" s="44">
        <f t="shared" si="2"/>
        <v>-262432.8</v>
      </c>
    </row>
    <row r="28" spans="1:7" x14ac:dyDescent="0.3">
      <c r="A28" s="36" t="s">
        <v>253</v>
      </c>
      <c r="B28" s="39" t="s">
        <v>254</v>
      </c>
      <c r="C28" s="37"/>
    </row>
    <row r="29" spans="1:7" x14ac:dyDescent="0.3">
      <c r="A29" t="s">
        <v>255</v>
      </c>
      <c r="C29" s="37">
        <v>10000</v>
      </c>
      <c r="D29">
        <v>0</v>
      </c>
      <c r="E29">
        <v>0</v>
      </c>
      <c r="F29">
        <v>0</v>
      </c>
      <c r="G29">
        <v>0</v>
      </c>
    </row>
    <row r="30" spans="1:7" x14ac:dyDescent="0.3">
      <c r="A30" s="41" t="s">
        <v>256</v>
      </c>
      <c r="B30" s="42"/>
      <c r="C30" s="41">
        <v>0</v>
      </c>
      <c r="D30" s="41">
        <v>0</v>
      </c>
      <c r="E30" s="41">
        <v>0</v>
      </c>
      <c r="F30" s="41">
        <v>0</v>
      </c>
      <c r="G30" s="41">
        <v>0</v>
      </c>
    </row>
    <row r="31" spans="1:7" x14ac:dyDescent="0.3">
      <c r="A31" s="35" t="s">
        <v>253</v>
      </c>
      <c r="B31" s="43" t="s">
        <v>254</v>
      </c>
      <c r="C31" s="35">
        <f>C30-C29</f>
        <v>-10000</v>
      </c>
      <c r="D31" s="35">
        <f t="shared" ref="D31:G31" si="3">D30-D29</f>
        <v>0</v>
      </c>
      <c r="E31" s="35">
        <f t="shared" si="3"/>
        <v>0</v>
      </c>
      <c r="F31" s="35">
        <f t="shared" si="3"/>
        <v>0</v>
      </c>
      <c r="G31" s="35">
        <f t="shared" si="3"/>
        <v>0</v>
      </c>
    </row>
    <row r="33" spans="1:7" x14ac:dyDescent="0.3">
      <c r="A33" s="35" t="s">
        <v>257</v>
      </c>
      <c r="B33" s="43"/>
      <c r="C33" s="44">
        <f>BS!F5</f>
        <v>615733</v>
      </c>
      <c r="D33" s="44">
        <f>C37</f>
        <v>2791534.8349337238</v>
      </c>
      <c r="E33" s="44">
        <f t="shared" ref="E33:G33" si="4">D37</f>
        <v>3236460.8363551996</v>
      </c>
      <c r="F33" s="44">
        <f t="shared" si="4"/>
        <v>3762314.4364862847</v>
      </c>
      <c r="G33" s="44">
        <f t="shared" si="4"/>
        <v>4379684.2960455976</v>
      </c>
    </row>
    <row r="35" spans="1:7" x14ac:dyDescent="0.3">
      <c r="A35" s="35" t="s">
        <v>258</v>
      </c>
      <c r="B35" s="43"/>
      <c r="C35" s="44">
        <f>C14+C26+C31</f>
        <v>2175801.8349337238</v>
      </c>
      <c r="D35" s="44">
        <f>D14+D26+D31</f>
        <v>444926.00142147567</v>
      </c>
      <c r="E35" s="44">
        <f t="shared" ref="E35:G35" si="5">E14+E26+E31</f>
        <v>525853.60013108514</v>
      </c>
      <c r="F35" s="44">
        <f t="shared" si="5"/>
        <v>617369.85955931246</v>
      </c>
      <c r="G35" s="44">
        <f t="shared" si="5"/>
        <v>726725.73045883002</v>
      </c>
    </row>
    <row r="37" spans="1:7" x14ac:dyDescent="0.3">
      <c r="A37" s="35" t="s">
        <v>259</v>
      </c>
      <c r="B37" s="43"/>
      <c r="C37" s="44">
        <f>C33+C35</f>
        <v>2791534.8349337238</v>
      </c>
      <c r="D37" s="44">
        <f>D33+D35</f>
        <v>3236460.8363551996</v>
      </c>
      <c r="E37" s="44">
        <f t="shared" ref="E37:G37" si="6">E33+E35</f>
        <v>3762314.4364862847</v>
      </c>
      <c r="F37" s="44">
        <f t="shared" si="6"/>
        <v>4379684.2960455976</v>
      </c>
      <c r="G37" s="44">
        <f t="shared" si="6"/>
        <v>5106410.0265044272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79AA63-F545-4F25-B5C1-6D7706161AEF}">
  <dimension ref="A1:P46"/>
  <sheetViews>
    <sheetView workbookViewId="0">
      <pane xSplit="1" ySplit="1" topLeftCell="B26" activePane="bottomRight" state="frozen"/>
      <selection pane="topRight" activeCell="C1" sqref="C1"/>
      <selection pane="bottomLeft" activeCell="A2" sqref="A2"/>
      <selection pane="bottomRight" activeCell="J27" sqref="J27"/>
    </sheetView>
  </sheetViews>
  <sheetFormatPr defaultRowHeight="14.4" x14ac:dyDescent="0.3"/>
  <cols>
    <col min="1" max="1" width="31.77734375" bestFit="1" customWidth="1"/>
    <col min="2" max="6" width="10.77734375" customWidth="1"/>
    <col min="8" max="8" width="13.44140625" customWidth="1"/>
    <col min="9" max="9" width="12.109375" customWidth="1"/>
    <col min="11" max="11" width="10.77734375" customWidth="1"/>
  </cols>
  <sheetData>
    <row r="1" spans="1:16" x14ac:dyDescent="0.3">
      <c r="B1" s="59">
        <v>2023</v>
      </c>
      <c r="C1" s="55">
        <v>2024</v>
      </c>
      <c r="D1" s="55">
        <v>2025</v>
      </c>
      <c r="E1" s="55">
        <v>2026</v>
      </c>
      <c r="F1" s="56">
        <v>2027</v>
      </c>
    </row>
    <row r="2" spans="1:16" x14ac:dyDescent="0.3">
      <c r="A2" t="s">
        <v>196</v>
      </c>
      <c r="B2" s="58">
        <v>0.08</v>
      </c>
      <c r="C2" s="58">
        <v>8.5000000000000006E-2</v>
      </c>
      <c r="D2" s="58">
        <v>0.09</v>
      </c>
      <c r="E2" s="58">
        <v>9.5000000000000001E-2</v>
      </c>
      <c r="F2" s="58">
        <v>0.105</v>
      </c>
    </row>
    <row r="3" spans="1:16" x14ac:dyDescent="0.3">
      <c r="A3" s="6" t="s">
        <v>197</v>
      </c>
      <c r="B3" s="58">
        <f>AVERAGE(IS!C31:F31)</f>
        <v>0.52028718797743501</v>
      </c>
    </row>
    <row r="5" spans="1:16" x14ac:dyDescent="0.3">
      <c r="A5" s="6" t="s">
        <v>199</v>
      </c>
      <c r="B5" s="58">
        <f>AVERAGE(IS!E32:F32)</f>
        <v>0.37892697385568985</v>
      </c>
    </row>
    <row r="6" spans="1:16" x14ac:dyDescent="0.3">
      <c r="A6" s="6" t="s">
        <v>200</v>
      </c>
      <c r="B6" s="58">
        <f>AVERAGE(IS!C33:F33)</f>
        <v>0</v>
      </c>
    </row>
    <row r="7" spans="1:16" x14ac:dyDescent="0.3">
      <c r="A7" s="6" t="s">
        <v>203</v>
      </c>
      <c r="B7" s="58">
        <f>AVERAGE(IS!C34:F34)</f>
        <v>-2.9489703551450058E-3</v>
      </c>
    </row>
    <row r="9" spans="1:16" x14ac:dyDescent="0.3">
      <c r="A9" s="6" t="s">
        <v>205</v>
      </c>
    </row>
    <row r="10" spans="1:16" x14ac:dyDescent="0.3">
      <c r="B10" s="57">
        <v>15</v>
      </c>
      <c r="C10" t="s">
        <v>206</v>
      </c>
    </row>
    <row r="11" spans="1:16" x14ac:dyDescent="0.3">
      <c r="B11" s="57">
        <v>6</v>
      </c>
      <c r="C11" t="s">
        <v>206</v>
      </c>
      <c r="H11" t="s">
        <v>729</v>
      </c>
      <c r="I11">
        <v>6</v>
      </c>
      <c r="J11" t="s">
        <v>206</v>
      </c>
    </row>
    <row r="12" spans="1:16" x14ac:dyDescent="0.3">
      <c r="B12" s="57">
        <v>10</v>
      </c>
      <c r="C12" t="s">
        <v>206</v>
      </c>
    </row>
    <row r="14" spans="1:16" x14ac:dyDescent="0.3">
      <c r="A14" s="35" t="s">
        <v>207</v>
      </c>
      <c r="H14" s="126" t="s">
        <v>208</v>
      </c>
      <c r="I14" s="127"/>
      <c r="J14" s="61">
        <f>BS!F15</f>
        <v>0</v>
      </c>
      <c r="K14" s="61">
        <f>J14</f>
        <v>0</v>
      </c>
      <c r="L14" s="61">
        <f t="shared" ref="L14" si="0">K14</f>
        <v>0</v>
      </c>
      <c r="M14" s="61">
        <f t="shared" ref="M14" si="1">L14</f>
        <v>0</v>
      </c>
      <c r="N14" s="61">
        <f t="shared" ref="N14" si="2">M14</f>
        <v>0</v>
      </c>
      <c r="P14" s="35"/>
    </row>
    <row r="15" spans="1:16" x14ac:dyDescent="0.3">
      <c r="A15" s="60" t="s">
        <v>208</v>
      </c>
      <c r="B15" s="61">
        <f>BS!F13</f>
        <v>2545935</v>
      </c>
      <c r="C15" s="61">
        <f>B15</f>
        <v>2545935</v>
      </c>
      <c r="D15" s="61">
        <f t="shared" ref="D15:F15" si="3">C15</f>
        <v>2545935</v>
      </c>
      <c r="E15" s="61">
        <f t="shared" si="3"/>
        <v>2545935</v>
      </c>
      <c r="F15" s="61">
        <f t="shared" si="3"/>
        <v>2545935</v>
      </c>
      <c r="H15" s="126" t="s">
        <v>209</v>
      </c>
      <c r="I15" s="127"/>
      <c r="J15" s="61">
        <f>J14/$B$11</f>
        <v>0</v>
      </c>
      <c r="K15" s="61">
        <f>IF(J17&gt;0,K14/$B$11,0)</f>
        <v>0</v>
      </c>
      <c r="L15" s="61">
        <f t="shared" ref="L15" si="4">IF(K17&gt;0,L14/$B$11,0)</f>
        <v>0</v>
      </c>
      <c r="M15" s="61">
        <f t="shared" ref="M15" si="5">IF(L17&gt;0,M14/$B$11,0)</f>
        <v>0</v>
      </c>
      <c r="N15" s="61">
        <f>IF(M17&gt;0,N14/$B$11,0)</f>
        <v>0</v>
      </c>
    </row>
    <row r="16" spans="1:16" x14ac:dyDescent="0.3">
      <c r="A16" s="60" t="s">
        <v>209</v>
      </c>
      <c r="B16" s="61">
        <f>B15/$B$10</f>
        <v>169729</v>
      </c>
      <c r="C16" s="61">
        <f>IF(B18&gt;0,C15/$B$10,0)</f>
        <v>169729</v>
      </c>
      <c r="D16" s="61">
        <f t="shared" ref="D16:E16" si="6">IF(C18&gt;0,D15/$B$10,0)</f>
        <v>169729</v>
      </c>
      <c r="E16" s="61">
        <f t="shared" si="6"/>
        <v>169729</v>
      </c>
      <c r="F16" s="61">
        <f>IF(E18&gt;0,F15/$B$10,0)</f>
        <v>169729</v>
      </c>
      <c r="H16" s="126" t="s">
        <v>210</v>
      </c>
      <c r="I16" s="127"/>
      <c r="J16" s="61">
        <f>J15</f>
        <v>0</v>
      </c>
      <c r="K16" s="61">
        <f>J16+K15</f>
        <v>0</v>
      </c>
      <c r="L16" s="61">
        <f t="shared" ref="L16" si="7">K16+L15</f>
        <v>0</v>
      </c>
      <c r="M16" s="61">
        <f t="shared" ref="M16" si="8">L16+M15</f>
        <v>0</v>
      </c>
      <c r="N16" s="61">
        <f t="shared" ref="N16" si="9">M16+N15</f>
        <v>0</v>
      </c>
    </row>
    <row r="17" spans="1:16" x14ac:dyDescent="0.3">
      <c r="A17" s="60" t="s">
        <v>210</v>
      </c>
      <c r="B17" s="61">
        <f>B16</f>
        <v>169729</v>
      </c>
      <c r="C17" s="61">
        <f>B17+C16</f>
        <v>339458</v>
      </c>
      <c r="D17" s="61">
        <f t="shared" ref="D17:F17" si="10">C17+D16</f>
        <v>509187</v>
      </c>
      <c r="E17" s="61">
        <f>D17+E16</f>
        <v>678916</v>
      </c>
      <c r="F17" s="61">
        <f t="shared" si="10"/>
        <v>848645</v>
      </c>
      <c r="H17" s="126" t="s">
        <v>211</v>
      </c>
      <c r="I17" s="127"/>
      <c r="J17" s="61">
        <f>J14-J16</f>
        <v>0</v>
      </c>
      <c r="K17" s="61">
        <f t="shared" ref="K17:N17" si="11">K14-K16</f>
        <v>0</v>
      </c>
      <c r="L17" s="61">
        <f t="shared" si="11"/>
        <v>0</v>
      </c>
      <c r="M17" s="61">
        <f t="shared" si="11"/>
        <v>0</v>
      </c>
      <c r="N17" s="61">
        <f t="shared" si="11"/>
        <v>0</v>
      </c>
    </row>
    <row r="18" spans="1:16" x14ac:dyDescent="0.3">
      <c r="A18" s="60" t="s">
        <v>211</v>
      </c>
      <c r="B18" s="61">
        <f>B15-B17</f>
        <v>2376206</v>
      </c>
      <c r="C18" s="61">
        <f t="shared" ref="C18:F18" si="12">C15-C17</f>
        <v>2206477</v>
      </c>
      <c r="D18" s="61">
        <f t="shared" si="12"/>
        <v>2036748</v>
      </c>
      <c r="E18" s="61">
        <f t="shared" si="12"/>
        <v>1867019</v>
      </c>
      <c r="F18" s="61">
        <f t="shared" si="12"/>
        <v>1697290</v>
      </c>
      <c r="P18" s="35"/>
    </row>
    <row r="20" spans="1:16" x14ac:dyDescent="0.3">
      <c r="A20" s="35" t="s">
        <v>213</v>
      </c>
    </row>
    <row r="21" spans="1:16" x14ac:dyDescent="0.3">
      <c r="A21" s="60" t="s">
        <v>208</v>
      </c>
      <c r="B21" s="61">
        <f>J14+J21</f>
        <v>10000</v>
      </c>
      <c r="C21" s="61">
        <f>K14+K21</f>
        <v>10000</v>
      </c>
      <c r="D21" s="61">
        <f t="shared" ref="D21:F21" si="13">L14+L21</f>
        <v>10000</v>
      </c>
      <c r="E21" s="61">
        <f t="shared" si="13"/>
        <v>10000</v>
      </c>
      <c r="F21" s="61">
        <f t="shared" si="13"/>
        <v>10000</v>
      </c>
      <c r="H21" s="126" t="s">
        <v>208</v>
      </c>
      <c r="I21" s="127"/>
      <c r="J21" s="61">
        <v>10000</v>
      </c>
      <c r="K21" s="61">
        <f>J21</f>
        <v>10000</v>
      </c>
      <c r="L21" s="61">
        <f t="shared" ref="L21" si="14">K21</f>
        <v>10000</v>
      </c>
      <c r="M21" s="61">
        <f t="shared" ref="M21" si="15">L21</f>
        <v>10000</v>
      </c>
      <c r="N21" s="61">
        <f t="shared" ref="N21" si="16">M21</f>
        <v>10000</v>
      </c>
      <c r="P21" s="35"/>
    </row>
    <row r="22" spans="1:16" x14ac:dyDescent="0.3">
      <c r="A22" s="60" t="s">
        <v>209</v>
      </c>
      <c r="B22" s="61">
        <f t="shared" ref="B22:B24" si="17">J15+J22</f>
        <v>1666.6666666666667</v>
      </c>
      <c r="C22" s="61">
        <f t="shared" ref="C22:C24" si="18">K15+K22</f>
        <v>1666.6666666666667</v>
      </c>
      <c r="D22" s="61">
        <f t="shared" ref="D22:D24" si="19">L15+L22</f>
        <v>1666.6666666666667</v>
      </c>
      <c r="E22" s="61">
        <f t="shared" ref="E22:E24" si="20">M15+M22</f>
        <v>1666.6666666666667</v>
      </c>
      <c r="F22" s="61">
        <f t="shared" ref="F22:F24" si="21">N15+N22</f>
        <v>1666.6666666666667</v>
      </c>
      <c r="H22" s="126" t="s">
        <v>209</v>
      </c>
      <c r="I22" s="127"/>
      <c r="J22" s="61">
        <f>J21/$B$11</f>
        <v>1666.6666666666667</v>
      </c>
      <c r="K22" s="61">
        <f>IF(J24&gt;0,K21/$I$11,0)</f>
        <v>1666.6666666666667</v>
      </c>
      <c r="L22" s="61">
        <f>IF(K24&gt;0,L21/$I$11,0)</f>
        <v>1666.6666666666667</v>
      </c>
      <c r="M22" s="61">
        <f t="shared" ref="M22:N22" si="22">IF(L24&gt;0,M21/$I$11,0)</f>
        <v>1666.6666666666667</v>
      </c>
      <c r="N22" s="61">
        <f t="shared" si="22"/>
        <v>1666.6666666666667</v>
      </c>
    </row>
    <row r="23" spans="1:16" x14ac:dyDescent="0.3">
      <c r="A23" s="60" t="s">
        <v>210</v>
      </c>
      <c r="B23" s="61">
        <f t="shared" si="17"/>
        <v>1666.6666666666667</v>
      </c>
      <c r="C23" s="61">
        <f t="shared" si="18"/>
        <v>3333.3333333333335</v>
      </c>
      <c r="D23" s="61">
        <f t="shared" si="19"/>
        <v>5000</v>
      </c>
      <c r="E23" s="61">
        <f t="shared" si="20"/>
        <v>6666.666666666667</v>
      </c>
      <c r="F23" s="61">
        <f t="shared" si="21"/>
        <v>8333.3333333333339</v>
      </c>
      <c r="H23" s="126" t="s">
        <v>210</v>
      </c>
      <c r="I23" s="127"/>
      <c r="J23" s="61">
        <f>J22</f>
        <v>1666.6666666666667</v>
      </c>
      <c r="K23" s="61">
        <f>J23+K22</f>
        <v>3333.3333333333335</v>
      </c>
      <c r="L23" s="61">
        <f>K23+L22</f>
        <v>5000</v>
      </c>
      <c r="M23" s="61">
        <f t="shared" ref="M23" si="23">L23+M22</f>
        <v>6666.666666666667</v>
      </c>
      <c r="N23" s="61">
        <f t="shared" ref="N23" si="24">M23+N22</f>
        <v>8333.3333333333339</v>
      </c>
    </row>
    <row r="24" spans="1:16" x14ac:dyDescent="0.3">
      <c r="A24" s="60" t="s">
        <v>211</v>
      </c>
      <c r="B24" s="61">
        <f t="shared" si="17"/>
        <v>8333.3333333333339</v>
      </c>
      <c r="C24" s="61">
        <f t="shared" si="18"/>
        <v>6666.6666666666661</v>
      </c>
      <c r="D24" s="61">
        <f t="shared" si="19"/>
        <v>5000</v>
      </c>
      <c r="E24" s="61">
        <f t="shared" si="20"/>
        <v>3333.333333333333</v>
      </c>
      <c r="F24" s="61">
        <f t="shared" si="21"/>
        <v>1666.6666666666661</v>
      </c>
      <c r="H24" s="126" t="s">
        <v>211</v>
      </c>
      <c r="I24" s="127"/>
      <c r="J24" s="61">
        <f>J21-J23</f>
        <v>8333.3333333333339</v>
      </c>
      <c r="K24" s="61">
        <f>K21-K23</f>
        <v>6666.6666666666661</v>
      </c>
      <c r="L24" s="61">
        <f t="shared" ref="L24:N24" si="25">L21-L23</f>
        <v>5000</v>
      </c>
      <c r="M24" s="61">
        <f>M21-M23</f>
        <v>3333.333333333333</v>
      </c>
      <c r="N24" s="61">
        <f t="shared" si="25"/>
        <v>1666.6666666666661</v>
      </c>
    </row>
    <row r="25" spans="1:16" x14ac:dyDescent="0.3">
      <c r="P25" s="35"/>
    </row>
    <row r="26" spans="1:16" x14ac:dyDescent="0.3">
      <c r="A26" s="35" t="s">
        <v>212</v>
      </c>
    </row>
    <row r="27" spans="1:16" x14ac:dyDescent="0.3">
      <c r="A27" s="60" t="s">
        <v>208</v>
      </c>
      <c r="B27" s="61">
        <f>BS!F18</f>
        <v>83094</v>
      </c>
      <c r="C27" s="61">
        <f>B27</f>
        <v>83094</v>
      </c>
      <c r="D27" s="61">
        <f t="shared" ref="D27:F27" si="26">C27</f>
        <v>83094</v>
      </c>
      <c r="E27" s="61">
        <f t="shared" si="26"/>
        <v>83094</v>
      </c>
      <c r="F27" s="61">
        <f t="shared" si="26"/>
        <v>83094</v>
      </c>
    </row>
    <row r="28" spans="1:16" x14ac:dyDescent="0.3">
      <c r="A28" s="60" t="s">
        <v>209</v>
      </c>
      <c r="B28" s="61">
        <f>B27/$B$12</f>
        <v>8309.4</v>
      </c>
      <c r="C28" s="61">
        <f>IF(B30&gt;0,C27/$B$12,0)</f>
        <v>8309.4</v>
      </c>
      <c r="D28" s="61">
        <f t="shared" ref="D28:F28" si="27">IF(C30&gt;0,D27/$B$12,0)</f>
        <v>8309.4</v>
      </c>
      <c r="E28" s="61">
        <f t="shared" si="27"/>
        <v>8309.4</v>
      </c>
      <c r="F28" s="61">
        <f t="shared" si="27"/>
        <v>8309.4</v>
      </c>
      <c r="P28" s="35"/>
    </row>
    <row r="29" spans="1:16" x14ac:dyDescent="0.3">
      <c r="A29" s="60" t="s">
        <v>210</v>
      </c>
      <c r="B29" s="61">
        <f>B28</f>
        <v>8309.4</v>
      </c>
      <c r="C29" s="61">
        <f>B29+C28</f>
        <v>16618.8</v>
      </c>
      <c r="D29" s="61">
        <f t="shared" ref="D29:F29" si="28">C29+D28</f>
        <v>24928.199999999997</v>
      </c>
      <c r="E29" s="61">
        <f t="shared" si="28"/>
        <v>33237.599999999999</v>
      </c>
      <c r="F29" s="61">
        <f t="shared" si="28"/>
        <v>41547</v>
      </c>
    </row>
    <row r="30" spans="1:16" x14ac:dyDescent="0.3">
      <c r="A30" s="60" t="s">
        <v>211</v>
      </c>
      <c r="B30" s="61">
        <f>B27-B29</f>
        <v>74784.600000000006</v>
      </c>
      <c r="C30" s="61">
        <f t="shared" ref="C30:F30" si="29">C27-C29</f>
        <v>66475.199999999997</v>
      </c>
      <c r="D30" s="61">
        <f t="shared" si="29"/>
        <v>58165.8</v>
      </c>
      <c r="E30" s="61">
        <f t="shared" si="29"/>
        <v>49856.4</v>
      </c>
      <c r="F30" s="61">
        <f t="shared" si="29"/>
        <v>41547</v>
      </c>
    </row>
    <row r="31" spans="1:16" x14ac:dyDescent="0.3">
      <c r="P31" s="35"/>
    </row>
    <row r="32" spans="1:16" x14ac:dyDescent="0.3">
      <c r="A32" s="35" t="s">
        <v>214</v>
      </c>
      <c r="B32" s="37">
        <f>B16+B22+B28</f>
        <v>179705.06666666665</v>
      </c>
      <c r="C32" s="37">
        <f t="shared" ref="C32:F32" si="30">C16+C22+C28</f>
        <v>179705.06666666665</v>
      </c>
      <c r="D32" s="37">
        <f t="shared" si="30"/>
        <v>179705.06666666665</v>
      </c>
      <c r="E32" s="37">
        <f t="shared" si="30"/>
        <v>179705.06666666665</v>
      </c>
      <c r="F32" s="37">
        <f t="shared" si="30"/>
        <v>179705.06666666665</v>
      </c>
    </row>
    <row r="34" spans="1:16" x14ac:dyDescent="0.3">
      <c r="A34" t="s">
        <v>215</v>
      </c>
      <c r="B34" s="57">
        <v>5</v>
      </c>
      <c r="C34" t="s">
        <v>206</v>
      </c>
    </row>
    <row r="35" spans="1:16" x14ac:dyDescent="0.3">
      <c r="A35" t="s">
        <v>216</v>
      </c>
      <c r="B35" s="63">
        <v>0.05</v>
      </c>
    </row>
    <row r="37" spans="1:16" x14ac:dyDescent="0.3">
      <c r="A37" s="60" t="s">
        <v>217</v>
      </c>
      <c r="B37" s="61">
        <f>BS!F33</f>
        <v>1280160</v>
      </c>
      <c r="C37" s="61">
        <f>B37</f>
        <v>1280160</v>
      </c>
      <c r="D37" s="61">
        <f t="shared" ref="D37:F37" si="31">C37</f>
        <v>1280160</v>
      </c>
      <c r="E37" s="61">
        <f t="shared" si="31"/>
        <v>1280160</v>
      </c>
      <c r="F37" s="61">
        <f t="shared" si="31"/>
        <v>1280160</v>
      </c>
      <c r="P37" s="35"/>
    </row>
    <row r="38" spans="1:16" x14ac:dyDescent="0.3">
      <c r="A38" s="60" t="s">
        <v>218</v>
      </c>
      <c r="B38" s="61">
        <f>B37/$B$34</f>
        <v>256032</v>
      </c>
      <c r="C38" s="61">
        <f>IF(B40&gt;0,C37/$B$34,0)</f>
        <v>256032</v>
      </c>
      <c r="D38" s="61">
        <f t="shared" ref="D38:F38" si="32">IF(C40&gt;0,D37/$B$34,0)</f>
        <v>256032</v>
      </c>
      <c r="E38" s="61">
        <f t="shared" si="32"/>
        <v>256032</v>
      </c>
      <c r="F38" s="61">
        <f t="shared" si="32"/>
        <v>256032</v>
      </c>
    </row>
    <row r="39" spans="1:16" x14ac:dyDescent="0.3">
      <c r="A39" s="60" t="s">
        <v>219</v>
      </c>
      <c r="B39" s="61">
        <f>B38</f>
        <v>256032</v>
      </c>
      <c r="C39" s="61">
        <f>B39+C38</f>
        <v>512064</v>
      </c>
      <c r="D39" s="61">
        <f t="shared" ref="D39:F39" si="33">C39+D38</f>
        <v>768096</v>
      </c>
      <c r="E39" s="61">
        <f t="shared" si="33"/>
        <v>1024128</v>
      </c>
      <c r="F39" s="61">
        <f t="shared" si="33"/>
        <v>1280160</v>
      </c>
    </row>
    <row r="40" spans="1:16" x14ac:dyDescent="0.3">
      <c r="A40" s="60" t="s">
        <v>220</v>
      </c>
      <c r="B40" s="61">
        <f>B37-B39</f>
        <v>1024128</v>
      </c>
      <c r="C40" s="61">
        <f t="shared" ref="C40:F40" si="34">C37-C39</f>
        <v>768096</v>
      </c>
      <c r="D40" s="61">
        <f t="shared" si="34"/>
        <v>512064</v>
      </c>
      <c r="E40" s="61">
        <f t="shared" si="34"/>
        <v>256032</v>
      </c>
      <c r="F40" s="61">
        <f t="shared" si="34"/>
        <v>0</v>
      </c>
      <c r="P40" s="35"/>
    </row>
    <row r="41" spans="1:16" x14ac:dyDescent="0.3">
      <c r="A41" s="60" t="s">
        <v>221</v>
      </c>
      <c r="B41" s="61">
        <f>AVERAGE(B37,B40)*$B$35</f>
        <v>57607.200000000004</v>
      </c>
      <c r="C41" s="61">
        <f>AVERAGE(B40,C40)*$B$35</f>
        <v>44805.600000000006</v>
      </c>
      <c r="D41" s="61">
        <f t="shared" ref="D41:F41" si="35">AVERAGE(C40,D40)*$B$35</f>
        <v>32004</v>
      </c>
      <c r="E41" s="61">
        <f t="shared" si="35"/>
        <v>19202.400000000001</v>
      </c>
      <c r="F41" s="61">
        <f t="shared" si="35"/>
        <v>6400.8</v>
      </c>
    </row>
    <row r="43" spans="1:16" x14ac:dyDescent="0.3">
      <c r="A43" t="s">
        <v>222</v>
      </c>
      <c r="B43" s="65">
        <f>AVERAGE(BS!C58,BS!E58,BS!F58)</f>
        <v>47.302171285707296</v>
      </c>
      <c r="C43" t="s">
        <v>223</v>
      </c>
    </row>
    <row r="44" spans="1:16" x14ac:dyDescent="0.3">
      <c r="A44" t="s">
        <v>133</v>
      </c>
      <c r="B44" s="65">
        <f>AVERAGE(BS!E55:F55)*1.1</f>
        <v>2.3798561821947071</v>
      </c>
      <c r="C44" t="s">
        <v>223</v>
      </c>
      <c r="P44" s="35"/>
    </row>
    <row r="45" spans="1:16" x14ac:dyDescent="0.3">
      <c r="A45" t="s">
        <v>224</v>
      </c>
      <c r="B45" s="66">
        <f>AVERAGE(BS!C96:F96)</f>
        <v>2.8128998509818932E-2</v>
      </c>
    </row>
    <row r="46" spans="1:16" x14ac:dyDescent="0.3">
      <c r="A46" t="s">
        <v>225</v>
      </c>
      <c r="B46" s="65">
        <f>AVERAGE(BS!C60,BS!E60,BS!F60)</f>
        <v>125.83079835099545</v>
      </c>
      <c r="C46" t="s">
        <v>223</v>
      </c>
    </row>
  </sheetData>
  <mergeCells count="8">
    <mergeCell ref="H21:I21"/>
    <mergeCell ref="H22:I22"/>
    <mergeCell ref="H23:I23"/>
    <mergeCell ref="H24:I24"/>
    <mergeCell ref="H14:I14"/>
    <mergeCell ref="H15:I15"/>
    <mergeCell ref="H16:I16"/>
    <mergeCell ref="H17:I17"/>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000BBE-1DB7-4AFB-ABBE-D0CB9D44F673}">
  <dimension ref="A1:J195"/>
  <sheetViews>
    <sheetView topLeftCell="A61" zoomScaleNormal="100" workbookViewId="0">
      <selection activeCell="H17" sqref="H17"/>
    </sheetView>
  </sheetViews>
  <sheetFormatPr defaultRowHeight="14.4" x14ac:dyDescent="0.3"/>
  <cols>
    <col min="1" max="1" width="11.6640625" customWidth="1"/>
    <col min="2" max="3" width="10.6640625" customWidth="1"/>
    <col min="7" max="7" width="11" customWidth="1"/>
    <col min="8" max="8" width="9.33203125" customWidth="1"/>
  </cols>
  <sheetData>
    <row r="1" spans="1:5" x14ac:dyDescent="0.3">
      <c r="A1" s="75" t="s">
        <v>261</v>
      </c>
      <c r="B1" s="75"/>
      <c r="C1" s="75"/>
      <c r="D1" s="75"/>
      <c r="E1" s="75"/>
    </row>
    <row r="2" spans="1:5" x14ac:dyDescent="0.3">
      <c r="A2" t="s">
        <v>260</v>
      </c>
    </row>
    <row r="15" spans="1:5" x14ac:dyDescent="0.3">
      <c r="A15" t="s">
        <v>730</v>
      </c>
    </row>
    <row r="16" spans="1:5" x14ac:dyDescent="0.3">
      <c r="A16" s="75" t="s">
        <v>263</v>
      </c>
      <c r="B16" s="75"/>
      <c r="C16" s="75"/>
    </row>
    <row r="24" spans="1:9" x14ac:dyDescent="0.3">
      <c r="G24" t="s">
        <v>264</v>
      </c>
      <c r="H24" s="58">
        <v>4.02E-2</v>
      </c>
      <c r="I24" t="s">
        <v>265</v>
      </c>
    </row>
    <row r="26" spans="1:9" x14ac:dyDescent="0.3">
      <c r="F26" t="s">
        <v>428</v>
      </c>
      <c r="H26">
        <f>COVAR(E29:E194,C29:C194)</f>
        <v>5.6934387621419011E-4</v>
      </c>
    </row>
    <row r="27" spans="1:9" x14ac:dyDescent="0.3">
      <c r="G27" t="s">
        <v>429</v>
      </c>
      <c r="H27">
        <f>VAR(C29:C194)</f>
        <v>5.3450759077352324E-4</v>
      </c>
    </row>
    <row r="28" spans="1:9" x14ac:dyDescent="0.3">
      <c r="A28" s="76" t="s">
        <v>266</v>
      </c>
      <c r="B28" s="76" t="s">
        <v>267</v>
      </c>
      <c r="C28" s="76" t="s">
        <v>268</v>
      </c>
      <c r="D28" s="76" t="s">
        <v>269</v>
      </c>
      <c r="E28" s="76" t="s">
        <v>270</v>
      </c>
      <c r="G28" s="78" t="s">
        <v>430</v>
      </c>
      <c r="H28" s="79">
        <f>H26/H27</f>
        <v>1.0651745382890687</v>
      </c>
      <c r="I28" t="s">
        <v>731</v>
      </c>
    </row>
    <row r="29" spans="1:9" x14ac:dyDescent="0.3">
      <c r="A29" s="60" t="s">
        <v>449</v>
      </c>
      <c r="B29" s="60">
        <v>4890.97</v>
      </c>
      <c r="C29" s="77">
        <f>B29/B30-1</f>
        <v>1.0570662897923633E-2</v>
      </c>
      <c r="D29" s="60">
        <v>62.88</v>
      </c>
      <c r="E29" s="77">
        <f>D29/D30-1</f>
        <v>-2.9929034248688535E-2</v>
      </c>
    </row>
    <row r="30" spans="1:9" x14ac:dyDescent="0.3">
      <c r="A30" s="60" t="s">
        <v>450</v>
      </c>
      <c r="B30" s="60">
        <v>4839.8100000000004</v>
      </c>
      <c r="C30" s="77">
        <f>B30/B31-1</f>
        <v>1.1701920845849534E-2</v>
      </c>
      <c r="D30" s="60">
        <v>64.819999999999993</v>
      </c>
      <c r="E30" s="77">
        <f t="shared" ref="E30:E93" si="0">D30/D31-1</f>
        <v>2.5632911392404978E-2</v>
      </c>
      <c r="G30" t="s">
        <v>431</v>
      </c>
      <c r="H30" s="80">
        <f>SLOPE(E29:E194,C29:C194)</f>
        <v>1.0716301415514264</v>
      </c>
    </row>
    <row r="31" spans="1:9" x14ac:dyDescent="0.3">
      <c r="A31" s="60" t="s">
        <v>451</v>
      </c>
      <c r="B31" s="60">
        <v>4783.83</v>
      </c>
      <c r="C31" s="77">
        <f t="shared" ref="C31:C93" si="1">B31/B32-1</f>
        <v>1.8434229462407803E-2</v>
      </c>
      <c r="D31" s="60">
        <v>63.2</v>
      </c>
      <c r="E31" s="77">
        <f t="shared" si="0"/>
        <v>4.635761589403975E-2</v>
      </c>
    </row>
    <row r="32" spans="1:9" x14ac:dyDescent="0.3">
      <c r="A32" s="60" t="s">
        <v>452</v>
      </c>
      <c r="B32" s="60">
        <v>4697.24</v>
      </c>
      <c r="C32" s="77">
        <f t="shared" si="1"/>
        <v>-1.5218571731067998E-2</v>
      </c>
      <c r="D32" s="60">
        <v>60.4</v>
      </c>
      <c r="E32" s="77">
        <f t="shared" si="0"/>
        <v>-3.1119666345845398E-2</v>
      </c>
      <c r="G32" t="s">
        <v>433</v>
      </c>
      <c r="H32" s="81">
        <f>B33/B84-1</f>
        <v>0.22457818581389866</v>
      </c>
    </row>
    <row r="33" spans="1:10" x14ac:dyDescent="0.3">
      <c r="A33" s="60" t="s">
        <v>453</v>
      </c>
      <c r="B33" s="60">
        <v>4769.83</v>
      </c>
      <c r="C33" s="77">
        <f t="shared" si="1"/>
        <v>3.1968838795026766E-3</v>
      </c>
      <c r="D33" s="60">
        <v>62.34</v>
      </c>
      <c r="E33" s="77">
        <f t="shared" si="0"/>
        <v>2.734437831751757E-3</v>
      </c>
      <c r="G33" t="s">
        <v>434</v>
      </c>
      <c r="H33" s="81">
        <f>B85/B136-1</f>
        <v>-0.17907304421823245</v>
      </c>
    </row>
    <row r="34" spans="1:10" x14ac:dyDescent="0.3">
      <c r="A34" s="60" t="s">
        <v>454</v>
      </c>
      <c r="B34" s="60">
        <v>4754.63</v>
      </c>
      <c r="C34" s="77">
        <f t="shared" si="1"/>
        <v>7.5097633280287734E-3</v>
      </c>
      <c r="D34" s="60">
        <v>62.17</v>
      </c>
      <c r="E34" s="77">
        <f t="shared" si="0"/>
        <v>7.4542213579646965E-3</v>
      </c>
      <c r="G34" t="s">
        <v>435</v>
      </c>
      <c r="H34" s="81">
        <f>B137/B188-1</f>
        <v>0.24616438499430027</v>
      </c>
    </row>
    <row r="35" spans="1:10" x14ac:dyDescent="0.3">
      <c r="A35" s="60" t="s">
        <v>455</v>
      </c>
      <c r="B35" s="60">
        <v>4719.1899999999996</v>
      </c>
      <c r="C35" s="77">
        <f t="shared" si="1"/>
        <v>2.493717924493466E-2</v>
      </c>
      <c r="D35" s="60">
        <v>61.71</v>
      </c>
      <c r="E35" s="77">
        <f t="shared" si="0"/>
        <v>2.1181532351481014E-2</v>
      </c>
    </row>
    <row r="36" spans="1:10" x14ac:dyDescent="0.3">
      <c r="A36" s="60" t="s">
        <v>456</v>
      </c>
      <c r="B36" s="60">
        <v>4604.37</v>
      </c>
      <c r="C36" s="77">
        <f t="shared" si="1"/>
        <v>2.1198660175030248E-3</v>
      </c>
      <c r="D36" s="60">
        <v>60.43</v>
      </c>
      <c r="E36" s="77">
        <f t="shared" si="0"/>
        <v>2.1639898562975546E-2</v>
      </c>
      <c r="G36" s="35" t="s">
        <v>432</v>
      </c>
      <c r="H36" s="82">
        <f>AVERAGE(H32:H34)</f>
        <v>9.7223175529988826E-2</v>
      </c>
    </row>
    <row r="37" spans="1:10" x14ac:dyDescent="0.3">
      <c r="A37" s="60" t="s">
        <v>457</v>
      </c>
      <c r="B37" s="60">
        <v>4594.63</v>
      </c>
      <c r="C37" s="77">
        <f t="shared" si="1"/>
        <v>7.740155373365365E-3</v>
      </c>
      <c r="D37" s="60">
        <v>59.15</v>
      </c>
      <c r="E37" s="77">
        <f t="shared" si="0"/>
        <v>5.6061417603999297E-2</v>
      </c>
    </row>
    <row r="38" spans="1:10" x14ac:dyDescent="0.3">
      <c r="A38" s="60" t="s">
        <v>458</v>
      </c>
      <c r="B38" s="60">
        <v>4559.34</v>
      </c>
      <c r="C38" s="77">
        <f t="shared" si="1"/>
        <v>1.003983145843379E-2</v>
      </c>
      <c r="D38" s="60">
        <v>56.01</v>
      </c>
      <c r="E38" s="77">
        <f t="shared" si="0"/>
        <v>6.6044918157594168E-2</v>
      </c>
      <c r="G38" s="35" t="s">
        <v>262</v>
      </c>
      <c r="H38" s="83">
        <f>H24+H28*(H36-H24)</f>
        <v>0.10093963466693237</v>
      </c>
    </row>
    <row r="39" spans="1:10" x14ac:dyDescent="0.3">
      <c r="A39" s="60" t="s">
        <v>271</v>
      </c>
      <c r="B39" s="60">
        <v>4514.0200000000004</v>
      </c>
      <c r="C39" s="77">
        <f t="shared" si="1"/>
        <v>2.2372509761643844E-2</v>
      </c>
      <c r="D39" s="60">
        <v>52.54</v>
      </c>
      <c r="E39" s="77">
        <f t="shared" si="0"/>
        <v>5.0169898061163343E-2</v>
      </c>
    </row>
    <row r="40" spans="1:10" x14ac:dyDescent="0.3">
      <c r="A40" s="60" t="s">
        <v>272</v>
      </c>
      <c r="B40" s="60">
        <v>4415.24</v>
      </c>
      <c r="C40" s="77">
        <f t="shared" si="1"/>
        <v>1.3055429360719906E-2</v>
      </c>
      <c r="D40" s="60">
        <v>50.03</v>
      </c>
      <c r="E40" s="77">
        <f t="shared" si="0"/>
        <v>4.8846960167714837E-2</v>
      </c>
      <c r="J40" s="35"/>
    </row>
    <row r="41" spans="1:10" x14ac:dyDescent="0.3">
      <c r="A41" s="60" t="s">
        <v>273</v>
      </c>
      <c r="B41" s="60">
        <v>4358.34</v>
      </c>
      <c r="C41" s="77">
        <f t="shared" si="1"/>
        <v>5.852522362576118E-2</v>
      </c>
      <c r="D41" s="60">
        <v>47.7</v>
      </c>
      <c r="E41" s="77">
        <f t="shared" si="0"/>
        <v>3.4707158351410028E-2</v>
      </c>
    </row>
    <row r="42" spans="1:10" x14ac:dyDescent="0.3">
      <c r="A42" s="60" t="s">
        <v>274</v>
      </c>
      <c r="B42" s="60">
        <v>4117.37</v>
      </c>
      <c r="C42" s="77">
        <f t="shared" si="1"/>
        <v>-2.5280765880080325E-2</v>
      </c>
      <c r="D42" s="60">
        <v>46.1</v>
      </c>
      <c r="E42" s="77">
        <f t="shared" si="0"/>
        <v>-4.8110675201321507E-2</v>
      </c>
    </row>
    <row r="43" spans="1:10" x14ac:dyDescent="0.3">
      <c r="A43" s="60" t="s">
        <v>275</v>
      </c>
      <c r="B43" s="60">
        <v>4224.16</v>
      </c>
      <c r="C43" s="77">
        <f t="shared" si="1"/>
        <v>-2.3942991556872073E-2</v>
      </c>
      <c r="D43" s="60">
        <v>48.43</v>
      </c>
      <c r="E43" s="77">
        <f t="shared" si="0"/>
        <v>7.0700769390725782E-3</v>
      </c>
    </row>
    <row r="44" spans="1:10" x14ac:dyDescent="0.3">
      <c r="A44" s="60" t="s">
        <v>276</v>
      </c>
      <c r="B44" s="60">
        <v>4327.78</v>
      </c>
      <c r="C44" s="77">
        <f t="shared" si="1"/>
        <v>4.4748752466055031E-3</v>
      </c>
      <c r="D44" s="60">
        <v>48.09</v>
      </c>
      <c r="E44" s="77">
        <f t="shared" si="0"/>
        <v>-9.6787479406919008E-3</v>
      </c>
    </row>
    <row r="45" spans="1:10" x14ac:dyDescent="0.3">
      <c r="A45" s="60" t="s">
        <v>277</v>
      </c>
      <c r="B45" s="60">
        <v>4308.5</v>
      </c>
      <c r="C45" s="77">
        <f t="shared" si="1"/>
        <v>4.7690675248655001E-3</v>
      </c>
      <c r="D45" s="60">
        <v>48.56</v>
      </c>
      <c r="E45" s="77">
        <f t="shared" si="0"/>
        <v>-7.9673135852911248E-3</v>
      </c>
    </row>
    <row r="46" spans="1:10" x14ac:dyDescent="0.3">
      <c r="A46" s="60" t="s">
        <v>278</v>
      </c>
      <c r="B46" s="60">
        <v>4288.05</v>
      </c>
      <c r="C46" s="77">
        <f t="shared" si="1"/>
        <v>-7.4096193108429409E-3</v>
      </c>
      <c r="D46" s="60">
        <v>48.95</v>
      </c>
      <c r="E46" s="77">
        <f t="shared" si="0"/>
        <v>2.7282266526757804E-2</v>
      </c>
    </row>
    <row r="47" spans="1:10" x14ac:dyDescent="0.3">
      <c r="A47" s="60" t="s">
        <v>279</v>
      </c>
      <c r="B47" s="60">
        <v>4320.0600000000004</v>
      </c>
      <c r="C47" s="77">
        <f t="shared" si="1"/>
        <v>-2.9269805317370334E-2</v>
      </c>
      <c r="D47" s="60">
        <v>47.65</v>
      </c>
      <c r="E47" s="77">
        <f t="shared" si="0"/>
        <v>5.6986070071758377E-3</v>
      </c>
    </row>
    <row r="48" spans="1:10" x14ac:dyDescent="0.3">
      <c r="A48" s="60" t="s">
        <v>280</v>
      </c>
      <c r="B48" s="60">
        <v>4450.32</v>
      </c>
      <c r="C48" s="77">
        <f t="shared" si="1"/>
        <v>-1.6085285665251581E-3</v>
      </c>
      <c r="D48" s="60">
        <v>47.38</v>
      </c>
      <c r="E48" s="77">
        <f t="shared" si="0"/>
        <v>-3.384991843393137E-2</v>
      </c>
    </row>
    <row r="49" spans="1:5" x14ac:dyDescent="0.3">
      <c r="A49" s="60" t="s">
        <v>281</v>
      </c>
      <c r="B49" s="60">
        <v>4457.49</v>
      </c>
      <c r="C49" s="77">
        <f t="shared" si="1"/>
        <v>-1.290588316056851E-2</v>
      </c>
      <c r="D49" s="60">
        <v>49.04</v>
      </c>
      <c r="E49" s="77">
        <f t="shared" si="0"/>
        <v>-4.8875096974398846E-2</v>
      </c>
    </row>
    <row r="50" spans="1:5" x14ac:dyDescent="0.3">
      <c r="A50" s="60" t="s">
        <v>282</v>
      </c>
      <c r="B50" s="60">
        <v>4515.7700000000004</v>
      </c>
      <c r="C50" s="77">
        <f t="shared" si="1"/>
        <v>2.4981217556307778E-2</v>
      </c>
      <c r="D50" s="60">
        <v>51.56</v>
      </c>
      <c r="E50" s="77">
        <f t="shared" si="0"/>
        <v>6.5509402769167169E-2</v>
      </c>
    </row>
    <row r="51" spans="1:5" x14ac:dyDescent="0.3">
      <c r="A51" s="60" t="s">
        <v>283</v>
      </c>
      <c r="B51" s="60">
        <v>4405.71</v>
      </c>
      <c r="C51" s="77">
        <f t="shared" si="1"/>
        <v>8.2385329918919226E-3</v>
      </c>
      <c r="D51" s="60">
        <v>48.39</v>
      </c>
      <c r="E51" s="77">
        <f t="shared" si="0"/>
        <v>-4.9499116087212691E-2</v>
      </c>
    </row>
    <row r="52" spans="1:5" x14ac:dyDescent="0.3">
      <c r="A52" s="60" t="s">
        <v>284</v>
      </c>
      <c r="B52" s="60">
        <v>4369.71</v>
      </c>
      <c r="C52" s="77">
        <f t="shared" si="1"/>
        <v>-2.1133275836964227E-2</v>
      </c>
      <c r="D52" s="60">
        <v>50.91</v>
      </c>
      <c r="E52" s="77">
        <f t="shared" si="0"/>
        <v>-4.5198799699925019E-2</v>
      </c>
    </row>
    <row r="53" spans="1:5" x14ac:dyDescent="0.3">
      <c r="A53" s="60" t="s">
        <v>285</v>
      </c>
      <c r="B53" s="60">
        <v>4464.05</v>
      </c>
      <c r="C53" s="77">
        <f t="shared" si="1"/>
        <v>-3.1219085178079142E-3</v>
      </c>
      <c r="D53" s="60">
        <v>53.32</v>
      </c>
      <c r="E53" s="77">
        <f t="shared" si="0"/>
        <v>-1.605462262410029E-2</v>
      </c>
    </row>
    <row r="54" spans="1:5" x14ac:dyDescent="0.3">
      <c r="A54" s="60" t="s">
        <v>286</v>
      </c>
      <c r="B54" s="60">
        <v>4478.03</v>
      </c>
      <c r="C54" s="77">
        <f t="shared" si="1"/>
        <v>-2.2740019597444872E-2</v>
      </c>
      <c r="D54" s="60">
        <v>54.19</v>
      </c>
      <c r="E54" s="77">
        <f t="shared" si="0"/>
        <v>-3.4218499376225342E-2</v>
      </c>
    </row>
    <row r="55" spans="1:5" x14ac:dyDescent="0.3">
      <c r="A55" s="60" t="s">
        <v>287</v>
      </c>
      <c r="B55" s="60">
        <v>4582.2299999999996</v>
      </c>
      <c r="C55" s="77">
        <f t="shared" si="1"/>
        <v>1.0116084773187151E-2</v>
      </c>
      <c r="D55" s="60">
        <v>56.11</v>
      </c>
      <c r="E55" s="77">
        <f t="shared" si="0"/>
        <v>7.8623606305267213E-2</v>
      </c>
    </row>
    <row r="56" spans="1:5" x14ac:dyDescent="0.3">
      <c r="A56" s="60" t="s">
        <v>288</v>
      </c>
      <c r="B56" s="60">
        <v>4536.34</v>
      </c>
      <c r="C56" s="77">
        <f t="shared" si="1"/>
        <v>6.8628451953425262E-3</v>
      </c>
      <c r="D56" s="60">
        <v>52.02</v>
      </c>
      <c r="E56" s="77">
        <f t="shared" si="0"/>
        <v>-4.0206777713955866E-3</v>
      </c>
    </row>
    <row r="57" spans="1:5" x14ac:dyDescent="0.3">
      <c r="A57" s="60" t="s">
        <v>289</v>
      </c>
      <c r="B57" s="60">
        <v>4505.42</v>
      </c>
      <c r="C57" s="77">
        <f t="shared" si="1"/>
        <v>2.4203503108696456E-2</v>
      </c>
      <c r="D57" s="60">
        <v>52.23</v>
      </c>
      <c r="E57" s="77">
        <f t="shared" si="0"/>
        <v>1.4174757281553374E-2</v>
      </c>
    </row>
    <row r="58" spans="1:5" x14ac:dyDescent="0.3">
      <c r="A58" s="60" t="s">
        <v>290</v>
      </c>
      <c r="B58" s="60">
        <v>4398.95</v>
      </c>
      <c r="C58" s="77">
        <f t="shared" si="1"/>
        <v>-1.1556316539261924E-2</v>
      </c>
      <c r="D58" s="60">
        <v>51.5</v>
      </c>
      <c r="E58" s="77">
        <f t="shared" si="0"/>
        <v>-2.2028104823395345E-2</v>
      </c>
    </row>
    <row r="59" spans="1:5" x14ac:dyDescent="0.3">
      <c r="A59" s="60" t="s">
        <v>291</v>
      </c>
      <c r="B59" s="60">
        <v>4450.38</v>
      </c>
      <c r="C59" s="77">
        <f t="shared" si="1"/>
        <v>2.3468779968401687E-2</v>
      </c>
      <c r="D59" s="60">
        <v>52.66</v>
      </c>
      <c r="E59" s="77">
        <f t="shared" si="0"/>
        <v>3.7022449783379097E-2</v>
      </c>
    </row>
    <row r="60" spans="1:5" x14ac:dyDescent="0.3">
      <c r="A60" s="60" t="s">
        <v>292</v>
      </c>
      <c r="B60" s="60">
        <v>4348.33</v>
      </c>
      <c r="C60" s="77">
        <f t="shared" si="1"/>
        <v>-1.389244805072587E-2</v>
      </c>
      <c r="D60" s="60">
        <v>50.78</v>
      </c>
      <c r="E60" s="77">
        <f t="shared" si="0"/>
        <v>-1.9312475859405209E-2</v>
      </c>
    </row>
    <row r="61" spans="1:5" x14ac:dyDescent="0.3">
      <c r="A61" s="60" t="s">
        <v>293</v>
      </c>
      <c r="B61" s="60">
        <v>4409.59</v>
      </c>
      <c r="C61" s="77">
        <f t="shared" si="1"/>
        <v>2.5757991653601264E-2</v>
      </c>
      <c r="D61" s="60">
        <v>51.78</v>
      </c>
      <c r="E61" s="77">
        <f t="shared" si="0"/>
        <v>-3.7546468401486899E-2</v>
      </c>
    </row>
    <row r="62" spans="1:5" x14ac:dyDescent="0.3">
      <c r="A62" s="60" t="s">
        <v>294</v>
      </c>
      <c r="B62" s="60">
        <v>4298.8599999999997</v>
      </c>
      <c r="C62" s="77">
        <f t="shared" si="1"/>
        <v>3.8506714739734438E-3</v>
      </c>
      <c r="D62" s="60">
        <v>53.8</v>
      </c>
      <c r="E62" s="77">
        <f t="shared" si="0"/>
        <v>3.4814387382188894E-2</v>
      </c>
    </row>
    <row r="63" spans="1:5" x14ac:dyDescent="0.3">
      <c r="A63" s="60" t="s">
        <v>295</v>
      </c>
      <c r="B63" s="60">
        <v>4282.37</v>
      </c>
      <c r="C63" s="77">
        <f t="shared" si="1"/>
        <v>1.8290551546207956E-2</v>
      </c>
      <c r="D63" s="60">
        <v>51.99</v>
      </c>
      <c r="E63" s="77">
        <f t="shared" si="0"/>
        <v>1.8014489915801901E-2</v>
      </c>
    </row>
    <row r="64" spans="1:5" x14ac:dyDescent="0.3">
      <c r="A64" s="60" t="s">
        <v>296</v>
      </c>
      <c r="B64" s="60">
        <v>4205.45</v>
      </c>
      <c r="C64" s="77">
        <f t="shared" si="1"/>
        <v>3.2132786893068754E-3</v>
      </c>
      <c r="D64" s="60">
        <v>51.07</v>
      </c>
      <c r="E64" s="77">
        <f t="shared" si="0"/>
        <v>-1.6750096264920966E-2</v>
      </c>
    </row>
    <row r="65" spans="1:5" x14ac:dyDescent="0.3">
      <c r="A65" s="60" t="s">
        <v>297</v>
      </c>
      <c r="B65" s="60">
        <v>4191.9799999999996</v>
      </c>
      <c r="C65" s="77">
        <f t="shared" si="1"/>
        <v>1.6464278093538454E-2</v>
      </c>
      <c r="D65" s="60">
        <v>51.94</v>
      </c>
      <c r="E65" s="77">
        <f t="shared" si="0"/>
        <v>-2.4051108605787297E-2</v>
      </c>
    </row>
    <row r="66" spans="1:5" x14ac:dyDescent="0.3">
      <c r="A66" s="60" t="s">
        <v>298</v>
      </c>
      <c r="B66" s="60">
        <v>4124.08</v>
      </c>
      <c r="C66" s="77">
        <f t="shared" si="1"/>
        <v>-2.9422786340284057E-3</v>
      </c>
      <c r="D66" s="60">
        <v>53.22</v>
      </c>
      <c r="E66" s="77">
        <f t="shared" si="0"/>
        <v>2.6620370370370239E-2</v>
      </c>
    </row>
    <row r="67" spans="1:5" x14ac:dyDescent="0.3">
      <c r="A67" s="60" t="s">
        <v>299</v>
      </c>
      <c r="B67" s="60">
        <v>4136.25</v>
      </c>
      <c r="C67" s="77">
        <f t="shared" si="1"/>
        <v>-7.9698187783607821E-3</v>
      </c>
      <c r="D67" s="60">
        <v>51.84</v>
      </c>
      <c r="E67" s="77">
        <f t="shared" si="0"/>
        <v>-2.5380710659898331E-2</v>
      </c>
    </row>
    <row r="68" spans="1:5" x14ac:dyDescent="0.3">
      <c r="A68" s="60" t="s">
        <v>300</v>
      </c>
      <c r="B68" s="60">
        <v>4169.4799999999996</v>
      </c>
      <c r="C68" s="77">
        <f t="shared" si="1"/>
        <v>8.6996071145171161E-3</v>
      </c>
      <c r="D68" s="60">
        <v>53.19</v>
      </c>
      <c r="E68" s="77">
        <f t="shared" si="0"/>
        <v>5.7665539868761106E-2</v>
      </c>
    </row>
    <row r="69" spans="1:5" x14ac:dyDescent="0.3">
      <c r="A69" s="60" t="s">
        <v>301</v>
      </c>
      <c r="B69" s="60">
        <v>4133.5200000000004</v>
      </c>
      <c r="C69" s="77">
        <f t="shared" si="1"/>
        <v>-9.9573670014785343E-4</v>
      </c>
      <c r="D69" s="60">
        <v>50.29</v>
      </c>
      <c r="E69" s="77">
        <f t="shared" si="0"/>
        <v>1.5959595959595951E-2</v>
      </c>
    </row>
    <row r="70" spans="1:5" x14ac:dyDescent="0.3">
      <c r="A70" s="60" t="s">
        <v>302</v>
      </c>
      <c r="B70" s="60">
        <v>4137.6400000000003</v>
      </c>
      <c r="C70" s="77">
        <f t="shared" si="1"/>
        <v>7.9463681053928426E-3</v>
      </c>
      <c r="D70" s="60">
        <v>49.5</v>
      </c>
      <c r="E70" s="77">
        <f t="shared" si="0"/>
        <v>7.2124756335282703E-2</v>
      </c>
    </row>
    <row r="71" spans="1:5" x14ac:dyDescent="0.3">
      <c r="A71" s="60" t="s">
        <v>303</v>
      </c>
      <c r="B71" s="60">
        <v>4105.0200000000004</v>
      </c>
      <c r="C71" s="77">
        <f t="shared" si="1"/>
        <v>-1.0439708856231356E-3</v>
      </c>
      <c r="D71" s="60">
        <v>46.17</v>
      </c>
      <c r="E71" s="77">
        <f t="shared" si="0"/>
        <v>-2.8409090909090939E-2</v>
      </c>
    </row>
    <row r="72" spans="1:5" x14ac:dyDescent="0.3">
      <c r="A72" s="60" t="s">
        <v>304</v>
      </c>
      <c r="B72" s="60">
        <v>4109.3100000000004</v>
      </c>
      <c r="C72" s="77">
        <f t="shared" si="1"/>
        <v>3.4832623602678581E-2</v>
      </c>
      <c r="D72" s="60">
        <v>47.52</v>
      </c>
      <c r="E72" s="77">
        <f t="shared" si="0"/>
        <v>5.8116232464930029E-2</v>
      </c>
    </row>
    <row r="73" spans="1:5" x14ac:dyDescent="0.3">
      <c r="A73" s="60" t="s">
        <v>305</v>
      </c>
      <c r="B73" s="60">
        <v>3970.99</v>
      </c>
      <c r="C73" s="77">
        <f t="shared" si="1"/>
        <v>1.3876690224273736E-2</v>
      </c>
      <c r="D73" s="60">
        <v>44.91</v>
      </c>
      <c r="E73" s="77">
        <f t="shared" si="0"/>
        <v>1.0576057605760525E-2</v>
      </c>
    </row>
    <row r="74" spans="1:5" x14ac:dyDescent="0.3">
      <c r="A74" s="60" t="s">
        <v>306</v>
      </c>
      <c r="B74" s="60">
        <v>3916.64</v>
      </c>
      <c r="C74" s="77">
        <f t="shared" si="1"/>
        <v>1.4255785829153211E-2</v>
      </c>
      <c r="D74" s="60">
        <v>44.44</v>
      </c>
      <c r="E74" s="77">
        <f t="shared" si="0"/>
        <v>3.396928804094923E-2</v>
      </c>
    </row>
    <row r="75" spans="1:5" x14ac:dyDescent="0.3">
      <c r="A75" s="60" t="s">
        <v>307</v>
      </c>
      <c r="B75" s="60">
        <v>3861.59</v>
      </c>
      <c r="C75" s="77">
        <f t="shared" si="1"/>
        <v>-4.5493420076922253E-2</v>
      </c>
      <c r="D75" s="60">
        <v>42.98</v>
      </c>
      <c r="E75" s="77">
        <f t="shared" si="0"/>
        <v>-6.3004142140832831E-2</v>
      </c>
    </row>
    <row r="76" spans="1:5" x14ac:dyDescent="0.3">
      <c r="A76" s="60" t="s">
        <v>308</v>
      </c>
      <c r="B76" s="60">
        <v>4045.64</v>
      </c>
      <c r="C76" s="77">
        <f t="shared" si="1"/>
        <v>1.9042629293407609E-2</v>
      </c>
      <c r="D76" s="60">
        <v>45.87</v>
      </c>
      <c r="E76" s="77">
        <f t="shared" si="0"/>
        <v>4.5350957155879446E-2</v>
      </c>
    </row>
    <row r="77" spans="1:5" x14ac:dyDescent="0.3">
      <c r="A77" s="60" t="s">
        <v>309</v>
      </c>
      <c r="B77" s="60">
        <v>3970.04</v>
      </c>
      <c r="C77" s="77">
        <f t="shared" si="1"/>
        <v>-2.6733903885425514E-2</v>
      </c>
      <c r="D77" s="60">
        <v>43.88</v>
      </c>
      <c r="E77" s="77">
        <f t="shared" si="0"/>
        <v>-1.8783542039355949E-2</v>
      </c>
    </row>
    <row r="78" spans="1:5" x14ac:dyDescent="0.3">
      <c r="A78" s="60" t="s">
        <v>310</v>
      </c>
      <c r="B78" s="60">
        <v>4079.09</v>
      </c>
      <c r="C78" s="77">
        <f t="shared" si="1"/>
        <v>-2.7796384758682624E-3</v>
      </c>
      <c r="D78" s="60">
        <v>44.72</v>
      </c>
      <c r="E78" s="77">
        <f t="shared" si="0"/>
        <v>2.1470991320237554E-2</v>
      </c>
    </row>
    <row r="79" spans="1:5" x14ac:dyDescent="0.3">
      <c r="A79" s="60" t="s">
        <v>311</v>
      </c>
      <c r="B79" s="60">
        <v>4090.46</v>
      </c>
      <c r="C79" s="77">
        <f t="shared" si="1"/>
        <v>-1.1125401307391702E-2</v>
      </c>
      <c r="D79" s="60">
        <v>43.78</v>
      </c>
      <c r="E79" s="77">
        <f t="shared" si="0"/>
        <v>-2.0143240823634723E-2</v>
      </c>
    </row>
    <row r="80" spans="1:5" x14ac:dyDescent="0.3">
      <c r="A80" s="60" t="s">
        <v>312</v>
      </c>
      <c r="B80" s="60">
        <v>4136.4799999999996</v>
      </c>
      <c r="C80" s="77">
        <f t="shared" si="1"/>
        <v>1.6194331983805599E-2</v>
      </c>
      <c r="D80" s="60">
        <v>44.68</v>
      </c>
      <c r="E80" s="77">
        <f t="shared" si="0"/>
        <v>-5.8972198820555932E-2</v>
      </c>
    </row>
    <row r="81" spans="1:5" x14ac:dyDescent="0.3">
      <c r="A81" s="60" t="s">
        <v>313</v>
      </c>
      <c r="B81" s="60">
        <v>4070.56</v>
      </c>
      <c r="C81" s="77">
        <f t="shared" si="1"/>
        <v>2.4656334248768452E-2</v>
      </c>
      <c r="D81" s="60">
        <v>47.48</v>
      </c>
      <c r="E81" s="77">
        <f t="shared" si="0"/>
        <v>1.8447018447018459E-2</v>
      </c>
    </row>
    <row r="82" spans="1:5" x14ac:dyDescent="0.3">
      <c r="A82" s="60" t="s">
        <v>314</v>
      </c>
      <c r="B82" s="60">
        <v>3972.61</v>
      </c>
      <c r="C82" s="77">
        <f t="shared" si="1"/>
        <v>-6.6215063927043127E-3</v>
      </c>
      <c r="D82" s="60">
        <v>46.62</v>
      </c>
      <c r="E82" s="77">
        <f t="shared" si="0"/>
        <v>1.2886597938144284E-3</v>
      </c>
    </row>
    <row r="83" spans="1:5" x14ac:dyDescent="0.3">
      <c r="A83" s="60" t="s">
        <v>315</v>
      </c>
      <c r="B83" s="60">
        <v>3999.09</v>
      </c>
      <c r="C83" s="77">
        <f t="shared" si="1"/>
        <v>2.6702917526726155E-2</v>
      </c>
      <c r="D83" s="60">
        <v>46.56</v>
      </c>
      <c r="E83" s="77">
        <f t="shared" si="0"/>
        <v>4.4180309486431923E-2</v>
      </c>
    </row>
    <row r="84" spans="1:5" x14ac:dyDescent="0.3">
      <c r="A84" s="60" t="s">
        <v>316</v>
      </c>
      <c r="B84" s="60">
        <v>3895.08</v>
      </c>
      <c r="C84" s="77">
        <f t="shared" si="1"/>
        <v>1.447584320875106E-2</v>
      </c>
      <c r="D84" s="60">
        <v>44.59</v>
      </c>
      <c r="E84" s="77">
        <f t="shared" si="0"/>
        <v>6.2932061978545839E-2</v>
      </c>
    </row>
    <row r="85" spans="1:5" x14ac:dyDescent="0.3">
      <c r="A85" s="60" t="s">
        <v>317</v>
      </c>
      <c r="B85" s="60">
        <v>3839.5</v>
      </c>
      <c r="C85" s="77">
        <f t="shared" si="1"/>
        <v>-1.3836798601755129E-3</v>
      </c>
      <c r="D85" s="60">
        <v>41.95</v>
      </c>
      <c r="E85" s="77">
        <f t="shared" si="0"/>
        <v>-1.1904761904760752E-3</v>
      </c>
    </row>
    <row r="86" spans="1:5" x14ac:dyDescent="0.3">
      <c r="A86" s="60" t="s">
        <v>318</v>
      </c>
      <c r="B86" s="60">
        <v>3844.82</v>
      </c>
      <c r="C86" s="77">
        <f t="shared" si="1"/>
        <v>-1.9572417946401854E-3</v>
      </c>
      <c r="D86" s="60">
        <v>42</v>
      </c>
      <c r="E86" s="77">
        <f t="shared" si="0"/>
        <v>2.2395326192794496E-2</v>
      </c>
    </row>
    <row r="87" spans="1:5" x14ac:dyDescent="0.3">
      <c r="A87" s="60" t="s">
        <v>319</v>
      </c>
      <c r="B87" s="60">
        <v>3852.36</v>
      </c>
      <c r="C87" s="77">
        <f t="shared" si="1"/>
        <v>-2.0846994952190667E-2</v>
      </c>
      <c r="D87" s="60">
        <v>41.08</v>
      </c>
      <c r="E87" s="77">
        <f t="shared" si="0"/>
        <v>-2.7692307692307683E-2</v>
      </c>
    </row>
    <row r="88" spans="1:5" x14ac:dyDescent="0.3">
      <c r="A88" s="60" t="s">
        <v>320</v>
      </c>
      <c r="B88" s="60">
        <v>3934.38</v>
      </c>
      <c r="C88" s="77">
        <f t="shared" si="1"/>
        <v>-3.3725470933516632E-2</v>
      </c>
      <c r="D88" s="60">
        <v>42.25</v>
      </c>
      <c r="E88" s="77">
        <f t="shared" si="0"/>
        <v>-2.2669442516770721E-2</v>
      </c>
    </row>
    <row r="89" spans="1:5" x14ac:dyDescent="0.3">
      <c r="A89" s="60" t="s">
        <v>321</v>
      </c>
      <c r="B89" s="60">
        <v>4071.7</v>
      </c>
      <c r="C89" s="77">
        <f t="shared" si="1"/>
        <v>1.1321073390758274E-2</v>
      </c>
      <c r="D89" s="60">
        <v>43.23</v>
      </c>
      <c r="E89" s="77">
        <f t="shared" si="0"/>
        <v>7.8054862842892758E-2</v>
      </c>
    </row>
    <row r="90" spans="1:5" x14ac:dyDescent="0.3">
      <c r="A90" s="60" t="s">
        <v>322</v>
      </c>
      <c r="B90" s="60">
        <v>4026.12</v>
      </c>
      <c r="C90" s="77">
        <f t="shared" si="1"/>
        <v>1.5327815521493759E-2</v>
      </c>
      <c r="D90" s="60">
        <v>40.1</v>
      </c>
      <c r="E90" s="77">
        <f t="shared" si="0"/>
        <v>6.5261044176705418E-3</v>
      </c>
    </row>
    <row r="91" spans="1:5" x14ac:dyDescent="0.3">
      <c r="A91" s="60" t="s">
        <v>323</v>
      </c>
      <c r="B91" s="60">
        <v>3965.34</v>
      </c>
      <c r="C91" s="77">
        <f t="shared" si="1"/>
        <v>-6.9097129175818006E-3</v>
      </c>
      <c r="D91" s="60">
        <v>39.840000000000003</v>
      </c>
      <c r="E91" s="77">
        <f t="shared" si="0"/>
        <v>6.8233510235027328E-3</v>
      </c>
    </row>
    <row r="92" spans="1:5" x14ac:dyDescent="0.3">
      <c r="A92" s="60" t="s">
        <v>324</v>
      </c>
      <c r="B92" s="60">
        <v>3992.93</v>
      </c>
      <c r="C92" s="77">
        <f t="shared" si="1"/>
        <v>5.8978133163596791E-2</v>
      </c>
      <c r="D92" s="60">
        <v>39.57</v>
      </c>
      <c r="E92" s="77">
        <f t="shared" si="0"/>
        <v>8.3515881708652762E-2</v>
      </c>
    </row>
    <row r="93" spans="1:5" x14ac:dyDescent="0.3">
      <c r="A93" s="60" t="s">
        <v>325</v>
      </c>
      <c r="B93" s="60">
        <v>3770.55</v>
      </c>
      <c r="C93" s="77">
        <f t="shared" si="1"/>
        <v>-3.3455009664040025E-2</v>
      </c>
      <c r="D93" s="60">
        <v>36.520000000000003</v>
      </c>
      <c r="E93" s="77">
        <f t="shared" si="0"/>
        <v>9.4724220623501276E-2</v>
      </c>
    </row>
    <row r="94" spans="1:5" x14ac:dyDescent="0.3">
      <c r="A94" s="60" t="s">
        <v>326</v>
      </c>
      <c r="B94" s="60">
        <v>3901.06</v>
      </c>
      <c r="C94" s="77">
        <f t="shared" ref="C94:C157" si="2">B94/B95-1</f>
        <v>3.9520351742055704E-2</v>
      </c>
      <c r="D94" s="60">
        <v>33.36</v>
      </c>
      <c r="E94" s="77">
        <f t="shared" ref="E94:E157" si="3">D94/D95-1</f>
        <v>-4.4126074498567314E-2</v>
      </c>
    </row>
    <row r="95" spans="1:5" x14ac:dyDescent="0.3">
      <c r="A95" s="60" t="s">
        <v>327</v>
      </c>
      <c r="B95" s="60">
        <v>3752.75</v>
      </c>
      <c r="C95" s="77">
        <f t="shared" si="2"/>
        <v>4.7356038257695188E-2</v>
      </c>
      <c r="D95" s="60">
        <v>34.9</v>
      </c>
      <c r="E95" s="77">
        <f t="shared" si="3"/>
        <v>5.7636887608067955E-3</v>
      </c>
    </row>
    <row r="96" spans="1:5" x14ac:dyDescent="0.3">
      <c r="A96" s="60" t="s">
        <v>328</v>
      </c>
      <c r="B96" s="60">
        <v>3583.07</v>
      </c>
      <c r="C96" s="77">
        <f t="shared" si="2"/>
        <v>-1.554815559695133E-2</v>
      </c>
      <c r="D96" s="60">
        <v>34.700000000000003</v>
      </c>
      <c r="E96" s="77">
        <f t="shared" si="3"/>
        <v>9.307737056428067E-3</v>
      </c>
    </row>
    <row r="97" spans="1:5" x14ac:dyDescent="0.3">
      <c r="A97" s="60" t="s">
        <v>329</v>
      </c>
      <c r="B97" s="60">
        <v>3639.66</v>
      </c>
      <c r="C97" s="77">
        <f t="shared" si="2"/>
        <v>1.5071312632124911E-2</v>
      </c>
      <c r="D97" s="60">
        <v>34.380000000000003</v>
      </c>
      <c r="E97" s="77">
        <f t="shared" si="3"/>
        <v>8.3858764186633072E-2</v>
      </c>
    </row>
    <row r="98" spans="1:5" x14ac:dyDescent="0.3">
      <c r="A98" s="60" t="s">
        <v>330</v>
      </c>
      <c r="B98" s="60">
        <v>3585.62</v>
      </c>
      <c r="C98" s="77">
        <f t="shared" si="2"/>
        <v>-2.9137096796029494E-2</v>
      </c>
      <c r="D98" s="60">
        <v>31.72</v>
      </c>
      <c r="E98" s="77">
        <f t="shared" si="3"/>
        <v>-6.4858490566037763E-2</v>
      </c>
    </row>
    <row r="99" spans="1:5" x14ac:dyDescent="0.3">
      <c r="A99" s="60" t="s">
        <v>331</v>
      </c>
      <c r="B99" s="60">
        <v>3693.23</v>
      </c>
      <c r="C99" s="77">
        <f t="shared" si="2"/>
        <v>-4.6497458259430524E-2</v>
      </c>
      <c r="D99" s="60">
        <v>33.92</v>
      </c>
      <c r="E99" s="77">
        <f t="shared" si="3"/>
        <v>-5.4099274958170573E-2</v>
      </c>
    </row>
    <row r="100" spans="1:5" x14ac:dyDescent="0.3">
      <c r="A100" s="60" t="s">
        <v>332</v>
      </c>
      <c r="B100" s="60">
        <v>3873.33</v>
      </c>
      <c r="C100" s="77">
        <f t="shared" si="2"/>
        <v>-4.7704161913378784E-2</v>
      </c>
      <c r="D100" s="60">
        <v>35.86</v>
      </c>
      <c r="E100" s="77">
        <f t="shared" si="3"/>
        <v>-5.8050958760178628E-2</v>
      </c>
    </row>
    <row r="101" spans="1:5" x14ac:dyDescent="0.3">
      <c r="A101" s="60" t="s">
        <v>333</v>
      </c>
      <c r="B101" s="60">
        <v>4067.36</v>
      </c>
      <c r="C101" s="77">
        <f t="shared" si="2"/>
        <v>3.646547374536846E-2</v>
      </c>
      <c r="D101" s="60">
        <v>38.07</v>
      </c>
      <c r="E101" s="77">
        <f t="shared" si="3"/>
        <v>2.4488697524219782E-2</v>
      </c>
    </row>
    <row r="102" spans="1:5" x14ac:dyDescent="0.3">
      <c r="A102" s="60" t="s">
        <v>334</v>
      </c>
      <c r="B102" s="60">
        <v>3924.26</v>
      </c>
      <c r="C102" s="77">
        <f t="shared" si="2"/>
        <v>-3.2876091146128439E-2</v>
      </c>
      <c r="D102" s="60">
        <v>37.159999999999997</v>
      </c>
      <c r="E102" s="77">
        <f t="shared" si="3"/>
        <v>-3.5306334371755121E-2</v>
      </c>
    </row>
    <row r="103" spans="1:5" x14ac:dyDescent="0.3">
      <c r="A103" s="60" t="s">
        <v>335</v>
      </c>
      <c r="B103" s="60">
        <v>4057.66</v>
      </c>
      <c r="C103" s="77">
        <f t="shared" si="2"/>
        <v>-4.0397495080974677E-2</v>
      </c>
      <c r="D103" s="60">
        <v>38.520000000000003</v>
      </c>
      <c r="E103" s="77">
        <f t="shared" si="3"/>
        <v>-2.4563180552038433E-2</v>
      </c>
    </row>
    <row r="104" spans="1:5" x14ac:dyDescent="0.3">
      <c r="A104" s="60" t="s">
        <v>336</v>
      </c>
      <c r="B104" s="60">
        <v>4228.4799999999996</v>
      </c>
      <c r="C104" s="77">
        <f t="shared" si="2"/>
        <v>-1.2072006822190784E-2</v>
      </c>
      <c r="D104" s="60">
        <v>39.49</v>
      </c>
      <c r="E104" s="77">
        <f t="shared" si="3"/>
        <v>-1.7905993533946729E-2</v>
      </c>
    </row>
    <row r="105" spans="1:5" x14ac:dyDescent="0.3">
      <c r="A105" s="60" t="s">
        <v>337</v>
      </c>
      <c r="B105" s="60">
        <v>4280.1499999999996</v>
      </c>
      <c r="C105" s="77">
        <f t="shared" si="2"/>
        <v>3.2558218079267842E-2</v>
      </c>
      <c r="D105" s="60">
        <v>40.21</v>
      </c>
      <c r="E105" s="77">
        <f t="shared" si="3"/>
        <v>2.2374777523519018E-2</v>
      </c>
    </row>
    <row r="106" spans="1:5" x14ac:dyDescent="0.3">
      <c r="A106" s="60" t="s">
        <v>338</v>
      </c>
      <c r="B106" s="60">
        <v>4145.1899999999996</v>
      </c>
      <c r="C106" s="77">
        <f t="shared" si="2"/>
        <v>3.6074948732411904E-3</v>
      </c>
      <c r="D106" s="60">
        <v>39.33</v>
      </c>
      <c r="E106" s="77">
        <f t="shared" si="3"/>
        <v>3.6090621707060011E-2</v>
      </c>
    </row>
    <row r="107" spans="1:5" x14ac:dyDescent="0.3">
      <c r="A107" s="60" t="s">
        <v>339</v>
      </c>
      <c r="B107" s="60">
        <v>4130.29</v>
      </c>
      <c r="C107" s="77">
        <f t="shared" si="2"/>
        <v>4.2573385197506974E-2</v>
      </c>
      <c r="D107" s="60">
        <v>37.96</v>
      </c>
      <c r="E107" s="77">
        <f t="shared" si="3"/>
        <v>-8.3594566353186739E-3</v>
      </c>
    </row>
    <row r="108" spans="1:5" x14ac:dyDescent="0.3">
      <c r="A108" s="60" t="s">
        <v>340</v>
      </c>
      <c r="B108" s="60">
        <v>3961.63</v>
      </c>
      <c r="C108" s="77">
        <f t="shared" si="2"/>
        <v>2.5489495646051408E-2</v>
      </c>
      <c r="D108" s="60">
        <v>38.28</v>
      </c>
      <c r="E108" s="77">
        <f t="shared" si="3"/>
        <v>4.2483660130719025E-2</v>
      </c>
    </row>
    <row r="109" spans="1:5" x14ac:dyDescent="0.3">
      <c r="A109" s="60" t="s">
        <v>341</v>
      </c>
      <c r="B109" s="60">
        <v>3863.16</v>
      </c>
      <c r="C109" s="77">
        <f t="shared" si="2"/>
        <v>-9.2886561453360272E-3</v>
      </c>
      <c r="D109" s="60">
        <v>36.72</v>
      </c>
      <c r="E109" s="77">
        <f t="shared" si="3"/>
        <v>-5.9556036816458269E-3</v>
      </c>
    </row>
    <row r="110" spans="1:5" x14ac:dyDescent="0.3">
      <c r="A110" s="60" t="s">
        <v>342</v>
      </c>
      <c r="B110" s="60">
        <v>3899.38</v>
      </c>
      <c r="C110" s="77">
        <f t="shared" si="2"/>
        <v>1.9357807038869801E-2</v>
      </c>
      <c r="D110" s="60">
        <v>36.94</v>
      </c>
      <c r="E110" s="77">
        <f t="shared" si="3"/>
        <v>4.6755454803060426E-2</v>
      </c>
    </row>
    <row r="111" spans="1:5" x14ac:dyDescent="0.3">
      <c r="A111" s="60" t="s">
        <v>343</v>
      </c>
      <c r="B111" s="60">
        <v>3825.33</v>
      </c>
      <c r="C111" s="77">
        <f t="shared" si="2"/>
        <v>-2.2089913951336193E-2</v>
      </c>
      <c r="D111" s="60">
        <v>35.29</v>
      </c>
      <c r="E111" s="77">
        <f t="shared" si="3"/>
        <v>-8.5277345775012892E-2</v>
      </c>
    </row>
    <row r="112" spans="1:5" x14ac:dyDescent="0.3">
      <c r="A112" s="60" t="s">
        <v>344</v>
      </c>
      <c r="B112" s="60">
        <v>3911.74</v>
      </c>
      <c r="C112" s="77">
        <f t="shared" si="2"/>
        <v>6.4465391690522456E-2</v>
      </c>
      <c r="D112" s="60">
        <v>38.58</v>
      </c>
      <c r="E112" s="77">
        <f t="shared" si="3"/>
        <v>5.7855771867288075E-2</v>
      </c>
    </row>
    <row r="113" spans="1:5" x14ac:dyDescent="0.3">
      <c r="A113" s="60" t="s">
        <v>345</v>
      </c>
      <c r="B113" s="60">
        <v>3674.84</v>
      </c>
      <c r="C113" s="77">
        <f t="shared" si="2"/>
        <v>-5.7941069405208045E-2</v>
      </c>
      <c r="D113" s="60">
        <v>36.47</v>
      </c>
      <c r="E113" s="77">
        <f t="shared" si="3"/>
        <v>-7.4835109081684448E-2</v>
      </c>
    </row>
    <row r="114" spans="1:5" x14ac:dyDescent="0.3">
      <c r="A114" s="60" t="s">
        <v>346</v>
      </c>
      <c r="B114" s="60">
        <v>3900.86</v>
      </c>
      <c r="C114" s="77">
        <f t="shared" si="2"/>
        <v>-5.054836998057699E-2</v>
      </c>
      <c r="D114" s="60">
        <v>39.42</v>
      </c>
      <c r="E114" s="77">
        <f t="shared" si="3"/>
        <v>-4.4826750666343673E-2</v>
      </c>
    </row>
    <row r="115" spans="1:5" x14ac:dyDescent="0.3">
      <c r="A115" s="60" t="s">
        <v>347</v>
      </c>
      <c r="B115" s="60">
        <v>4108.54</v>
      </c>
      <c r="C115" s="77">
        <f t="shared" si="2"/>
        <v>-1.1952172072799971E-2</v>
      </c>
      <c r="D115" s="60">
        <v>41.27</v>
      </c>
      <c r="E115" s="77">
        <f t="shared" si="3"/>
        <v>5.1732925586136513E-2</v>
      </c>
    </row>
    <row r="116" spans="1:5" x14ac:dyDescent="0.3">
      <c r="A116" s="60" t="s">
        <v>348</v>
      </c>
      <c r="B116" s="60">
        <v>4158.24</v>
      </c>
      <c r="C116" s="77">
        <f t="shared" si="2"/>
        <v>6.5843705784649265E-2</v>
      </c>
      <c r="D116" s="60">
        <v>39.24</v>
      </c>
      <c r="E116" s="77">
        <f t="shared" si="3"/>
        <v>8.6078051480763973E-2</v>
      </c>
    </row>
    <row r="117" spans="1:5" x14ac:dyDescent="0.3">
      <c r="A117" s="60" t="s">
        <v>349</v>
      </c>
      <c r="B117" s="60">
        <v>3901.36</v>
      </c>
      <c r="C117" s="77">
        <f t="shared" si="2"/>
        <v>-3.0450633590878406E-2</v>
      </c>
      <c r="D117" s="60">
        <v>36.130000000000003</v>
      </c>
      <c r="E117" s="77">
        <f t="shared" si="3"/>
        <v>-4.6450250725785125E-2</v>
      </c>
    </row>
    <row r="118" spans="1:5" x14ac:dyDescent="0.3">
      <c r="A118" s="60" t="s">
        <v>350</v>
      </c>
      <c r="B118" s="60">
        <v>4023.89</v>
      </c>
      <c r="C118" s="77">
        <f t="shared" si="2"/>
        <v>-2.4118796897660721E-2</v>
      </c>
      <c r="D118" s="60">
        <v>37.89</v>
      </c>
      <c r="E118" s="77">
        <f t="shared" si="3"/>
        <v>1.7727639000805873E-2</v>
      </c>
    </row>
    <row r="119" spans="1:5" x14ac:dyDescent="0.3">
      <c r="A119" s="60" t="s">
        <v>351</v>
      </c>
      <c r="B119" s="60">
        <v>4123.34</v>
      </c>
      <c r="C119" s="77">
        <f t="shared" si="2"/>
        <v>-2.0789316372736844E-3</v>
      </c>
      <c r="D119" s="60">
        <v>37.229999999999997</v>
      </c>
      <c r="E119" s="77">
        <f t="shared" si="3"/>
        <v>-2.7937336814621405E-2</v>
      </c>
    </row>
    <row r="120" spans="1:5" x14ac:dyDescent="0.3">
      <c r="A120" s="60" t="s">
        <v>352</v>
      </c>
      <c r="B120" s="60">
        <v>4131.93</v>
      </c>
      <c r="C120" s="77">
        <f t="shared" si="2"/>
        <v>-3.2738109172288699E-2</v>
      </c>
      <c r="D120" s="60">
        <v>38.299999999999997</v>
      </c>
      <c r="E120" s="77">
        <f t="shared" si="3"/>
        <v>-3.5750251762336371E-2</v>
      </c>
    </row>
    <row r="121" spans="1:5" x14ac:dyDescent="0.3">
      <c r="A121" s="60" t="s">
        <v>353</v>
      </c>
      <c r="B121" s="60">
        <v>4271.78</v>
      </c>
      <c r="C121" s="77">
        <f t="shared" si="2"/>
        <v>-2.7503135963065195E-2</v>
      </c>
      <c r="D121" s="60">
        <v>39.72</v>
      </c>
      <c r="E121" s="77">
        <f t="shared" si="3"/>
        <v>-1.2572290671361008E-3</v>
      </c>
    </row>
    <row r="122" spans="1:5" x14ac:dyDescent="0.3">
      <c r="A122" s="60" t="s">
        <v>354</v>
      </c>
      <c r="B122" s="60">
        <v>4392.59</v>
      </c>
      <c r="C122" s="77">
        <f t="shared" si="2"/>
        <v>-2.1319971124796E-2</v>
      </c>
      <c r="D122" s="60">
        <v>39.770000000000003</v>
      </c>
      <c r="E122" s="77">
        <f t="shared" si="3"/>
        <v>5.1838138058714733E-2</v>
      </c>
    </row>
    <row r="123" spans="1:5" x14ac:dyDescent="0.3">
      <c r="A123" s="60" t="s">
        <v>355</v>
      </c>
      <c r="B123" s="60">
        <v>4488.28</v>
      </c>
      <c r="C123" s="77">
        <f t="shared" si="2"/>
        <v>-1.266647015086253E-2</v>
      </c>
      <c r="D123" s="60">
        <v>37.81</v>
      </c>
      <c r="E123" s="77">
        <f t="shared" si="3"/>
        <v>-7.5776093864580618E-2</v>
      </c>
    </row>
    <row r="124" spans="1:5" x14ac:dyDescent="0.3">
      <c r="A124" s="60" t="s">
        <v>356</v>
      </c>
      <c r="B124" s="60">
        <v>4545.8599999999997</v>
      </c>
      <c r="C124" s="77">
        <f t="shared" si="2"/>
        <v>6.1632467984118477E-4</v>
      </c>
      <c r="D124" s="60">
        <v>40.909999999999997</v>
      </c>
      <c r="E124" s="77">
        <f t="shared" si="3"/>
        <v>1.2623762376237524E-2</v>
      </c>
    </row>
    <row r="125" spans="1:5" x14ac:dyDescent="0.3">
      <c r="A125" s="60" t="s">
        <v>357</v>
      </c>
      <c r="B125" s="60">
        <v>4543.0600000000004</v>
      </c>
      <c r="C125" s="77">
        <f t="shared" si="2"/>
        <v>1.7911236982200984E-2</v>
      </c>
      <c r="D125" s="60">
        <v>40.4</v>
      </c>
      <c r="E125" s="77">
        <f t="shared" si="3"/>
        <v>2.0975486479656302E-2</v>
      </c>
    </row>
    <row r="126" spans="1:5" x14ac:dyDescent="0.3">
      <c r="A126" s="60" t="s">
        <v>358</v>
      </c>
      <c r="B126" s="60">
        <v>4463.12</v>
      </c>
      <c r="C126" s="77">
        <f t="shared" si="2"/>
        <v>6.1558258073262762E-2</v>
      </c>
      <c r="D126" s="60">
        <v>39.57</v>
      </c>
      <c r="E126" s="77">
        <f t="shared" si="3"/>
        <v>5.9721478307445119E-2</v>
      </c>
    </row>
    <row r="127" spans="1:5" x14ac:dyDescent="0.3">
      <c r="A127" s="60" t="s">
        <v>359</v>
      </c>
      <c r="B127" s="60">
        <v>4204.3100000000004</v>
      </c>
      <c r="C127" s="77">
        <f t="shared" si="2"/>
        <v>-2.8774252865066297E-2</v>
      </c>
      <c r="D127" s="60">
        <v>37.340000000000003</v>
      </c>
      <c r="E127" s="77">
        <f t="shared" si="3"/>
        <v>-2.6709401709400504E-3</v>
      </c>
    </row>
    <row r="128" spans="1:5" x14ac:dyDescent="0.3">
      <c r="A128" s="60" t="s">
        <v>360</v>
      </c>
      <c r="B128" s="60">
        <v>4328.87</v>
      </c>
      <c r="C128" s="77">
        <f t="shared" si="2"/>
        <v>-1.2721653951854761E-2</v>
      </c>
      <c r="D128" s="60">
        <v>37.44</v>
      </c>
      <c r="E128" s="77">
        <f t="shared" si="3"/>
        <v>-0.21162349968414407</v>
      </c>
    </row>
    <row r="129" spans="1:5" x14ac:dyDescent="0.3">
      <c r="A129" s="60" t="s">
        <v>361</v>
      </c>
      <c r="B129" s="60">
        <v>4384.6499999999996</v>
      </c>
      <c r="C129" s="77">
        <f t="shared" si="2"/>
        <v>8.2274245953546377E-3</v>
      </c>
      <c r="D129" s="60">
        <v>47.49</v>
      </c>
      <c r="E129" s="77">
        <f t="shared" si="3"/>
        <v>-4.8197820620284881E-3</v>
      </c>
    </row>
    <row r="130" spans="1:5" x14ac:dyDescent="0.3">
      <c r="A130" s="60" t="s">
        <v>362</v>
      </c>
      <c r="B130" s="60">
        <v>4348.87</v>
      </c>
      <c r="C130" s="77">
        <f t="shared" si="2"/>
        <v>-1.5789926312168578E-2</v>
      </c>
      <c r="D130" s="60">
        <v>47.72</v>
      </c>
      <c r="E130" s="77">
        <f t="shared" si="3"/>
        <v>1.01608806096527E-2</v>
      </c>
    </row>
    <row r="131" spans="1:5" x14ac:dyDescent="0.3">
      <c r="A131" s="60" t="s">
        <v>363</v>
      </c>
      <c r="B131" s="60">
        <v>4418.6400000000003</v>
      </c>
      <c r="C131" s="77">
        <f t="shared" si="2"/>
        <v>-1.8195634736353106E-2</v>
      </c>
      <c r="D131" s="60">
        <v>47.24</v>
      </c>
      <c r="E131" s="77">
        <f t="shared" si="3"/>
        <v>6.3245554805311688E-2</v>
      </c>
    </row>
    <row r="132" spans="1:5" x14ac:dyDescent="0.3">
      <c r="A132" s="60" t="s">
        <v>364</v>
      </c>
      <c r="B132" s="60">
        <v>4500.53</v>
      </c>
      <c r="C132" s="77">
        <f t="shared" si="2"/>
        <v>1.5496914381127436E-2</v>
      </c>
      <c r="D132" s="60">
        <v>44.43</v>
      </c>
      <c r="E132" s="77">
        <f t="shared" si="3"/>
        <v>7.5266214908034756E-2</v>
      </c>
    </row>
    <row r="133" spans="1:5" x14ac:dyDescent="0.3">
      <c r="A133" s="60" t="s">
        <v>365</v>
      </c>
      <c r="B133" s="60">
        <v>4431.8500000000004</v>
      </c>
      <c r="C133" s="77">
        <f t="shared" si="2"/>
        <v>7.7104280640483136E-3</v>
      </c>
      <c r="D133" s="60">
        <v>41.32</v>
      </c>
      <c r="E133" s="77">
        <f t="shared" si="3"/>
        <v>3.1561058509348427E-3</v>
      </c>
    </row>
    <row r="134" spans="1:5" x14ac:dyDescent="0.3">
      <c r="A134" s="60" t="s">
        <v>366</v>
      </c>
      <c r="B134" s="60">
        <v>4397.9399999999996</v>
      </c>
      <c r="C134" s="77">
        <f t="shared" si="2"/>
        <v>-5.6812893402104048E-2</v>
      </c>
      <c r="D134" s="60">
        <v>41.19</v>
      </c>
      <c r="E134" s="77">
        <f t="shared" si="3"/>
        <v>-5.5924822369929017E-2</v>
      </c>
    </row>
    <row r="135" spans="1:5" x14ac:dyDescent="0.3">
      <c r="A135" s="60" t="s">
        <v>367</v>
      </c>
      <c r="B135" s="60">
        <v>4662.8500000000004</v>
      </c>
      <c r="C135" s="77">
        <f t="shared" si="2"/>
        <v>-3.0318385813217219E-3</v>
      </c>
      <c r="D135" s="60">
        <v>43.63</v>
      </c>
      <c r="E135" s="77">
        <f t="shared" si="3"/>
        <v>-5.2345786272806172E-2</v>
      </c>
    </row>
    <row r="136" spans="1:5" x14ac:dyDescent="0.3">
      <c r="A136" s="60" t="s">
        <v>368</v>
      </c>
      <c r="B136" s="60">
        <v>4677.03</v>
      </c>
      <c r="C136" s="77">
        <f t="shared" si="2"/>
        <v>-1.8704706914132618E-2</v>
      </c>
      <c r="D136" s="60">
        <v>46.04</v>
      </c>
      <c r="E136" s="77">
        <f t="shared" si="3"/>
        <v>6.0829493087557696E-2</v>
      </c>
    </row>
    <row r="137" spans="1:5" x14ac:dyDescent="0.3">
      <c r="A137" s="60" t="s">
        <v>369</v>
      </c>
      <c r="B137" s="60">
        <v>4766.18</v>
      </c>
      <c r="C137" s="77">
        <f t="shared" si="2"/>
        <v>8.5467191728791914E-3</v>
      </c>
      <c r="D137" s="60">
        <v>43.4</v>
      </c>
      <c r="E137" s="77">
        <f t="shared" si="3"/>
        <v>2.6732907499408487E-2</v>
      </c>
    </row>
    <row r="138" spans="1:5" x14ac:dyDescent="0.3">
      <c r="A138" s="60" t="s">
        <v>370</v>
      </c>
      <c r="B138" s="60">
        <v>4725.79</v>
      </c>
      <c r="C138" s="77">
        <f t="shared" si="2"/>
        <v>2.2756587831988639E-2</v>
      </c>
      <c r="D138" s="60">
        <v>42.27</v>
      </c>
      <c r="E138" s="77">
        <f t="shared" si="3"/>
        <v>1.3912209162868949E-2</v>
      </c>
    </row>
    <row r="139" spans="1:5" x14ac:dyDescent="0.3">
      <c r="A139" s="60" t="s">
        <v>371</v>
      </c>
      <c r="B139" s="60">
        <v>4620.6400000000003</v>
      </c>
      <c r="C139" s="77">
        <f t="shared" si="2"/>
        <v>-1.9392956736176914E-2</v>
      </c>
      <c r="D139" s="60">
        <v>41.69</v>
      </c>
      <c r="E139" s="77">
        <f t="shared" si="3"/>
        <v>-8.0705622932745413E-2</v>
      </c>
    </row>
    <row r="140" spans="1:5" x14ac:dyDescent="0.3">
      <c r="A140" s="60" t="s">
        <v>372</v>
      </c>
      <c r="B140" s="60">
        <v>4712.0200000000004</v>
      </c>
      <c r="C140" s="77">
        <f t="shared" si="2"/>
        <v>3.8248909865305825E-2</v>
      </c>
      <c r="D140" s="60">
        <v>45.35</v>
      </c>
      <c r="E140" s="77">
        <f t="shared" si="3"/>
        <v>3.4207525655644222E-2</v>
      </c>
    </row>
    <row r="141" spans="1:5" x14ac:dyDescent="0.3">
      <c r="A141" s="60" t="s">
        <v>373</v>
      </c>
      <c r="B141" s="60">
        <v>4538.43</v>
      </c>
      <c r="C141" s="77">
        <f t="shared" si="2"/>
        <v>-1.2229520613238898E-2</v>
      </c>
      <c r="D141" s="60">
        <v>43.85</v>
      </c>
      <c r="E141" s="77">
        <f t="shared" si="3"/>
        <v>-4.6739130434782616E-2</v>
      </c>
    </row>
    <row r="142" spans="1:5" x14ac:dyDescent="0.3">
      <c r="A142" s="60" t="s">
        <v>374</v>
      </c>
      <c r="B142" s="60">
        <v>4594.62</v>
      </c>
      <c r="C142" s="77">
        <f t="shared" si="2"/>
        <v>-2.1996781581792968E-2</v>
      </c>
      <c r="D142" s="60">
        <v>46</v>
      </c>
      <c r="E142" s="77">
        <f t="shared" si="3"/>
        <v>-3.7455534630675857E-2</v>
      </c>
    </row>
    <row r="143" spans="1:5" x14ac:dyDescent="0.3">
      <c r="A143" s="60" t="s">
        <v>375</v>
      </c>
      <c r="B143" s="60">
        <v>4697.96</v>
      </c>
      <c r="C143" s="77">
        <f t="shared" si="2"/>
        <v>3.2266675208472151E-3</v>
      </c>
      <c r="D143" s="60">
        <v>47.79</v>
      </c>
      <c r="E143" s="77">
        <f t="shared" si="3"/>
        <v>2.0968756552737222E-3</v>
      </c>
    </row>
    <row r="144" spans="1:5" x14ac:dyDescent="0.3">
      <c r="A144" s="60" t="s">
        <v>376</v>
      </c>
      <c r="B144" s="60">
        <v>4682.8500000000004</v>
      </c>
      <c r="C144" s="77">
        <f t="shared" si="2"/>
        <v>-3.1250465670255023E-3</v>
      </c>
      <c r="D144" s="60">
        <v>47.69</v>
      </c>
      <c r="E144" s="77">
        <f t="shared" si="3"/>
        <v>-6.4583333333333437E-3</v>
      </c>
    </row>
    <row r="145" spans="1:5" x14ac:dyDescent="0.3">
      <c r="A145" s="60" t="s">
        <v>377</v>
      </c>
      <c r="B145" s="60">
        <v>4697.53</v>
      </c>
      <c r="C145" s="77">
        <f t="shared" si="2"/>
        <v>2.0009206623557541E-2</v>
      </c>
      <c r="D145" s="60">
        <v>48</v>
      </c>
      <c r="E145" s="77">
        <f t="shared" si="3"/>
        <v>3.8736204284786746E-2</v>
      </c>
    </row>
    <row r="146" spans="1:5" x14ac:dyDescent="0.3">
      <c r="A146" s="60" t="s">
        <v>378</v>
      </c>
      <c r="B146" s="60">
        <v>4605.38</v>
      </c>
      <c r="C146" s="77">
        <f t="shared" si="2"/>
        <v>1.3307223481264785E-2</v>
      </c>
      <c r="D146" s="60">
        <v>46.21</v>
      </c>
      <c r="E146" s="77">
        <f t="shared" si="3"/>
        <v>9.3927479248581136E-3</v>
      </c>
    </row>
    <row r="147" spans="1:5" x14ac:dyDescent="0.3">
      <c r="A147" s="60" t="s">
        <v>379</v>
      </c>
      <c r="B147" s="60">
        <v>4544.8999999999996</v>
      </c>
      <c r="C147" s="77">
        <f t="shared" si="2"/>
        <v>1.6444624354504223E-2</v>
      </c>
      <c r="D147" s="60">
        <v>45.78</v>
      </c>
      <c r="E147" s="77">
        <f t="shared" si="3"/>
        <v>2.6227303295225379E-2</v>
      </c>
    </row>
    <row r="148" spans="1:5" x14ac:dyDescent="0.3">
      <c r="A148" s="60" t="s">
        <v>380</v>
      </c>
      <c r="B148" s="60">
        <v>4471.37</v>
      </c>
      <c r="C148" s="77">
        <f t="shared" si="2"/>
        <v>1.8224505504014665E-2</v>
      </c>
      <c r="D148" s="60">
        <v>44.61</v>
      </c>
      <c r="E148" s="77">
        <f t="shared" si="3"/>
        <v>6.2902072909220896E-2</v>
      </c>
    </row>
    <row r="149" spans="1:5" x14ac:dyDescent="0.3">
      <c r="A149" s="60" t="s">
        <v>381</v>
      </c>
      <c r="B149" s="60">
        <v>4391.34</v>
      </c>
      <c r="C149" s="77">
        <f t="shared" si="2"/>
        <v>7.8723169858436748E-3</v>
      </c>
      <c r="D149" s="60">
        <v>41.97</v>
      </c>
      <c r="E149" s="77">
        <f t="shared" si="3"/>
        <v>-1.2238173687926679E-2</v>
      </c>
    </row>
    <row r="150" spans="1:5" x14ac:dyDescent="0.3">
      <c r="A150" s="60" t="s">
        <v>382</v>
      </c>
      <c r="B150" s="60">
        <v>4357.04</v>
      </c>
      <c r="C150" s="77">
        <f t="shared" si="2"/>
        <v>-2.2094140249759753E-2</v>
      </c>
      <c r="D150" s="60">
        <v>42.49</v>
      </c>
      <c r="E150" s="77">
        <f t="shared" si="3"/>
        <v>-4.3233505967124386E-2</v>
      </c>
    </row>
    <row r="151" spans="1:5" x14ac:dyDescent="0.3">
      <c r="A151" s="60" t="s">
        <v>383</v>
      </c>
      <c r="B151" s="60">
        <v>4455.4799999999996</v>
      </c>
      <c r="C151" s="77">
        <f t="shared" si="2"/>
        <v>5.0733252274424157E-3</v>
      </c>
      <c r="D151" s="60">
        <v>44.41</v>
      </c>
      <c r="E151" s="77">
        <f t="shared" si="3"/>
        <v>-1.7912428129146396E-2</v>
      </c>
    </row>
    <row r="152" spans="1:5" x14ac:dyDescent="0.3">
      <c r="A152" s="60" t="s">
        <v>384</v>
      </c>
      <c r="B152" s="60">
        <v>4432.99</v>
      </c>
      <c r="C152" s="77">
        <f t="shared" si="2"/>
        <v>-5.7394955344527432E-3</v>
      </c>
      <c r="D152" s="60">
        <v>45.22</v>
      </c>
      <c r="E152" s="77">
        <f t="shared" si="3"/>
        <v>-3.2520325203252098E-2</v>
      </c>
    </row>
    <row r="153" spans="1:5" x14ac:dyDescent="0.3">
      <c r="A153" s="60" t="s">
        <v>385</v>
      </c>
      <c r="B153" s="60">
        <v>4458.58</v>
      </c>
      <c r="C153" s="77">
        <f t="shared" si="2"/>
        <v>-1.6944369111638879E-2</v>
      </c>
      <c r="D153" s="60">
        <v>46.74</v>
      </c>
      <c r="E153" s="77">
        <f t="shared" si="3"/>
        <v>-4.6706098307158883E-2</v>
      </c>
    </row>
    <row r="154" spans="1:5" x14ac:dyDescent="0.3">
      <c r="A154" s="60" t="s">
        <v>386</v>
      </c>
      <c r="B154" s="60">
        <v>4535.43</v>
      </c>
      <c r="C154" s="77">
        <f t="shared" si="2"/>
        <v>5.7790777869193288E-3</v>
      </c>
      <c r="D154" s="60">
        <v>49.03</v>
      </c>
      <c r="E154" s="77">
        <f t="shared" si="3"/>
        <v>-3.730610642057719E-2</v>
      </c>
    </row>
    <row r="155" spans="1:5" x14ac:dyDescent="0.3">
      <c r="A155" s="60" t="s">
        <v>387</v>
      </c>
      <c r="B155" s="60">
        <v>4509.37</v>
      </c>
      <c r="C155" s="77">
        <f t="shared" si="2"/>
        <v>1.5242014827756112E-2</v>
      </c>
      <c r="D155" s="60">
        <v>50.93</v>
      </c>
      <c r="E155" s="77">
        <f t="shared" si="3"/>
        <v>1.0716411986505303E-2</v>
      </c>
    </row>
    <row r="156" spans="1:5" x14ac:dyDescent="0.3">
      <c r="A156" s="60" t="s">
        <v>388</v>
      </c>
      <c r="B156" s="60">
        <v>4441.67</v>
      </c>
      <c r="C156" s="77">
        <f t="shared" si="2"/>
        <v>-5.8930170098477896E-3</v>
      </c>
      <c r="D156" s="60">
        <v>50.39</v>
      </c>
      <c r="E156" s="77">
        <f t="shared" si="3"/>
        <v>-5.512844552784546E-2</v>
      </c>
    </row>
    <row r="157" spans="1:5" x14ac:dyDescent="0.3">
      <c r="A157" s="60" t="s">
        <v>389</v>
      </c>
      <c r="B157" s="60">
        <v>4468</v>
      </c>
      <c r="C157" s="77">
        <f t="shared" si="2"/>
        <v>7.0956515467077708E-3</v>
      </c>
      <c r="D157" s="60">
        <v>53.33</v>
      </c>
      <c r="E157" s="77">
        <f t="shared" si="3"/>
        <v>-1.0942136498516386E-2</v>
      </c>
    </row>
    <row r="158" spans="1:5" x14ac:dyDescent="0.3">
      <c r="A158" s="60" t="s">
        <v>390</v>
      </c>
      <c r="B158" s="60">
        <v>4436.5200000000004</v>
      </c>
      <c r="C158" s="77">
        <f t="shared" ref="C158:C195" si="4">B158/B159-1</f>
        <v>9.3873855016541885E-3</v>
      </c>
      <c r="D158" s="60">
        <v>53.92</v>
      </c>
      <c r="E158" s="77">
        <f t="shared" ref="E158:E195" si="5">D158/D159-1</f>
        <v>4.4709388971684305E-3</v>
      </c>
    </row>
    <row r="159" spans="1:5" x14ac:dyDescent="0.3">
      <c r="A159" s="60" t="s">
        <v>391</v>
      </c>
      <c r="B159" s="60">
        <v>4395.26</v>
      </c>
      <c r="C159" s="77">
        <f t="shared" si="4"/>
        <v>-3.7467785184697178E-3</v>
      </c>
      <c r="D159" s="60">
        <v>53.68</v>
      </c>
      <c r="E159" s="77">
        <f t="shared" si="5"/>
        <v>-9.9594245665806103E-3</v>
      </c>
    </row>
    <row r="160" spans="1:5" x14ac:dyDescent="0.3">
      <c r="A160" s="60" t="s">
        <v>392</v>
      </c>
      <c r="B160" s="60">
        <v>4411.79</v>
      </c>
      <c r="C160" s="77">
        <f t="shared" si="4"/>
        <v>1.9557862431710538E-2</v>
      </c>
      <c r="D160" s="60">
        <v>54.22</v>
      </c>
      <c r="E160" s="77">
        <f t="shared" si="5"/>
        <v>0.1509233708342177</v>
      </c>
    </row>
    <row r="161" spans="1:5" x14ac:dyDescent="0.3">
      <c r="A161" s="60" t="s">
        <v>393</v>
      </c>
      <c r="B161" s="60">
        <v>4327.16</v>
      </c>
      <c r="C161" s="77">
        <f t="shared" si="4"/>
        <v>-9.7012278152213138E-3</v>
      </c>
      <c r="D161" s="60">
        <v>47.11</v>
      </c>
      <c r="E161" s="77">
        <f t="shared" si="5"/>
        <v>-4.9626790397417797E-2</v>
      </c>
    </row>
    <row r="162" spans="1:5" x14ac:dyDescent="0.3">
      <c r="A162" s="60" t="s">
        <v>394</v>
      </c>
      <c r="B162" s="60">
        <v>4369.55</v>
      </c>
      <c r="C162" s="77">
        <f t="shared" si="4"/>
        <v>3.954194755005469E-3</v>
      </c>
      <c r="D162" s="60">
        <v>49.57</v>
      </c>
      <c r="E162" s="77">
        <f t="shared" si="5"/>
        <v>-2.1515988945913889E-2</v>
      </c>
    </row>
    <row r="163" spans="1:5" x14ac:dyDescent="0.3">
      <c r="A163" s="60" t="s">
        <v>395</v>
      </c>
      <c r="B163" s="60">
        <v>4352.34</v>
      </c>
      <c r="C163" s="77">
        <f t="shared" si="4"/>
        <v>1.6735580629336333E-2</v>
      </c>
      <c r="D163" s="60">
        <v>50.66</v>
      </c>
      <c r="E163" s="77">
        <f t="shared" si="5"/>
        <v>8.3598726114648692E-3</v>
      </c>
    </row>
    <row r="164" spans="1:5" x14ac:dyDescent="0.3">
      <c r="A164" s="60" t="s">
        <v>396</v>
      </c>
      <c r="B164" s="60">
        <v>4280.7</v>
      </c>
      <c r="C164" s="77">
        <f t="shared" si="4"/>
        <v>2.7421425914147646E-2</v>
      </c>
      <c r="D164" s="60">
        <v>50.24</v>
      </c>
      <c r="E164" s="77">
        <f t="shared" si="5"/>
        <v>6.8481497235219013E-2</v>
      </c>
    </row>
    <row r="165" spans="1:5" x14ac:dyDescent="0.3">
      <c r="A165" s="60" t="s">
        <v>397</v>
      </c>
      <c r="B165" s="60">
        <v>4166.45</v>
      </c>
      <c r="C165" s="77">
        <f t="shared" si="4"/>
        <v>-1.9067956227751259E-2</v>
      </c>
      <c r="D165" s="60">
        <v>47.02</v>
      </c>
      <c r="E165" s="77">
        <f t="shared" si="5"/>
        <v>-5.884707766212971E-2</v>
      </c>
    </row>
    <row r="166" spans="1:5" x14ac:dyDescent="0.3">
      <c r="A166" s="60" t="s">
        <v>398</v>
      </c>
      <c r="B166" s="60">
        <v>4247.4399999999996</v>
      </c>
      <c r="C166" s="77">
        <f t="shared" si="4"/>
        <v>4.1490440649754046E-3</v>
      </c>
      <c r="D166" s="60">
        <v>49.96</v>
      </c>
      <c r="E166" s="77">
        <f t="shared" si="5"/>
        <v>7.695624056908823E-2</v>
      </c>
    </row>
    <row r="167" spans="1:5" x14ac:dyDescent="0.3">
      <c r="A167" s="60" t="s">
        <v>399</v>
      </c>
      <c r="B167" s="60">
        <v>4229.8900000000003</v>
      </c>
      <c r="C167" s="77">
        <f t="shared" si="4"/>
        <v>6.1320945455758391E-3</v>
      </c>
      <c r="D167" s="60">
        <v>46.39</v>
      </c>
      <c r="E167" s="77">
        <f t="shared" si="5"/>
        <v>-2.3368421052631594E-2</v>
      </c>
    </row>
    <row r="168" spans="1:5" x14ac:dyDescent="0.3">
      <c r="A168" s="60" t="s">
        <v>400</v>
      </c>
      <c r="B168" s="60">
        <v>4204.1099999999997</v>
      </c>
      <c r="C168" s="77">
        <f t="shared" si="4"/>
        <v>1.1610111986448013E-2</v>
      </c>
      <c r="D168" s="60">
        <v>47.5</v>
      </c>
      <c r="E168" s="77">
        <f t="shared" si="5"/>
        <v>4.0753724802804481E-2</v>
      </c>
    </row>
    <row r="169" spans="1:5" x14ac:dyDescent="0.3">
      <c r="A169" s="60" t="s">
        <v>401</v>
      </c>
      <c r="B169" s="60">
        <v>4155.8599999999997</v>
      </c>
      <c r="C169" s="77">
        <f t="shared" si="4"/>
        <v>-4.3101692681818404E-3</v>
      </c>
      <c r="D169" s="60">
        <v>45.64</v>
      </c>
      <c r="E169" s="77">
        <f t="shared" si="5"/>
        <v>-5.89690721649484E-2</v>
      </c>
    </row>
    <row r="170" spans="1:5" x14ac:dyDescent="0.3">
      <c r="A170" s="60" t="s">
        <v>402</v>
      </c>
      <c r="B170" s="60">
        <v>4173.8500000000004</v>
      </c>
      <c r="C170" s="77">
        <f t="shared" si="4"/>
        <v>-1.388035722723624E-2</v>
      </c>
      <c r="D170" s="60">
        <v>48.5</v>
      </c>
      <c r="E170" s="77">
        <f t="shared" si="5"/>
        <v>-2.1980237951199855E-2</v>
      </c>
    </row>
    <row r="171" spans="1:5" x14ac:dyDescent="0.3">
      <c r="A171" s="60" t="s">
        <v>403</v>
      </c>
      <c r="B171" s="60">
        <v>4232.6000000000004</v>
      </c>
      <c r="C171" s="77">
        <f t="shared" si="4"/>
        <v>1.2300384820516763E-2</v>
      </c>
      <c r="D171" s="60">
        <v>49.59</v>
      </c>
      <c r="E171" s="77">
        <f t="shared" si="5"/>
        <v>2.2685089709218342E-2</v>
      </c>
    </row>
    <row r="172" spans="1:5" x14ac:dyDescent="0.3">
      <c r="A172" s="60" t="s">
        <v>404</v>
      </c>
      <c r="B172" s="60">
        <v>4181.17</v>
      </c>
      <c r="C172" s="77">
        <f t="shared" si="4"/>
        <v>2.3922472052562149E-4</v>
      </c>
      <c r="D172" s="60">
        <v>48.49</v>
      </c>
      <c r="E172" s="77">
        <f t="shared" si="5"/>
        <v>-6.5703275529865102E-2</v>
      </c>
    </row>
    <row r="173" spans="1:5" x14ac:dyDescent="0.3">
      <c r="A173" s="60" t="s">
        <v>405</v>
      </c>
      <c r="B173" s="60">
        <v>4180.17</v>
      </c>
      <c r="C173" s="77">
        <f t="shared" si="4"/>
        <v>-1.266285506765108E-3</v>
      </c>
      <c r="D173" s="60">
        <v>51.9</v>
      </c>
      <c r="E173" s="77">
        <f t="shared" si="5"/>
        <v>0.15796519410977239</v>
      </c>
    </row>
    <row r="174" spans="1:5" x14ac:dyDescent="0.3">
      <c r="A174" s="60" t="s">
        <v>406</v>
      </c>
      <c r="B174" s="60">
        <v>4185.47</v>
      </c>
      <c r="C174" s="77">
        <f t="shared" si="4"/>
        <v>1.3725537686494871E-2</v>
      </c>
      <c r="D174" s="60">
        <v>44.82</v>
      </c>
      <c r="E174" s="77">
        <f t="shared" si="5"/>
        <v>3.8220986796386303E-2</v>
      </c>
    </row>
    <row r="175" spans="1:5" x14ac:dyDescent="0.3">
      <c r="A175" s="60" t="s">
        <v>407</v>
      </c>
      <c r="B175" s="60">
        <v>4128.8</v>
      </c>
      <c r="C175" s="77">
        <f t="shared" si="4"/>
        <v>2.7097891225338122E-2</v>
      </c>
      <c r="D175" s="60">
        <v>43.17</v>
      </c>
      <c r="E175" s="77">
        <f t="shared" si="5"/>
        <v>3.8239538239538406E-2</v>
      </c>
    </row>
    <row r="176" spans="1:5" x14ac:dyDescent="0.3">
      <c r="A176" s="60" t="s">
        <v>408</v>
      </c>
      <c r="B176" s="60">
        <v>4019.87</v>
      </c>
      <c r="C176" s="77">
        <f t="shared" si="4"/>
        <v>1.140509341961593E-2</v>
      </c>
      <c r="D176" s="60">
        <v>41.58</v>
      </c>
      <c r="E176" s="77">
        <f t="shared" si="5"/>
        <v>-1.5857988165680514E-2</v>
      </c>
    </row>
    <row r="177" spans="1:5" x14ac:dyDescent="0.3">
      <c r="A177" s="60" t="s">
        <v>409</v>
      </c>
      <c r="B177" s="60">
        <v>3974.54</v>
      </c>
      <c r="C177" s="77">
        <f t="shared" si="4"/>
        <v>1.570110653957224E-2</v>
      </c>
      <c r="D177" s="60">
        <v>42.25</v>
      </c>
      <c r="E177" s="77">
        <f t="shared" si="5"/>
        <v>2.3002421307506182E-2</v>
      </c>
    </row>
    <row r="178" spans="1:5" x14ac:dyDescent="0.3">
      <c r="A178" s="60" t="s">
        <v>410</v>
      </c>
      <c r="B178" s="60">
        <v>3913.1</v>
      </c>
      <c r="C178" s="77">
        <f t="shared" si="4"/>
        <v>-7.6686260885442392E-3</v>
      </c>
      <c r="D178" s="60">
        <v>41.3</v>
      </c>
      <c r="E178" s="77">
        <f t="shared" si="5"/>
        <v>5.2229299363057313E-2</v>
      </c>
    </row>
    <row r="179" spans="1:5" x14ac:dyDescent="0.3">
      <c r="A179" s="60" t="s">
        <v>411</v>
      </c>
      <c r="B179" s="60">
        <v>3943.34</v>
      </c>
      <c r="C179" s="77">
        <f t="shared" si="4"/>
        <v>2.6392916078856077E-2</v>
      </c>
      <c r="D179" s="60">
        <v>39.25</v>
      </c>
      <c r="E179" s="77">
        <f t="shared" si="5"/>
        <v>6.1384532179556528E-2</v>
      </c>
    </row>
    <row r="180" spans="1:5" x14ac:dyDescent="0.3">
      <c r="A180" s="60" t="s">
        <v>412</v>
      </c>
      <c r="B180" s="60">
        <v>3841.94</v>
      </c>
      <c r="C180" s="77">
        <f t="shared" si="4"/>
        <v>8.0789263083320684E-3</v>
      </c>
      <c r="D180" s="60">
        <v>36.979999999999997</v>
      </c>
      <c r="E180" s="77">
        <f t="shared" si="5"/>
        <v>1.0382513661202131E-2</v>
      </c>
    </row>
    <row r="181" spans="1:5" x14ac:dyDescent="0.3">
      <c r="A181" s="60" t="s">
        <v>413</v>
      </c>
      <c r="B181" s="60">
        <v>3811.15</v>
      </c>
      <c r="C181" s="77">
        <f t="shared" si="4"/>
        <v>-2.4460479533930046E-2</v>
      </c>
      <c r="D181" s="60">
        <v>36.6</v>
      </c>
      <c r="E181" s="77">
        <f t="shared" si="5"/>
        <v>-2.7314941272871263E-4</v>
      </c>
    </row>
    <row r="182" spans="1:5" x14ac:dyDescent="0.3">
      <c r="A182" s="60" t="s">
        <v>414</v>
      </c>
      <c r="B182" s="60">
        <v>3906.71</v>
      </c>
      <c r="C182" s="77">
        <f t="shared" si="4"/>
        <v>-7.1464332639529227E-3</v>
      </c>
      <c r="D182" s="60">
        <v>36.61</v>
      </c>
      <c r="E182" s="77">
        <f t="shared" si="5"/>
        <v>-8.6650419712970272E-3</v>
      </c>
    </row>
    <row r="183" spans="1:5" x14ac:dyDescent="0.3">
      <c r="A183" s="60" t="s">
        <v>415</v>
      </c>
      <c r="B183" s="60">
        <v>3934.83</v>
      </c>
      <c r="C183" s="77">
        <f t="shared" si="4"/>
        <v>1.2349395265550678E-2</v>
      </c>
      <c r="D183" s="60">
        <v>36.93</v>
      </c>
      <c r="E183" s="77">
        <f t="shared" si="5"/>
        <v>-8.5906040268456385E-3</v>
      </c>
    </row>
    <row r="184" spans="1:5" x14ac:dyDescent="0.3">
      <c r="A184" s="60" t="s">
        <v>416</v>
      </c>
      <c r="B184" s="60">
        <v>3886.83</v>
      </c>
      <c r="C184" s="77">
        <f t="shared" si="4"/>
        <v>4.6467110364435404E-2</v>
      </c>
      <c r="D184" s="60">
        <v>37.25</v>
      </c>
      <c r="E184" s="77">
        <f t="shared" si="5"/>
        <v>8.0336426914153325E-2</v>
      </c>
    </row>
    <row r="185" spans="1:5" x14ac:dyDescent="0.3">
      <c r="A185" s="60" t="s">
        <v>417</v>
      </c>
      <c r="B185" s="60">
        <v>3714.24</v>
      </c>
      <c r="C185" s="77">
        <f t="shared" si="4"/>
        <v>-3.3120133698818388E-2</v>
      </c>
      <c r="D185" s="60">
        <v>34.479999999999997</v>
      </c>
      <c r="E185" s="77">
        <f t="shared" si="5"/>
        <v>-5.6892778993435589E-2</v>
      </c>
    </row>
    <row r="186" spans="1:5" x14ac:dyDescent="0.3">
      <c r="A186" s="60" t="s">
        <v>418</v>
      </c>
      <c r="B186" s="60">
        <v>3841.47</v>
      </c>
      <c r="C186" s="77">
        <f t="shared" si="4"/>
        <v>1.9430770251442908E-2</v>
      </c>
      <c r="D186" s="60">
        <v>36.56</v>
      </c>
      <c r="E186" s="77">
        <f t="shared" si="5"/>
        <v>-2.7277686852152927E-3</v>
      </c>
    </row>
    <row r="187" spans="1:5" x14ac:dyDescent="0.3">
      <c r="A187" s="60" t="s">
        <v>419</v>
      </c>
      <c r="B187" s="60">
        <v>3768.25</v>
      </c>
      <c r="C187" s="77">
        <f t="shared" si="4"/>
        <v>-1.4754175512722623E-2</v>
      </c>
      <c r="D187" s="60">
        <v>36.659999999999997</v>
      </c>
      <c r="E187" s="77">
        <f t="shared" si="5"/>
        <v>-2.727024815927237E-4</v>
      </c>
    </row>
    <row r="188" spans="1:5" x14ac:dyDescent="0.3">
      <c r="A188" s="60" t="s">
        <v>420</v>
      </c>
      <c r="B188" s="60">
        <v>3824.68</v>
      </c>
      <c r="C188" s="77">
        <f t="shared" si="4"/>
        <v>1.8266432734214133E-2</v>
      </c>
      <c r="D188" s="60">
        <v>36.67</v>
      </c>
      <c r="E188" s="77">
        <f t="shared" si="5"/>
        <v>2.0311630495269961E-2</v>
      </c>
    </row>
    <row r="189" spans="1:5" x14ac:dyDescent="0.3">
      <c r="A189" s="60" t="s">
        <v>421</v>
      </c>
      <c r="B189" s="60">
        <v>3756.07</v>
      </c>
      <c r="C189" s="77">
        <f t="shared" si="4"/>
        <v>1.4315187979671018E-2</v>
      </c>
      <c r="D189" s="60">
        <v>35.94</v>
      </c>
      <c r="E189" s="77">
        <f t="shared" si="5"/>
        <v>-4.983388704318914E-3</v>
      </c>
    </row>
    <row r="190" spans="1:5" x14ac:dyDescent="0.3">
      <c r="A190" s="60" t="s">
        <v>422</v>
      </c>
      <c r="B190" s="60">
        <v>3703.06</v>
      </c>
      <c r="C190" s="77">
        <f t="shared" si="4"/>
        <v>-1.7118625333947257E-3</v>
      </c>
      <c r="D190" s="60">
        <v>36.119999999999997</v>
      </c>
      <c r="E190" s="77">
        <f t="shared" si="5"/>
        <v>-1.1223651793046963E-2</v>
      </c>
    </row>
    <row r="191" spans="1:5" x14ac:dyDescent="0.3">
      <c r="A191" s="60" t="s">
        <v>423</v>
      </c>
      <c r="B191" s="60">
        <v>3709.41</v>
      </c>
      <c r="C191" s="77">
        <f t="shared" si="4"/>
        <v>1.2542787419543178E-2</v>
      </c>
      <c r="D191" s="60">
        <v>36.53</v>
      </c>
      <c r="E191" s="77">
        <f t="shared" si="5"/>
        <v>3.7489349616586232E-2</v>
      </c>
    </row>
    <row r="192" spans="1:5" x14ac:dyDescent="0.3">
      <c r="A192" s="60" t="s">
        <v>424</v>
      </c>
      <c r="B192" s="60">
        <v>3663.46</v>
      </c>
      <c r="C192" s="77">
        <f t="shared" si="4"/>
        <v>-9.6401306256622687E-3</v>
      </c>
      <c r="D192" s="60">
        <v>35.21</v>
      </c>
      <c r="E192" s="77">
        <f t="shared" si="5"/>
        <v>-4.0599455040872034E-2</v>
      </c>
    </row>
    <row r="193" spans="1:5" x14ac:dyDescent="0.3">
      <c r="A193" s="60" t="s">
        <v>425</v>
      </c>
      <c r="B193" s="60">
        <v>3699.12</v>
      </c>
      <c r="C193" s="77">
        <f t="shared" si="4"/>
        <v>1.6702626190443493E-2</v>
      </c>
      <c r="D193" s="60">
        <v>36.700000000000003</v>
      </c>
      <c r="E193" s="77">
        <f t="shared" si="5"/>
        <v>6.4076543925775553E-2</v>
      </c>
    </row>
    <row r="194" spans="1:5" x14ac:dyDescent="0.3">
      <c r="A194" s="60" t="s">
        <v>426</v>
      </c>
      <c r="B194" s="60">
        <v>3638.35</v>
      </c>
      <c r="C194" s="77">
        <f t="shared" si="4"/>
        <v>2.2715134615492794E-2</v>
      </c>
      <c r="D194" s="60">
        <v>34.49</v>
      </c>
      <c r="E194" s="77">
        <f t="shared" si="5"/>
        <v>4.4834898515601518E-2</v>
      </c>
    </row>
    <row r="195" spans="1:5" x14ac:dyDescent="0.3">
      <c r="A195" s="60" t="s">
        <v>427</v>
      </c>
      <c r="B195" s="60">
        <v>3557.54</v>
      </c>
      <c r="C195" s="77" t="e">
        <f t="shared" si="4"/>
        <v>#DIV/0!</v>
      </c>
      <c r="D195" s="60">
        <v>33.01</v>
      </c>
      <c r="E195" s="77" t="e">
        <f t="shared" si="5"/>
        <v>#DIV/0!</v>
      </c>
    </row>
  </sheetData>
  <phoneticPr fontId="17" type="noConversion"/>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19D42F-A694-4017-8323-37031584E637}">
  <dimension ref="A1:J22"/>
  <sheetViews>
    <sheetView workbookViewId="0">
      <selection activeCell="F25" sqref="F25"/>
    </sheetView>
  </sheetViews>
  <sheetFormatPr defaultRowHeight="14.4" x14ac:dyDescent="0.3"/>
  <cols>
    <col min="1" max="1" width="23.6640625" customWidth="1"/>
    <col min="2" max="7" width="11.77734375" customWidth="1"/>
    <col min="10" max="10" width="16.44140625" customWidth="1"/>
  </cols>
  <sheetData>
    <row r="1" spans="1:7" x14ac:dyDescent="0.3">
      <c r="A1" s="35" t="s">
        <v>732</v>
      </c>
    </row>
    <row r="2" spans="1:7" x14ac:dyDescent="0.3">
      <c r="B2" s="84">
        <v>2023</v>
      </c>
      <c r="C2" s="85">
        <v>2024</v>
      </c>
      <c r="D2" s="85">
        <v>2025</v>
      </c>
      <c r="E2" s="85">
        <v>2026</v>
      </c>
      <c r="F2" s="86">
        <v>2027</v>
      </c>
      <c r="G2" s="86" t="s">
        <v>446</v>
      </c>
    </row>
    <row r="3" spans="1:7" x14ac:dyDescent="0.3">
      <c r="A3" s="87" t="s">
        <v>436</v>
      </c>
      <c r="B3" s="88">
        <f>BSf!C44/(BSf!C44+BSf!C35)</f>
        <v>0.78897421956610525</v>
      </c>
      <c r="C3" s="88">
        <f>BSf!D44/(BSf!D44+BSf!D35)</f>
        <v>0.84310009446581602</v>
      </c>
      <c r="D3" s="88">
        <f>BSf!E44/(BSf!E44+BSf!E35)</f>
        <v>0.89404549080406948</v>
      </c>
      <c r="E3" s="88">
        <f>BSf!F44/(BSf!F44+BSf!F35)</f>
        <v>0.94052417191063109</v>
      </c>
      <c r="F3" s="88">
        <f>BSf!G44/(BSf!G44+BSf!G35)</f>
        <v>0.98160310259341466</v>
      </c>
    </row>
    <row r="4" spans="1:7" x14ac:dyDescent="0.3">
      <c r="A4" s="87" t="s">
        <v>262</v>
      </c>
      <c r="B4" s="81">
        <f>WACC!$H$38</f>
        <v>0.10093963466693237</v>
      </c>
      <c r="C4" s="81">
        <f>WACC!$H$38</f>
        <v>0.10093963466693237</v>
      </c>
      <c r="D4" s="81">
        <f>WACC!$H$38</f>
        <v>0.10093963466693237</v>
      </c>
      <c r="E4" s="81">
        <f>WACC!$H$38</f>
        <v>0.10093963466693237</v>
      </c>
      <c r="F4" s="81">
        <f>WACC!$H$38</f>
        <v>0.10093963466693237</v>
      </c>
    </row>
    <row r="5" spans="1:7" x14ac:dyDescent="0.3">
      <c r="A5" s="87" t="s">
        <v>437</v>
      </c>
      <c r="B5" s="88">
        <f>1-B3</f>
        <v>0.21102578043389475</v>
      </c>
      <c r="C5" s="88">
        <f t="shared" ref="C5:F5" si="0">1-C3</f>
        <v>0.15689990553418398</v>
      </c>
      <c r="D5" s="88">
        <f t="shared" si="0"/>
        <v>0.10595450919593052</v>
      </c>
      <c r="E5" s="88">
        <f t="shared" si="0"/>
        <v>5.947582808936891E-2</v>
      </c>
      <c r="F5" s="88">
        <f t="shared" si="0"/>
        <v>1.8396897406585344E-2</v>
      </c>
    </row>
    <row r="6" spans="1:7" x14ac:dyDescent="0.3">
      <c r="A6" s="87" t="s">
        <v>438</v>
      </c>
      <c r="B6" s="89">
        <f>Parameters!$B$35</f>
        <v>0.05</v>
      </c>
      <c r="C6" s="89">
        <f>Parameters!$B$35</f>
        <v>0.05</v>
      </c>
      <c r="D6" s="89">
        <f>Parameters!$B$35</f>
        <v>0.05</v>
      </c>
      <c r="E6" s="89">
        <f>Parameters!$B$35</f>
        <v>0.05</v>
      </c>
      <c r="F6" s="89">
        <f>Parameters!$B$35</f>
        <v>0.05</v>
      </c>
    </row>
    <row r="7" spans="1:7" x14ac:dyDescent="0.3">
      <c r="A7" s="90" t="s">
        <v>439</v>
      </c>
      <c r="B7" s="91">
        <f>IS!$C$30</f>
        <v>0.16100470246695456</v>
      </c>
      <c r="C7" s="91">
        <f>IS!$C$30</f>
        <v>0.16100470246695456</v>
      </c>
      <c r="D7" s="91">
        <f>IS!$C$30</f>
        <v>0.16100470246695456</v>
      </c>
      <c r="E7" s="91">
        <f>IS!$C$30</f>
        <v>0.16100470246695456</v>
      </c>
      <c r="F7" s="91">
        <f>IS!$C$30</f>
        <v>0.16100470246695456</v>
      </c>
    </row>
    <row r="8" spans="1:7" x14ac:dyDescent="0.3">
      <c r="A8" s="92" t="s">
        <v>440</v>
      </c>
      <c r="B8" s="82">
        <f>B3*B4+B5*B6*(1-B7)</f>
        <v>8.8491251356744682E-2</v>
      </c>
      <c r="C8" s="82">
        <f t="shared" ref="C8:F8" si="1">C3*C4+C5*C6*(1-C7)</f>
        <v>9.1684129669363609E-2</v>
      </c>
      <c r="D8" s="82">
        <f t="shared" si="1"/>
        <v>9.4689391965771391E-2</v>
      </c>
      <c r="E8" s="82">
        <f t="shared" si="1"/>
        <v>9.7431163312271418E-2</v>
      </c>
      <c r="F8" s="82">
        <f t="shared" si="1"/>
        <v>9.9854404084372766E-2</v>
      </c>
    </row>
    <row r="10" spans="1:7" x14ac:dyDescent="0.3">
      <c r="A10" s="87" t="s">
        <v>441</v>
      </c>
      <c r="B10" s="37">
        <f>CFf!C14</f>
        <v>2499441.034933724</v>
      </c>
      <c r="C10" s="37">
        <f>CFf!D14</f>
        <v>745763.60142147564</v>
      </c>
      <c r="D10" s="37">
        <f>CFf!E14</f>
        <v>813889.60013108514</v>
      </c>
      <c r="E10" s="37">
        <f>CFf!F14</f>
        <v>892604.25955931249</v>
      </c>
      <c r="F10" s="37">
        <f>CFf!G14</f>
        <v>989158.53045883006</v>
      </c>
    </row>
    <row r="11" spans="1:7" x14ac:dyDescent="0.3">
      <c r="A11" s="90" t="s">
        <v>442</v>
      </c>
      <c r="B11" s="41">
        <f>CFf!C31</f>
        <v>-10000</v>
      </c>
      <c r="C11" s="41">
        <f>CFf!D31</f>
        <v>0</v>
      </c>
      <c r="D11" s="41">
        <f>CFf!E31</f>
        <v>0</v>
      </c>
      <c r="E11" s="41">
        <f>CFf!F31</f>
        <v>0</v>
      </c>
      <c r="F11">
        <f>CFf!G31</f>
        <v>0</v>
      </c>
    </row>
    <row r="12" spans="1:7" x14ac:dyDescent="0.3">
      <c r="A12" s="92" t="s">
        <v>443</v>
      </c>
      <c r="B12" s="44">
        <f>B10+B11</f>
        <v>2489441.034933724</v>
      </c>
      <c r="C12" s="44">
        <f t="shared" ref="C12:F12" si="2">C10+C11</f>
        <v>745763.60142147564</v>
      </c>
      <c r="D12" s="44">
        <f t="shared" si="2"/>
        <v>813889.60013108514</v>
      </c>
      <c r="E12" s="44">
        <f t="shared" si="2"/>
        <v>892604.25955931249</v>
      </c>
      <c r="F12" s="95">
        <f t="shared" si="2"/>
        <v>989158.53045883006</v>
      </c>
      <c r="G12" s="44">
        <f>F12/F8</f>
        <v>9906008.0477074683</v>
      </c>
    </row>
    <row r="14" spans="1:7" x14ac:dyDescent="0.3">
      <c r="A14" s="35" t="s">
        <v>444</v>
      </c>
      <c r="B14" s="44">
        <f>B12/(1+B8)^(B2-2022)</f>
        <v>2287056.5398029359</v>
      </c>
      <c r="C14" s="44">
        <f t="shared" ref="C14:F14" si="3">C12/(1+C8)^(C2-2022)</f>
        <v>625759.12201692129</v>
      </c>
      <c r="D14" s="44">
        <f t="shared" si="3"/>
        <v>620429.97284071054</v>
      </c>
      <c r="E14" s="44">
        <f t="shared" si="3"/>
        <v>615389.1018538248</v>
      </c>
      <c r="F14" s="44">
        <f t="shared" si="3"/>
        <v>614596.25535605079</v>
      </c>
      <c r="G14" s="44">
        <f>G12/(1+F8)^(F2+1-2022)</f>
        <v>5596126.0403835829</v>
      </c>
    </row>
    <row r="15" spans="1:7" x14ac:dyDescent="0.3">
      <c r="A15" s="93"/>
    </row>
    <row r="17" spans="1:10" x14ac:dyDescent="0.3">
      <c r="A17" s="35" t="s">
        <v>445</v>
      </c>
      <c r="B17" s="94">
        <f>SUM(B14:G14)</f>
        <v>10359357.032254025</v>
      </c>
    </row>
    <row r="18" spans="1:10" x14ac:dyDescent="0.3">
      <c r="J18" s="35"/>
    </row>
    <row r="19" spans="1:10" x14ac:dyDescent="0.3">
      <c r="A19" s="35" t="s">
        <v>447</v>
      </c>
      <c r="B19" s="96">
        <v>133600000</v>
      </c>
    </row>
    <row r="22" spans="1:10" x14ac:dyDescent="0.3">
      <c r="A22" s="35" t="s">
        <v>448</v>
      </c>
      <c r="B22" s="97">
        <f>B17*1000/B19</f>
        <v>77.540097546811566</v>
      </c>
      <c r="J22" s="3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Strategy</vt:lpstr>
      <vt:lpstr>IS</vt:lpstr>
      <vt:lpstr>BS</vt:lpstr>
      <vt:lpstr>ISf</vt:lpstr>
      <vt:lpstr>BSf</vt:lpstr>
      <vt:lpstr>CFf</vt:lpstr>
      <vt:lpstr>Parameters</vt:lpstr>
      <vt:lpstr>WACC</vt:lpstr>
      <vt:lpstr>Company Value</vt:lpstr>
      <vt:lpstr>Price Tracking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Karola Paizs</dc:creator>
  <cp:lastModifiedBy>BOGLÁRKA PÓRA</cp:lastModifiedBy>
  <dcterms:created xsi:type="dcterms:W3CDTF">2015-06-05T18:17:20Z</dcterms:created>
  <dcterms:modified xsi:type="dcterms:W3CDTF">2024-08-19T20:27:14Z</dcterms:modified>
</cp:coreProperties>
</file>