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pivotTables/pivotTable1.xml" ContentType="application/vnd.openxmlformats-officedocument.spreadsheetml.pivot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pivotTables/pivotTable2.xml" ContentType="application/vnd.openxmlformats-officedocument.spreadsheetml.pivotTable+xml"/>
  <Override PartName="/xl/drawings/drawing13.xml" ContentType="application/vnd.openxmlformats-officedocument.drawing+xml"/>
  <Override PartName="/xl/pivotTables/pivotTable3.xml" ContentType="application/vnd.openxmlformats-officedocument.spreadsheetml.pivotTable+xml"/>
  <Override PartName="/xl/drawings/drawing14.xml" ContentType="application/vnd.openxmlformats-officedocument.drawing+xml"/>
  <Override PartName="/xl/drawings/drawing15.xml" ContentType="application/vnd.openxmlformats-officedocument.drawing+xml"/>
  <Override PartName="/xl/pivotTables/pivotTable4.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https://bcgcloudeur.sharepoint.com/sites/265453-45/Shared Documents/07. FRP - Working Folders/04. Deliverables/04. Country excels/"/>
    </mc:Choice>
  </mc:AlternateContent>
  <xr:revisionPtr revIDLastSave="674" documentId="8_{41656E21-8981-471A-9AFA-FEF078200115}" xr6:coauthVersionLast="47" xr6:coauthVersionMax="47" xr10:uidLastSave="{80381FE8-E11E-486D-B06F-906D9B37B5B1}"/>
  <bookViews>
    <workbookView xWindow="1425" yWindow="-15870" windowWidth="25440" windowHeight="15390" tabRatio="961" firstSheet="2" activeTab="5" xr2:uid="{00000000-000D-0000-FFFF-FFFF00000000}"/>
  </bookViews>
  <sheets>
    <sheet name="OCPLevers &amp; MS- P2O5" sheetId="54" state="hidden" r:id="rId1"/>
    <sheet name="Proejction Market product mix" sheetId="80" state="hidden" r:id="rId2"/>
    <sheet name="Couverture" sheetId="14" r:id="rId3"/>
    <sheet name="Sheet2" sheetId="86" state="hidden" r:id="rId4"/>
    <sheet name="ProjectedP205_Consumption" sheetId="49" r:id="rId5"/>
    <sheet name="Synthesis - Market &amp; OCP CIV" sheetId="85" r:id="rId6"/>
    <sheet name="OCP Levers" sheetId="84" r:id="rId7"/>
    <sheet name="Projection Mkt product mix" sheetId="82" r:id="rId8"/>
    <sheet name="OCPLevers &amp; MS- P2O5 (2)" sheetId="83" state="hidden" r:id="rId9"/>
    <sheet name=" Product Mix Hypotheses" sheetId="72" state="hidden" r:id="rId10"/>
    <sheet name="Investments &amp; capabilities" sheetId="88" r:id="rId11"/>
    <sheet name="Inputs &gt;" sheetId="42" r:id="rId12"/>
    <sheet name="OCP Sales in CIV - synthesis " sheetId="71" r:id="rId13"/>
    <sheet name="RAR_OCP" sheetId="64" r:id="rId14"/>
    <sheet name="Argus - Consumption per crop" sheetId="65" state="hidden" r:id="rId15"/>
    <sheet name="VIFAA - Consumption per product" sheetId="66" r:id="rId16"/>
    <sheet name="HarvestedAreas_TCD" sheetId="59" r:id="rId17"/>
    <sheet name="HarvestedAreas" sheetId="57" r:id="rId18"/>
    <sheet name="Vente 2021 OCP CIV" sheetId="73" r:id="rId19"/>
    <sheet name="Sheet5" sheetId="77" r:id="rId20"/>
    <sheet name="Sheet6" sheetId="78" r:id="rId21"/>
    <sheet name="OCPA sales in CIV 2021" sheetId="74" r:id="rId22"/>
  </sheets>
  <externalReferences>
    <externalReference r:id="rId23"/>
    <externalReference r:id="rId24"/>
    <externalReference r:id="rId25"/>
  </externalReferences>
  <definedNames>
    <definedName name="___thinkcellE2EQAAAAAAAAAAAAAAAEXFVLDDMMDKSFWUHDDY3IHGFLS" localSheetId="5" hidden="1">'Synthesis - Market &amp; OCP CIV'!$B$46:$F$51</definedName>
    <definedName name="___thinkcellE2EQAAAAAAAAAAAAAAAF53PT3U5UFW2GUOSIVROHNDTV6" localSheetId="5" hidden="1">'Synthesis - Market &amp; OCP CIV'!$B$97:$F$102</definedName>
    <definedName name="___thinkcellE2EQAAAAAAAAAAAAAAAG3YMPYBJ6OMCNQTUZIAHVON5II" localSheetId="5" hidden="1">'Synthesis - Market &amp; OCP CIV'!$B$86:$F$90</definedName>
    <definedName name="___thinkcellE2EQAAAAAAAAAAAAAAAHC3PEYLQOD6KETJZSDRBGH6G5K" localSheetId="5" hidden="1">'Synthesis - Market &amp; OCP CIV'!$B$144:$J$148</definedName>
    <definedName name="___thinkcellE2EQAAAAAAAAAAAAAAAHXSTTE4U3OHSPRE3R53PH3CXWW" localSheetId="5" hidden="1">'Synthesis - Market &amp; OCP CIV'!$H$74:$L$77</definedName>
    <definedName name="___thinkcellE2EQAAAAAAAAAAAAAAALLR3O4LUQAXSNSQRFAOKWOIMVK" localSheetId="5" hidden="1">'Synthesis - Market &amp; OCP CIV'!$B$35:$F$39</definedName>
    <definedName name="___thinkcellE2EQAAAAAAAAAAAAAAAMGDSQ3ICWHN2CW4Q3FZC3CVJYG" localSheetId="5" hidden="1">'Synthesis - Market &amp; OCP CIV'!$B$62:$F$66</definedName>
    <definedName name="___thinkcellE2EQAAAAAAAAAAAAAAAOWMMCIKV52ZSCQ3WH7HH7YY7FK" localSheetId="5" hidden="1">'Synthesis - Market &amp; OCP CIV'!$B$11:$F$15</definedName>
    <definedName name="___thinkcellE2EQAAAAAAAAAAAAAAAPQ63E5TWYXF2GUATUAWYPUXFBM" localSheetId="5" hidden="1">'Synthesis - Market &amp; OCP CIV'!$H$23:$L$26</definedName>
    <definedName name="___thinkcellE2EQAAABAAAAAAAAAAAA4DALNLYGHOSOQDLU2DKTITUDG" localSheetId="5" hidden="1">'Synthesis - Market &amp; OCP CIV'!$B$167:$F$174</definedName>
    <definedName name="_xlnm._FilterDatabase" localSheetId="9">' Product Mix Hypotheses'!$B$11:$D$20</definedName>
    <definedName name="_xlnm._FilterDatabase" localSheetId="14" hidden="1">'Argus - Consumption per crop'!$A$267:$P$298</definedName>
    <definedName name="_xlnm._FilterDatabase" localSheetId="0" hidden="1">'OCPLevers &amp; MS- P2O5'!$O$95:$O$112</definedName>
    <definedName name="_xlnm._FilterDatabase" localSheetId="8" hidden="1">'OCPLevers &amp; MS- P2O5 (2)'!$O$95:$O$112</definedName>
    <definedName name="_xlnm._FilterDatabase" localSheetId="3" hidden="1">Sheet2!$A$23:$K$39</definedName>
    <definedName name="_xlnm._FilterDatabase" localSheetId="15" hidden="1">'VIFAA - Consumption per product'!$A$6:$G$265</definedName>
    <definedName name="AS2DocOpenMode" hidden="1">"AS2DocumentEdit"</definedName>
    <definedName name="DATA">#REF!</definedName>
    <definedName name="Exports" localSheetId="9">_xlfn.IFS('[1]Data Dashboard'!#REF!=1,-'[1]Data Dashboard'!$D$20:$Q$20,'[1]Data Dashboard'!#REF!=2,0,'[1]Data Dashboard'!#REF!=3,'[1]Data Dashboard'!$D$20:$Q$20)</definedName>
    <definedName name="Exports" localSheetId="10">_xlfn.IFS('[1]Data Dashboard'!#REF!=1,-'[1]Data Dashboard'!$D$20:$Q$20,'[1]Data Dashboard'!#REF!=2,0,'[1]Data Dashboard'!#REF!=3,'[1]Data Dashboard'!$D$20:$Q$20)</definedName>
    <definedName name="Exports">_xlfn.IFS('[1]Data Dashboard'!#REF!=1,-'[1]Data Dashboard'!$D$20:$Q$20,'[1]Data Dashboard'!#REF!=2,0,'[1]Data Dashboard'!#REF!=3,'[1]Data Dashboard'!$D$20:$Q$20)</definedName>
    <definedName name="icité" localSheetId="10">#REF!</definedName>
    <definedName name="icité">#REF!</definedName>
    <definedName name="Imports" localSheetId="9">IF('[1]Data Dashboard'!#REF!&lt;3,'[1]Data Dashboard'!$D$19:$Q$19,0)</definedName>
    <definedName name="Imports" localSheetId="10">IF('[1]Data Dashboard'!#REF!&lt;3,'[1]Data Dashboard'!$D$19:$Q$19,0)</definedName>
    <definedName name="Imports">IF('[1]Data Dashboard'!#REF!&lt;3,'[1]Data Dashboard'!$D$19:$Q$19,0)</definedName>
    <definedName name="Sub_Region">[2]CONTROL!$J$3:$J$25</definedName>
    <definedName name="Title" localSheetId="9">[3]Couverture!$C$2</definedName>
    <definedName name="Title" localSheetId="10">[3]Couverture!$C$2</definedName>
    <definedName name="Title">Couverture!$C$2</definedName>
  </definedNames>
  <calcPr calcId="191028"/>
  <pivotCaches>
    <pivotCache cacheId="29" r:id="rId26"/>
    <pivotCache cacheId="30" r:id="rId27"/>
    <pivotCache cacheId="31" r:id="rId28"/>
    <pivotCache cacheId="32" r:id="rId29"/>
    <pivotCache cacheId="33" r:id="rId3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6" i="49" l="1"/>
  <c r="M126" i="49" s="1"/>
  <c r="L125" i="49"/>
  <c r="M125" i="49" s="1"/>
  <c r="L124" i="49"/>
  <c r="M124" i="49" s="1"/>
  <c r="L123" i="49"/>
  <c r="M123" i="49" s="1"/>
  <c r="L122" i="49"/>
  <c r="M122" i="49" s="1"/>
  <c r="L121" i="49"/>
  <c r="M121" i="49" s="1"/>
  <c r="L120" i="49"/>
  <c r="M120" i="49" s="1"/>
  <c r="L119" i="49"/>
  <c r="M119" i="49" s="1"/>
  <c r="L118" i="49"/>
  <c r="M118" i="49" s="1"/>
  <c r="L117" i="49"/>
  <c r="M117" i="49" s="1"/>
  <c r="L116" i="49"/>
  <c r="M116" i="49" s="1"/>
  <c r="L115" i="49"/>
  <c r="M115" i="49" s="1"/>
  <c r="L114" i="49"/>
  <c r="M114" i="49" s="1"/>
  <c r="M113" i="49"/>
  <c r="L113" i="49"/>
  <c r="D22" i="88" l="1"/>
  <c r="C22" i="88"/>
  <c r="G27" i="88"/>
  <c r="G26" i="88"/>
  <c r="G25" i="88"/>
  <c r="G24" i="88"/>
  <c r="G23" i="88"/>
  <c r="F27" i="88"/>
  <c r="F26" i="88"/>
  <c r="F25" i="88"/>
  <c r="F24" i="88"/>
  <c r="F23" i="88"/>
  <c r="F22" i="88" s="1"/>
  <c r="G22" i="88" l="1"/>
  <c r="E41" i="88"/>
  <c r="D41" i="88"/>
  <c r="G41" i="88" s="1"/>
  <c r="C41" i="88"/>
  <c r="F41" i="88" s="1"/>
  <c r="D32" i="88"/>
  <c r="G32" i="88" s="1"/>
  <c r="D12" i="88" s="1"/>
  <c r="C32" i="88"/>
  <c r="F32" i="88" s="1"/>
  <c r="C12" i="88" s="1"/>
  <c r="D11" i="88"/>
  <c r="C11" i="88"/>
  <c r="E22" i="88"/>
  <c r="C3" i="88"/>
  <c r="C2" i="88"/>
  <c r="C2" i="14"/>
  <c r="C13" i="88" l="1"/>
  <c r="D13" i="88"/>
  <c r="D14" i="88"/>
  <c r="D16" i="88" s="1"/>
  <c r="C14" i="88"/>
  <c r="C16" i="88" s="1"/>
  <c r="C17" i="88"/>
  <c r="D17" i="88"/>
  <c r="H164" i="85" l="1"/>
  <c r="H161" i="85"/>
  <c r="H160" i="85"/>
  <c r="H159" i="85"/>
  <c r="H158" i="85"/>
  <c r="H157" i="85"/>
  <c r="B173" i="85"/>
  <c r="B172" i="85"/>
  <c r="B171" i="85"/>
  <c r="B170" i="85"/>
  <c r="B169" i="85"/>
  <c r="B168" i="85"/>
  <c r="F161" i="85"/>
  <c r="F160" i="85"/>
  <c r="F159" i="85"/>
  <c r="F158" i="85"/>
  <c r="F157" i="85"/>
  <c r="E161" i="85"/>
  <c r="E160" i="85"/>
  <c r="E159" i="85"/>
  <c r="E158" i="85"/>
  <c r="E157" i="85"/>
  <c r="D161" i="85"/>
  <c r="D160" i="85"/>
  <c r="D159" i="85"/>
  <c r="D158" i="85"/>
  <c r="D157" i="85"/>
  <c r="F156" i="85"/>
  <c r="F167" i="85" s="1"/>
  <c r="E156" i="85"/>
  <c r="E167" i="85" s="1"/>
  <c r="D156" i="85"/>
  <c r="D167" i="85" s="1"/>
  <c r="P117" i="49"/>
  <c r="C136" i="85"/>
  <c r="C148" i="85" s="1"/>
  <c r="J148" i="85" s="1"/>
  <c r="C134" i="85"/>
  <c r="C133" i="85"/>
  <c r="C132" i="85"/>
  <c r="C131" i="85"/>
  <c r="C130" i="85"/>
  <c r="D120" i="85"/>
  <c r="D119" i="85"/>
  <c r="D118" i="85"/>
  <c r="D117" i="85"/>
  <c r="D116" i="85"/>
  <c r="D122" i="85"/>
  <c r="C122" i="85"/>
  <c r="C120" i="85"/>
  <c r="C119" i="85"/>
  <c r="C118" i="85"/>
  <c r="C117" i="85"/>
  <c r="C116" i="85"/>
  <c r="L4" i="86"/>
  <c r="L25" i="86"/>
  <c r="L3" i="86"/>
  <c r="L24" i="86"/>
  <c r="K24" i="86"/>
  <c r="K31" i="86"/>
  <c r="K37" i="86"/>
  <c r="K36" i="86"/>
  <c r="K35" i="86"/>
  <c r="K27" i="86"/>
  <c r="K26" i="86"/>
  <c r="K32" i="86"/>
  <c r="K29" i="86"/>
  <c r="K28" i="86"/>
  <c r="K30" i="86"/>
  <c r="K34" i="86"/>
  <c r="K38" i="86"/>
  <c r="K33" i="86"/>
  <c r="K25" i="86"/>
  <c r="K3" i="86"/>
  <c r="K13" i="86"/>
  <c r="K17" i="86"/>
  <c r="K16" i="86"/>
  <c r="K15" i="86"/>
  <c r="K9" i="86"/>
  <c r="K7" i="86"/>
  <c r="K6" i="86"/>
  <c r="K10" i="86"/>
  <c r="K5" i="86"/>
  <c r="K8" i="86"/>
  <c r="K14" i="86"/>
  <c r="K11" i="86"/>
  <c r="K12" i="86"/>
  <c r="K4" i="86"/>
  <c r="Q26" i="49"/>
  <c r="Q25" i="49"/>
  <c r="Q24" i="49"/>
  <c r="Q23" i="49"/>
  <c r="Q22" i="49"/>
  <c r="Q21" i="49"/>
  <c r="Q20" i="49"/>
  <c r="Q19" i="49"/>
  <c r="Q18" i="49"/>
  <c r="Q17" i="49"/>
  <c r="Q16" i="49"/>
  <c r="Q15" i="49"/>
  <c r="Q14" i="49"/>
  <c r="Q13" i="49"/>
  <c r="J64" i="85" a="1"/>
  <c r="J64" i="85" s="1"/>
  <c r="J68" i="85" s="1"/>
  <c r="I64" i="85" a="1"/>
  <c r="I64" i="85" s="1"/>
  <c r="I68" i="85" s="1"/>
  <c r="D64" i="85" a="1"/>
  <c r="D64" i="85" s="1"/>
  <c r="D68" i="85" s="1"/>
  <c r="C64" i="85" a="1"/>
  <c r="C64" i="85" s="1"/>
  <c r="C68" i="85" s="1"/>
  <c r="L13" i="85" a="1"/>
  <c r="L13" i="85" s="1"/>
  <c r="L17" i="85" s="1"/>
  <c r="K13" i="85" a="1"/>
  <c r="K13" i="85" s="1"/>
  <c r="K17" i="85" s="1"/>
  <c r="J13" i="85" a="1"/>
  <c r="J13" i="85" s="1"/>
  <c r="J17" i="85" s="1"/>
  <c r="I13" i="85" a="1"/>
  <c r="I13" i="85" s="1"/>
  <c r="I17" i="85" s="1"/>
  <c r="F13" i="85" a="1"/>
  <c r="F13" i="85" s="1"/>
  <c r="F17" i="85" s="1"/>
  <c r="E13" i="85" a="1"/>
  <c r="E13" i="85" s="1"/>
  <c r="E17" i="85" s="1"/>
  <c r="D13" i="85" a="1"/>
  <c r="D13" i="85" s="1"/>
  <c r="D17" i="85" s="1"/>
  <c r="C13" i="85" a="1"/>
  <c r="C13" i="85" s="1"/>
  <c r="C17" i="85" s="1"/>
  <c r="E3" i="85"/>
  <c r="E2" i="85"/>
  <c r="F17" i="84"/>
  <c r="I98" i="84"/>
  <c r="H98" i="84"/>
  <c r="H143" i="84" s="1"/>
  <c r="G98" i="84"/>
  <c r="F98" i="84"/>
  <c r="E98" i="84"/>
  <c r="D98" i="84"/>
  <c r="I97" i="84"/>
  <c r="H97" i="84"/>
  <c r="H142" i="84" s="1"/>
  <c r="G97" i="84"/>
  <c r="G142" i="84" s="1"/>
  <c r="F97" i="84"/>
  <c r="E97" i="84"/>
  <c r="D97" i="84"/>
  <c r="D142" i="84" s="1"/>
  <c r="I96" i="84"/>
  <c r="H96" i="84"/>
  <c r="H141" i="84" s="1"/>
  <c r="G96" i="84"/>
  <c r="F96" i="84"/>
  <c r="F141" i="84" s="1"/>
  <c r="E96" i="84"/>
  <c r="D96" i="84"/>
  <c r="D141" i="84" s="1"/>
  <c r="I95" i="84"/>
  <c r="I140" i="84" s="1"/>
  <c r="H95" i="84"/>
  <c r="G95" i="84"/>
  <c r="G140" i="84" s="1"/>
  <c r="F95" i="84"/>
  <c r="E95" i="84"/>
  <c r="E140" i="84" s="1"/>
  <c r="D95" i="84"/>
  <c r="D140" i="84" s="1"/>
  <c r="I94" i="84"/>
  <c r="I139" i="84" s="1"/>
  <c r="H94" i="84"/>
  <c r="H139" i="84" s="1"/>
  <c r="G94" i="84"/>
  <c r="F94" i="84"/>
  <c r="F139" i="84" s="1"/>
  <c r="E94" i="84"/>
  <c r="E139" i="84" s="1"/>
  <c r="D94" i="84"/>
  <c r="D139" i="84" s="1"/>
  <c r="I93" i="84"/>
  <c r="I138" i="84" s="1"/>
  <c r="H93" i="84"/>
  <c r="H138" i="84" s="1"/>
  <c r="G93" i="84"/>
  <c r="G138" i="84" s="1"/>
  <c r="F93" i="84"/>
  <c r="E93" i="84"/>
  <c r="D93" i="84"/>
  <c r="D138" i="84" s="1"/>
  <c r="I92" i="84"/>
  <c r="H92" i="84"/>
  <c r="H137" i="84" s="1"/>
  <c r="G92" i="84"/>
  <c r="F92" i="84"/>
  <c r="E92" i="84"/>
  <c r="D92" i="84"/>
  <c r="I91" i="84"/>
  <c r="H91" i="84"/>
  <c r="G91" i="84"/>
  <c r="F91" i="84"/>
  <c r="E91" i="84"/>
  <c r="D91" i="84"/>
  <c r="D136" i="84" s="1"/>
  <c r="I90" i="84"/>
  <c r="H90" i="84"/>
  <c r="H135" i="84" s="1"/>
  <c r="G90" i="84"/>
  <c r="F90" i="84"/>
  <c r="E90" i="84"/>
  <c r="D90" i="84"/>
  <c r="D135" i="84" s="1"/>
  <c r="I89" i="84"/>
  <c r="H89" i="84"/>
  <c r="H134" i="84" s="1"/>
  <c r="G89" i="84"/>
  <c r="G134" i="84" s="1"/>
  <c r="D102" i="85" s="1"/>
  <c r="F89" i="84"/>
  <c r="E89" i="84"/>
  <c r="E134" i="84" s="1"/>
  <c r="D89" i="84"/>
  <c r="D134" i="84" s="1"/>
  <c r="C102" i="85" s="1"/>
  <c r="I88" i="84"/>
  <c r="I133" i="84" s="1"/>
  <c r="H88" i="84"/>
  <c r="H133" i="84" s="1"/>
  <c r="G88" i="84"/>
  <c r="F88" i="84"/>
  <c r="E88" i="84"/>
  <c r="E133" i="84" s="1"/>
  <c r="D88" i="84"/>
  <c r="D133" i="84" s="1"/>
  <c r="I87" i="84"/>
  <c r="I132" i="84" s="1"/>
  <c r="H87" i="84"/>
  <c r="H132" i="84" s="1"/>
  <c r="G87" i="84"/>
  <c r="G132" i="84" s="1"/>
  <c r="F87" i="84"/>
  <c r="E87" i="84"/>
  <c r="E132" i="84" s="1"/>
  <c r="D87" i="84"/>
  <c r="D132" i="84" s="1"/>
  <c r="I86" i="84"/>
  <c r="I131" i="84" s="1"/>
  <c r="H86" i="84"/>
  <c r="H131" i="84" s="1"/>
  <c r="G86" i="84"/>
  <c r="F86" i="84"/>
  <c r="E86" i="84"/>
  <c r="E131" i="84" s="1"/>
  <c r="D86" i="84"/>
  <c r="I85" i="84"/>
  <c r="H85" i="84"/>
  <c r="G85" i="84"/>
  <c r="G130" i="84" s="1"/>
  <c r="F85" i="84"/>
  <c r="F130" i="84" s="1"/>
  <c r="E85" i="84"/>
  <c r="D85" i="84"/>
  <c r="H99" i="82"/>
  <c r="G99" i="82"/>
  <c r="F99" i="82"/>
  <c r="H98" i="82"/>
  <c r="H144" i="82" s="1"/>
  <c r="G98" i="82"/>
  <c r="G144" i="82" s="1"/>
  <c r="F98" i="82"/>
  <c r="H97" i="82"/>
  <c r="G97" i="82"/>
  <c r="G143" i="82" s="1"/>
  <c r="F97" i="82"/>
  <c r="H96" i="82"/>
  <c r="G96" i="82"/>
  <c r="F96" i="82"/>
  <c r="H95" i="82"/>
  <c r="G95" i="82"/>
  <c r="F95" i="82"/>
  <c r="F141" i="82" s="1"/>
  <c r="H94" i="82"/>
  <c r="H140" i="82" s="1"/>
  <c r="G94" i="82"/>
  <c r="F94" i="82"/>
  <c r="H93" i="82"/>
  <c r="G93" i="82"/>
  <c r="F93" i="82"/>
  <c r="F139" i="82" s="1"/>
  <c r="H92" i="82"/>
  <c r="G92" i="82"/>
  <c r="F92" i="82"/>
  <c r="F138" i="82" s="1"/>
  <c r="H91" i="82"/>
  <c r="G91" i="82"/>
  <c r="F91" i="82"/>
  <c r="H90" i="82"/>
  <c r="H136" i="82" s="1"/>
  <c r="G90" i="82"/>
  <c r="G136" i="82" s="1"/>
  <c r="F90" i="82"/>
  <c r="H89" i="82"/>
  <c r="H135" i="82" s="1"/>
  <c r="G89" i="82"/>
  <c r="G135" i="82" s="1"/>
  <c r="F89" i="82"/>
  <c r="H88" i="82"/>
  <c r="G88" i="82"/>
  <c r="F88" i="82"/>
  <c r="H87" i="82"/>
  <c r="G87" i="82"/>
  <c r="F87" i="82"/>
  <c r="H86" i="82"/>
  <c r="G86" i="82"/>
  <c r="F86" i="82"/>
  <c r="E141" i="84"/>
  <c r="E137" i="84"/>
  <c r="D137" i="84"/>
  <c r="E136" i="84"/>
  <c r="F133" i="84"/>
  <c r="D130" i="84"/>
  <c r="F142" i="84"/>
  <c r="F138" i="84"/>
  <c r="F134" i="84"/>
  <c r="E99" i="82"/>
  <c r="D99" i="82"/>
  <c r="C99" i="82"/>
  <c r="E98" i="82"/>
  <c r="D98" i="82"/>
  <c r="C98" i="82"/>
  <c r="E97" i="82"/>
  <c r="D97" i="82"/>
  <c r="C97" i="82"/>
  <c r="E96" i="82"/>
  <c r="D96" i="82"/>
  <c r="D142" i="82" s="1"/>
  <c r="C96" i="82"/>
  <c r="E95" i="82"/>
  <c r="D95" i="82"/>
  <c r="C95" i="82"/>
  <c r="C141" i="82" s="1"/>
  <c r="E94" i="82"/>
  <c r="E140" i="82" s="1"/>
  <c r="D94" i="82"/>
  <c r="C94" i="82"/>
  <c r="E93" i="82"/>
  <c r="D93" i="82"/>
  <c r="C93" i="82"/>
  <c r="C139" i="82" s="1"/>
  <c r="E92" i="82"/>
  <c r="D92" i="82"/>
  <c r="D138" i="82" s="1"/>
  <c r="C92" i="82"/>
  <c r="C138" i="82" s="1"/>
  <c r="E91" i="82"/>
  <c r="D91" i="82"/>
  <c r="C91" i="82"/>
  <c r="E90" i="82"/>
  <c r="D90" i="82"/>
  <c r="D136" i="82" s="1"/>
  <c r="C90" i="82"/>
  <c r="E89" i="82"/>
  <c r="D89" i="82"/>
  <c r="C89" i="82"/>
  <c r="E88" i="82"/>
  <c r="D88" i="82"/>
  <c r="D101" i="82" s="1"/>
  <c r="C88" i="82"/>
  <c r="E87" i="82"/>
  <c r="D87" i="82"/>
  <c r="C87" i="82"/>
  <c r="C133" i="82" s="1"/>
  <c r="E86" i="82"/>
  <c r="D86" i="82"/>
  <c r="C86" i="82"/>
  <c r="C132" i="82" s="1"/>
  <c r="I19" i="84"/>
  <c r="I65" i="84" s="1"/>
  <c r="O20" i="84"/>
  <c r="O66" i="84" s="1"/>
  <c r="O19" i="84"/>
  <c r="O65" i="84" s="1"/>
  <c r="O17" i="84"/>
  <c r="O63" i="84" s="1"/>
  <c r="O15" i="84"/>
  <c r="O61" i="84" s="1"/>
  <c r="L26" i="84"/>
  <c r="L24" i="84"/>
  <c r="L20" i="84"/>
  <c r="L19" i="84"/>
  <c r="L65" i="84" s="1"/>
  <c r="L18" i="84"/>
  <c r="L17" i="84"/>
  <c r="L63" i="84" s="1"/>
  <c r="L16" i="84"/>
  <c r="L15" i="84"/>
  <c r="N23" i="84"/>
  <c r="N69" i="84" s="1"/>
  <c r="I27" i="84"/>
  <c r="I25" i="84"/>
  <c r="I23" i="84"/>
  <c r="I21" i="84"/>
  <c r="I15" i="84"/>
  <c r="F31" i="84"/>
  <c r="F32" i="84" s="1"/>
  <c r="E31" i="84"/>
  <c r="E32" i="84" s="1"/>
  <c r="D31" i="84"/>
  <c r="D32" i="84" s="1"/>
  <c r="N27" i="84"/>
  <c r="N73" i="84" s="1"/>
  <c r="M27" i="84"/>
  <c r="M73" i="84" s="1"/>
  <c r="K27" i="84"/>
  <c r="K73" i="84" s="1"/>
  <c r="J27" i="84"/>
  <c r="J73" i="84" s="1"/>
  <c r="H27" i="84"/>
  <c r="H73" i="84" s="1"/>
  <c r="G27" i="84"/>
  <c r="G73" i="84" s="1"/>
  <c r="E27" i="84"/>
  <c r="E73" i="84" s="1"/>
  <c r="D27" i="84"/>
  <c r="D73" i="84" s="1"/>
  <c r="N26" i="84"/>
  <c r="N72" i="84" s="1"/>
  <c r="M26" i="84"/>
  <c r="M72" i="84" s="1"/>
  <c r="K26" i="84"/>
  <c r="J26" i="84"/>
  <c r="J72" i="84" s="1"/>
  <c r="H26" i="84"/>
  <c r="H72" i="84" s="1"/>
  <c r="G26" i="84"/>
  <c r="G72" i="84" s="1"/>
  <c r="E26" i="84"/>
  <c r="E72" i="84" s="1"/>
  <c r="D26" i="84"/>
  <c r="D72" i="84" s="1"/>
  <c r="N25" i="84"/>
  <c r="N71" i="84" s="1"/>
  <c r="M25" i="84"/>
  <c r="M71" i="84" s="1"/>
  <c r="K25" i="84"/>
  <c r="J25" i="84"/>
  <c r="J71" i="84" s="1"/>
  <c r="H25" i="84"/>
  <c r="H71" i="84" s="1"/>
  <c r="G25" i="84"/>
  <c r="G71" i="84" s="1"/>
  <c r="E25" i="84"/>
  <c r="E71" i="84" s="1"/>
  <c r="D25" i="84"/>
  <c r="D71" i="84" s="1"/>
  <c r="N24" i="84"/>
  <c r="N70" i="84" s="1"/>
  <c r="M24" i="84"/>
  <c r="M70" i="84" s="1"/>
  <c r="K24" i="84"/>
  <c r="K70" i="84" s="1"/>
  <c r="J24" i="84"/>
  <c r="J70" i="84" s="1"/>
  <c r="H24" i="84"/>
  <c r="H70" i="84" s="1"/>
  <c r="G24" i="84"/>
  <c r="G70" i="84" s="1"/>
  <c r="E24" i="84"/>
  <c r="E70" i="84" s="1"/>
  <c r="D24" i="84"/>
  <c r="D70" i="84" s="1"/>
  <c r="M23" i="84"/>
  <c r="M69" i="84" s="1"/>
  <c r="K23" i="84"/>
  <c r="K69" i="84" s="1"/>
  <c r="J23" i="84"/>
  <c r="J69" i="84" s="1"/>
  <c r="H23" i="84"/>
  <c r="H69" i="84" s="1"/>
  <c r="G23" i="84"/>
  <c r="G69" i="84" s="1"/>
  <c r="E23" i="84"/>
  <c r="E69" i="84" s="1"/>
  <c r="D23" i="84"/>
  <c r="D69" i="84" s="1"/>
  <c r="N22" i="84"/>
  <c r="N68" i="84" s="1"/>
  <c r="M22" i="84"/>
  <c r="M68" i="84" s="1"/>
  <c r="L22" i="84"/>
  <c r="K22" i="84"/>
  <c r="J22" i="84"/>
  <c r="J68" i="84" s="1"/>
  <c r="H22" i="84"/>
  <c r="H68" i="84" s="1"/>
  <c r="G22" i="84"/>
  <c r="G68" i="84" s="1"/>
  <c r="E22" i="84"/>
  <c r="E68" i="84" s="1"/>
  <c r="D22" i="84"/>
  <c r="D68" i="84" s="1"/>
  <c r="N21" i="84"/>
  <c r="N67" i="84" s="1"/>
  <c r="M21" i="84"/>
  <c r="M67" i="84" s="1"/>
  <c r="K21" i="84"/>
  <c r="K67" i="84" s="1"/>
  <c r="J21" i="84"/>
  <c r="J67" i="84" s="1"/>
  <c r="H21" i="84"/>
  <c r="H67" i="84" s="1"/>
  <c r="G21" i="84"/>
  <c r="G67" i="84" s="1"/>
  <c r="E21" i="84"/>
  <c r="E67" i="84" s="1"/>
  <c r="D21" i="84"/>
  <c r="D67" i="84" s="1"/>
  <c r="N20" i="84"/>
  <c r="N66" i="84" s="1"/>
  <c r="M20" i="84"/>
  <c r="M66" i="84" s="1"/>
  <c r="K20" i="84"/>
  <c r="K66" i="84" s="1"/>
  <c r="J20" i="84"/>
  <c r="J66" i="84" s="1"/>
  <c r="H20" i="84"/>
  <c r="H66" i="84" s="1"/>
  <c r="G20" i="84"/>
  <c r="G66" i="84" s="1"/>
  <c r="E20" i="84"/>
  <c r="E66" i="84" s="1"/>
  <c r="D20" i="84"/>
  <c r="D66" i="84" s="1"/>
  <c r="M19" i="84"/>
  <c r="M65" i="84" s="1"/>
  <c r="K19" i="84"/>
  <c r="K65" i="84" s="1"/>
  <c r="J19" i="84"/>
  <c r="H19" i="84"/>
  <c r="H65" i="84" s="1"/>
  <c r="G19" i="84"/>
  <c r="G65" i="84" s="1"/>
  <c r="E19" i="84"/>
  <c r="E65" i="84" s="1"/>
  <c r="D19" i="84"/>
  <c r="D65" i="84" s="1"/>
  <c r="N18" i="84"/>
  <c r="N64" i="84" s="1"/>
  <c r="M18" i="84"/>
  <c r="M64" i="84" s="1"/>
  <c r="F51" i="85" s="1"/>
  <c r="K18" i="84"/>
  <c r="K64" i="84" s="1"/>
  <c r="J18" i="84"/>
  <c r="H18" i="84"/>
  <c r="H64" i="84" s="1"/>
  <c r="G18" i="84"/>
  <c r="G64" i="84" s="1"/>
  <c r="E18" i="84"/>
  <c r="E64" i="84" s="1"/>
  <c r="D18" i="84"/>
  <c r="D64" i="84" s="1"/>
  <c r="N17" i="84"/>
  <c r="N63" i="84" s="1"/>
  <c r="M17" i="84"/>
  <c r="M63" i="84" s="1"/>
  <c r="K17" i="84"/>
  <c r="K63" i="84" s="1"/>
  <c r="J17" i="84"/>
  <c r="I17" i="84"/>
  <c r="H17" i="84"/>
  <c r="H63" i="84" s="1"/>
  <c r="G17" i="84"/>
  <c r="G63" i="84" s="1"/>
  <c r="E17" i="84"/>
  <c r="E63" i="84" s="1"/>
  <c r="D17" i="84"/>
  <c r="D63" i="84" s="1"/>
  <c r="N16" i="84"/>
  <c r="N62" i="84" s="1"/>
  <c r="M16" i="84"/>
  <c r="M62" i="84" s="1"/>
  <c r="K16" i="84"/>
  <c r="K62" i="84" s="1"/>
  <c r="J16" i="84"/>
  <c r="J62" i="84" s="1"/>
  <c r="H16" i="84"/>
  <c r="H62" i="84" s="1"/>
  <c r="G16" i="84"/>
  <c r="G62" i="84" s="1"/>
  <c r="E16" i="84"/>
  <c r="E62" i="84" s="1"/>
  <c r="D16" i="84"/>
  <c r="D62" i="84" s="1"/>
  <c r="N15" i="84"/>
  <c r="N61" i="84" s="1"/>
  <c r="M15" i="84"/>
  <c r="M61" i="84" s="1"/>
  <c r="F49" i="85" s="1"/>
  <c r="K15" i="84"/>
  <c r="J15" i="84"/>
  <c r="J61" i="84" s="1"/>
  <c r="H15" i="84"/>
  <c r="H61" i="84" s="1"/>
  <c r="G15" i="84"/>
  <c r="G61" i="84" s="1"/>
  <c r="E15" i="84"/>
  <c r="E61" i="84" s="1"/>
  <c r="D15" i="84"/>
  <c r="D61" i="84" s="1"/>
  <c r="N14" i="84"/>
  <c r="N60" i="84" s="1"/>
  <c r="M14" i="84"/>
  <c r="M60" i="84" s="1"/>
  <c r="F48" i="85" s="1"/>
  <c r="L14" i="84"/>
  <c r="K14" i="84"/>
  <c r="K60" i="84" s="1"/>
  <c r="J14" i="84"/>
  <c r="J60" i="84" s="1"/>
  <c r="H14" i="84"/>
  <c r="H60" i="84" s="1"/>
  <c r="G14" i="84"/>
  <c r="G60" i="84" s="1"/>
  <c r="E14" i="84"/>
  <c r="E60" i="84" s="1"/>
  <c r="D14" i="84"/>
  <c r="D60" i="84" s="1"/>
  <c r="K72" i="84"/>
  <c r="I143" i="84"/>
  <c r="F143" i="84"/>
  <c r="I142" i="84"/>
  <c r="I141" i="84"/>
  <c r="F140" i="84"/>
  <c r="I137" i="84"/>
  <c r="F137" i="84"/>
  <c r="I136" i="84"/>
  <c r="F136" i="84"/>
  <c r="I135" i="84"/>
  <c r="F135" i="84"/>
  <c r="I134" i="84"/>
  <c r="F132" i="84"/>
  <c r="G143" i="84"/>
  <c r="E143" i="84"/>
  <c r="D143" i="84"/>
  <c r="E142" i="84"/>
  <c r="G141" i="84"/>
  <c r="H140" i="84"/>
  <c r="G139" i="84"/>
  <c r="E138" i="84"/>
  <c r="G137" i="84"/>
  <c r="H136" i="84"/>
  <c r="G136" i="84"/>
  <c r="G135" i="84"/>
  <c r="D101" i="85" s="1"/>
  <c r="E135" i="84"/>
  <c r="G133" i="84"/>
  <c r="G131" i="84"/>
  <c r="D100" i="85" s="1"/>
  <c r="E130" i="84"/>
  <c r="O27" i="84"/>
  <c r="O73" i="84" s="1"/>
  <c r="L27" i="84"/>
  <c r="L73" i="84" s="1"/>
  <c r="O26" i="84"/>
  <c r="O72" i="84" s="1"/>
  <c r="I26" i="84"/>
  <c r="I72" i="84" s="1"/>
  <c r="F26" i="84"/>
  <c r="F72" i="84" s="1"/>
  <c r="O25" i="84"/>
  <c r="O71" i="84" s="1"/>
  <c r="O24" i="84"/>
  <c r="O70" i="84" s="1"/>
  <c r="F24" i="84"/>
  <c r="F70" i="84" s="1"/>
  <c r="O23" i="84"/>
  <c r="O69" i="84" s="1"/>
  <c r="L23" i="84"/>
  <c r="L69" i="84" s="1"/>
  <c r="O22" i="84"/>
  <c r="O68" i="84" s="1"/>
  <c r="F22" i="84"/>
  <c r="F68" i="84" s="1"/>
  <c r="O21" i="84"/>
  <c r="O67" i="84" s="1"/>
  <c r="F20" i="84"/>
  <c r="F66" i="84" s="1"/>
  <c r="O18" i="84"/>
  <c r="O64" i="84" s="1"/>
  <c r="O16" i="84"/>
  <c r="O62" i="84" s="1"/>
  <c r="I16" i="84"/>
  <c r="I62" i="84" s="1"/>
  <c r="O14" i="84"/>
  <c r="O60" i="84" s="1"/>
  <c r="K71" i="84"/>
  <c r="K68" i="84"/>
  <c r="J65" i="84"/>
  <c r="J64" i="84"/>
  <c r="J63" i="84"/>
  <c r="K61" i="84"/>
  <c r="E3" i="84"/>
  <c r="E2" i="84"/>
  <c r="F142" i="82"/>
  <c r="H141" i="82"/>
  <c r="G141" i="82"/>
  <c r="G139" i="82"/>
  <c r="F134" i="82"/>
  <c r="H133" i="82"/>
  <c r="H145" i="82"/>
  <c r="G145" i="82"/>
  <c r="H143" i="82"/>
  <c r="C143" i="82"/>
  <c r="C142" i="82"/>
  <c r="D140" i="82"/>
  <c r="C140" i="82"/>
  <c r="G138" i="82"/>
  <c r="H137" i="82"/>
  <c r="G137" i="82"/>
  <c r="E136" i="82"/>
  <c r="C136" i="82"/>
  <c r="D134" i="82"/>
  <c r="G133" i="82"/>
  <c r="D133" i="82"/>
  <c r="G132" i="82"/>
  <c r="F144" i="82"/>
  <c r="D144" i="82"/>
  <c r="C144" i="82"/>
  <c r="F140" i="82"/>
  <c r="H139" i="82"/>
  <c r="F136" i="82"/>
  <c r="F135" i="82"/>
  <c r="C145" i="82"/>
  <c r="G142" i="82"/>
  <c r="G140" i="82"/>
  <c r="C137" i="82"/>
  <c r="C135" i="82"/>
  <c r="G134" i="82"/>
  <c r="N124" i="82"/>
  <c r="K124" i="82"/>
  <c r="H124" i="82"/>
  <c r="E124" i="82"/>
  <c r="E145" i="82" s="1"/>
  <c r="N123" i="82"/>
  <c r="K123" i="82"/>
  <c r="H123" i="82"/>
  <c r="E123" i="82"/>
  <c r="N122" i="82"/>
  <c r="K122" i="82"/>
  <c r="H122" i="82"/>
  <c r="E122" i="82"/>
  <c r="N121" i="82"/>
  <c r="K121" i="82"/>
  <c r="H121" i="82"/>
  <c r="E121" i="82"/>
  <c r="N120" i="82"/>
  <c r="K120" i="82"/>
  <c r="H120" i="82"/>
  <c r="E120" i="82"/>
  <c r="N119" i="82"/>
  <c r="K119" i="82"/>
  <c r="H119" i="82"/>
  <c r="E119" i="82"/>
  <c r="N118" i="82"/>
  <c r="K118" i="82"/>
  <c r="H118" i="82"/>
  <c r="E118" i="82"/>
  <c r="N117" i="82"/>
  <c r="K117" i="82"/>
  <c r="H117" i="82"/>
  <c r="E117" i="82"/>
  <c r="N116" i="82"/>
  <c r="K116" i="82"/>
  <c r="H116" i="82"/>
  <c r="E116" i="82"/>
  <c r="E137" i="82" s="1"/>
  <c r="N115" i="82"/>
  <c r="K115" i="82"/>
  <c r="H115" i="82"/>
  <c r="E115" i="82"/>
  <c r="N114" i="82"/>
  <c r="K114" i="82"/>
  <c r="H114" i="82"/>
  <c r="E114" i="82"/>
  <c r="N113" i="82"/>
  <c r="K113" i="82"/>
  <c r="H113" i="82"/>
  <c r="E113" i="82"/>
  <c r="N112" i="82"/>
  <c r="K112" i="82"/>
  <c r="H112" i="82"/>
  <c r="E112" i="82"/>
  <c r="N111" i="82"/>
  <c r="K111" i="82"/>
  <c r="H111" i="82"/>
  <c r="E111" i="82"/>
  <c r="F145" i="82"/>
  <c r="D145" i="82"/>
  <c r="E144" i="82"/>
  <c r="F143" i="82"/>
  <c r="D143" i="82"/>
  <c r="H142" i="82"/>
  <c r="E142" i="82"/>
  <c r="D141" i="82"/>
  <c r="D139" i="82"/>
  <c r="H138" i="82"/>
  <c r="E138" i="82"/>
  <c r="F137" i="82"/>
  <c r="D137" i="82"/>
  <c r="D135" i="82"/>
  <c r="H134" i="82"/>
  <c r="E134" i="82"/>
  <c r="F133" i="82"/>
  <c r="F132" i="82"/>
  <c r="E3" i="82"/>
  <c r="E2" i="82"/>
  <c r="F181" i="83"/>
  <c r="G181" i="83" s="1"/>
  <c r="D181" i="83"/>
  <c r="F180" i="83"/>
  <c r="F182" i="83" s="1"/>
  <c r="F25" i="83" s="1"/>
  <c r="E180" i="83"/>
  <c r="E182" i="83" s="1"/>
  <c r="E25" i="83" s="1"/>
  <c r="F173" i="83"/>
  <c r="G173" i="83" s="1"/>
  <c r="G46" i="83" s="1"/>
  <c r="D173" i="83"/>
  <c r="H172" i="83"/>
  <c r="H174" i="83" s="1"/>
  <c r="H15" i="83" s="1"/>
  <c r="G172" i="83"/>
  <c r="F172" i="83"/>
  <c r="F174" i="83" s="1"/>
  <c r="F15" i="83" s="1"/>
  <c r="E172" i="83"/>
  <c r="E174" i="83" s="1"/>
  <c r="E15" i="83" s="1"/>
  <c r="G162" i="83"/>
  <c r="F162" i="83"/>
  <c r="D162" i="83"/>
  <c r="G161" i="83"/>
  <c r="F161" i="83"/>
  <c r="D161" i="83"/>
  <c r="F160" i="83"/>
  <c r="G160" i="83" s="1"/>
  <c r="D160" i="83"/>
  <c r="F159" i="83"/>
  <c r="G159" i="83" s="1"/>
  <c r="D159" i="83"/>
  <c r="F158" i="83"/>
  <c r="F64" i="83" s="1"/>
  <c r="E158" i="83"/>
  <c r="E64" i="83" s="1"/>
  <c r="F157" i="83"/>
  <c r="F63" i="83" s="1"/>
  <c r="E157" i="83"/>
  <c r="E63" i="83" s="1"/>
  <c r="F156" i="83"/>
  <c r="F62" i="83" s="1"/>
  <c r="E156" i="83"/>
  <c r="E62" i="83" s="1"/>
  <c r="F155" i="83"/>
  <c r="E155" i="83"/>
  <c r="E61" i="83" s="1"/>
  <c r="G148" i="83"/>
  <c r="F148" i="83"/>
  <c r="D148" i="83"/>
  <c r="G147" i="83"/>
  <c r="F147" i="83"/>
  <c r="D147" i="83"/>
  <c r="F146" i="83"/>
  <c r="G146" i="83" s="1"/>
  <c r="D146" i="83"/>
  <c r="F145" i="83"/>
  <c r="G145" i="83" s="1"/>
  <c r="G42" i="83" s="1"/>
  <c r="D145" i="83"/>
  <c r="H144" i="83"/>
  <c r="G144" i="83"/>
  <c r="G45" i="83" s="1"/>
  <c r="F144" i="83"/>
  <c r="E144" i="83"/>
  <c r="H143" i="83"/>
  <c r="G143" i="83"/>
  <c r="F143" i="83"/>
  <c r="E143" i="83"/>
  <c r="H142" i="83"/>
  <c r="G142" i="83"/>
  <c r="F142" i="83"/>
  <c r="E142" i="83"/>
  <c r="H141" i="83"/>
  <c r="H149" i="83" s="1"/>
  <c r="H14" i="83" s="1"/>
  <c r="G141" i="83"/>
  <c r="F141" i="83"/>
  <c r="F149" i="83" s="1"/>
  <c r="F14" i="83" s="1"/>
  <c r="E141" i="83"/>
  <c r="E149" i="83" s="1"/>
  <c r="E14" i="83" s="1"/>
  <c r="H130" i="83"/>
  <c r="E130" i="83"/>
  <c r="D130" i="83"/>
  <c r="H129" i="83"/>
  <c r="E129" i="83"/>
  <c r="D129" i="83"/>
  <c r="H128" i="83"/>
  <c r="E128" i="83"/>
  <c r="D128" i="83"/>
  <c r="H127" i="83"/>
  <c r="E127" i="83"/>
  <c r="D127" i="83"/>
  <c r="H126" i="83"/>
  <c r="G126" i="83"/>
  <c r="F126" i="83"/>
  <c r="E126" i="83"/>
  <c r="D126" i="83"/>
  <c r="H125" i="83"/>
  <c r="F125" i="83"/>
  <c r="G125" i="83" s="1"/>
  <c r="E125" i="83"/>
  <c r="D125" i="83"/>
  <c r="H124" i="83"/>
  <c r="E124" i="83"/>
  <c r="D124" i="83"/>
  <c r="F123" i="83"/>
  <c r="E123" i="83"/>
  <c r="E60" i="83" s="1"/>
  <c r="F122" i="83"/>
  <c r="E122" i="83"/>
  <c r="F121" i="83"/>
  <c r="E121" i="83"/>
  <c r="E58" i="83" s="1"/>
  <c r="F120" i="83"/>
  <c r="E120" i="83"/>
  <c r="F119" i="83"/>
  <c r="F56" i="83" s="1"/>
  <c r="E119" i="83"/>
  <c r="E56" i="83" s="1"/>
  <c r="F118" i="83"/>
  <c r="F55" i="83" s="1"/>
  <c r="E118" i="83"/>
  <c r="E55" i="83" s="1"/>
  <c r="F117" i="83"/>
  <c r="E117" i="83"/>
  <c r="G109" i="83"/>
  <c r="F109" i="83"/>
  <c r="D109" i="83"/>
  <c r="G108" i="83"/>
  <c r="F108" i="83"/>
  <c r="D108" i="83"/>
  <c r="F107" i="83"/>
  <c r="G107" i="83" s="1"/>
  <c r="G39" i="83" s="1"/>
  <c r="D107" i="83"/>
  <c r="F106" i="83"/>
  <c r="F38" i="83" s="1"/>
  <c r="D106" i="83"/>
  <c r="F105" i="83"/>
  <c r="G105" i="83" s="1"/>
  <c r="G37" i="83" s="1"/>
  <c r="D105" i="83"/>
  <c r="F104" i="83"/>
  <c r="G104" i="83" s="1"/>
  <c r="D104" i="83"/>
  <c r="G103" i="83"/>
  <c r="G35" i="83" s="1"/>
  <c r="F103" i="83"/>
  <c r="D103" i="83"/>
  <c r="H102" i="83"/>
  <c r="G102" i="83"/>
  <c r="F102" i="83"/>
  <c r="E102" i="83"/>
  <c r="H101" i="83"/>
  <c r="G101" i="83"/>
  <c r="G40" i="83" s="1"/>
  <c r="F101" i="83"/>
  <c r="E101" i="83"/>
  <c r="H100" i="83"/>
  <c r="G100" i="83"/>
  <c r="F100" i="83"/>
  <c r="E100" i="83"/>
  <c r="H99" i="83"/>
  <c r="G99" i="83"/>
  <c r="F99" i="83"/>
  <c r="E99" i="83"/>
  <c r="H98" i="83"/>
  <c r="G98" i="83"/>
  <c r="F98" i="83"/>
  <c r="E98" i="83"/>
  <c r="H97" i="83"/>
  <c r="G97" i="83"/>
  <c r="G36" i="83" s="1"/>
  <c r="F97" i="83"/>
  <c r="E97" i="83"/>
  <c r="H96" i="83"/>
  <c r="H110" i="83" s="1"/>
  <c r="H13" i="83" s="1"/>
  <c r="G96" i="83"/>
  <c r="F96" i="83"/>
  <c r="F110" i="83" s="1"/>
  <c r="F13" i="83" s="1"/>
  <c r="E96" i="83"/>
  <c r="E110" i="83" s="1"/>
  <c r="E13" i="83" s="1"/>
  <c r="F85" i="83"/>
  <c r="G84" i="83"/>
  <c r="F84" i="83"/>
  <c r="F83" i="83"/>
  <c r="E83" i="83"/>
  <c r="E85" i="83" s="1"/>
  <c r="E22" i="83" s="1"/>
  <c r="S82" i="83"/>
  <c r="S78" i="83"/>
  <c r="R78" i="83"/>
  <c r="Q78" i="83"/>
  <c r="P78" i="83"/>
  <c r="O78" i="83"/>
  <c r="S77" i="83"/>
  <c r="R77" i="83"/>
  <c r="R73" i="83" s="1"/>
  <c r="Q77" i="83"/>
  <c r="Q73" i="83" s="1"/>
  <c r="P77" i="83"/>
  <c r="O77" i="83"/>
  <c r="O73" i="83" s="1"/>
  <c r="S76" i="83"/>
  <c r="R76" i="83"/>
  <c r="Q76" i="83"/>
  <c r="P76" i="83"/>
  <c r="O76" i="83"/>
  <c r="F76" i="83"/>
  <c r="G76" i="83" s="1"/>
  <c r="P75" i="83"/>
  <c r="H75" i="83"/>
  <c r="H77" i="83" s="1"/>
  <c r="H12" i="83" s="1"/>
  <c r="H16" i="83" s="1"/>
  <c r="H17" i="83" s="1"/>
  <c r="G75" i="83"/>
  <c r="F75" i="83"/>
  <c r="E75" i="83"/>
  <c r="E77" i="83" s="1"/>
  <c r="E12" i="83" s="1"/>
  <c r="S73" i="83"/>
  <c r="P73" i="83"/>
  <c r="F61" i="83"/>
  <c r="E59" i="83"/>
  <c r="E57" i="83"/>
  <c r="F53" i="83"/>
  <c r="H46" i="83"/>
  <c r="F46" i="83"/>
  <c r="E46" i="83"/>
  <c r="H45" i="83"/>
  <c r="F45" i="83"/>
  <c r="E45" i="83"/>
  <c r="H44" i="83"/>
  <c r="G44" i="83"/>
  <c r="F44" i="83"/>
  <c r="E44" i="83"/>
  <c r="H43" i="83"/>
  <c r="F43" i="83"/>
  <c r="E43" i="83"/>
  <c r="H42" i="83"/>
  <c r="F42" i="83"/>
  <c r="E42" i="83"/>
  <c r="H41" i="83"/>
  <c r="G41" i="83"/>
  <c r="F41" i="83"/>
  <c r="E41" i="83"/>
  <c r="H40" i="83"/>
  <c r="F40" i="83"/>
  <c r="E40" i="83"/>
  <c r="H39" i="83"/>
  <c r="F39" i="83"/>
  <c r="E39" i="83"/>
  <c r="H38" i="83"/>
  <c r="E38" i="83"/>
  <c r="H37" i="83"/>
  <c r="F37" i="83"/>
  <c r="E37" i="83"/>
  <c r="H36" i="83"/>
  <c r="F36" i="83"/>
  <c r="E36" i="83"/>
  <c r="H35" i="83"/>
  <c r="F35" i="83"/>
  <c r="E35" i="83"/>
  <c r="E47" i="83" s="1"/>
  <c r="H34" i="83"/>
  <c r="H47" i="83" s="1"/>
  <c r="F34" i="83"/>
  <c r="F47" i="83" s="1"/>
  <c r="E34" i="83"/>
  <c r="F22" i="83"/>
  <c r="E3" i="83"/>
  <c r="E2" i="83"/>
  <c r="M27" i="82"/>
  <c r="M74" i="82" s="1"/>
  <c r="L27" i="82"/>
  <c r="L74" i="82" s="1"/>
  <c r="M26" i="82"/>
  <c r="M73" i="82" s="1"/>
  <c r="L26" i="82"/>
  <c r="L73" i="82" s="1"/>
  <c r="M25" i="82"/>
  <c r="M72" i="82" s="1"/>
  <c r="L25" i="82"/>
  <c r="L72" i="82" s="1"/>
  <c r="M24" i="82"/>
  <c r="M71" i="82" s="1"/>
  <c r="L24" i="82"/>
  <c r="L71" i="82" s="1"/>
  <c r="M23" i="82"/>
  <c r="M70" i="82" s="1"/>
  <c r="L23" i="82"/>
  <c r="L70" i="82" s="1"/>
  <c r="M22" i="82"/>
  <c r="M69" i="82" s="1"/>
  <c r="L22" i="82"/>
  <c r="L69" i="82" s="1"/>
  <c r="M21" i="82"/>
  <c r="M68" i="82" s="1"/>
  <c r="L21" i="82"/>
  <c r="L68" i="82" s="1"/>
  <c r="M20" i="82"/>
  <c r="M67" i="82" s="1"/>
  <c r="L20" i="82"/>
  <c r="L67" i="82" s="1"/>
  <c r="M19" i="82"/>
  <c r="M66" i="82" s="1"/>
  <c r="L19" i="82"/>
  <c r="L66" i="82" s="1"/>
  <c r="M18" i="82"/>
  <c r="M65" i="82" s="1"/>
  <c r="L18" i="82"/>
  <c r="L65" i="82" s="1"/>
  <c r="M17" i="82"/>
  <c r="M64" i="82" s="1"/>
  <c r="L17" i="82"/>
  <c r="L64" i="82" s="1"/>
  <c r="M16" i="82"/>
  <c r="M63" i="82" s="1"/>
  <c r="L16" i="82"/>
  <c r="L63" i="82" s="1"/>
  <c r="M15" i="82"/>
  <c r="L15" i="82"/>
  <c r="L62" i="82" s="1"/>
  <c r="M14" i="82"/>
  <c r="M61" i="82" s="1"/>
  <c r="L14" i="82"/>
  <c r="L61" i="82" s="1"/>
  <c r="J27" i="82"/>
  <c r="J74" i="82" s="1"/>
  <c r="I27" i="82"/>
  <c r="I74" i="82" s="1"/>
  <c r="J26" i="82"/>
  <c r="J73" i="82" s="1"/>
  <c r="I26" i="82"/>
  <c r="I73" i="82" s="1"/>
  <c r="J25" i="82"/>
  <c r="J72" i="82" s="1"/>
  <c r="I25" i="82"/>
  <c r="I72" i="82" s="1"/>
  <c r="J24" i="82"/>
  <c r="J71" i="82" s="1"/>
  <c r="I24" i="82"/>
  <c r="I71" i="82" s="1"/>
  <c r="J23" i="82"/>
  <c r="J70" i="82" s="1"/>
  <c r="I23" i="82"/>
  <c r="I70" i="82" s="1"/>
  <c r="J22" i="82"/>
  <c r="J69" i="82" s="1"/>
  <c r="I22" i="82"/>
  <c r="I69" i="82" s="1"/>
  <c r="J21" i="82"/>
  <c r="J68" i="82" s="1"/>
  <c r="I21" i="82"/>
  <c r="I68" i="82" s="1"/>
  <c r="J20" i="82"/>
  <c r="J67" i="82" s="1"/>
  <c r="I20" i="82"/>
  <c r="I67" i="82" s="1"/>
  <c r="J19" i="82"/>
  <c r="J66" i="82" s="1"/>
  <c r="I19" i="82"/>
  <c r="I66" i="82" s="1"/>
  <c r="J18" i="82"/>
  <c r="J65" i="82" s="1"/>
  <c r="I18" i="82"/>
  <c r="I65" i="82" s="1"/>
  <c r="J17" i="82"/>
  <c r="J64" i="82" s="1"/>
  <c r="I17" i="82"/>
  <c r="I64" i="82" s="1"/>
  <c r="J16" i="82"/>
  <c r="J63" i="82" s="1"/>
  <c r="I16" i="82"/>
  <c r="I63" i="82" s="1"/>
  <c r="J15" i="82"/>
  <c r="J62" i="82" s="1"/>
  <c r="I15" i="82"/>
  <c r="I62" i="82" s="1"/>
  <c r="J14" i="82"/>
  <c r="I14" i="82"/>
  <c r="I61" i="82" s="1"/>
  <c r="G27" i="82"/>
  <c r="G74" i="82" s="1"/>
  <c r="F27" i="82"/>
  <c r="F74" i="82" s="1"/>
  <c r="G26" i="82"/>
  <c r="G73" i="82" s="1"/>
  <c r="F26" i="82"/>
  <c r="F73" i="82" s="1"/>
  <c r="G25" i="82"/>
  <c r="G72" i="82" s="1"/>
  <c r="F25" i="82"/>
  <c r="F72" i="82" s="1"/>
  <c r="G24" i="82"/>
  <c r="G71" i="82" s="1"/>
  <c r="F24" i="82"/>
  <c r="F71" i="82" s="1"/>
  <c r="G23" i="82"/>
  <c r="G70" i="82" s="1"/>
  <c r="F23" i="82"/>
  <c r="F70" i="82" s="1"/>
  <c r="G22" i="82"/>
  <c r="G69" i="82" s="1"/>
  <c r="F22" i="82"/>
  <c r="F69" i="82" s="1"/>
  <c r="G21" i="82"/>
  <c r="G68" i="82" s="1"/>
  <c r="F21" i="82"/>
  <c r="F68" i="82" s="1"/>
  <c r="G20" i="82"/>
  <c r="G67" i="82" s="1"/>
  <c r="F20" i="82"/>
  <c r="F67" i="82" s="1"/>
  <c r="G19" i="82"/>
  <c r="G66" i="82" s="1"/>
  <c r="F19" i="82"/>
  <c r="F66" i="82" s="1"/>
  <c r="G18" i="82"/>
  <c r="G65" i="82" s="1"/>
  <c r="F18" i="82"/>
  <c r="F65" i="82" s="1"/>
  <c r="G17" i="82"/>
  <c r="G64" i="82" s="1"/>
  <c r="F17" i="82"/>
  <c r="F64" i="82" s="1"/>
  <c r="G16" i="82"/>
  <c r="G63" i="82" s="1"/>
  <c r="F16" i="82"/>
  <c r="F63" i="82" s="1"/>
  <c r="G15" i="82"/>
  <c r="G62" i="82" s="1"/>
  <c r="F15" i="82"/>
  <c r="F62" i="82" s="1"/>
  <c r="G14" i="82"/>
  <c r="G61" i="82" s="1"/>
  <c r="F14" i="82"/>
  <c r="F61" i="82" s="1"/>
  <c r="N53" i="82"/>
  <c r="N27" i="82" s="1"/>
  <c r="N74" i="82" s="1"/>
  <c r="N52" i="82"/>
  <c r="N26" i="82" s="1"/>
  <c r="N73" i="82" s="1"/>
  <c r="N51" i="82"/>
  <c r="N25" i="82" s="1"/>
  <c r="N72" i="82" s="1"/>
  <c r="N50" i="82"/>
  <c r="N24" i="82" s="1"/>
  <c r="N71" i="82" s="1"/>
  <c r="N49" i="82"/>
  <c r="N23" i="82" s="1"/>
  <c r="N70" i="82" s="1"/>
  <c r="N48" i="82"/>
  <c r="N22" i="82" s="1"/>
  <c r="N69" i="82" s="1"/>
  <c r="N47" i="82"/>
  <c r="N21" i="82" s="1"/>
  <c r="N68" i="82" s="1"/>
  <c r="N46" i="82"/>
  <c r="N20" i="82" s="1"/>
  <c r="N67" i="82" s="1"/>
  <c r="N45" i="82"/>
  <c r="N19" i="82" s="1"/>
  <c r="N66" i="82" s="1"/>
  <c r="N44" i="82"/>
  <c r="N18" i="82" s="1"/>
  <c r="N65" i="82" s="1"/>
  <c r="N43" i="82"/>
  <c r="N17" i="82" s="1"/>
  <c r="N64" i="82" s="1"/>
  <c r="N42" i="82"/>
  <c r="N16" i="82" s="1"/>
  <c r="N63" i="82" s="1"/>
  <c r="N41" i="82"/>
  <c r="N15" i="82" s="1"/>
  <c r="N62" i="82" s="1"/>
  <c r="N40" i="82"/>
  <c r="N14" i="82" s="1"/>
  <c r="N61" i="82" s="1"/>
  <c r="K53" i="82"/>
  <c r="K27" i="82" s="1"/>
  <c r="K74" i="82" s="1"/>
  <c r="K52" i="82"/>
  <c r="K26" i="82" s="1"/>
  <c r="K73" i="82" s="1"/>
  <c r="K51" i="82"/>
  <c r="K25" i="82" s="1"/>
  <c r="K72" i="82" s="1"/>
  <c r="K50" i="82"/>
  <c r="K24" i="82" s="1"/>
  <c r="K71" i="82" s="1"/>
  <c r="K49" i="82"/>
  <c r="K23" i="82" s="1"/>
  <c r="K70" i="82" s="1"/>
  <c r="K48" i="82"/>
  <c r="K22" i="82" s="1"/>
  <c r="K69" i="82" s="1"/>
  <c r="K47" i="82"/>
  <c r="K21" i="82" s="1"/>
  <c r="K68" i="82" s="1"/>
  <c r="K46" i="82"/>
  <c r="K20" i="82" s="1"/>
  <c r="K67" i="82" s="1"/>
  <c r="K45" i="82"/>
  <c r="K19" i="82" s="1"/>
  <c r="K66" i="82" s="1"/>
  <c r="K44" i="82"/>
  <c r="K18" i="82" s="1"/>
  <c r="K65" i="82" s="1"/>
  <c r="K43" i="82"/>
  <c r="K17" i="82" s="1"/>
  <c r="K64" i="82" s="1"/>
  <c r="K42" i="82"/>
  <c r="K16" i="82" s="1"/>
  <c r="K63" i="82" s="1"/>
  <c r="K41" i="82"/>
  <c r="K15" i="82" s="1"/>
  <c r="K62" i="82" s="1"/>
  <c r="K40" i="82"/>
  <c r="K14" i="82" s="1"/>
  <c r="K61" i="82" s="1"/>
  <c r="H53" i="82"/>
  <c r="H27" i="82" s="1"/>
  <c r="H74" i="82" s="1"/>
  <c r="H52" i="82"/>
  <c r="H26" i="82" s="1"/>
  <c r="H73" i="82" s="1"/>
  <c r="H51" i="82"/>
  <c r="H25" i="82" s="1"/>
  <c r="H72" i="82" s="1"/>
  <c r="H50" i="82"/>
  <c r="H24" i="82" s="1"/>
  <c r="H71" i="82" s="1"/>
  <c r="H49" i="82"/>
  <c r="H23" i="82" s="1"/>
  <c r="H70" i="82" s="1"/>
  <c r="H48" i="82"/>
  <c r="H22" i="82" s="1"/>
  <c r="H69" i="82" s="1"/>
  <c r="H47" i="82"/>
  <c r="H21" i="82" s="1"/>
  <c r="H68" i="82" s="1"/>
  <c r="H46" i="82"/>
  <c r="H20" i="82" s="1"/>
  <c r="H67" i="82" s="1"/>
  <c r="H45" i="82"/>
  <c r="H19" i="82" s="1"/>
  <c r="H66" i="82" s="1"/>
  <c r="H44" i="82"/>
  <c r="H18" i="82" s="1"/>
  <c r="H65" i="82" s="1"/>
  <c r="H43" i="82"/>
  <c r="H17" i="82" s="1"/>
  <c r="H64" i="82" s="1"/>
  <c r="H42" i="82"/>
  <c r="H16" i="82" s="1"/>
  <c r="H63" i="82" s="1"/>
  <c r="H41" i="82"/>
  <c r="H15" i="82" s="1"/>
  <c r="H62" i="82" s="1"/>
  <c r="H40" i="82"/>
  <c r="H14" i="82" s="1"/>
  <c r="H61" i="82" s="1"/>
  <c r="E53" i="82"/>
  <c r="E27" i="82" s="1"/>
  <c r="E74" i="82" s="1"/>
  <c r="E52" i="82"/>
  <c r="E26" i="82" s="1"/>
  <c r="E73" i="82" s="1"/>
  <c r="E51" i="82"/>
  <c r="E25" i="82" s="1"/>
  <c r="E72" i="82" s="1"/>
  <c r="E50" i="82"/>
  <c r="E24" i="82" s="1"/>
  <c r="E71" i="82" s="1"/>
  <c r="E49" i="82"/>
  <c r="E23" i="82" s="1"/>
  <c r="E70" i="82" s="1"/>
  <c r="E48" i="82"/>
  <c r="E22" i="82" s="1"/>
  <c r="E69" i="82" s="1"/>
  <c r="E47" i="82"/>
  <c r="E21" i="82" s="1"/>
  <c r="E68" i="82" s="1"/>
  <c r="E46" i="82"/>
  <c r="E20" i="82" s="1"/>
  <c r="E67" i="82" s="1"/>
  <c r="E45" i="82"/>
  <c r="E19" i="82" s="1"/>
  <c r="E66" i="82" s="1"/>
  <c r="E44" i="82"/>
  <c r="E18" i="82" s="1"/>
  <c r="E65" i="82" s="1"/>
  <c r="E43" i="82"/>
  <c r="E17" i="82" s="1"/>
  <c r="E64" i="82" s="1"/>
  <c r="E42" i="82"/>
  <c r="E16" i="82" s="1"/>
  <c r="E63" i="82" s="1"/>
  <c r="E41" i="82"/>
  <c r="E15" i="82" s="1"/>
  <c r="E62" i="82" s="1"/>
  <c r="E40" i="82"/>
  <c r="E14" i="82" s="1"/>
  <c r="E61" i="82" s="1"/>
  <c r="D27" i="82"/>
  <c r="D74" i="82" s="1"/>
  <c r="C27" i="82"/>
  <c r="C74" i="82" s="1"/>
  <c r="D26" i="82"/>
  <c r="D73" i="82" s="1"/>
  <c r="C26" i="82"/>
  <c r="C73" i="82" s="1"/>
  <c r="D25" i="82"/>
  <c r="D72" i="82" s="1"/>
  <c r="C25" i="82"/>
  <c r="C72" i="82" s="1"/>
  <c r="D24" i="82"/>
  <c r="D71" i="82" s="1"/>
  <c r="C24" i="82"/>
  <c r="C71" i="82" s="1"/>
  <c r="D23" i="82"/>
  <c r="D70" i="82" s="1"/>
  <c r="C23" i="82"/>
  <c r="C70" i="82" s="1"/>
  <c r="D22" i="82"/>
  <c r="D69" i="82" s="1"/>
  <c r="C22" i="82"/>
  <c r="C69" i="82" s="1"/>
  <c r="D21" i="82"/>
  <c r="D68" i="82" s="1"/>
  <c r="C21" i="82"/>
  <c r="C68" i="82" s="1"/>
  <c r="D20" i="82"/>
  <c r="D67" i="82" s="1"/>
  <c r="C20" i="82"/>
  <c r="C67" i="82" s="1"/>
  <c r="D19" i="82"/>
  <c r="D66" i="82" s="1"/>
  <c r="C19" i="82"/>
  <c r="C66" i="82" s="1"/>
  <c r="D18" i="82"/>
  <c r="D65" i="82" s="1"/>
  <c r="C18" i="82"/>
  <c r="C65" i="82" s="1"/>
  <c r="D17" i="82"/>
  <c r="D64" i="82" s="1"/>
  <c r="C17" i="82"/>
  <c r="C64" i="82" s="1"/>
  <c r="D16" i="82"/>
  <c r="D63" i="82" s="1"/>
  <c r="C16" i="82"/>
  <c r="C63" i="82" s="1"/>
  <c r="D15" i="82"/>
  <c r="D62" i="82" s="1"/>
  <c r="C15" i="82"/>
  <c r="C62" i="82" s="1"/>
  <c r="D14" i="82"/>
  <c r="D61" i="82" s="1"/>
  <c r="C14" i="82"/>
  <c r="C61" i="82" s="1"/>
  <c r="D51" i="85" l="1"/>
  <c r="C99" i="85"/>
  <c r="C101" i="85"/>
  <c r="H162" i="85"/>
  <c r="D168" i="85"/>
  <c r="E171" i="85"/>
  <c r="D169" i="85"/>
  <c r="D170" i="85"/>
  <c r="F168" i="85"/>
  <c r="F169" i="85"/>
  <c r="C169" i="85" s="1"/>
  <c r="D171" i="85"/>
  <c r="E172" i="85"/>
  <c r="F170" i="85"/>
  <c r="E168" i="85"/>
  <c r="F171" i="85"/>
  <c r="E169" i="85"/>
  <c r="F172" i="85"/>
  <c r="E170" i="85"/>
  <c r="D172" i="85"/>
  <c r="D162" i="85"/>
  <c r="E162" i="85"/>
  <c r="F162" i="85"/>
  <c r="F120" i="85"/>
  <c r="E131" i="83"/>
  <c r="E23" i="83" s="1"/>
  <c r="E54" i="83"/>
  <c r="E163" i="83"/>
  <c r="E24" i="83" s="1"/>
  <c r="F163" i="83"/>
  <c r="F24" i="83" s="1"/>
  <c r="E65" i="83"/>
  <c r="F65" i="83"/>
  <c r="F117" i="85"/>
  <c r="F118" i="85"/>
  <c r="F119" i="85"/>
  <c r="F122" i="85"/>
  <c r="C135" i="85"/>
  <c r="D121" i="85"/>
  <c r="F116" i="85"/>
  <c r="C121" i="85"/>
  <c r="E133" i="82"/>
  <c r="E135" i="82"/>
  <c r="E139" i="82"/>
  <c r="E141" i="82"/>
  <c r="E143" i="82"/>
  <c r="C101" i="82"/>
  <c r="N19" i="84"/>
  <c r="N65" i="84" s="1"/>
  <c r="N74" i="84" s="1"/>
  <c r="F14" i="84"/>
  <c r="F16" i="84"/>
  <c r="F62" i="84" s="1"/>
  <c r="F18" i="84"/>
  <c r="F64" i="84" s="1"/>
  <c r="C51" i="85" s="1"/>
  <c r="L21" i="84"/>
  <c r="L67" i="84" s="1"/>
  <c r="E50" i="85" s="1"/>
  <c r="L25" i="84"/>
  <c r="L71" i="84" s="1"/>
  <c r="I14" i="84"/>
  <c r="I60" i="84" s="1"/>
  <c r="D48" i="85" s="1"/>
  <c r="I18" i="84"/>
  <c r="I64" i="84" s="1"/>
  <c r="I20" i="84"/>
  <c r="I66" i="84" s="1"/>
  <c r="I22" i="84"/>
  <c r="I68" i="84" s="1"/>
  <c r="I24" i="84"/>
  <c r="I70" i="84" s="1"/>
  <c r="F15" i="84"/>
  <c r="F61" i="84" s="1"/>
  <c r="C49" i="85" s="1"/>
  <c r="F63" i="84"/>
  <c r="F19" i="84"/>
  <c r="F65" i="84" s="1"/>
  <c r="C50" i="85" s="1"/>
  <c r="F21" i="84"/>
  <c r="F67" i="84" s="1"/>
  <c r="F23" i="84"/>
  <c r="F69" i="84" s="1"/>
  <c r="F25" i="84"/>
  <c r="F71" i="84" s="1"/>
  <c r="F27" i="84"/>
  <c r="F73" i="84" s="1"/>
  <c r="L61" i="84"/>
  <c r="E49" i="85" s="1"/>
  <c r="I61" i="84"/>
  <c r="D49" i="85" s="1"/>
  <c r="I63" i="84"/>
  <c r="I67" i="84"/>
  <c r="D50" i="85" s="1"/>
  <c r="I69" i="84"/>
  <c r="I71" i="84"/>
  <c r="I73" i="84"/>
  <c r="D74" i="84"/>
  <c r="J74" i="84"/>
  <c r="L60" i="84"/>
  <c r="E48" i="85" s="1"/>
  <c r="E53" i="85" s="1"/>
  <c r="L62" i="84"/>
  <c r="L64" i="84"/>
  <c r="E51" i="85" s="1"/>
  <c r="L66" i="84"/>
  <c r="L68" i="84"/>
  <c r="L70" i="84"/>
  <c r="L72" i="84"/>
  <c r="K74" i="84"/>
  <c r="M74" i="84"/>
  <c r="O74" i="84"/>
  <c r="E74" i="84"/>
  <c r="G74" i="84"/>
  <c r="H74" i="84"/>
  <c r="I100" i="84"/>
  <c r="M28" i="84"/>
  <c r="D100" i="84"/>
  <c r="D28" i="84"/>
  <c r="H100" i="84"/>
  <c r="G29" i="84"/>
  <c r="E28" i="84"/>
  <c r="H29" i="84"/>
  <c r="J29" i="84"/>
  <c r="O29" i="84"/>
  <c r="H130" i="84"/>
  <c r="H144" i="84" s="1"/>
  <c r="G144" i="84"/>
  <c r="F131" i="84"/>
  <c r="F144" i="84" s="1"/>
  <c r="F100" i="84"/>
  <c r="E144" i="84"/>
  <c r="D131" i="84"/>
  <c r="O28" i="84"/>
  <c r="K29" i="84"/>
  <c r="H99" i="84"/>
  <c r="H28" i="84"/>
  <c r="D29" i="84"/>
  <c r="I99" i="84"/>
  <c r="E100" i="84"/>
  <c r="I130" i="84"/>
  <c r="I144" i="84" s="1"/>
  <c r="G28" i="84"/>
  <c r="E29" i="84"/>
  <c r="E33" i="84" s="1"/>
  <c r="J28" i="84"/>
  <c r="G100" i="84"/>
  <c r="M29" i="84"/>
  <c r="K28" i="84"/>
  <c r="D99" i="84"/>
  <c r="E99" i="84"/>
  <c r="F99" i="84"/>
  <c r="G99" i="84"/>
  <c r="C134" i="82"/>
  <c r="G100" i="82"/>
  <c r="H100" i="82"/>
  <c r="G146" i="82"/>
  <c r="E101" i="82"/>
  <c r="F146" i="82"/>
  <c r="C100" i="82"/>
  <c r="G101" i="82"/>
  <c r="H132" i="82"/>
  <c r="H146" i="82" s="1"/>
  <c r="F101" i="82"/>
  <c r="D100" i="82"/>
  <c r="H101" i="82"/>
  <c r="E100" i="82"/>
  <c r="F100" i="82"/>
  <c r="C146" i="82"/>
  <c r="D132" i="82"/>
  <c r="D146" i="82" s="1"/>
  <c r="E132" i="82"/>
  <c r="E146" i="82" s="1"/>
  <c r="E16" i="83"/>
  <c r="E17" i="83" s="1"/>
  <c r="F60" i="83"/>
  <c r="G34" i="83"/>
  <c r="G77" i="83"/>
  <c r="G12" i="83" s="1"/>
  <c r="G127" i="83"/>
  <c r="G43" i="83"/>
  <c r="G174" i="83"/>
  <c r="G15" i="83" s="1"/>
  <c r="G130" i="83"/>
  <c r="G149" i="83"/>
  <c r="G14" i="83" s="1"/>
  <c r="F54" i="83"/>
  <c r="G106" i="83"/>
  <c r="G110" i="83" s="1"/>
  <c r="G13" i="83" s="1"/>
  <c r="F128" i="83"/>
  <c r="G128" i="83" s="1"/>
  <c r="F77" i="83"/>
  <c r="F12" i="83" s="1"/>
  <c r="F16" i="83" s="1"/>
  <c r="F17" i="83" s="1"/>
  <c r="F130" i="83"/>
  <c r="E53" i="83"/>
  <c r="F127" i="83"/>
  <c r="F57" i="83" s="1"/>
  <c r="F124" i="83"/>
  <c r="F131" i="83" s="1"/>
  <c r="F23" i="83" s="1"/>
  <c r="F129" i="83"/>
  <c r="F59" i="83" s="1"/>
  <c r="H75" i="82"/>
  <c r="I75" i="82"/>
  <c r="M28" i="82"/>
  <c r="J28" i="82"/>
  <c r="M62" i="82"/>
  <c r="M75" i="82" s="1"/>
  <c r="J61" i="82"/>
  <c r="J75" i="82" s="1"/>
  <c r="G75" i="82"/>
  <c r="C75" i="82"/>
  <c r="D75" i="82"/>
  <c r="L75" i="82"/>
  <c r="E75" i="82"/>
  <c r="K75" i="82"/>
  <c r="F75" i="82"/>
  <c r="N75" i="82"/>
  <c r="I29" i="82"/>
  <c r="I28" i="82"/>
  <c r="F28" i="82"/>
  <c r="L28" i="82"/>
  <c r="G28" i="82"/>
  <c r="J29" i="82"/>
  <c r="M29" i="82"/>
  <c r="N28" i="82"/>
  <c r="N29" i="82"/>
  <c r="K28" i="82"/>
  <c r="K29" i="82"/>
  <c r="H29" i="82"/>
  <c r="H28" i="82"/>
  <c r="L29" i="82"/>
  <c r="G29" i="82"/>
  <c r="F29" i="82"/>
  <c r="D29" i="82"/>
  <c r="D32" i="82" s="1"/>
  <c r="D28" i="82"/>
  <c r="C28" i="82"/>
  <c r="E28" i="82"/>
  <c r="C29" i="82"/>
  <c r="C32" i="82" s="1"/>
  <c r="E29" i="82"/>
  <c r="E32" i="82" s="1"/>
  <c r="E26" i="83" l="1"/>
  <c r="D53" i="85"/>
  <c r="D77" i="85"/>
  <c r="D76" i="85" s="1"/>
  <c r="D79" i="85" s="1"/>
  <c r="D81" i="85" s="1"/>
  <c r="I101" i="84"/>
  <c r="D88" i="85" a="1"/>
  <c r="D88" i="85" s="1"/>
  <c r="D92" i="85" s="1"/>
  <c r="I145" i="84"/>
  <c r="F50" i="85"/>
  <c r="F53" i="85" s="1"/>
  <c r="J88" i="85" a="1"/>
  <c r="J88" i="85" s="1"/>
  <c r="J92" i="85" s="1"/>
  <c r="J77" i="85"/>
  <c r="J76" i="85" s="1"/>
  <c r="J79" i="85" s="1"/>
  <c r="J81" i="85" s="1"/>
  <c r="J26" i="85"/>
  <c r="J25" i="85" s="1"/>
  <c r="J28" i="85" s="1"/>
  <c r="J30" i="85" s="1"/>
  <c r="C77" i="85"/>
  <c r="C76" i="85" s="1"/>
  <c r="C79" i="85" s="1"/>
  <c r="C81" i="85" s="1"/>
  <c r="F101" i="84"/>
  <c r="C88" i="85" a="1"/>
  <c r="C88" i="85" s="1"/>
  <c r="C92" i="85" s="1"/>
  <c r="I77" i="85"/>
  <c r="I76" i="85" s="1"/>
  <c r="I79" i="85" s="1"/>
  <c r="I81" i="85" s="1"/>
  <c r="I88" i="85" a="1"/>
  <c r="I88" i="85" s="1"/>
  <c r="I92" i="85" s="1"/>
  <c r="D144" i="84"/>
  <c r="F145" i="84" s="1"/>
  <c r="C100" i="85"/>
  <c r="C104" i="85" s="1"/>
  <c r="D99" i="85"/>
  <c r="D104" i="85" s="1"/>
  <c r="F26" i="85"/>
  <c r="F25" i="85" s="1"/>
  <c r="F28" i="85" s="1"/>
  <c r="F30" i="85" s="1"/>
  <c r="O75" i="84"/>
  <c r="K37" i="85" a="1"/>
  <c r="K37" i="85" s="1"/>
  <c r="K41" i="85" s="1"/>
  <c r="C171" i="85"/>
  <c r="C168" i="85"/>
  <c r="C170" i="85"/>
  <c r="E173" i="85"/>
  <c r="C172" i="85"/>
  <c r="D173" i="85"/>
  <c r="E164" i="85"/>
  <c r="F173" i="85"/>
  <c r="D164" i="85"/>
  <c r="F164" i="85"/>
  <c r="F26" i="83"/>
  <c r="E66" i="83"/>
  <c r="F121" i="85"/>
  <c r="D147" i="85" s="1" a="1"/>
  <c r="D147" i="85" s="1"/>
  <c r="J147" i="85" s="1"/>
  <c r="N29" i="84"/>
  <c r="O30" i="84" s="1"/>
  <c r="N28" i="84"/>
  <c r="L26" i="85" s="1"/>
  <c r="L25" i="85" s="1"/>
  <c r="L28" i="85" s="1"/>
  <c r="L30" i="85" s="1"/>
  <c r="D33" i="84"/>
  <c r="I74" i="84"/>
  <c r="I75" i="84" s="1"/>
  <c r="L29" i="84"/>
  <c r="L30" i="84" s="1"/>
  <c r="L28" i="84"/>
  <c r="I29" i="84"/>
  <c r="I30" i="84" s="1"/>
  <c r="F28" i="84"/>
  <c r="I26" i="85" s="1"/>
  <c r="I25" i="85" s="1"/>
  <c r="I28" i="85" s="1"/>
  <c r="I30" i="85" s="1"/>
  <c r="F29" i="84"/>
  <c r="F33" i="84" s="1"/>
  <c r="L74" i="84"/>
  <c r="L75" i="84" s="1"/>
  <c r="I28" i="84"/>
  <c r="J37" i="85" s="1" a="1"/>
  <c r="J37" i="85" s="1"/>
  <c r="J41" i="85" s="1"/>
  <c r="F60" i="84"/>
  <c r="G129" i="83"/>
  <c r="G124" i="83"/>
  <c r="G38" i="83"/>
  <c r="F58" i="83"/>
  <c r="F66" i="83" s="1"/>
  <c r="G16" i="83"/>
  <c r="G17" i="83" s="1"/>
  <c r="G47" i="83"/>
  <c r="S73" i="54"/>
  <c r="R73" i="54"/>
  <c r="Q73" i="54"/>
  <c r="P73" i="54"/>
  <c r="O73" i="54"/>
  <c r="S82" i="54"/>
  <c r="F74" i="84" l="1"/>
  <c r="C48" i="85"/>
  <c r="C53" i="85" s="1"/>
  <c r="K26" i="85"/>
  <c r="K25" i="85" s="1"/>
  <c r="K28" i="85" s="1"/>
  <c r="K30" i="85" s="1"/>
  <c r="D37" i="85" a="1"/>
  <c r="D37" i="85" s="1"/>
  <c r="D41" i="85" s="1"/>
  <c r="D26" i="85"/>
  <c r="D25" i="85" s="1"/>
  <c r="D28" i="85" s="1"/>
  <c r="D30" i="85" s="1"/>
  <c r="E37" i="85" a="1"/>
  <c r="E37" i="85" s="1"/>
  <c r="E41" i="85" s="1"/>
  <c r="I37" i="85" a="1"/>
  <c r="I37" i="85" s="1"/>
  <c r="I41" i="85" s="1"/>
  <c r="E26" i="85"/>
  <c r="E25" i="85" s="1"/>
  <c r="E28" i="85" s="1"/>
  <c r="E30" i="85" s="1"/>
  <c r="L37" i="85" a="1"/>
  <c r="L37" i="85" s="1"/>
  <c r="L41" i="85" s="1"/>
  <c r="F37" i="85" a="1"/>
  <c r="F37" i="85" s="1"/>
  <c r="F41" i="85" s="1"/>
  <c r="E174" i="85"/>
  <c r="C173" i="85"/>
  <c r="F174" i="85"/>
  <c r="D174" i="85"/>
  <c r="F30" i="84"/>
  <c r="O56" i="65"/>
  <c r="N56" i="65"/>
  <c r="M56" i="65"/>
  <c r="L56" i="65"/>
  <c r="K56" i="65"/>
  <c r="O55" i="65"/>
  <c r="N55" i="65"/>
  <c r="M55" i="65"/>
  <c r="L55" i="65"/>
  <c r="K55" i="65"/>
  <c r="O54" i="65"/>
  <c r="N54" i="65"/>
  <c r="M54" i="65"/>
  <c r="L54" i="65"/>
  <c r="K54" i="65"/>
  <c r="O53" i="65"/>
  <c r="N53" i="65"/>
  <c r="M53" i="65"/>
  <c r="L53" i="65"/>
  <c r="K53" i="65"/>
  <c r="O52" i="65"/>
  <c r="N52" i="65"/>
  <c r="M52" i="65"/>
  <c r="L52" i="65"/>
  <c r="K52" i="65"/>
  <c r="O51" i="65"/>
  <c r="N51" i="65"/>
  <c r="M51" i="65"/>
  <c r="L51" i="65"/>
  <c r="K51" i="65"/>
  <c r="O50" i="65"/>
  <c r="N50" i="65"/>
  <c r="M50" i="65"/>
  <c r="L50" i="65"/>
  <c r="K50" i="65"/>
  <c r="O49" i="65"/>
  <c r="N49" i="65"/>
  <c r="M49" i="65"/>
  <c r="L49" i="65"/>
  <c r="K49" i="65"/>
  <c r="S77" i="54"/>
  <c r="P77" i="54"/>
  <c r="Q77" i="54"/>
  <c r="R77" i="54"/>
  <c r="O77" i="54"/>
  <c r="S76" i="54"/>
  <c r="R76" i="54"/>
  <c r="Q76" i="54"/>
  <c r="P76" i="54"/>
  <c r="O76" i="54"/>
  <c r="G225" i="66"/>
  <c r="D36" i="65"/>
  <c r="F75" i="84" l="1"/>
  <c r="C37" i="85" a="1"/>
  <c r="C37" i="85" s="1"/>
  <c r="C41" i="85" s="1"/>
  <c r="C26" i="85"/>
  <c r="C25" i="85" s="1"/>
  <c r="C28" i="85" s="1"/>
  <c r="C30" i="85" s="1"/>
  <c r="C174" i="85"/>
  <c r="D151" i="80" a="1"/>
  <c r="D151" i="80" s="1"/>
  <c r="D137" i="80" a="1"/>
  <c r="D137" i="80" s="1"/>
  <c r="J137" i="80" a="1"/>
  <c r="J137" i="80" s="1"/>
  <c r="J151" i="80" a="1"/>
  <c r="J151" i="80" s="1"/>
  <c r="AB113" i="80"/>
  <c r="Y113" i="80" s="1"/>
  <c r="V113" i="80"/>
  <c r="U113" i="80" s="1"/>
  <c r="P113" i="80"/>
  <c r="J113" i="80"/>
  <c r="AB89" i="80"/>
  <c r="Z89" i="80" s="1"/>
  <c r="V89" i="80"/>
  <c r="S89" i="80" s="1"/>
  <c r="P89" i="80"/>
  <c r="J89" i="80"/>
  <c r="E130" i="54"/>
  <c r="E129" i="54"/>
  <c r="E128" i="54"/>
  <c r="E127" i="54"/>
  <c r="E126" i="54"/>
  <c r="E125" i="54"/>
  <c r="E124" i="54"/>
  <c r="H130" i="54"/>
  <c r="H129" i="54"/>
  <c r="H128" i="54"/>
  <c r="H127" i="54"/>
  <c r="H126" i="54"/>
  <c r="H125" i="54"/>
  <c r="H124" i="54"/>
  <c r="F181" i="54"/>
  <c r="G181" i="54" s="1"/>
  <c r="F173" i="54"/>
  <c r="G173" i="54" s="1"/>
  <c r="D181" i="54"/>
  <c r="D173" i="54"/>
  <c r="F162" i="54"/>
  <c r="G162" i="54" s="1"/>
  <c r="D162" i="54"/>
  <c r="F161" i="54"/>
  <c r="G161" i="54" s="1"/>
  <c r="D161" i="54"/>
  <c r="F160" i="54"/>
  <c r="G160" i="54" s="1"/>
  <c r="D160" i="54"/>
  <c r="F159" i="54"/>
  <c r="G159" i="54" s="1"/>
  <c r="D159" i="54"/>
  <c r="F148" i="54"/>
  <c r="G148" i="54" s="1"/>
  <c r="D148" i="54"/>
  <c r="F147" i="54"/>
  <c r="G147" i="54" s="1"/>
  <c r="D147" i="54"/>
  <c r="F146" i="54"/>
  <c r="G146" i="54" s="1"/>
  <c r="D146" i="54"/>
  <c r="F145" i="54"/>
  <c r="G145" i="54" s="1"/>
  <c r="D145" i="54"/>
  <c r="D130" i="54"/>
  <c r="F129" i="54"/>
  <c r="G129" i="54" s="1"/>
  <c r="D129" i="54"/>
  <c r="D128" i="54"/>
  <c r="D127" i="54"/>
  <c r="D126" i="54"/>
  <c r="D125" i="54"/>
  <c r="D124" i="54"/>
  <c r="F109" i="54"/>
  <c r="G109" i="54" s="1"/>
  <c r="F108" i="54"/>
  <c r="G108" i="54" s="1"/>
  <c r="F107" i="54"/>
  <c r="G107" i="54" s="1"/>
  <c r="F106" i="54"/>
  <c r="G106" i="54" s="1"/>
  <c r="F105" i="54"/>
  <c r="G105" i="54" s="1"/>
  <c r="F104" i="54"/>
  <c r="G104" i="54" s="1"/>
  <c r="F103" i="54"/>
  <c r="G103" i="54" s="1"/>
  <c r="D109" i="54"/>
  <c r="D108" i="54"/>
  <c r="D107" i="54"/>
  <c r="D106" i="54"/>
  <c r="D105" i="54"/>
  <c r="D104" i="54"/>
  <c r="D103" i="54"/>
  <c r="F84" i="54"/>
  <c r="F76" i="54"/>
  <c r="G76" i="54" s="1"/>
  <c r="E36" i="65"/>
  <c r="E37" i="65"/>
  <c r="E38" i="65"/>
  <c r="E39" i="65"/>
  <c r="E40" i="65"/>
  <c r="E41" i="65"/>
  <c r="E42" i="65"/>
  <c r="E43" i="65"/>
  <c r="G43" i="65"/>
  <c r="G56" i="65" s="1"/>
  <c r="F43" i="65"/>
  <c r="F56" i="65" s="1"/>
  <c r="D43" i="65"/>
  <c r="D56" i="65" s="1"/>
  <c r="C43" i="65"/>
  <c r="C56" i="65" s="1"/>
  <c r="G42" i="65"/>
  <c r="G55" i="65" s="1"/>
  <c r="F42" i="65"/>
  <c r="F55" i="65" s="1"/>
  <c r="D42" i="65"/>
  <c r="D55" i="65" s="1"/>
  <c r="C42" i="65"/>
  <c r="C55" i="65" s="1"/>
  <c r="G41" i="65"/>
  <c r="G54" i="65" s="1"/>
  <c r="F41" i="65"/>
  <c r="F54" i="65" s="1"/>
  <c r="D41" i="65"/>
  <c r="D54" i="65" s="1"/>
  <c r="C41" i="65"/>
  <c r="C54" i="65" s="1"/>
  <c r="G40" i="65"/>
  <c r="G53" i="65" s="1"/>
  <c r="F40" i="65"/>
  <c r="F53" i="65" s="1"/>
  <c r="D40" i="65"/>
  <c r="D53" i="65" s="1"/>
  <c r="C40" i="65"/>
  <c r="C53" i="65" s="1"/>
  <c r="G39" i="65"/>
  <c r="G52" i="65" s="1"/>
  <c r="F39" i="65"/>
  <c r="F52" i="65" s="1"/>
  <c r="D39" i="65"/>
  <c r="D52" i="65" s="1"/>
  <c r="C39" i="65"/>
  <c r="C52" i="65" s="1"/>
  <c r="G38" i="65"/>
  <c r="G51" i="65" s="1"/>
  <c r="F38" i="65"/>
  <c r="F51" i="65" s="1"/>
  <c r="D38" i="65"/>
  <c r="D51" i="65" s="1"/>
  <c r="C38" i="65"/>
  <c r="C51" i="65" s="1"/>
  <c r="G37" i="65"/>
  <c r="G50" i="65" s="1"/>
  <c r="F37" i="65"/>
  <c r="F50" i="65" s="1"/>
  <c r="D37" i="65"/>
  <c r="D50" i="65" s="1"/>
  <c r="C37" i="65"/>
  <c r="C50" i="65" s="1"/>
  <c r="G36" i="65"/>
  <c r="G49" i="65" s="1"/>
  <c r="F36" i="65"/>
  <c r="F49" i="65" s="1"/>
  <c r="D49" i="65"/>
  <c r="C36" i="65"/>
  <c r="C49" i="65" s="1"/>
  <c r="F130" i="54" l="1"/>
  <c r="G130" i="54" s="1"/>
  <c r="Q113" i="80"/>
  <c r="Z113" i="80"/>
  <c r="AA113" i="80"/>
  <c r="R113" i="80"/>
  <c r="S113" i="80"/>
  <c r="T113" i="80"/>
  <c r="W113" i="80"/>
  <c r="X113" i="80"/>
  <c r="U89" i="80"/>
  <c r="T89" i="80"/>
  <c r="AA89" i="80"/>
  <c r="W89" i="80"/>
  <c r="Q89" i="80"/>
  <c r="X89" i="80"/>
  <c r="R89" i="80"/>
  <c r="Y89" i="80"/>
  <c r="F125" i="54"/>
  <c r="G125" i="54" s="1"/>
  <c r="F126" i="54"/>
  <c r="G126" i="54" s="1"/>
  <c r="F127" i="54"/>
  <c r="G127" i="54" s="1"/>
  <c r="F128" i="54"/>
  <c r="G128" i="54" s="1"/>
  <c r="F124" i="54"/>
  <c r="G124" i="54" s="1"/>
  <c r="G84" i="54"/>
  <c r="E3" i="80" l="1"/>
  <c r="E2" i="80"/>
  <c r="O298" i="65"/>
  <c r="O297" i="65"/>
  <c r="O296" i="65"/>
  <c r="O295" i="65"/>
  <c r="O294" i="65"/>
  <c r="O293" i="65"/>
  <c r="O292" i="65"/>
  <c r="O291" i="65"/>
  <c r="O290" i="65"/>
  <c r="O289" i="65"/>
  <c r="O288" i="65"/>
  <c r="O287" i="65"/>
  <c r="O286" i="65"/>
  <c r="O285" i="65"/>
  <c r="O284" i="65"/>
  <c r="O283" i="65"/>
  <c r="O282" i="65"/>
  <c r="O281" i="65"/>
  <c r="O280" i="65"/>
  <c r="O279" i="65"/>
  <c r="O278" i="65"/>
  <c r="O277" i="65"/>
  <c r="O276" i="65"/>
  <c r="O275" i="65"/>
  <c r="O274" i="65"/>
  <c r="O273" i="65"/>
  <c r="O272" i="65"/>
  <c r="O271" i="65"/>
  <c r="O270" i="65"/>
  <c r="O269" i="65"/>
  <c r="O268" i="65"/>
  <c r="P268" i="65" s="1"/>
  <c r="O263" i="65"/>
  <c r="O262" i="65"/>
  <c r="O261" i="65"/>
  <c r="O260" i="65"/>
  <c r="O259" i="65"/>
  <c r="O258" i="65"/>
  <c r="O257" i="65"/>
  <c r="O256" i="65"/>
  <c r="O255" i="65"/>
  <c r="O254" i="65"/>
  <c r="O253" i="65"/>
  <c r="O252" i="65"/>
  <c r="O251" i="65"/>
  <c r="O250" i="65"/>
  <c r="O249" i="65"/>
  <c r="O248" i="65"/>
  <c r="O247" i="65"/>
  <c r="O246" i="65"/>
  <c r="O245" i="65"/>
  <c r="O244" i="65"/>
  <c r="O243" i="65"/>
  <c r="O242" i="65"/>
  <c r="O241" i="65"/>
  <c r="O240" i="65"/>
  <c r="O239" i="65"/>
  <c r="O238" i="65"/>
  <c r="O237" i="65"/>
  <c r="O236" i="65"/>
  <c r="O235" i="65"/>
  <c r="O234" i="65"/>
  <c r="O233" i="65"/>
  <c r="O232" i="65"/>
  <c r="O231" i="65"/>
  <c r="O230" i="65"/>
  <c r="O229" i="65"/>
  <c r="O228" i="65"/>
  <c r="O227" i="65"/>
  <c r="P227" i="65" s="1"/>
  <c r="N221" i="65"/>
  <c r="N220" i="65"/>
  <c r="N219" i="65"/>
  <c r="N218" i="65"/>
  <c r="N217" i="65"/>
  <c r="N216" i="65"/>
  <c r="N215" i="65"/>
  <c r="N214" i="65"/>
  <c r="N213" i="65"/>
  <c r="N212" i="65"/>
  <c r="N211" i="65"/>
  <c r="N210" i="65"/>
  <c r="N209" i="65"/>
  <c r="N208" i="65"/>
  <c r="N207" i="65"/>
  <c r="N206" i="65"/>
  <c r="N205" i="65"/>
  <c r="N204" i="65"/>
  <c r="N203" i="65"/>
  <c r="N202" i="65"/>
  <c r="N201" i="65"/>
  <c r="N200" i="65"/>
  <c r="N199" i="65"/>
  <c r="N198" i="65"/>
  <c r="N197" i="65"/>
  <c r="N196" i="65"/>
  <c r="N195" i="65"/>
  <c r="N194" i="65"/>
  <c r="N193" i="65"/>
  <c r="N192" i="65"/>
  <c r="N191" i="65"/>
  <c r="N190" i="65"/>
  <c r="N189" i="65"/>
  <c r="N188" i="65"/>
  <c r="N187" i="65"/>
  <c r="N186" i="65"/>
  <c r="N185" i="65"/>
  <c r="N184" i="65"/>
  <c r="N183" i="65"/>
  <c r="N182" i="65"/>
  <c r="P269" i="65" l="1"/>
  <c r="P270" i="65" s="1"/>
  <c r="P271" i="65" s="1"/>
  <c r="P272" i="65" s="1"/>
  <c r="P273" i="65" s="1"/>
  <c r="P274" i="65" s="1"/>
  <c r="P275" i="65" s="1"/>
  <c r="P276" i="65" s="1"/>
  <c r="P277" i="65" s="1"/>
  <c r="P278" i="65" s="1"/>
  <c r="P279" i="65" s="1"/>
  <c r="P280" i="65" s="1"/>
  <c r="P281" i="65" s="1"/>
  <c r="P282" i="65" s="1"/>
  <c r="P283" i="65" s="1"/>
  <c r="P284" i="65" s="1"/>
  <c r="P285" i="65" s="1"/>
  <c r="P286" i="65" s="1"/>
  <c r="P287" i="65" s="1"/>
  <c r="P288" i="65" s="1"/>
  <c r="P289" i="65" s="1"/>
  <c r="P290" i="65" s="1"/>
  <c r="P291" i="65" s="1"/>
  <c r="P292" i="65" s="1"/>
  <c r="P293" i="65" s="1"/>
  <c r="P294" i="65" s="1"/>
  <c r="P295" i="65" s="1"/>
  <c r="P296" i="65" s="1"/>
  <c r="P297" i="65" s="1"/>
  <c r="P298" i="65" s="1"/>
  <c r="P228" i="65"/>
  <c r="P229" i="65" s="1"/>
  <c r="P230" i="65" s="1"/>
  <c r="P231" i="65" s="1"/>
  <c r="P232" i="65" s="1"/>
  <c r="P233" i="65" s="1"/>
  <c r="P234" i="65" s="1"/>
  <c r="P235" i="65" s="1"/>
  <c r="P236" i="65" s="1"/>
  <c r="P237" i="65" s="1"/>
  <c r="P238" i="65" s="1"/>
  <c r="P239" i="65" s="1"/>
  <c r="P240" i="65" s="1"/>
  <c r="P241" i="65" s="1"/>
  <c r="P242" i="65" s="1"/>
  <c r="P243" i="65" s="1"/>
  <c r="P244" i="65" s="1"/>
  <c r="P245" i="65" s="1"/>
  <c r="P246" i="65" s="1"/>
  <c r="P247" i="65" s="1"/>
  <c r="P248" i="65" s="1"/>
  <c r="P249" i="65" s="1"/>
  <c r="P250" i="65" s="1"/>
  <c r="P251" i="65" s="1"/>
  <c r="P252" i="65" s="1"/>
  <c r="P253" i="65" s="1"/>
  <c r="P254" i="65" s="1"/>
  <c r="P255" i="65" s="1"/>
  <c r="P256" i="65" s="1"/>
  <c r="P257" i="65" s="1"/>
  <c r="P258" i="65" s="1"/>
  <c r="P259" i="65" s="1"/>
  <c r="P260" i="65" s="1"/>
  <c r="P261" i="65" s="1"/>
  <c r="P262" i="65" s="1"/>
  <c r="P263" i="65" s="1"/>
  <c r="D16" i="71"/>
  <c r="E16" i="71"/>
  <c r="F16" i="71" s="1"/>
  <c r="B53" i="71"/>
  <c r="C53" i="71" s="1"/>
  <c r="B52" i="71"/>
  <c r="C52" i="71" s="1"/>
  <c r="B51" i="71"/>
  <c r="C51" i="71" s="1"/>
  <c r="B50" i="71"/>
  <c r="C50" i="71" s="1"/>
  <c r="B49" i="71"/>
  <c r="C49" i="71" s="1"/>
  <c r="B48" i="71"/>
  <c r="C48" i="71" s="1"/>
  <c r="B47" i="71"/>
  <c r="C47" i="71" s="1"/>
  <c r="C177" i="72"/>
  <c r="C176" i="72"/>
  <c r="C175" i="72"/>
  <c r="C174" i="72"/>
  <c r="C173" i="72"/>
  <c r="C172" i="72"/>
  <c r="C171" i="72"/>
  <c r="C170" i="72"/>
  <c r="C169" i="72"/>
  <c r="C168" i="72"/>
  <c r="C167" i="72"/>
  <c r="C166" i="72"/>
  <c r="C165" i="72"/>
  <c r="C164" i="72"/>
  <c r="C163" i="72"/>
  <c r="C162" i="72"/>
  <c r="C161" i="72"/>
  <c r="C160" i="72"/>
  <c r="C159" i="72"/>
  <c r="C158" i="72"/>
  <c r="C157" i="72"/>
  <c r="C156" i="72"/>
  <c r="C155" i="72"/>
  <c r="C154" i="72"/>
  <c r="C153" i="72"/>
  <c r="C152" i="72"/>
  <c r="C151" i="72"/>
  <c r="C150" i="72"/>
  <c r="C149" i="72"/>
  <c r="D148" i="72"/>
  <c r="C148" i="72"/>
  <c r="C147" i="72"/>
  <c r="D146" i="72"/>
  <c r="C146" i="72"/>
  <c r="C145" i="72"/>
  <c r="D144" i="72"/>
  <c r="C144" i="72"/>
  <c r="D143" i="72"/>
  <c r="C143" i="72"/>
  <c r="D142" i="72"/>
  <c r="C142" i="72"/>
  <c r="D141" i="72"/>
  <c r="C141" i="72"/>
  <c r="D140" i="72"/>
  <c r="C140" i="72"/>
  <c r="D139" i="72"/>
  <c r="C139" i="72"/>
  <c r="D138" i="72"/>
  <c r="C138" i="72"/>
  <c r="D137" i="72"/>
  <c r="C137" i="72"/>
  <c r="C136" i="72"/>
  <c r="D135" i="72"/>
  <c r="C135" i="72"/>
  <c r="D134" i="72"/>
  <c r="C134" i="72"/>
  <c r="D133" i="72"/>
  <c r="C133" i="72"/>
  <c r="C132" i="72"/>
  <c r="C131" i="72"/>
  <c r="D130" i="72"/>
  <c r="C130" i="72"/>
  <c r="D129" i="72"/>
  <c r="C129" i="72"/>
  <c r="D128" i="72"/>
  <c r="C128" i="72"/>
  <c r="F3" i="72"/>
  <c r="F2" i="72"/>
  <c r="F1" i="72"/>
  <c r="B13" i="71" l="1"/>
  <c r="B12" i="71"/>
  <c r="B14" i="71"/>
  <c r="B15" i="71"/>
  <c r="B16" i="71"/>
  <c r="C16" i="71" s="1"/>
  <c r="B17" i="71"/>
  <c r="B11" i="71"/>
  <c r="C54" i="71"/>
  <c r="D54" i="71" s="1"/>
  <c r="B18" i="71" l="1"/>
  <c r="C64" i="72"/>
  <c r="C62" i="72" l="1"/>
  <c r="D64" i="72"/>
  <c r="E64" i="72" l="1"/>
  <c r="D62" i="72"/>
  <c r="C63" i="72" l="1"/>
  <c r="E62" i="72"/>
  <c r="D63" i="72" l="1"/>
  <c r="E63" i="72" s="1"/>
  <c r="F63" i="72" s="1"/>
  <c r="F62" i="72"/>
  <c r="D265" i="66" l="1"/>
  <c r="D264" i="66"/>
  <c r="D263" i="66"/>
  <c r="D262" i="66"/>
  <c r="D261" i="66"/>
  <c r="D260" i="66"/>
  <c r="D259" i="66"/>
  <c r="D258" i="66"/>
  <c r="D257" i="66"/>
  <c r="D256" i="66"/>
  <c r="D255" i="66"/>
  <c r="D254" i="66"/>
  <c r="D253" i="66"/>
  <c r="D252" i="66"/>
  <c r="D251" i="66"/>
  <c r="D250" i="66"/>
  <c r="D249" i="66"/>
  <c r="D248" i="66"/>
  <c r="D247" i="66"/>
  <c r="D246" i="66"/>
  <c r="D245" i="66"/>
  <c r="D244" i="66"/>
  <c r="D243" i="66"/>
  <c r="D242" i="66"/>
  <c r="D241" i="66"/>
  <c r="D240" i="66"/>
  <c r="D239" i="66"/>
  <c r="D238" i="66"/>
  <c r="D237" i="66"/>
  <c r="D236" i="66"/>
  <c r="D235" i="66"/>
  <c r="D234" i="66"/>
  <c r="D233" i="66"/>
  <c r="D232" i="66"/>
  <c r="D231" i="66"/>
  <c r="D230" i="66"/>
  <c r="D229" i="66"/>
  <c r="D228" i="66"/>
  <c r="D227" i="66"/>
  <c r="D226" i="66"/>
  <c r="D225" i="66"/>
  <c r="D224" i="66"/>
  <c r="D223" i="66"/>
  <c r="D222" i="66"/>
  <c r="D221" i="66"/>
  <c r="D220" i="66"/>
  <c r="D219" i="66"/>
  <c r="D218" i="66"/>
  <c r="D217" i="66"/>
  <c r="D216" i="66"/>
  <c r="D215" i="66"/>
  <c r="D214" i="66"/>
  <c r="D213" i="66"/>
  <c r="D212" i="66"/>
  <c r="D211" i="66"/>
  <c r="D210" i="66"/>
  <c r="D209" i="66"/>
  <c r="D208" i="66"/>
  <c r="D207" i="66"/>
  <c r="D206" i="66"/>
  <c r="D205" i="66"/>
  <c r="D204" i="66"/>
  <c r="D203" i="66"/>
  <c r="D202" i="66"/>
  <c r="D201" i="66"/>
  <c r="D200" i="66"/>
  <c r="D199" i="66"/>
  <c r="D198" i="66"/>
  <c r="D197" i="66"/>
  <c r="D196" i="66"/>
  <c r="D195" i="66"/>
  <c r="D194" i="66"/>
  <c r="D193" i="66"/>
  <c r="D192" i="66"/>
  <c r="D191" i="66"/>
  <c r="D190" i="66"/>
  <c r="D189" i="66"/>
  <c r="D188" i="66"/>
  <c r="D187" i="66"/>
  <c r="D186" i="66"/>
  <c r="D185" i="66"/>
  <c r="D184" i="66"/>
  <c r="D183" i="66"/>
  <c r="D182" i="66"/>
  <c r="D181" i="66"/>
  <c r="D180" i="66"/>
  <c r="D179" i="66"/>
  <c r="D178" i="66"/>
  <c r="D177" i="66"/>
  <c r="D176" i="66"/>
  <c r="D175" i="66"/>
  <c r="D174" i="66"/>
  <c r="D173" i="66"/>
  <c r="D172" i="66"/>
  <c r="D171" i="66"/>
  <c r="D170" i="66"/>
  <c r="D169" i="66"/>
  <c r="D168" i="66"/>
  <c r="D167" i="66"/>
  <c r="D166" i="66"/>
  <c r="D165" i="66"/>
  <c r="D164" i="66"/>
  <c r="D163" i="66"/>
  <c r="D162" i="66"/>
  <c r="D161" i="66"/>
  <c r="D160" i="66"/>
  <c r="D159" i="66"/>
  <c r="D158" i="66"/>
  <c r="D157" i="66"/>
  <c r="D156" i="66"/>
  <c r="D155" i="66"/>
  <c r="D154" i="66"/>
  <c r="D153" i="66"/>
  <c r="D152" i="66"/>
  <c r="D151" i="66"/>
  <c r="D150" i="66"/>
  <c r="D149" i="66"/>
  <c r="D148" i="66"/>
  <c r="D147" i="66"/>
  <c r="D146" i="66"/>
  <c r="D145" i="66"/>
  <c r="D144" i="66"/>
  <c r="D143" i="66"/>
  <c r="D142" i="66"/>
  <c r="D141" i="66"/>
  <c r="D140" i="66"/>
  <c r="D139" i="66"/>
  <c r="D138" i="66"/>
  <c r="D137" i="66"/>
  <c r="D136" i="66"/>
  <c r="D135" i="66"/>
  <c r="D134" i="66"/>
  <c r="D133" i="66"/>
  <c r="D132" i="66"/>
  <c r="D131" i="66"/>
  <c r="D130" i="66"/>
  <c r="D129" i="66"/>
  <c r="D128" i="66"/>
  <c r="D127" i="66"/>
  <c r="D126" i="66"/>
  <c r="D125" i="66"/>
  <c r="D124" i="66"/>
  <c r="D123" i="66"/>
  <c r="D122" i="66"/>
  <c r="D121" i="66"/>
  <c r="D120" i="66"/>
  <c r="D119" i="66"/>
  <c r="D118" i="66"/>
  <c r="D117" i="66"/>
  <c r="D116" i="66"/>
  <c r="D115" i="66"/>
  <c r="D114" i="66"/>
  <c r="D113" i="66"/>
  <c r="D112" i="66"/>
  <c r="D111" i="66"/>
  <c r="D110" i="66"/>
  <c r="D109" i="66"/>
  <c r="D108" i="66"/>
  <c r="D107" i="66"/>
  <c r="D106" i="66"/>
  <c r="D105" i="66"/>
  <c r="D104" i="66"/>
  <c r="D103" i="66"/>
  <c r="D102" i="66"/>
  <c r="D101" i="66"/>
  <c r="D100" i="66"/>
  <c r="D99" i="66"/>
  <c r="D98" i="66"/>
  <c r="D97" i="66"/>
  <c r="D96" i="66"/>
  <c r="D95" i="66"/>
  <c r="D94" i="66"/>
  <c r="D93" i="66"/>
  <c r="D92" i="66"/>
  <c r="D91" i="66"/>
  <c r="D90" i="66"/>
  <c r="D89" i="66"/>
  <c r="D88" i="66"/>
  <c r="D87" i="66"/>
  <c r="D86" i="66"/>
  <c r="D85" i="66"/>
  <c r="D84" i="66"/>
  <c r="D83" i="66"/>
  <c r="D82" i="66"/>
  <c r="D81" i="66"/>
  <c r="D80" i="66"/>
  <c r="D79" i="66"/>
  <c r="D78" i="66"/>
  <c r="D77" i="66"/>
  <c r="D76" i="66"/>
  <c r="D75" i="66"/>
  <c r="D74" i="66"/>
  <c r="D73" i="66"/>
  <c r="D72" i="66"/>
  <c r="D71" i="66"/>
  <c r="D70" i="66"/>
  <c r="D69" i="66"/>
  <c r="D68" i="66"/>
  <c r="D67" i="66"/>
  <c r="D66" i="66"/>
  <c r="D65" i="66"/>
  <c r="D64" i="66"/>
  <c r="D63" i="66"/>
  <c r="D62" i="66"/>
  <c r="D61" i="66"/>
  <c r="D60" i="66"/>
  <c r="D59" i="66"/>
  <c r="D58" i="66"/>
  <c r="D57" i="66"/>
  <c r="D56" i="66"/>
  <c r="D55" i="66"/>
  <c r="D54" i="66"/>
  <c r="D53" i="66"/>
  <c r="D52" i="66"/>
  <c r="D51" i="66"/>
  <c r="D50" i="66"/>
  <c r="D49" i="66"/>
  <c r="D48" i="66"/>
  <c r="D47" i="66"/>
  <c r="D46" i="66"/>
  <c r="D45" i="66"/>
  <c r="D44" i="66"/>
  <c r="D43" i="66"/>
  <c r="D42" i="66"/>
  <c r="D41" i="66"/>
  <c r="D40" i="66"/>
  <c r="D39" i="66"/>
  <c r="D38" i="66"/>
  <c r="D37" i="66"/>
  <c r="D36" i="66"/>
  <c r="D35" i="66"/>
  <c r="D34" i="66"/>
  <c r="D33" i="66"/>
  <c r="D32" i="66"/>
  <c r="D31" i="66"/>
  <c r="D30" i="66"/>
  <c r="D29" i="66"/>
  <c r="D28" i="66"/>
  <c r="D27" i="66"/>
  <c r="D26" i="66"/>
  <c r="D25" i="66"/>
  <c r="D24" i="66"/>
  <c r="D23" i="66"/>
  <c r="D22" i="66"/>
  <c r="D21" i="66"/>
  <c r="D20" i="66"/>
  <c r="D19" i="66"/>
  <c r="D18" i="66"/>
  <c r="D17" i="66"/>
  <c r="D16" i="66"/>
  <c r="D15" i="66"/>
  <c r="D14" i="66"/>
  <c r="D13" i="66"/>
  <c r="D12" i="66"/>
  <c r="D11" i="66"/>
  <c r="D10" i="66"/>
  <c r="D9" i="66"/>
  <c r="D8" i="66"/>
  <c r="D7" i="66"/>
  <c r="E3" i="71"/>
  <c r="G17" i="71"/>
  <c r="G15" i="71"/>
  <c r="G14" i="71"/>
  <c r="G13" i="71"/>
  <c r="G12" i="71"/>
  <c r="G11" i="71"/>
  <c r="E17" i="71"/>
  <c r="E15" i="71"/>
  <c r="E14" i="71"/>
  <c r="E13" i="71"/>
  <c r="E12" i="71"/>
  <c r="E11" i="71"/>
  <c r="C40" i="71"/>
  <c r="D40" i="71" s="1"/>
  <c r="D378" i="66" l="1"/>
  <c r="C371" i="66"/>
  <c r="C15" i="71"/>
  <c r="D15" i="71"/>
  <c r="C14" i="71"/>
  <c r="D14" i="71"/>
  <c r="C17" i="71"/>
  <c r="D17" i="71"/>
  <c r="C13" i="71"/>
  <c r="D13" i="71"/>
  <c r="C11" i="71"/>
  <c r="D11" i="71"/>
  <c r="C12" i="71"/>
  <c r="D12" i="71"/>
  <c r="C348" i="66"/>
  <c r="B14" i="72" s="1"/>
  <c r="C14" i="72" s="1"/>
  <c r="D14" i="72" s="1"/>
  <c r="C356" i="66"/>
  <c r="C364" i="66"/>
  <c r="C372" i="66"/>
  <c r="D347" i="66"/>
  <c r="D355" i="66"/>
  <c r="D363" i="66"/>
  <c r="D371" i="66"/>
  <c r="C349" i="66"/>
  <c r="B15" i="72" s="1"/>
  <c r="C15" i="72" s="1"/>
  <c r="D15" i="72" s="1"/>
  <c r="C357" i="66"/>
  <c r="C365" i="66"/>
  <c r="C373" i="66"/>
  <c r="D348" i="66"/>
  <c r="D356" i="66"/>
  <c r="D364" i="66"/>
  <c r="D372" i="66"/>
  <c r="C350" i="66"/>
  <c r="B16" i="72" s="1"/>
  <c r="C16" i="72" s="1"/>
  <c r="D16" i="72" s="1"/>
  <c r="C358" i="66"/>
  <c r="C366" i="66"/>
  <c r="C374" i="66"/>
  <c r="D349" i="66"/>
  <c r="D357" i="66"/>
  <c r="D365" i="66"/>
  <c r="D373" i="66"/>
  <c r="C351" i="66"/>
  <c r="B17" i="72" s="1"/>
  <c r="C17" i="72" s="1"/>
  <c r="D17" i="72" s="1"/>
  <c r="C359" i="66"/>
  <c r="C367" i="66"/>
  <c r="C375" i="66"/>
  <c r="D350" i="66"/>
  <c r="D358" i="66"/>
  <c r="D366" i="66"/>
  <c r="D374" i="66"/>
  <c r="C352" i="66"/>
  <c r="B18" i="72" s="1"/>
  <c r="C18" i="72" s="1"/>
  <c r="D18" i="72" s="1"/>
  <c r="C360" i="66"/>
  <c r="C368" i="66"/>
  <c r="C376" i="66"/>
  <c r="D351" i="66"/>
  <c r="D359" i="66"/>
  <c r="D367" i="66"/>
  <c r="D375" i="66"/>
  <c r="C353" i="66"/>
  <c r="C361" i="66"/>
  <c r="C369" i="66"/>
  <c r="C377" i="66"/>
  <c r="D352" i="66"/>
  <c r="D360" i="66"/>
  <c r="D368" i="66"/>
  <c r="D376" i="66"/>
  <c r="C346" i="66"/>
  <c r="B12" i="72" s="1"/>
  <c r="C354" i="66"/>
  <c r="C362" i="66"/>
  <c r="C370" i="66"/>
  <c r="C378" i="66"/>
  <c r="B19" i="72" s="1"/>
  <c r="C19" i="72" s="1"/>
  <c r="D19" i="72" s="1"/>
  <c r="D353" i="66"/>
  <c r="D361" i="66"/>
  <c r="D369" i="66"/>
  <c r="D377" i="66"/>
  <c r="C347" i="66"/>
  <c r="B13" i="72" s="1"/>
  <c r="C13" i="72" s="1"/>
  <c r="D13" i="72" s="1"/>
  <c r="C355" i="66"/>
  <c r="C363" i="66"/>
  <c r="D346" i="66"/>
  <c r="D354" i="66"/>
  <c r="D362" i="66"/>
  <c r="D370" i="66"/>
  <c r="E18" i="71"/>
  <c r="F17" i="71"/>
  <c r="F12" i="71"/>
  <c r="F13" i="71"/>
  <c r="F14" i="71"/>
  <c r="F15" i="71"/>
  <c r="F11" i="71"/>
  <c r="B23" i="65"/>
  <c r="B22" i="65"/>
  <c r="B21" i="65"/>
  <c r="B20" i="65"/>
  <c r="B19" i="65"/>
  <c r="C25" i="65"/>
  <c r="C26" i="65" s="1"/>
  <c r="E3" i="65"/>
  <c r="C271" i="66"/>
  <c r="F188" i="66" s="1"/>
  <c r="F264" i="66"/>
  <c r="F263" i="66"/>
  <c r="F262" i="66"/>
  <c r="F261" i="66"/>
  <c r="F260" i="66"/>
  <c r="F259" i="66"/>
  <c r="F258" i="66"/>
  <c r="F257" i="66"/>
  <c r="F256" i="66"/>
  <c r="F255" i="66"/>
  <c r="F254" i="66"/>
  <c r="F253" i="66"/>
  <c r="F252" i="66"/>
  <c r="F251" i="66"/>
  <c r="F250" i="66"/>
  <c r="F249" i="66"/>
  <c r="F248" i="66"/>
  <c r="F247" i="66"/>
  <c r="F246" i="66"/>
  <c r="F244" i="66"/>
  <c r="F243" i="66"/>
  <c r="F242" i="66"/>
  <c r="F241" i="66"/>
  <c r="F240" i="66"/>
  <c r="F239" i="66"/>
  <c r="F238" i="66"/>
  <c r="F237" i="66"/>
  <c r="F236" i="66"/>
  <c r="F235" i="66"/>
  <c r="F234" i="66"/>
  <c r="E378" i="66" s="1"/>
  <c r="F233" i="66"/>
  <c r="F232" i="66"/>
  <c r="F231" i="66"/>
  <c r="F230" i="66"/>
  <c r="F229" i="66"/>
  <c r="F228" i="66"/>
  <c r="F227" i="66"/>
  <c r="F225" i="66"/>
  <c r="F223" i="66"/>
  <c r="F222" i="66"/>
  <c r="F221" i="66"/>
  <c r="F220" i="66"/>
  <c r="F219" i="66"/>
  <c r="F218" i="66"/>
  <c r="F217" i="66"/>
  <c r="F216" i="66"/>
  <c r="F215" i="66"/>
  <c r="F214" i="66"/>
  <c r="F213" i="66"/>
  <c r="F212" i="66"/>
  <c r="F211" i="66"/>
  <c r="F210" i="66"/>
  <c r="F209" i="66"/>
  <c r="F208" i="66"/>
  <c r="F206" i="66"/>
  <c r="F205" i="66"/>
  <c r="F203" i="66"/>
  <c r="F202" i="66"/>
  <c r="F201" i="66"/>
  <c r="F200" i="66"/>
  <c r="F199" i="66"/>
  <c r="E377" i="66" s="1"/>
  <c r="F198" i="66"/>
  <c r="F197" i="66"/>
  <c r="F196" i="66"/>
  <c r="F195" i="66"/>
  <c r="F194" i="66"/>
  <c r="F193" i="66"/>
  <c r="F192" i="66"/>
  <c r="F191" i="66"/>
  <c r="F190" i="66"/>
  <c r="F189" i="66"/>
  <c r="F187" i="66"/>
  <c r="F186" i="66"/>
  <c r="F184" i="66"/>
  <c r="E376" i="66" s="1"/>
  <c r="F183" i="66"/>
  <c r="F182" i="66"/>
  <c r="F181" i="66"/>
  <c r="F180" i="66"/>
  <c r="F179" i="66"/>
  <c r="F178" i="66"/>
  <c r="F177" i="66"/>
  <c r="F176" i="66"/>
  <c r="F175" i="66"/>
  <c r="F174" i="66"/>
  <c r="F173" i="66"/>
  <c r="F171" i="66"/>
  <c r="F170" i="66"/>
  <c r="F168" i="66"/>
  <c r="F167" i="66"/>
  <c r="F166" i="66"/>
  <c r="F165" i="66"/>
  <c r="F164" i="66"/>
  <c r="F163" i="66"/>
  <c r="F162" i="66"/>
  <c r="F161" i="66"/>
  <c r="F160" i="66"/>
  <c r="F159" i="66"/>
  <c r="F158" i="66"/>
  <c r="F157" i="66"/>
  <c r="F156" i="66"/>
  <c r="F155" i="66"/>
  <c r="F154" i="66"/>
  <c r="F152" i="66"/>
  <c r="F150" i="66"/>
  <c r="E375" i="66" s="1"/>
  <c r="F149" i="66"/>
  <c r="E374" i="66" s="1"/>
  <c r="F148" i="66"/>
  <c r="E373" i="66" s="1"/>
  <c r="F147" i="66"/>
  <c r="E372" i="66" s="1"/>
  <c r="F146" i="66"/>
  <c r="E371" i="66" s="1"/>
  <c r="F145" i="66"/>
  <c r="E370" i="66" s="1"/>
  <c r="F144" i="66"/>
  <c r="E369" i="66" s="1"/>
  <c r="F143" i="66"/>
  <c r="E368" i="66" s="1"/>
  <c r="F142" i="66"/>
  <c r="E367" i="66" s="1"/>
  <c r="F141" i="66"/>
  <c r="E366" i="66" s="1"/>
  <c r="F140" i="66"/>
  <c r="E365" i="66" s="1"/>
  <c r="F139" i="66"/>
  <c r="E364" i="66" s="1"/>
  <c r="F138" i="66"/>
  <c r="E363" i="66" s="1"/>
  <c r="F137" i="66"/>
  <c r="E362" i="66" s="1"/>
  <c r="F136" i="66"/>
  <c r="E361" i="66" s="1"/>
  <c r="F135" i="66"/>
  <c r="F134" i="66"/>
  <c r="E360" i="66" s="1"/>
  <c r="F133" i="66"/>
  <c r="E359" i="66" s="1"/>
  <c r="F132" i="66"/>
  <c r="E358" i="66" s="1"/>
  <c r="F131" i="66"/>
  <c r="E357" i="66" s="1"/>
  <c r="F130" i="66"/>
  <c r="F129" i="66"/>
  <c r="E356" i="66" s="1"/>
  <c r="F128" i="66"/>
  <c r="F127" i="66"/>
  <c r="E355" i="66" s="1"/>
  <c r="F126" i="66"/>
  <c r="E354" i="66" s="1"/>
  <c r="F125" i="66"/>
  <c r="E353" i="66" s="1"/>
  <c r="F124" i="66"/>
  <c r="F123" i="66"/>
  <c r="F122" i="66"/>
  <c r="F121" i="66"/>
  <c r="F120" i="66"/>
  <c r="F119" i="66"/>
  <c r="F118" i="66"/>
  <c r="F117" i="66"/>
  <c r="F116" i="66"/>
  <c r="F115" i="66"/>
  <c r="F114" i="66"/>
  <c r="F113" i="66"/>
  <c r="F112" i="66"/>
  <c r="F111" i="66"/>
  <c r="F110" i="66"/>
  <c r="F109" i="66"/>
  <c r="F108" i="66"/>
  <c r="F107" i="66"/>
  <c r="F106" i="66"/>
  <c r="F105" i="66"/>
  <c r="F103" i="66"/>
  <c r="F102" i="66"/>
  <c r="F100" i="66"/>
  <c r="F99" i="66"/>
  <c r="F98" i="66"/>
  <c r="F97" i="66"/>
  <c r="F96" i="66"/>
  <c r="F95" i="66"/>
  <c r="F94" i="66"/>
  <c r="F93" i="66"/>
  <c r="F92" i="66"/>
  <c r="F91" i="66"/>
  <c r="F90" i="66"/>
  <c r="F89" i="66"/>
  <c r="F88" i="66"/>
  <c r="F86" i="66"/>
  <c r="F85" i="66"/>
  <c r="F83" i="66"/>
  <c r="F82" i="66"/>
  <c r="E352" i="66" s="1"/>
  <c r="F81" i="66"/>
  <c r="F80" i="66"/>
  <c r="F79" i="66"/>
  <c r="F78" i="66"/>
  <c r="F77" i="66"/>
  <c r="E351" i="66" s="1"/>
  <c r="F76" i="66"/>
  <c r="F75" i="66"/>
  <c r="F74" i="66"/>
  <c r="F73" i="66"/>
  <c r="F72" i="66"/>
  <c r="F71" i="66"/>
  <c r="F70" i="66"/>
  <c r="F69" i="66"/>
  <c r="F67" i="66"/>
  <c r="F66" i="66"/>
  <c r="F65" i="66"/>
  <c r="F63" i="66"/>
  <c r="F62" i="66"/>
  <c r="F61" i="66"/>
  <c r="F60" i="66"/>
  <c r="F59" i="66"/>
  <c r="F58" i="66"/>
  <c r="F57" i="66"/>
  <c r="F56" i="66"/>
  <c r="F55" i="66"/>
  <c r="F54" i="66"/>
  <c r="F53" i="66"/>
  <c r="F52" i="66"/>
  <c r="F49" i="66"/>
  <c r="F48" i="66"/>
  <c r="F47" i="66"/>
  <c r="F46" i="66"/>
  <c r="F45" i="66"/>
  <c r="F44" i="66"/>
  <c r="F43" i="66"/>
  <c r="F42" i="66"/>
  <c r="F41" i="66"/>
  <c r="F40" i="66"/>
  <c r="F39" i="66"/>
  <c r="F38" i="66"/>
  <c r="F37" i="66"/>
  <c r="F34" i="66"/>
  <c r="F33" i="66"/>
  <c r="F32" i="66"/>
  <c r="F31" i="66"/>
  <c r="F30" i="66"/>
  <c r="F29" i="66"/>
  <c r="F28" i="66"/>
  <c r="F27" i="66"/>
  <c r="F26" i="66"/>
  <c r="F25" i="66"/>
  <c r="F24" i="66"/>
  <c r="F23" i="66"/>
  <c r="F21" i="66"/>
  <c r="F19" i="66"/>
  <c r="F18" i="66"/>
  <c r="E350" i="66" s="1"/>
  <c r="F17" i="66"/>
  <c r="F16" i="66"/>
  <c r="F15" i="66"/>
  <c r="F14" i="66"/>
  <c r="E349" i="66" s="1"/>
  <c r="F13" i="66"/>
  <c r="F12" i="66"/>
  <c r="E348" i="66" s="1"/>
  <c r="F11" i="66"/>
  <c r="Y10" i="66"/>
  <c r="X10" i="66"/>
  <c r="I102" i="49" s="1"/>
  <c r="W10" i="66"/>
  <c r="H102" i="49" s="1"/>
  <c r="V10" i="66"/>
  <c r="G102" i="49" s="1"/>
  <c r="U10" i="66"/>
  <c r="F102" i="49" s="1"/>
  <c r="T10" i="66"/>
  <c r="S10" i="66"/>
  <c r="R10" i="66"/>
  <c r="Q10" i="66"/>
  <c r="P10" i="66"/>
  <c r="O10" i="66"/>
  <c r="N10" i="66"/>
  <c r="M10" i="66"/>
  <c r="F10" i="66"/>
  <c r="E347" i="66" s="1"/>
  <c r="F9" i="66"/>
  <c r="F8" i="66"/>
  <c r="O126" i="65"/>
  <c r="N126" i="65"/>
  <c r="M126" i="65"/>
  <c r="L126" i="65"/>
  <c r="K126" i="65"/>
  <c r="J126" i="65"/>
  <c r="I126" i="65"/>
  <c r="H126" i="65"/>
  <c r="G126" i="65"/>
  <c r="F126" i="65"/>
  <c r="E126" i="65"/>
  <c r="P125" i="65"/>
  <c r="P124" i="65"/>
  <c r="P123" i="65"/>
  <c r="P122" i="65"/>
  <c r="P121" i="65"/>
  <c r="P120" i="65"/>
  <c r="P119" i="65"/>
  <c r="P118" i="65"/>
  <c r="P117" i="65"/>
  <c r="P116" i="65"/>
  <c r="P115" i="65"/>
  <c r="P114" i="65"/>
  <c r="P113" i="65"/>
  <c r="P112" i="65"/>
  <c r="P111" i="65"/>
  <c r="P110" i="65"/>
  <c r="P109" i="65"/>
  <c r="P108" i="65"/>
  <c r="P107" i="65"/>
  <c r="P106" i="65"/>
  <c r="P105" i="65"/>
  <c r="P104" i="65"/>
  <c r="P103" i="65"/>
  <c r="P102" i="65"/>
  <c r="P101" i="65"/>
  <c r="P100" i="65"/>
  <c r="P99" i="65"/>
  <c r="P98" i="65"/>
  <c r="P97" i="65"/>
  <c r="P96" i="65"/>
  <c r="P95" i="65"/>
  <c r="P94" i="65"/>
  <c r="P93" i="65"/>
  <c r="P92" i="65"/>
  <c r="P91" i="65"/>
  <c r="P90" i="65"/>
  <c r="P89" i="65"/>
  <c r="P88" i="65"/>
  <c r="P87" i="65"/>
  <c r="P86" i="65"/>
  <c r="P85" i="65"/>
  <c r="P84" i="65"/>
  <c r="P83" i="65"/>
  <c r="P82" i="65"/>
  <c r="P81" i="65"/>
  <c r="P80" i="65"/>
  <c r="P79" i="65"/>
  <c r="P78" i="65"/>
  <c r="P77" i="65"/>
  <c r="P76" i="65"/>
  <c r="P75" i="65"/>
  <c r="P74" i="65"/>
  <c r="P73" i="65"/>
  <c r="P72" i="65"/>
  <c r="P71" i="65"/>
  <c r="P70" i="65"/>
  <c r="P69" i="65"/>
  <c r="P68" i="65"/>
  <c r="P67" i="65"/>
  <c r="P66" i="65"/>
  <c r="P65" i="65"/>
  <c r="P64" i="65"/>
  <c r="P63" i="65"/>
  <c r="P62" i="65"/>
  <c r="E102" i="49" l="1"/>
  <c r="H34" i="72"/>
  <c r="E18" i="72" s="1"/>
  <c r="H33" i="72"/>
  <c r="E17" i="72" s="1"/>
  <c r="H35" i="72"/>
  <c r="E19" i="72" s="1"/>
  <c r="H29" i="72"/>
  <c r="E13" i="72" s="1"/>
  <c r="H30" i="72"/>
  <c r="E14" i="72" s="1"/>
  <c r="C12" i="72"/>
  <c r="D12" i="72" s="1"/>
  <c r="H32" i="72"/>
  <c r="E16" i="72" s="1"/>
  <c r="H31" i="72"/>
  <c r="E15" i="72" s="1"/>
  <c r="C18" i="71"/>
  <c r="D18" i="71" s="1"/>
  <c r="B34" i="72"/>
  <c r="B47" i="72" s="1"/>
  <c r="B33" i="72"/>
  <c r="B32" i="72"/>
  <c r="B20" i="72"/>
  <c r="F22" i="66"/>
  <c r="F207" i="66"/>
  <c r="F7" i="66"/>
  <c r="F87" i="66"/>
  <c r="F101" i="66" s="1"/>
  <c r="F104" i="66"/>
  <c r="F151" i="66" s="1"/>
  <c r="F172" i="66"/>
  <c r="F185" i="66" s="1"/>
  <c r="F226" i="66"/>
  <c r="F245" i="66" s="1"/>
  <c r="F51" i="66"/>
  <c r="F64" i="66" s="1"/>
  <c r="F68" i="66"/>
  <c r="F84" i="66" s="1"/>
  <c r="F36" i="66"/>
  <c r="F50" i="66" s="1"/>
  <c r="F153" i="66"/>
  <c r="F169" i="66" s="1"/>
  <c r="D25" i="65"/>
  <c r="D26" i="65" s="1"/>
  <c r="F204" i="66"/>
  <c r="F265" i="66"/>
  <c r="F224" i="66"/>
  <c r="F35" i="66"/>
  <c r="F18" i="71"/>
  <c r="P126" i="65"/>
  <c r="I127" i="65"/>
  <c r="H127" i="65"/>
  <c r="J127" i="65"/>
  <c r="K127" i="65"/>
  <c r="L127" i="65"/>
  <c r="E127" i="65"/>
  <c r="M127" i="65"/>
  <c r="F127" i="65"/>
  <c r="N127" i="65"/>
  <c r="G127" i="65"/>
  <c r="O127" i="65"/>
  <c r="C20" i="72" l="1"/>
  <c r="B30" i="72"/>
  <c r="B43" i="72" s="1"/>
  <c r="B31" i="72"/>
  <c r="D20" i="72"/>
  <c r="B29" i="72"/>
  <c r="E346" i="66"/>
  <c r="H28" i="72"/>
  <c r="B35" i="72"/>
  <c r="B48" i="72" s="1"/>
  <c r="E55" i="65"/>
  <c r="E54" i="65"/>
  <c r="E56" i="65"/>
  <c r="E52" i="65"/>
  <c r="E53" i="65"/>
  <c r="E51" i="65"/>
  <c r="E50" i="65"/>
  <c r="E49" i="65"/>
  <c r="G18" i="71"/>
  <c r="B42" i="72"/>
  <c r="B45" i="72"/>
  <c r="B44" i="72"/>
  <c r="B46" i="72"/>
  <c r="B22" i="72"/>
  <c r="J28" i="72" s="1"/>
  <c r="K64" i="72"/>
  <c r="B74" i="72" s="1"/>
  <c r="K62" i="72"/>
  <c r="F20" i="66"/>
  <c r="P127" i="65"/>
  <c r="E12" i="72" l="1"/>
  <c r="E20" i="72" s="1"/>
  <c r="B28" i="72"/>
  <c r="J35" i="72"/>
  <c r="K35" i="72" s="1"/>
  <c r="J31" i="72"/>
  <c r="J30" i="72"/>
  <c r="J29" i="72"/>
  <c r="J34" i="72"/>
  <c r="K28" i="72"/>
  <c r="J33" i="72"/>
  <c r="B72" i="72"/>
  <c r="B76" i="72" s="1"/>
  <c r="J32" i="72"/>
  <c r="B41" i="72" l="1"/>
  <c r="B50" i="72" s="1"/>
  <c r="K63" i="72"/>
  <c r="K34" i="72"/>
  <c r="K29" i="72"/>
  <c r="K33" i="72"/>
  <c r="K32" i="72"/>
  <c r="K30" i="72"/>
  <c r="K31" i="72"/>
  <c r="J36" i="72"/>
  <c r="E2" i="49"/>
  <c r="E2" i="71"/>
  <c r="E2" i="65"/>
  <c r="F62" i="49"/>
  <c r="B73" i="72" l="1"/>
  <c r="B77" i="72" s="1"/>
  <c r="J65" i="72"/>
  <c r="B51" i="72"/>
  <c r="B52" i="72"/>
  <c r="K36" i="72"/>
  <c r="W125" i="49"/>
  <c r="W124" i="49"/>
  <c r="W122" i="49"/>
  <c r="W121" i="49"/>
  <c r="W120" i="49"/>
  <c r="W119" i="49"/>
  <c r="W118" i="49"/>
  <c r="W116" i="49"/>
  <c r="W115" i="49"/>
  <c r="W114" i="49"/>
  <c r="W113" i="49"/>
  <c r="E134" i="49"/>
  <c r="G134" i="49" s="1"/>
  <c r="E135" i="49"/>
  <c r="G135" i="49" s="1"/>
  <c r="E136" i="49"/>
  <c r="G136" i="49" s="1"/>
  <c r="E137" i="49"/>
  <c r="G137" i="49" s="1"/>
  <c r="E138" i="49"/>
  <c r="G138" i="49" s="1"/>
  <c r="E139" i="49"/>
  <c r="G139" i="49" s="1"/>
  <c r="E140" i="49"/>
  <c r="G140" i="49" s="1"/>
  <c r="E141" i="49"/>
  <c r="G141" i="49" s="1"/>
  <c r="E142" i="49"/>
  <c r="G142" i="49" s="1"/>
  <c r="E143" i="49"/>
  <c r="G143" i="49" s="1"/>
  <c r="E144" i="49"/>
  <c r="G144" i="49" s="1"/>
  <c r="E133" i="49"/>
  <c r="D134" i="49"/>
  <c r="D135" i="49"/>
  <c r="D136" i="49"/>
  <c r="D137" i="49"/>
  <c r="D138" i="49"/>
  <c r="D139" i="49"/>
  <c r="D142" i="49"/>
  <c r="D144" i="49"/>
  <c r="E3" i="64"/>
  <c r="E2" i="64"/>
  <c r="I71" i="49"/>
  <c r="H71" i="49"/>
  <c r="G71" i="49"/>
  <c r="F71" i="49"/>
  <c r="E71" i="49"/>
  <c r="I70" i="49"/>
  <c r="H70" i="49"/>
  <c r="G70" i="49"/>
  <c r="F70" i="49"/>
  <c r="E70" i="49"/>
  <c r="I69" i="49"/>
  <c r="H69" i="49"/>
  <c r="G69" i="49"/>
  <c r="F69" i="49"/>
  <c r="E69" i="49"/>
  <c r="I68" i="49"/>
  <c r="H68" i="49"/>
  <c r="G68" i="49"/>
  <c r="F68" i="49"/>
  <c r="E68" i="49"/>
  <c r="I67" i="49"/>
  <c r="H67" i="49"/>
  <c r="G67" i="49"/>
  <c r="F67" i="49"/>
  <c r="E67" i="49"/>
  <c r="I66" i="49"/>
  <c r="H66" i="49"/>
  <c r="G66" i="49"/>
  <c r="F66" i="49"/>
  <c r="E66" i="49"/>
  <c r="I65" i="49"/>
  <c r="J65" i="49" s="1"/>
  <c r="H65" i="49"/>
  <c r="G65" i="49"/>
  <c r="F65" i="49"/>
  <c r="E65" i="49"/>
  <c r="I64" i="49"/>
  <c r="H64" i="49"/>
  <c r="G64" i="49"/>
  <c r="F64" i="49"/>
  <c r="E64" i="49"/>
  <c r="I63" i="49"/>
  <c r="J63" i="49" s="1"/>
  <c r="H63" i="49"/>
  <c r="G63" i="49"/>
  <c r="F63" i="49"/>
  <c r="E63" i="49"/>
  <c r="I62" i="49"/>
  <c r="H62" i="49"/>
  <c r="G62" i="49"/>
  <c r="E62" i="49"/>
  <c r="I61" i="49"/>
  <c r="H61" i="49"/>
  <c r="G61" i="49"/>
  <c r="F61" i="49"/>
  <c r="E61" i="49"/>
  <c r="I60" i="49"/>
  <c r="H60" i="49"/>
  <c r="G60" i="49"/>
  <c r="F60" i="49"/>
  <c r="E60" i="49"/>
  <c r="I59" i="49"/>
  <c r="J59" i="49" s="1"/>
  <c r="H59" i="49"/>
  <c r="G59" i="49"/>
  <c r="F59" i="49"/>
  <c r="E59" i="49"/>
  <c r="I58" i="49"/>
  <c r="H58" i="49"/>
  <c r="G58" i="49"/>
  <c r="F58" i="49"/>
  <c r="E58" i="49"/>
  <c r="D59" i="49"/>
  <c r="D60" i="49"/>
  <c r="D36" i="49" s="1"/>
  <c r="D61" i="49"/>
  <c r="D62" i="49"/>
  <c r="D63" i="49"/>
  <c r="D64" i="49"/>
  <c r="D65" i="49"/>
  <c r="D41" i="49" s="1"/>
  <c r="D66" i="49"/>
  <c r="D42" i="49" s="1"/>
  <c r="D67" i="49"/>
  <c r="D68" i="49"/>
  <c r="D69" i="49"/>
  <c r="D70" i="49"/>
  <c r="D71" i="49"/>
  <c r="D58" i="49"/>
  <c r="E3" i="59"/>
  <c r="E2" i="59"/>
  <c r="E19" i="65" l="1"/>
  <c r="E24" i="65"/>
  <c r="E23" i="65"/>
  <c r="E22" i="65"/>
  <c r="E21" i="65"/>
  <c r="E20" i="65"/>
  <c r="E17" i="65"/>
  <c r="F17" i="65" s="1"/>
  <c r="E18" i="65"/>
  <c r="F18" i="65" s="1"/>
  <c r="E16" i="65"/>
  <c r="F16" i="65" s="1"/>
  <c r="E13" i="65"/>
  <c r="F13" i="65" s="1"/>
  <c r="E11" i="65"/>
  <c r="E15" i="65"/>
  <c r="F15" i="65" s="1"/>
  <c r="E12" i="65"/>
  <c r="F12" i="65" s="1"/>
  <c r="E14" i="65"/>
  <c r="F14" i="65" s="1"/>
  <c r="S113" i="49"/>
  <c r="P113" i="49" s="1"/>
  <c r="G133" i="49"/>
  <c r="S114" i="49" s="1"/>
  <c r="J58" i="49"/>
  <c r="K58" i="49" s="1"/>
  <c r="O61" i="49"/>
  <c r="Q61" i="49" s="1"/>
  <c r="J61" i="49" s="1"/>
  <c r="K61" i="49" s="1"/>
  <c r="O58" i="49"/>
  <c r="S124" i="49"/>
  <c r="P124" i="49" s="1"/>
  <c r="S122" i="49"/>
  <c r="P122" i="49" s="1"/>
  <c r="S121" i="49"/>
  <c r="P121" i="49" s="1"/>
  <c r="S120" i="49"/>
  <c r="P120" i="49" s="1"/>
  <c r="S119" i="49"/>
  <c r="P119" i="49" s="1"/>
  <c r="S126" i="49"/>
  <c r="P126" i="49" s="1"/>
  <c r="S118" i="49"/>
  <c r="P118" i="49" s="1"/>
  <c r="S125" i="49"/>
  <c r="P125" i="49" s="1"/>
  <c r="S117" i="49"/>
  <c r="S116" i="49"/>
  <c r="P116" i="49" s="1"/>
  <c r="S123" i="49"/>
  <c r="P123" i="49" s="1"/>
  <c r="S115" i="49"/>
  <c r="P115" i="49" s="1"/>
  <c r="P64" i="49"/>
  <c r="D38" i="49"/>
  <c r="P66" i="49"/>
  <c r="D34" i="49"/>
  <c r="D46" i="49"/>
  <c r="O66" i="49"/>
  <c r="P62" i="49"/>
  <c r="P70" i="49"/>
  <c r="P60" i="49"/>
  <c r="P68" i="49"/>
  <c r="O69" i="49"/>
  <c r="D35" i="49"/>
  <c r="O65" i="49"/>
  <c r="K65" i="49" s="1"/>
  <c r="O59" i="49"/>
  <c r="O67" i="49"/>
  <c r="Q67" i="49" s="1"/>
  <c r="J67" i="49" s="1"/>
  <c r="D43" i="49"/>
  <c r="D40" i="49"/>
  <c r="O64" i="49"/>
  <c r="D37" i="49"/>
  <c r="D47" i="49"/>
  <c r="D45" i="49"/>
  <c r="O63" i="49"/>
  <c r="K63" i="49" s="1"/>
  <c r="O71" i="49"/>
  <c r="O60" i="49"/>
  <c r="O68" i="49"/>
  <c r="D39" i="49"/>
  <c r="O62" i="49"/>
  <c r="P63" i="49"/>
  <c r="O70" i="49"/>
  <c r="P71" i="49"/>
  <c r="D44" i="49"/>
  <c r="P69" i="49"/>
  <c r="P61" i="49"/>
  <c r="P67" i="49"/>
  <c r="P59" i="49"/>
  <c r="P58" i="49"/>
  <c r="P65" i="49"/>
  <c r="E3" i="57"/>
  <c r="E2" i="57"/>
  <c r="L61" i="49" l="1"/>
  <c r="M61" i="49" s="1"/>
  <c r="L63" i="49"/>
  <c r="M63" i="49" s="1"/>
  <c r="L65" i="49"/>
  <c r="M65" i="49" s="1"/>
  <c r="F11" i="65"/>
  <c r="Q60" i="49"/>
  <c r="J60" i="49" s="1"/>
  <c r="K60" i="49" s="1"/>
  <c r="Q71" i="49"/>
  <c r="J71" i="49" s="1"/>
  <c r="Q64" i="49"/>
  <c r="J64" i="49" s="1"/>
  <c r="K64" i="49" s="1"/>
  <c r="Q66" i="49"/>
  <c r="J66" i="49" s="1"/>
  <c r="Q69" i="49"/>
  <c r="J69" i="49" s="1"/>
  <c r="Q68" i="49"/>
  <c r="J68" i="49" s="1"/>
  <c r="K68" i="49" s="1"/>
  <c r="Q70" i="49"/>
  <c r="J70" i="49" s="1"/>
  <c r="Q62" i="49"/>
  <c r="J62" i="49" s="1"/>
  <c r="L58" i="49"/>
  <c r="M58" i="49" s="1"/>
  <c r="K67" i="49"/>
  <c r="K59" i="49"/>
  <c r="D19" i="49"/>
  <c r="D26" i="49"/>
  <c r="D18" i="49"/>
  <c r="D25" i="49"/>
  <c r="D17" i="49"/>
  <c r="D24" i="49"/>
  <c r="D83" i="49"/>
  <c r="D80" i="49"/>
  <c r="D23" i="49"/>
  <c r="D15" i="49"/>
  <c r="D20" i="49"/>
  <c r="D22" i="49"/>
  <c r="D14" i="49"/>
  <c r="D21" i="49"/>
  <c r="D119" i="49"/>
  <c r="D120" i="49"/>
  <c r="D126" i="49"/>
  <c r="D118" i="49"/>
  <c r="D125" i="49"/>
  <c r="D117" i="49"/>
  <c r="D124" i="49"/>
  <c r="D116" i="49"/>
  <c r="D123" i="49"/>
  <c r="D115" i="49"/>
  <c r="D122" i="49"/>
  <c r="D114" i="49"/>
  <c r="D121" i="49"/>
  <c r="D90" i="49"/>
  <c r="D82" i="49"/>
  <c r="D88" i="49"/>
  <c r="D87" i="49"/>
  <c r="D86" i="49"/>
  <c r="D81" i="49"/>
  <c r="D93" i="49"/>
  <c r="D85" i="49"/>
  <c r="D89" i="49"/>
  <c r="D92" i="49"/>
  <c r="D84" i="49"/>
  <c r="D91" i="49"/>
  <c r="D16" i="49"/>
  <c r="D113" i="49"/>
  <c r="D13" i="49"/>
  <c r="F72" i="49"/>
  <c r="F101" i="49" s="1"/>
  <c r="F103" i="49" s="1"/>
  <c r="G72" i="49"/>
  <c r="G101" i="49" s="1"/>
  <c r="H72" i="49"/>
  <c r="H101" i="49" s="1"/>
  <c r="I72" i="49"/>
  <c r="I101" i="49" s="1"/>
  <c r="E72" i="49"/>
  <c r="E3" i="54"/>
  <c r="E2" i="54"/>
  <c r="K70" i="49" l="1"/>
  <c r="K62" i="49"/>
  <c r="L68" i="49"/>
  <c r="M68" i="49" s="1"/>
  <c r="K69" i="49"/>
  <c r="K66" i="49"/>
  <c r="L59" i="49"/>
  <c r="M59" i="49" s="1"/>
  <c r="L64" i="49"/>
  <c r="M64" i="49" s="1"/>
  <c r="L67" i="49"/>
  <c r="M67" i="49" s="1"/>
  <c r="K71" i="49"/>
  <c r="L60" i="49"/>
  <c r="M60" i="49" s="1"/>
  <c r="E89" i="49"/>
  <c r="E122" i="49" s="1"/>
  <c r="E43" i="49" s="1"/>
  <c r="E85" i="49"/>
  <c r="E80" i="49"/>
  <c r="E113" i="49" s="1"/>
  <c r="E34" i="49" s="1"/>
  <c r="E93" i="49"/>
  <c r="E87" i="49"/>
  <c r="E20" i="49" s="1"/>
  <c r="E86" i="49"/>
  <c r="E119" i="49" s="1"/>
  <c r="E40" i="49" s="1"/>
  <c r="E84" i="49"/>
  <c r="E117" i="49" s="1"/>
  <c r="E38" i="49" s="1"/>
  <c r="E88" i="49"/>
  <c r="E121" i="49" s="1"/>
  <c r="E42" i="49" s="1"/>
  <c r="H103" i="49"/>
  <c r="G103" i="49"/>
  <c r="E101" i="49"/>
  <c r="E103" i="49" s="1"/>
  <c r="E25" i="65"/>
  <c r="I103" i="49"/>
  <c r="P72" i="49"/>
  <c r="O72" i="49"/>
  <c r="E3" i="49"/>
  <c r="L69" i="49" l="1"/>
  <c r="M69" i="49" s="1"/>
  <c r="L62" i="49"/>
  <c r="M62" i="49" s="1"/>
  <c r="L71" i="49"/>
  <c r="M71" i="49" s="1"/>
  <c r="L66" i="49"/>
  <c r="M66" i="49" s="1"/>
  <c r="L70" i="49"/>
  <c r="M70" i="49" s="1"/>
  <c r="E21" i="49"/>
  <c r="E17" i="49"/>
  <c r="E126" i="49"/>
  <c r="E47" i="49" s="1"/>
  <c r="E26" i="49"/>
  <c r="E19" i="49"/>
  <c r="E22" i="49"/>
  <c r="E13" i="49"/>
  <c r="E118" i="49"/>
  <c r="E39" i="49" s="1"/>
  <c r="E18" i="49"/>
  <c r="E120" i="49"/>
  <c r="E41" i="49" s="1"/>
  <c r="F25" i="65"/>
  <c r="E26" i="65"/>
  <c r="C3" i="14"/>
  <c r="J72" i="49" l="1"/>
  <c r="K72" i="49"/>
  <c r="L72" i="49" l="1"/>
  <c r="M72" i="49" l="1"/>
  <c r="Q72" i="49" s="1"/>
  <c r="G11" i="65" l="1"/>
  <c r="G12" i="65"/>
  <c r="G13" i="65"/>
  <c r="G14" i="65"/>
  <c r="G15" i="65"/>
  <c r="G16" i="65"/>
  <c r="G17" i="65"/>
  <c r="G18" i="65"/>
  <c r="G25" i="65"/>
  <c r="G19" i="65" s="1"/>
  <c r="F26" i="65"/>
  <c r="G24" i="65" l="1"/>
  <c r="F24" i="65" s="1"/>
  <c r="E90" i="49" s="1"/>
  <c r="G21" i="65"/>
  <c r="D21" i="65" s="1"/>
  <c r="I85" i="49"/>
  <c r="H85" i="49"/>
  <c r="F85" i="49"/>
  <c r="F18" i="49" s="1"/>
  <c r="G85" i="49"/>
  <c r="I86" i="49"/>
  <c r="H86" i="49"/>
  <c r="G86" i="49"/>
  <c r="F86" i="49"/>
  <c r="F19" i="49" s="1"/>
  <c r="H80" i="49"/>
  <c r="G80" i="49"/>
  <c r="F80" i="49"/>
  <c r="F13" i="49" s="1"/>
  <c r="I80" i="49"/>
  <c r="H88" i="49"/>
  <c r="G88" i="49"/>
  <c r="F88" i="49"/>
  <c r="I88" i="49"/>
  <c r="F87" i="49"/>
  <c r="F20" i="49" s="1"/>
  <c r="I87" i="49"/>
  <c r="H87" i="49"/>
  <c r="G87" i="49"/>
  <c r="G93" i="49"/>
  <c r="I93" i="49"/>
  <c r="H93" i="49"/>
  <c r="F93" i="49"/>
  <c r="I84" i="49"/>
  <c r="H84" i="49"/>
  <c r="G84" i="49"/>
  <c r="F84" i="49"/>
  <c r="F117" i="49" s="1"/>
  <c r="F38" i="49" s="1"/>
  <c r="D19" i="65"/>
  <c r="I81" i="49"/>
  <c r="H81" i="49"/>
  <c r="G81" i="49"/>
  <c r="F81" i="49"/>
  <c r="F89" i="49"/>
  <c r="F22" i="49" s="1"/>
  <c r="I89" i="49"/>
  <c r="H89" i="49"/>
  <c r="G89" i="49"/>
  <c r="F19" i="65"/>
  <c r="E81" i="49" s="1"/>
  <c r="G23" i="65"/>
  <c r="G20" i="65"/>
  <c r="G22" i="65"/>
  <c r="F21" i="65" l="1"/>
  <c r="E83" i="49" s="1"/>
  <c r="E116" i="49" s="1"/>
  <c r="E37" i="49" s="1"/>
  <c r="I83" i="49"/>
  <c r="G83" i="49"/>
  <c r="G116" i="49" s="1"/>
  <c r="G37" i="49" s="1"/>
  <c r="F83" i="49"/>
  <c r="G90" i="49"/>
  <c r="G23" i="49" s="1"/>
  <c r="H90" i="49"/>
  <c r="H23" i="49" s="1"/>
  <c r="I90" i="49"/>
  <c r="H83" i="49"/>
  <c r="H116" i="49" s="1"/>
  <c r="H37" i="49" s="1"/>
  <c r="F90" i="49"/>
  <c r="F23" i="49" s="1"/>
  <c r="D24" i="65"/>
  <c r="F118" i="49"/>
  <c r="F39" i="49" s="1"/>
  <c r="F120" i="49"/>
  <c r="F41" i="49" s="1"/>
  <c r="P89" i="49"/>
  <c r="Q89" i="49" s="1"/>
  <c r="G22" i="49"/>
  <c r="G122" i="49"/>
  <c r="G43" i="49" s="1"/>
  <c r="H21" i="49"/>
  <c r="H121" i="49"/>
  <c r="H42" i="49" s="1"/>
  <c r="O88" i="49"/>
  <c r="I119" i="49"/>
  <c r="I19" i="49"/>
  <c r="O19" i="49" s="1"/>
  <c r="P87" i="49"/>
  <c r="Q87" i="49" s="1"/>
  <c r="J87" i="49" s="1"/>
  <c r="K87" i="49" s="1"/>
  <c r="G120" i="49"/>
  <c r="G41" i="49" s="1"/>
  <c r="G20" i="49"/>
  <c r="I113" i="49"/>
  <c r="I13" i="49"/>
  <c r="P85" i="49"/>
  <c r="Q85" i="49" s="1"/>
  <c r="G18" i="49"/>
  <c r="G118" i="49"/>
  <c r="G39" i="49" s="1"/>
  <c r="P84" i="49"/>
  <c r="Q84" i="49" s="1"/>
  <c r="J84" i="49" s="1"/>
  <c r="G17" i="49"/>
  <c r="G117" i="49"/>
  <c r="G38" i="49" s="1"/>
  <c r="H20" i="49"/>
  <c r="H120" i="49"/>
  <c r="H41" i="49" s="1"/>
  <c r="O87" i="49"/>
  <c r="H22" i="49"/>
  <c r="H122" i="49"/>
  <c r="H43" i="49" s="1"/>
  <c r="O89" i="49"/>
  <c r="P80" i="49"/>
  <c r="Q80" i="49" s="1"/>
  <c r="J80" i="49" s="1"/>
  <c r="K80" i="49" s="1"/>
  <c r="G13" i="49"/>
  <c r="G113" i="49"/>
  <c r="G34" i="49" s="1"/>
  <c r="H18" i="49"/>
  <c r="H118" i="49"/>
  <c r="H39" i="49" s="1"/>
  <c r="O85" i="49"/>
  <c r="F122" i="49"/>
  <c r="F43" i="49" s="1"/>
  <c r="I17" i="49"/>
  <c r="O17" i="49" s="1"/>
  <c r="I117" i="49"/>
  <c r="H13" i="49"/>
  <c r="H113" i="49"/>
  <c r="H34" i="49" s="1"/>
  <c r="O80" i="49"/>
  <c r="I18" i="49"/>
  <c r="O18" i="49" s="1"/>
  <c r="I118" i="49"/>
  <c r="P93" i="49"/>
  <c r="Q93" i="49" s="1"/>
  <c r="G126" i="49"/>
  <c r="G47" i="49" s="1"/>
  <c r="G26" i="49"/>
  <c r="H117" i="49"/>
  <c r="H38" i="49" s="1"/>
  <c r="O84" i="49"/>
  <c r="H17" i="49"/>
  <c r="D22" i="65"/>
  <c r="G91" i="49"/>
  <c r="F91" i="49"/>
  <c r="I91" i="49"/>
  <c r="H91" i="49"/>
  <c r="I21" i="49"/>
  <c r="O21" i="49" s="1"/>
  <c r="I121" i="49"/>
  <c r="I22" i="49"/>
  <c r="O22" i="49" s="1"/>
  <c r="I122" i="49"/>
  <c r="F17" i="49"/>
  <c r="F113" i="49"/>
  <c r="F34" i="49" s="1"/>
  <c r="H126" i="49"/>
  <c r="H47" i="49" s="1"/>
  <c r="O93" i="49"/>
  <c r="H26" i="49"/>
  <c r="P86" i="49"/>
  <c r="Q86" i="49" s="1"/>
  <c r="G119" i="49"/>
  <c r="G40" i="49" s="1"/>
  <c r="G19" i="49"/>
  <c r="I20" i="49"/>
  <c r="O20" i="49" s="1"/>
  <c r="I120" i="49"/>
  <c r="P81" i="49"/>
  <c r="Q81" i="49" s="1"/>
  <c r="G14" i="49"/>
  <c r="G114" i="49"/>
  <c r="G35" i="49" s="1"/>
  <c r="D20" i="65"/>
  <c r="F82" i="49"/>
  <c r="I82" i="49"/>
  <c r="H82" i="49"/>
  <c r="G82" i="49"/>
  <c r="H14" i="49"/>
  <c r="H114" i="49"/>
  <c r="H35" i="49" s="1"/>
  <c r="D23" i="65"/>
  <c r="I92" i="49"/>
  <c r="F92" i="49"/>
  <c r="H92" i="49"/>
  <c r="G92" i="49"/>
  <c r="F119" i="49"/>
  <c r="F40" i="49" s="1"/>
  <c r="I14" i="49"/>
  <c r="I114" i="49"/>
  <c r="I26" i="49"/>
  <c r="O26" i="49" s="1"/>
  <c r="I126" i="49"/>
  <c r="P88" i="49"/>
  <c r="Q88" i="49" s="1"/>
  <c r="J88" i="49" s="1"/>
  <c r="K88" i="49" s="1"/>
  <c r="G121" i="49"/>
  <c r="G42" i="49" s="1"/>
  <c r="G21" i="49"/>
  <c r="H119" i="49"/>
  <c r="H40" i="49" s="1"/>
  <c r="H19" i="49"/>
  <c r="O86" i="49"/>
  <c r="P83" i="49"/>
  <c r="Q83" i="49" s="1"/>
  <c r="G16" i="49"/>
  <c r="E123" i="49"/>
  <c r="E44" i="49" s="1"/>
  <c r="E23" i="49"/>
  <c r="O90" i="49"/>
  <c r="F21" i="49"/>
  <c r="F121" i="49"/>
  <c r="F42" i="49" s="1"/>
  <c r="E14" i="49"/>
  <c r="E114" i="49"/>
  <c r="E35" i="49" s="1"/>
  <c r="O81" i="49"/>
  <c r="F22" i="65"/>
  <c r="E91" i="49" s="1"/>
  <c r="F20" i="65"/>
  <c r="F14" i="49"/>
  <c r="F114" i="49"/>
  <c r="F23" i="65"/>
  <c r="E92" i="49" s="1"/>
  <c r="G26" i="65"/>
  <c r="E16" i="49"/>
  <c r="K84" i="49" l="1"/>
  <c r="J117" i="49"/>
  <c r="J38" i="49" s="1"/>
  <c r="J91" i="49"/>
  <c r="K91" i="49" s="1"/>
  <c r="J81" i="49"/>
  <c r="K81" i="49" s="1"/>
  <c r="J85" i="49"/>
  <c r="K85" i="49" s="1"/>
  <c r="J121" i="49"/>
  <c r="J42" i="49" s="1"/>
  <c r="I116" i="49"/>
  <c r="J83" i="49"/>
  <c r="K83" i="49" s="1"/>
  <c r="K116" i="49" s="1"/>
  <c r="K37" i="49" s="1"/>
  <c r="J89" i="49"/>
  <c r="K89" i="49" s="1"/>
  <c r="J86" i="49"/>
  <c r="K86" i="49" s="1"/>
  <c r="J93" i="49"/>
  <c r="K93" i="49" s="1"/>
  <c r="K126" i="49" s="1"/>
  <c r="K47" i="49" s="1"/>
  <c r="I16" i="49"/>
  <c r="J13" i="49"/>
  <c r="J15" i="80" s="1"/>
  <c r="J113" i="49"/>
  <c r="J20" i="49"/>
  <c r="J120" i="49"/>
  <c r="J41" i="49" s="1"/>
  <c r="P90" i="49"/>
  <c r="Q90" i="49" s="1"/>
  <c r="J90" i="49" s="1"/>
  <c r="K90" i="49" s="1"/>
  <c r="K120" i="49"/>
  <c r="K41" i="49" s="1"/>
  <c r="I123" i="49"/>
  <c r="I44" i="49" s="1"/>
  <c r="I23" i="49"/>
  <c r="O23" i="49" s="1"/>
  <c r="O83" i="49"/>
  <c r="H123" i="49"/>
  <c r="H44" i="49" s="1"/>
  <c r="G123" i="49"/>
  <c r="G44" i="49" s="1"/>
  <c r="F123" i="49"/>
  <c r="F44" i="49" s="1"/>
  <c r="H16" i="49"/>
  <c r="F16" i="49"/>
  <c r="F116" i="49"/>
  <c r="F37" i="49" s="1"/>
  <c r="O16" i="49"/>
  <c r="H98" i="49"/>
  <c r="F98" i="49"/>
  <c r="I15" i="49"/>
  <c r="I115" i="49"/>
  <c r="K117" i="49"/>
  <c r="K38" i="49" s="1"/>
  <c r="J17" i="49"/>
  <c r="H24" i="49"/>
  <c r="H124" i="49"/>
  <c r="H45" i="49" s="1"/>
  <c r="K118" i="49"/>
  <c r="K39" i="49" s="1"/>
  <c r="I40" i="49"/>
  <c r="I25" i="49"/>
  <c r="I125" i="49"/>
  <c r="I43" i="49"/>
  <c r="I24" i="49"/>
  <c r="I124" i="49"/>
  <c r="H125" i="49"/>
  <c r="H46" i="49" s="1"/>
  <c r="H25" i="49"/>
  <c r="I98" i="49"/>
  <c r="I47" i="49"/>
  <c r="E82" i="49"/>
  <c r="E15" i="49" s="1"/>
  <c r="K119" i="49"/>
  <c r="K40" i="49" s="1"/>
  <c r="J19" i="49"/>
  <c r="I37" i="49"/>
  <c r="P91" i="49"/>
  <c r="Q91" i="49" s="1"/>
  <c r="G24" i="49"/>
  <c r="G124" i="49"/>
  <c r="G45" i="49" s="1"/>
  <c r="O34" i="49"/>
  <c r="I34" i="49"/>
  <c r="I35" i="49"/>
  <c r="O35" i="49" s="1"/>
  <c r="O13" i="49"/>
  <c r="J21" i="49"/>
  <c r="K121" i="49"/>
  <c r="K42" i="49" s="1"/>
  <c r="P82" i="49"/>
  <c r="Q82" i="49" s="1"/>
  <c r="J82" i="49" s="1"/>
  <c r="K82" i="49" s="1"/>
  <c r="G115" i="49"/>
  <c r="G36" i="49" s="1"/>
  <c r="G15" i="49"/>
  <c r="I41" i="49"/>
  <c r="I38" i="49"/>
  <c r="P92" i="49"/>
  <c r="Q92" i="49" s="1"/>
  <c r="G125" i="49"/>
  <c r="G46" i="49" s="1"/>
  <c r="G25" i="49"/>
  <c r="H15" i="49"/>
  <c r="H115" i="49"/>
  <c r="H36" i="49" s="1"/>
  <c r="I42" i="49"/>
  <c r="I39" i="49"/>
  <c r="G98" i="49"/>
  <c r="K122" i="49"/>
  <c r="K43" i="49" s="1"/>
  <c r="J22" i="49"/>
  <c r="F35" i="49"/>
  <c r="F25" i="49"/>
  <c r="K114" i="49"/>
  <c r="K35" i="49" s="1"/>
  <c r="E24" i="49"/>
  <c r="O91" i="49"/>
  <c r="E124" i="49"/>
  <c r="E45" i="49" s="1"/>
  <c r="O14" i="49"/>
  <c r="E125" i="49"/>
  <c r="E46" i="49" s="1"/>
  <c r="E25" i="49"/>
  <c r="O92" i="49"/>
  <c r="F15" i="49"/>
  <c r="F115" i="49"/>
  <c r="F124" i="49"/>
  <c r="F45" i="49" s="1"/>
  <c r="F24" i="49"/>
  <c r="J26" i="49" l="1"/>
  <c r="J114" i="49"/>
  <c r="J35" i="49" s="1"/>
  <c r="J14" i="49"/>
  <c r="J16" i="80" s="1"/>
  <c r="J18" i="49"/>
  <c r="J20" i="80" s="1"/>
  <c r="P52" i="80"/>
  <c r="F158" i="54"/>
  <c r="F64" i="54" s="1"/>
  <c r="P124" i="80" s="1"/>
  <c r="P42" i="80"/>
  <c r="O42" i="80" s="1"/>
  <c r="F118" i="54"/>
  <c r="F55" i="54" s="1"/>
  <c r="P114" i="80" s="1"/>
  <c r="P47" i="80"/>
  <c r="F120" i="54"/>
  <c r="F57" i="54" s="1"/>
  <c r="P119" i="80" s="1"/>
  <c r="J124" i="49"/>
  <c r="J45" i="49" s="1"/>
  <c r="E142" i="54"/>
  <c r="E43" i="54" s="1"/>
  <c r="J94" i="80" s="1"/>
  <c r="J22" i="80"/>
  <c r="J24" i="80"/>
  <c r="E143" i="54"/>
  <c r="E44" i="54" s="1"/>
  <c r="J96" i="80" s="1"/>
  <c r="E120" i="54"/>
  <c r="E57" i="54" s="1"/>
  <c r="J119" i="80" s="1"/>
  <c r="J47" i="80"/>
  <c r="J116" i="49"/>
  <c r="J37" i="49" s="1"/>
  <c r="E117" i="54"/>
  <c r="J40" i="80"/>
  <c r="P40" i="80"/>
  <c r="F117" i="54"/>
  <c r="P45" i="80"/>
  <c r="K45" i="80" s="1"/>
  <c r="F119" i="54"/>
  <c r="F56" i="54" s="1"/>
  <c r="P117" i="80" s="1"/>
  <c r="E96" i="54"/>
  <c r="P46" i="80"/>
  <c r="N46" i="80" s="1"/>
  <c r="F156" i="54"/>
  <c r="F62" i="54" s="1"/>
  <c r="P118" i="80" s="1"/>
  <c r="J118" i="49"/>
  <c r="J39" i="49" s="1"/>
  <c r="E99" i="54"/>
  <c r="E38" i="54" s="1"/>
  <c r="J95" i="80" s="1"/>
  <c r="J23" i="80"/>
  <c r="E141" i="54"/>
  <c r="P48" i="80"/>
  <c r="N48" i="80" s="1"/>
  <c r="F157" i="54"/>
  <c r="F63" i="54" s="1"/>
  <c r="P120" i="80" s="1"/>
  <c r="J21" i="80"/>
  <c r="E98" i="54"/>
  <c r="E37" i="54" s="1"/>
  <c r="J93" i="80" s="1"/>
  <c r="E75" i="54"/>
  <c r="G15" i="80"/>
  <c r="I15" i="80"/>
  <c r="F15" i="80"/>
  <c r="H15" i="80"/>
  <c r="E15" i="80"/>
  <c r="J16" i="49"/>
  <c r="E144" i="54"/>
  <c r="E45" i="54" s="1"/>
  <c r="J100" i="80" s="1"/>
  <c r="J28" i="80"/>
  <c r="P43" i="80"/>
  <c r="N43" i="80" s="1"/>
  <c r="F180" i="54"/>
  <c r="J123" i="49"/>
  <c r="J44" i="49" s="1"/>
  <c r="J119" i="49"/>
  <c r="J40" i="49" s="1"/>
  <c r="J122" i="49"/>
  <c r="J43" i="49" s="1"/>
  <c r="J43" i="80"/>
  <c r="E180" i="54"/>
  <c r="P44" i="80"/>
  <c r="M44" i="80" s="1"/>
  <c r="F155" i="54"/>
  <c r="E172" i="54"/>
  <c r="J19" i="80"/>
  <c r="J115" i="49"/>
  <c r="J36" i="49" s="1"/>
  <c r="J41" i="80" s="1"/>
  <c r="E156" i="54"/>
  <c r="E62" i="54" s="1"/>
  <c r="J118" i="80" s="1"/>
  <c r="J46" i="80"/>
  <c r="J92" i="49"/>
  <c r="K92" i="49" s="1"/>
  <c r="J126" i="49"/>
  <c r="J47" i="49" s="1"/>
  <c r="K20" i="49"/>
  <c r="L87" i="49"/>
  <c r="L20" i="49" s="1"/>
  <c r="J23" i="49"/>
  <c r="M46" i="80"/>
  <c r="L46" i="80"/>
  <c r="K46" i="80"/>
  <c r="O46" i="80"/>
  <c r="L48" i="80"/>
  <c r="O45" i="80"/>
  <c r="O40" i="80"/>
  <c r="L40" i="80"/>
  <c r="K40" i="80"/>
  <c r="N40" i="80"/>
  <c r="M40" i="80"/>
  <c r="N44" i="80"/>
  <c r="O44" i="80"/>
  <c r="L44" i="80"/>
  <c r="K44" i="80"/>
  <c r="K123" i="49"/>
  <c r="K44" i="49" s="1"/>
  <c r="L42" i="80"/>
  <c r="O52" i="80"/>
  <c r="N52" i="80"/>
  <c r="L52" i="80"/>
  <c r="M52" i="80"/>
  <c r="K52" i="80"/>
  <c r="L80" i="49"/>
  <c r="M80" i="49" s="1"/>
  <c r="M13" i="49" s="1"/>
  <c r="K113" i="49"/>
  <c r="K34" i="49" s="1"/>
  <c r="O47" i="80"/>
  <c r="L47" i="80"/>
  <c r="M47" i="80"/>
  <c r="N47" i="80"/>
  <c r="K47" i="80"/>
  <c r="J34" i="49"/>
  <c r="H27" i="49"/>
  <c r="H28" i="49" s="1"/>
  <c r="H48" i="49"/>
  <c r="H49" i="49" s="1"/>
  <c r="G48" i="49"/>
  <c r="G49" i="49" s="1"/>
  <c r="K13" i="49"/>
  <c r="O25" i="49"/>
  <c r="G27" i="49"/>
  <c r="G28" i="49" s="1"/>
  <c r="O15" i="49"/>
  <c r="I27" i="49"/>
  <c r="O24" i="49"/>
  <c r="E98" i="49"/>
  <c r="O43" i="49"/>
  <c r="L84" i="49"/>
  <c r="K17" i="49"/>
  <c r="L93" i="49"/>
  <c r="K26" i="49"/>
  <c r="I46" i="49"/>
  <c r="O46" i="49" s="1"/>
  <c r="I36" i="49"/>
  <c r="O41" i="49"/>
  <c r="O47" i="49"/>
  <c r="L13" i="49"/>
  <c r="K18" i="49"/>
  <c r="L85" i="49"/>
  <c r="K21" i="49"/>
  <c r="L88" i="49"/>
  <c r="L89" i="49"/>
  <c r="K22" i="49"/>
  <c r="O38" i="49"/>
  <c r="I45" i="49"/>
  <c r="O40" i="49"/>
  <c r="E115" i="49"/>
  <c r="E36" i="49" s="1"/>
  <c r="E48" i="49" s="1"/>
  <c r="E49" i="49" s="1"/>
  <c r="O39" i="49"/>
  <c r="O82" i="49"/>
  <c r="O42" i="49"/>
  <c r="L86" i="49"/>
  <c r="K19" i="49"/>
  <c r="O37" i="49"/>
  <c r="O44" i="49"/>
  <c r="F125" i="49"/>
  <c r="F46" i="49" s="1"/>
  <c r="F36" i="49"/>
  <c r="E27" i="49"/>
  <c r="E28" i="49" s="1"/>
  <c r="K125" i="49"/>
  <c r="K46" i="49" s="1"/>
  <c r="J25" i="49"/>
  <c r="J15" i="49"/>
  <c r="J17" i="80" s="1"/>
  <c r="K115" i="49"/>
  <c r="K36" i="49" s="1"/>
  <c r="P41" i="80" s="1"/>
  <c r="K14" i="49"/>
  <c r="L81" i="49"/>
  <c r="K124" i="49"/>
  <c r="K45" i="49" s="1"/>
  <c r="J24" i="49"/>
  <c r="K16" i="49"/>
  <c r="L83" i="49"/>
  <c r="M42" i="80" l="1"/>
  <c r="N45" i="80"/>
  <c r="N42" i="80"/>
  <c r="M45" i="80"/>
  <c r="K42" i="80"/>
  <c r="L45" i="80"/>
  <c r="M43" i="80"/>
  <c r="K43" i="80"/>
  <c r="O43" i="80"/>
  <c r="V22" i="80"/>
  <c r="G142" i="54"/>
  <c r="G43" i="54" s="1"/>
  <c r="V94" i="80" s="1"/>
  <c r="O48" i="80"/>
  <c r="E102" i="54"/>
  <c r="E41" i="54" s="1"/>
  <c r="J99" i="80" s="1"/>
  <c r="J27" i="80"/>
  <c r="P24" i="80"/>
  <c r="N24" i="80" s="1"/>
  <c r="F143" i="54"/>
  <c r="F44" i="54" s="1"/>
  <c r="P96" i="80" s="1"/>
  <c r="M87" i="49"/>
  <c r="M20" i="49" s="1"/>
  <c r="H142" i="54" s="1"/>
  <c r="H43" i="54" s="1"/>
  <c r="AB94" i="80" s="1"/>
  <c r="K48" i="80"/>
  <c r="G41" i="80"/>
  <c r="I41" i="80"/>
  <c r="H41" i="80"/>
  <c r="F41" i="80"/>
  <c r="E41" i="80"/>
  <c r="E119" i="54"/>
  <c r="E56" i="54" s="1"/>
  <c r="J117" i="80" s="1"/>
  <c r="J45" i="80"/>
  <c r="H63" i="80"/>
  <c r="E54" i="54"/>
  <c r="J112" i="80" s="1"/>
  <c r="P18" i="80"/>
  <c r="F97" i="54"/>
  <c r="F36" i="54" s="1"/>
  <c r="P90" i="80" s="1"/>
  <c r="E121" i="54"/>
  <c r="E58" i="54" s="1"/>
  <c r="J121" i="80" s="1"/>
  <c r="J49" i="80"/>
  <c r="P39" i="80"/>
  <c r="N39" i="80" s="1"/>
  <c r="F83" i="54"/>
  <c r="E174" i="54"/>
  <c r="E15" i="54" s="1"/>
  <c r="E46" i="54"/>
  <c r="J91" i="80" s="1"/>
  <c r="P23" i="80"/>
  <c r="F99" i="54"/>
  <c r="F38" i="54" s="1"/>
  <c r="P95" i="80" s="1"/>
  <c r="P28" i="80"/>
  <c r="K28" i="80" s="1"/>
  <c r="F144" i="54"/>
  <c r="F45" i="54" s="1"/>
  <c r="P100" i="80" s="1"/>
  <c r="P22" i="80"/>
  <c r="F142" i="54"/>
  <c r="F43" i="54" s="1"/>
  <c r="P94" i="80" s="1"/>
  <c r="F61" i="54"/>
  <c r="P116" i="80" s="1"/>
  <c r="F163" i="54"/>
  <c r="F24" i="54" s="1"/>
  <c r="G63" i="80"/>
  <c r="E42" i="54"/>
  <c r="J92" i="80" s="1"/>
  <c r="E149" i="54"/>
  <c r="E14" i="54" s="1"/>
  <c r="P51" i="80"/>
  <c r="O51" i="80" s="1"/>
  <c r="F123" i="54"/>
  <c r="F60" i="54" s="1"/>
  <c r="P123" i="80" s="1"/>
  <c r="J25" i="80"/>
  <c r="E100" i="54"/>
  <c r="E39" i="54" s="1"/>
  <c r="J97" i="80" s="1"/>
  <c r="I19" i="80"/>
  <c r="E19" i="80"/>
  <c r="F19" i="80"/>
  <c r="H19" i="80"/>
  <c r="G19" i="80"/>
  <c r="J42" i="80"/>
  <c r="E118" i="54"/>
  <c r="E55" i="54" s="1"/>
  <c r="J114" i="80" s="1"/>
  <c r="F65" i="54"/>
  <c r="P115" i="80" s="1"/>
  <c r="F182" i="54"/>
  <c r="F25" i="54" s="1"/>
  <c r="I63" i="80"/>
  <c r="F20" i="80"/>
  <c r="H20" i="80"/>
  <c r="G20" i="80"/>
  <c r="E20" i="80"/>
  <c r="I20" i="80"/>
  <c r="G16" i="80"/>
  <c r="I16" i="80"/>
  <c r="E16" i="80"/>
  <c r="H16" i="80"/>
  <c r="F16" i="80"/>
  <c r="I47" i="80"/>
  <c r="H47" i="80"/>
  <c r="E47" i="80"/>
  <c r="F47" i="80"/>
  <c r="G47" i="80"/>
  <c r="P50" i="80"/>
  <c r="K50" i="80" s="1"/>
  <c r="F122" i="54"/>
  <c r="F59" i="54" s="1"/>
  <c r="P122" i="80" s="1"/>
  <c r="J39" i="80"/>
  <c r="E83" i="54"/>
  <c r="L43" i="80"/>
  <c r="E158" i="54"/>
  <c r="E64" i="54" s="1"/>
  <c r="J124" i="80" s="1"/>
  <c r="J52" i="80"/>
  <c r="E28" i="80"/>
  <c r="F28" i="80"/>
  <c r="G28" i="80"/>
  <c r="I28" i="80"/>
  <c r="H28" i="80"/>
  <c r="G23" i="80"/>
  <c r="H23" i="80"/>
  <c r="E23" i="80"/>
  <c r="F23" i="80"/>
  <c r="I23" i="80"/>
  <c r="J125" i="49"/>
  <c r="J46" i="49" s="1"/>
  <c r="E122" i="54"/>
  <c r="E59" i="54" s="1"/>
  <c r="J122" i="80" s="1"/>
  <c r="J50" i="80"/>
  <c r="P19" i="80"/>
  <c r="K19" i="80" s="1"/>
  <c r="F172" i="54"/>
  <c r="E65" i="54"/>
  <c r="J115" i="80" s="1"/>
  <c r="E182" i="54"/>
  <c r="E25" i="54" s="1"/>
  <c r="E77" i="54"/>
  <c r="E12" i="54" s="1"/>
  <c r="E34" i="54"/>
  <c r="F54" i="54"/>
  <c r="P112" i="80" s="1"/>
  <c r="F63" i="80"/>
  <c r="P16" i="80"/>
  <c r="K16" i="80" s="1"/>
  <c r="F96" i="54"/>
  <c r="P20" i="80"/>
  <c r="L20" i="80" s="1"/>
  <c r="F141" i="54"/>
  <c r="P49" i="80"/>
  <c r="N49" i="80" s="1"/>
  <c r="F121" i="54"/>
  <c r="F58" i="54" s="1"/>
  <c r="P121" i="80" s="1"/>
  <c r="M48" i="80"/>
  <c r="H46" i="80"/>
  <c r="G46" i="80"/>
  <c r="E46" i="80"/>
  <c r="I46" i="80"/>
  <c r="F46" i="80"/>
  <c r="I43" i="80"/>
  <c r="H43" i="80"/>
  <c r="G43" i="80"/>
  <c r="F43" i="80"/>
  <c r="E43" i="80"/>
  <c r="E97" i="54"/>
  <c r="E36" i="54" s="1"/>
  <c r="J90" i="80" s="1"/>
  <c r="J18" i="80"/>
  <c r="J44" i="80"/>
  <c r="E155" i="54"/>
  <c r="H24" i="80"/>
  <c r="E24" i="80"/>
  <c r="F24" i="80"/>
  <c r="G24" i="80"/>
  <c r="I24" i="80"/>
  <c r="E35" i="54"/>
  <c r="J88" i="80" s="1"/>
  <c r="E101" i="54"/>
  <c r="E40" i="54" s="1"/>
  <c r="J98" i="80" s="1"/>
  <c r="J26" i="80"/>
  <c r="I17" i="80"/>
  <c r="F17" i="80"/>
  <c r="E17" i="80"/>
  <c r="H17" i="80"/>
  <c r="G17" i="80"/>
  <c r="P21" i="80"/>
  <c r="F98" i="54"/>
  <c r="F37" i="54" s="1"/>
  <c r="P93" i="80" s="1"/>
  <c r="J48" i="80"/>
  <c r="E157" i="54"/>
  <c r="E63" i="54" s="1"/>
  <c r="J120" i="80" s="1"/>
  <c r="E63" i="80"/>
  <c r="E21" i="80"/>
  <c r="I21" i="80"/>
  <c r="H21" i="80"/>
  <c r="F21" i="80"/>
  <c r="G21" i="80"/>
  <c r="G40" i="80"/>
  <c r="E40" i="80"/>
  <c r="I40" i="80"/>
  <c r="H40" i="80"/>
  <c r="F40" i="80"/>
  <c r="H22" i="80"/>
  <c r="E22" i="80"/>
  <c r="I22" i="80"/>
  <c r="F22" i="80"/>
  <c r="G22" i="80"/>
  <c r="S22" i="80"/>
  <c r="R22" i="80"/>
  <c r="Q22" i="80"/>
  <c r="U22" i="80"/>
  <c r="T22" i="80"/>
  <c r="L90" i="49"/>
  <c r="K23" i="49"/>
  <c r="H75" i="54"/>
  <c r="AB15" i="80"/>
  <c r="O20" i="80"/>
  <c r="M20" i="80"/>
  <c r="K20" i="80"/>
  <c r="N20" i="80"/>
  <c r="K18" i="80"/>
  <c r="N18" i="80"/>
  <c r="M18" i="80"/>
  <c r="L18" i="80"/>
  <c r="O18" i="80"/>
  <c r="N21" i="80"/>
  <c r="O21" i="80"/>
  <c r="K21" i="80"/>
  <c r="M21" i="80"/>
  <c r="L21" i="80"/>
  <c r="N19" i="80"/>
  <c r="V15" i="80"/>
  <c r="G75" i="54"/>
  <c r="N50" i="80"/>
  <c r="K49" i="80"/>
  <c r="L49" i="80"/>
  <c r="O49" i="80"/>
  <c r="M49" i="80"/>
  <c r="O28" i="49"/>
  <c r="P20" i="49"/>
  <c r="AB22" i="80"/>
  <c r="P15" i="80"/>
  <c r="F75" i="54"/>
  <c r="K51" i="80"/>
  <c r="N51" i="80"/>
  <c r="M41" i="80"/>
  <c r="O41" i="80"/>
  <c r="N41" i="80"/>
  <c r="K41" i="80"/>
  <c r="L41" i="80"/>
  <c r="L23" i="80"/>
  <c r="N23" i="80"/>
  <c r="O23" i="80"/>
  <c r="M23" i="80"/>
  <c r="K23" i="80"/>
  <c r="O39" i="80"/>
  <c r="I28" i="49"/>
  <c r="B36" i="72"/>
  <c r="O27" i="49"/>
  <c r="P13" i="49"/>
  <c r="O36" i="49"/>
  <c r="M85" i="49"/>
  <c r="M18" i="49" s="1"/>
  <c r="H141" i="54" s="1"/>
  <c r="L18" i="49"/>
  <c r="M90" i="49"/>
  <c r="M23" i="49" s="1"/>
  <c r="H100" i="54" s="1"/>
  <c r="H39" i="54" s="1"/>
  <c r="AB97" i="80" s="1"/>
  <c r="L23" i="49"/>
  <c r="M93" i="49"/>
  <c r="M26" i="49" s="1"/>
  <c r="H144" i="54" s="1"/>
  <c r="H45" i="54" s="1"/>
  <c r="AB100" i="80" s="1"/>
  <c r="L26" i="49"/>
  <c r="M89" i="49"/>
  <c r="M22" i="49" s="1"/>
  <c r="H143" i="54" s="1"/>
  <c r="H44" i="54" s="1"/>
  <c r="AB96" i="80" s="1"/>
  <c r="L22" i="49"/>
  <c r="L21" i="49"/>
  <c r="M88" i="49"/>
  <c r="M21" i="49" s="1"/>
  <c r="H99" i="54" s="1"/>
  <c r="H38" i="54" s="1"/>
  <c r="AB95" i="80" s="1"/>
  <c r="I48" i="49"/>
  <c r="M84" i="49"/>
  <c r="M17" i="49" s="1"/>
  <c r="H172" i="54" s="1"/>
  <c r="L17" i="49"/>
  <c r="M86" i="49"/>
  <c r="M19" i="49" s="1"/>
  <c r="H98" i="54" s="1"/>
  <c r="H37" i="54" s="1"/>
  <c r="AB93" i="80" s="1"/>
  <c r="L19" i="49"/>
  <c r="O45" i="49"/>
  <c r="F126" i="49"/>
  <c r="F47" i="49" s="1"/>
  <c r="F48" i="49" s="1"/>
  <c r="F49" i="49" s="1"/>
  <c r="F26" i="49"/>
  <c r="F27" i="49" s="1"/>
  <c r="F28" i="49" s="1"/>
  <c r="J27" i="49"/>
  <c r="K25" i="49"/>
  <c r="L92" i="49"/>
  <c r="M81" i="49"/>
  <c r="M14" i="49" s="1"/>
  <c r="L14" i="49"/>
  <c r="L82" i="49"/>
  <c r="K15" i="49"/>
  <c r="P17" i="80" s="1"/>
  <c r="L91" i="49"/>
  <c r="K24" i="49"/>
  <c r="L16" i="49"/>
  <c r="M83" i="49"/>
  <c r="M16" i="49" s="1"/>
  <c r="H97" i="54" s="1"/>
  <c r="H36" i="54" s="1"/>
  <c r="AB90" i="80" s="1"/>
  <c r="E64" i="80" l="1"/>
  <c r="H65" i="80"/>
  <c r="N65" i="80" s="1"/>
  <c r="E69" i="80"/>
  <c r="K69" i="80" s="1"/>
  <c r="O19" i="80"/>
  <c r="N16" i="80"/>
  <c r="L19" i="80"/>
  <c r="F67" i="80"/>
  <c r="F91" i="80" s="1"/>
  <c r="M24" i="80"/>
  <c r="L39" i="80"/>
  <c r="L16" i="80"/>
  <c r="L24" i="80"/>
  <c r="F70" i="80"/>
  <c r="F94" i="80" s="1"/>
  <c r="F76" i="80"/>
  <c r="F100" i="80" s="1"/>
  <c r="E112" i="80"/>
  <c r="M39" i="80"/>
  <c r="M51" i="80"/>
  <c r="F71" i="80"/>
  <c r="F119" i="80" s="1"/>
  <c r="K39" i="80"/>
  <c r="K53" i="80" s="1"/>
  <c r="L51" i="80"/>
  <c r="M19" i="80"/>
  <c r="I72" i="80"/>
  <c r="O72" i="80" s="1"/>
  <c r="I68" i="80"/>
  <c r="I92" i="80" s="1"/>
  <c r="AB16" i="80"/>
  <c r="H96" i="54"/>
  <c r="V21" i="80"/>
  <c r="U21" i="80" s="1"/>
  <c r="G98" i="54"/>
  <c r="G37" i="54" s="1"/>
  <c r="V93" i="80" s="1"/>
  <c r="V23" i="80"/>
  <c r="G99" i="54"/>
  <c r="G38" i="54" s="1"/>
  <c r="V95" i="80" s="1"/>
  <c r="AA100" i="80"/>
  <c r="Y100" i="80"/>
  <c r="X100" i="80"/>
  <c r="W100" i="80"/>
  <c r="Z100" i="80"/>
  <c r="O50" i="80"/>
  <c r="O53" i="80" s="1"/>
  <c r="I69" i="80"/>
  <c r="G65" i="80"/>
  <c r="E18" i="80"/>
  <c r="F18" i="80"/>
  <c r="G18" i="80"/>
  <c r="I18" i="80"/>
  <c r="H18" i="80"/>
  <c r="I71" i="80"/>
  <c r="G76" i="80"/>
  <c r="H64" i="80"/>
  <c r="F68" i="80"/>
  <c r="H67" i="80"/>
  <c r="G49" i="80"/>
  <c r="I49" i="80"/>
  <c r="H49" i="80"/>
  <c r="E49" i="80"/>
  <c r="F49" i="80"/>
  <c r="E45" i="80"/>
  <c r="I45" i="80"/>
  <c r="H45" i="80"/>
  <c r="F45" i="80"/>
  <c r="G45" i="80"/>
  <c r="Y94" i="80"/>
  <c r="Z94" i="80"/>
  <c r="X94" i="80"/>
  <c r="W94" i="80"/>
  <c r="AA94" i="80"/>
  <c r="V24" i="80"/>
  <c r="G143" i="54"/>
  <c r="G44" i="54" s="1"/>
  <c r="V96" i="80" s="1"/>
  <c r="F35" i="54"/>
  <c r="P88" i="80" s="1"/>
  <c r="W96" i="80"/>
  <c r="Z96" i="80"/>
  <c r="AA96" i="80"/>
  <c r="X96" i="80"/>
  <c r="Y96" i="80"/>
  <c r="E71" i="80"/>
  <c r="E67" i="80"/>
  <c r="M63" i="80"/>
  <c r="P26" i="80"/>
  <c r="F101" i="54"/>
  <c r="F40" i="54" s="1"/>
  <c r="P98" i="80" s="1"/>
  <c r="V19" i="80"/>
  <c r="G172" i="54"/>
  <c r="V25" i="80"/>
  <c r="R25" i="80" s="1"/>
  <c r="G100" i="54"/>
  <c r="G39" i="54" s="1"/>
  <c r="V97" i="80" s="1"/>
  <c r="M16" i="80"/>
  <c r="L28" i="80"/>
  <c r="O24" i="80"/>
  <c r="L50" i="80"/>
  <c r="G70" i="80"/>
  <c r="J63" i="80"/>
  <c r="K63" i="80"/>
  <c r="F65" i="80"/>
  <c r="F72" i="80"/>
  <c r="L63" i="80"/>
  <c r="F46" i="54"/>
  <c r="P91" i="80" s="1"/>
  <c r="F174" i="54"/>
  <c r="F15" i="54" s="1"/>
  <c r="H71" i="80"/>
  <c r="E52" i="80"/>
  <c r="F52" i="80"/>
  <c r="G52" i="80"/>
  <c r="I52" i="80"/>
  <c r="H52" i="80"/>
  <c r="G64" i="80"/>
  <c r="I67" i="80"/>
  <c r="H27" i="80"/>
  <c r="I27" i="80"/>
  <c r="F27" i="80"/>
  <c r="E27" i="80"/>
  <c r="G27" i="80"/>
  <c r="E76" i="80"/>
  <c r="H174" i="54"/>
  <c r="H15" i="54" s="1"/>
  <c r="H46" i="54"/>
  <c r="AB91" i="80" s="1"/>
  <c r="P25" i="80"/>
  <c r="F100" i="54"/>
  <c r="F39" i="54" s="1"/>
  <c r="P97" i="80" s="1"/>
  <c r="E72" i="80"/>
  <c r="G71" i="80"/>
  <c r="O63" i="80"/>
  <c r="E65" i="80"/>
  <c r="Z97" i="80"/>
  <c r="AA97" i="80"/>
  <c r="W97" i="80"/>
  <c r="X97" i="80"/>
  <c r="Y97" i="80"/>
  <c r="I65" i="80"/>
  <c r="O16" i="80"/>
  <c r="O28" i="80"/>
  <c r="K24" i="80"/>
  <c r="I70" i="80"/>
  <c r="G69" i="80"/>
  <c r="F48" i="80"/>
  <c r="G48" i="80"/>
  <c r="H48" i="80"/>
  <c r="E48" i="80"/>
  <c r="I48" i="80"/>
  <c r="E26" i="80"/>
  <c r="F26" i="80"/>
  <c r="G26" i="80"/>
  <c r="I26" i="80"/>
  <c r="H26" i="80"/>
  <c r="H72" i="80"/>
  <c r="F131" i="54"/>
  <c r="F23" i="54" s="1"/>
  <c r="G50" i="80"/>
  <c r="F50" i="80"/>
  <c r="H50" i="80"/>
  <c r="E50" i="80"/>
  <c r="I50" i="80"/>
  <c r="J29" i="80"/>
  <c r="E68" i="80"/>
  <c r="I25" i="80"/>
  <c r="E25" i="80"/>
  <c r="H25" i="80"/>
  <c r="F25" i="80"/>
  <c r="G25" i="80"/>
  <c r="AA90" i="80"/>
  <c r="W90" i="80"/>
  <c r="X90" i="80"/>
  <c r="Y90" i="80"/>
  <c r="Z90" i="80"/>
  <c r="P27" i="80"/>
  <c r="F102" i="54"/>
  <c r="F41" i="54" s="1"/>
  <c r="P99" i="80" s="1"/>
  <c r="N28" i="80"/>
  <c r="E70" i="80"/>
  <c r="F69" i="80"/>
  <c r="E61" i="54"/>
  <c r="J116" i="80" s="1"/>
  <c r="E163" i="54"/>
  <c r="E24" i="54" s="1"/>
  <c r="H76" i="80"/>
  <c r="E85" i="54"/>
  <c r="E22" i="54" s="1"/>
  <c r="E53" i="54"/>
  <c r="G68" i="80"/>
  <c r="E42" i="80"/>
  <c r="G42" i="80"/>
  <c r="H42" i="80"/>
  <c r="F42" i="80"/>
  <c r="I42" i="80"/>
  <c r="F53" i="54"/>
  <c r="F85" i="54"/>
  <c r="F22" i="54" s="1"/>
  <c r="R94" i="80"/>
  <c r="U94" i="80"/>
  <c r="T94" i="80"/>
  <c r="Q94" i="80"/>
  <c r="S94" i="80"/>
  <c r="AA93" i="80"/>
  <c r="X93" i="80"/>
  <c r="W93" i="80"/>
  <c r="Y93" i="80"/>
  <c r="Z93" i="80"/>
  <c r="V18" i="80"/>
  <c r="G97" i="54"/>
  <c r="G36" i="54" s="1"/>
  <c r="V90" i="80" s="1"/>
  <c r="M50" i="80"/>
  <c r="G72" i="80"/>
  <c r="I64" i="80"/>
  <c r="M28" i="80"/>
  <c r="V20" i="80"/>
  <c r="T20" i="80" s="1"/>
  <c r="G141" i="54"/>
  <c r="V16" i="80"/>
  <c r="G96" i="54"/>
  <c r="AA95" i="80"/>
  <c r="X95" i="80"/>
  <c r="Y95" i="80"/>
  <c r="W95" i="80"/>
  <c r="Z95" i="80"/>
  <c r="V28" i="80"/>
  <c r="T28" i="80" s="1"/>
  <c r="G144" i="54"/>
  <c r="G45" i="54" s="1"/>
  <c r="V100" i="80" s="1"/>
  <c r="H42" i="54"/>
  <c r="AB92" i="80" s="1"/>
  <c r="H149" i="54"/>
  <c r="H14" i="54" s="1"/>
  <c r="P53" i="80"/>
  <c r="H70" i="80"/>
  <c r="H69" i="80"/>
  <c r="E110" i="54"/>
  <c r="E13" i="54" s="1"/>
  <c r="E16" i="54" s="1"/>
  <c r="E17" i="54" s="1"/>
  <c r="F44" i="80"/>
  <c r="G44" i="80"/>
  <c r="I44" i="80"/>
  <c r="E44" i="80"/>
  <c r="H44" i="80"/>
  <c r="F42" i="54"/>
  <c r="P92" i="80" s="1"/>
  <c r="F149" i="54"/>
  <c r="F14" i="54" s="1"/>
  <c r="E47" i="54"/>
  <c r="J87" i="80"/>
  <c r="J101" i="80" s="1"/>
  <c r="J51" i="80"/>
  <c r="J53" i="80" s="1"/>
  <c r="E123" i="54"/>
  <c r="E60" i="54" s="1"/>
  <c r="J123" i="80" s="1"/>
  <c r="I76" i="80"/>
  <c r="F39" i="80"/>
  <c r="G39" i="80"/>
  <c r="I39" i="80"/>
  <c r="E39" i="80"/>
  <c r="H39" i="80"/>
  <c r="F64" i="80"/>
  <c r="H68" i="80"/>
  <c r="G67" i="80"/>
  <c r="K22" i="80"/>
  <c r="L22" i="80"/>
  <c r="N22" i="80"/>
  <c r="M22" i="80"/>
  <c r="O22" i="80"/>
  <c r="N63" i="80"/>
  <c r="U15" i="80"/>
  <c r="T15" i="80"/>
  <c r="S15" i="80"/>
  <c r="Q15" i="80"/>
  <c r="R15" i="80"/>
  <c r="S16" i="80"/>
  <c r="R16" i="80"/>
  <c r="Q16" i="80"/>
  <c r="U16" i="80"/>
  <c r="T16" i="80"/>
  <c r="R28" i="80"/>
  <c r="U23" i="80"/>
  <c r="T23" i="80"/>
  <c r="S23" i="80"/>
  <c r="Q23" i="80"/>
  <c r="R23" i="80"/>
  <c r="S24" i="80"/>
  <c r="R24" i="80"/>
  <c r="Q24" i="80"/>
  <c r="U24" i="80"/>
  <c r="T24" i="80"/>
  <c r="S18" i="80"/>
  <c r="R18" i="80"/>
  <c r="Q18" i="80"/>
  <c r="U18" i="80"/>
  <c r="T18" i="80"/>
  <c r="Q19" i="80"/>
  <c r="U19" i="80"/>
  <c r="T19" i="80"/>
  <c r="S19" i="80"/>
  <c r="R19" i="80"/>
  <c r="AA15" i="80"/>
  <c r="Y15" i="80"/>
  <c r="X15" i="80"/>
  <c r="W15" i="80"/>
  <c r="Z15" i="80"/>
  <c r="Y22" i="80"/>
  <c r="X22" i="80"/>
  <c r="AA22" i="80"/>
  <c r="Z22" i="80"/>
  <c r="W22" i="80"/>
  <c r="W16" i="80"/>
  <c r="AA16" i="80"/>
  <c r="Z16" i="80"/>
  <c r="X16" i="80"/>
  <c r="Y16" i="80"/>
  <c r="H77" i="54"/>
  <c r="H12" i="54" s="1"/>
  <c r="H34" i="54"/>
  <c r="G77" i="54"/>
  <c r="G12" i="54" s="1"/>
  <c r="G34" i="54"/>
  <c r="F77" i="54"/>
  <c r="F12" i="54" s="1"/>
  <c r="F34" i="54"/>
  <c r="P23" i="49"/>
  <c r="AB25" i="80"/>
  <c r="N27" i="80"/>
  <c r="M27" i="80"/>
  <c r="L27" i="80"/>
  <c r="K27" i="80"/>
  <c r="O27" i="80"/>
  <c r="K26" i="80"/>
  <c r="O26" i="80"/>
  <c r="M26" i="80"/>
  <c r="N26" i="80"/>
  <c r="L26" i="80"/>
  <c r="P21" i="49"/>
  <c r="AB23" i="80"/>
  <c r="P18" i="49"/>
  <c r="AB20" i="80"/>
  <c r="P29" i="80"/>
  <c r="K15" i="80"/>
  <c r="L15" i="80"/>
  <c r="N15" i="80"/>
  <c r="O15" i="80"/>
  <c r="M15" i="80"/>
  <c r="P22" i="49"/>
  <c r="AB24" i="80"/>
  <c r="P17" i="49"/>
  <c r="AB19" i="80"/>
  <c r="N17" i="80"/>
  <c r="L17" i="80"/>
  <c r="M17" i="80"/>
  <c r="O17" i="80"/>
  <c r="K17" i="80"/>
  <c r="P26" i="49"/>
  <c r="AB28" i="80"/>
  <c r="P16" i="49"/>
  <c r="AB18" i="80"/>
  <c r="P19" i="49"/>
  <c r="AB21" i="80"/>
  <c r="N53" i="80"/>
  <c r="R24" i="49"/>
  <c r="C36" i="72"/>
  <c r="I36" i="72"/>
  <c r="I31" i="72"/>
  <c r="M31" i="72" s="1"/>
  <c r="I28" i="72"/>
  <c r="M28" i="72" s="1"/>
  <c r="B57" i="72"/>
  <c r="I29" i="72"/>
  <c r="M29" i="72" s="1"/>
  <c r="I33" i="72"/>
  <c r="M33" i="72" s="1"/>
  <c r="I30" i="72"/>
  <c r="M30" i="72" s="1"/>
  <c r="I35" i="72"/>
  <c r="M35" i="72" s="1"/>
  <c r="I34" i="72"/>
  <c r="M34" i="72" s="1"/>
  <c r="I32" i="72"/>
  <c r="M32" i="72" s="1"/>
  <c r="M44" i="49"/>
  <c r="L44" i="49"/>
  <c r="M39" i="49"/>
  <c r="L39" i="49"/>
  <c r="M43" i="49"/>
  <c r="L43" i="49"/>
  <c r="M34" i="49"/>
  <c r="I157" i="85" s="1"/>
  <c r="J157" i="85" s="1"/>
  <c r="L34" i="49"/>
  <c r="I49" i="49"/>
  <c r="O48" i="49"/>
  <c r="M41" i="49"/>
  <c r="L41" i="49"/>
  <c r="M47" i="49"/>
  <c r="L47" i="49"/>
  <c r="M40" i="49"/>
  <c r="L40" i="49"/>
  <c r="L37" i="49"/>
  <c r="M37" i="49"/>
  <c r="M42" i="49"/>
  <c r="L42" i="49"/>
  <c r="M38" i="49"/>
  <c r="I161" i="85" s="1"/>
  <c r="J161" i="85" s="1"/>
  <c r="L38" i="49"/>
  <c r="K27" i="49"/>
  <c r="R25" i="49"/>
  <c r="L15" i="49"/>
  <c r="V17" i="80" s="1"/>
  <c r="M82" i="49"/>
  <c r="M15" i="49" s="1"/>
  <c r="L25" i="49"/>
  <c r="M92" i="49"/>
  <c r="M25" i="49" s="1"/>
  <c r="H102" i="54" s="1"/>
  <c r="H41" i="54" s="1"/>
  <c r="AB99" i="80" s="1"/>
  <c r="P14" i="49"/>
  <c r="L24" i="49"/>
  <c r="M91" i="49"/>
  <c r="M24" i="49" s="1"/>
  <c r="H101" i="54" s="1"/>
  <c r="H40" i="54" s="1"/>
  <c r="AB98" i="80" s="1"/>
  <c r="R13" i="49"/>
  <c r="R18" i="49"/>
  <c r="R22" i="49"/>
  <c r="R27" i="49"/>
  <c r="R19" i="49"/>
  <c r="R23" i="49"/>
  <c r="J28" i="49"/>
  <c r="R20" i="49"/>
  <c r="R17" i="49"/>
  <c r="R21" i="49"/>
  <c r="R26" i="49"/>
  <c r="R14" i="49"/>
  <c r="R16" i="49"/>
  <c r="R15" i="49"/>
  <c r="H157" i="54" l="1"/>
  <c r="H63" i="54" s="1"/>
  <c r="AB120" i="80" s="1"/>
  <c r="AA120" i="80" s="1"/>
  <c r="M95" i="82"/>
  <c r="L95" i="82"/>
  <c r="N95" i="82"/>
  <c r="H157" i="83"/>
  <c r="H63" i="83" s="1"/>
  <c r="I94" i="82"/>
  <c r="J94" i="82"/>
  <c r="K94" i="82"/>
  <c r="G120" i="83"/>
  <c r="G57" i="83" s="1"/>
  <c r="G156" i="83"/>
  <c r="G62" i="83" s="1"/>
  <c r="K93" i="82"/>
  <c r="J93" i="82"/>
  <c r="I93" i="82"/>
  <c r="J91" i="82"/>
  <c r="I91" i="82"/>
  <c r="G155" i="83"/>
  <c r="K91" i="82"/>
  <c r="H120" i="54"/>
  <c r="H57" i="54" s="1"/>
  <c r="AB119" i="80" s="1"/>
  <c r="AA119" i="80" s="1"/>
  <c r="I160" i="85"/>
  <c r="J160" i="85" s="1"/>
  <c r="N94" i="82"/>
  <c r="D133" i="85"/>
  <c r="F133" i="85" s="1"/>
  <c r="M94" i="82"/>
  <c r="L94" i="82"/>
  <c r="H120" i="83"/>
  <c r="H57" i="83" s="1"/>
  <c r="H156" i="54"/>
  <c r="H62" i="54" s="1"/>
  <c r="AB118" i="80" s="1"/>
  <c r="X118" i="80" s="1"/>
  <c r="H156" i="83"/>
  <c r="H62" i="83" s="1"/>
  <c r="I159" i="85"/>
  <c r="J159" i="85" s="1"/>
  <c r="L93" i="82"/>
  <c r="D132" i="85"/>
  <c r="F132" i="85" s="1"/>
  <c r="N93" i="82"/>
  <c r="M93" i="82"/>
  <c r="H155" i="54"/>
  <c r="H61" i="54" s="1"/>
  <c r="AB116" i="80" s="1"/>
  <c r="N91" i="82"/>
  <c r="H155" i="83"/>
  <c r="I158" i="85"/>
  <c r="J158" i="85" s="1"/>
  <c r="M91" i="82"/>
  <c r="D131" i="85"/>
  <c r="F131" i="85" s="1"/>
  <c r="L91" i="82"/>
  <c r="H158" i="54"/>
  <c r="H64" i="54" s="1"/>
  <c r="AB124" i="80" s="1"/>
  <c r="N99" i="82"/>
  <c r="M99" i="82"/>
  <c r="L99" i="82"/>
  <c r="H158" i="83"/>
  <c r="H64" i="83" s="1"/>
  <c r="K96" i="82"/>
  <c r="J96" i="82"/>
  <c r="I96" i="82"/>
  <c r="G121" i="83"/>
  <c r="G58" i="83" s="1"/>
  <c r="K89" i="82"/>
  <c r="J89" i="82"/>
  <c r="I89" i="82"/>
  <c r="G118" i="83"/>
  <c r="G55" i="83" s="1"/>
  <c r="H121" i="54"/>
  <c r="H58" i="54" s="1"/>
  <c r="AB121" i="80" s="1"/>
  <c r="H121" i="83"/>
  <c r="H58" i="83" s="1"/>
  <c r="N96" i="82"/>
  <c r="M96" i="82"/>
  <c r="L96" i="82"/>
  <c r="H118" i="54"/>
  <c r="H55" i="54" s="1"/>
  <c r="AB114" i="80" s="1"/>
  <c r="AA114" i="80" s="1"/>
  <c r="L89" i="82"/>
  <c r="H118" i="83"/>
  <c r="H55" i="83" s="1"/>
  <c r="M89" i="82"/>
  <c r="N89" i="82"/>
  <c r="G119" i="83"/>
  <c r="G56" i="83" s="1"/>
  <c r="K92" i="82"/>
  <c r="J92" i="82"/>
  <c r="I92" i="82"/>
  <c r="H119" i="54"/>
  <c r="H56" i="54" s="1"/>
  <c r="AB117" i="80" s="1"/>
  <c r="X117" i="80" s="1"/>
  <c r="N92" i="82"/>
  <c r="H119" i="83"/>
  <c r="H56" i="83" s="1"/>
  <c r="M92" i="82"/>
  <c r="L92" i="82"/>
  <c r="J99" i="82"/>
  <c r="G158" i="83"/>
  <c r="G64" i="83" s="1"/>
  <c r="I99" i="82"/>
  <c r="K99" i="82"/>
  <c r="K95" i="82"/>
  <c r="J95" i="82"/>
  <c r="G157" i="83"/>
  <c r="G63" i="83" s="1"/>
  <c r="I95" i="82"/>
  <c r="H83" i="83"/>
  <c r="D130" i="85"/>
  <c r="F130" i="85" s="1"/>
  <c r="N86" i="82"/>
  <c r="M86" i="82"/>
  <c r="L86" i="82"/>
  <c r="G83" i="83"/>
  <c r="K86" i="82"/>
  <c r="J86" i="82"/>
  <c r="I86" i="82"/>
  <c r="K90" i="82"/>
  <c r="J90" i="82"/>
  <c r="I90" i="82"/>
  <c r="G180" i="83"/>
  <c r="H180" i="54"/>
  <c r="H182" i="54" s="1"/>
  <c r="H25" i="54" s="1"/>
  <c r="D134" i="85"/>
  <c r="F134" i="85" s="1"/>
  <c r="L90" i="82"/>
  <c r="H180" i="83"/>
  <c r="N90" i="82"/>
  <c r="M90" i="82"/>
  <c r="E117" i="80"/>
  <c r="E93" i="80"/>
  <c r="L70" i="80"/>
  <c r="L118" i="80" s="1"/>
  <c r="F118" i="80"/>
  <c r="I96" i="80"/>
  <c r="I120" i="80"/>
  <c r="L76" i="80"/>
  <c r="L124" i="80" s="1"/>
  <c r="F124" i="80"/>
  <c r="K64" i="80"/>
  <c r="K88" i="80" s="1"/>
  <c r="O68" i="80"/>
  <c r="O116" i="80" s="1"/>
  <c r="E88" i="80"/>
  <c r="I116" i="80"/>
  <c r="H89" i="80"/>
  <c r="H113" i="80"/>
  <c r="M53" i="80"/>
  <c r="L53" i="80"/>
  <c r="J64" i="80"/>
  <c r="L67" i="80"/>
  <c r="L91" i="80" s="1"/>
  <c r="F115" i="80"/>
  <c r="H74" i="80"/>
  <c r="H98" i="80" s="1"/>
  <c r="U28" i="80"/>
  <c r="Q21" i="80"/>
  <c r="S28" i="80"/>
  <c r="L71" i="80"/>
  <c r="L95" i="80" s="1"/>
  <c r="E87" i="80"/>
  <c r="R21" i="80"/>
  <c r="Q28" i="80"/>
  <c r="G73" i="80"/>
  <c r="G121" i="80" s="1"/>
  <c r="F95" i="80"/>
  <c r="S21" i="80"/>
  <c r="F87" i="80"/>
  <c r="T21" i="80"/>
  <c r="G75" i="80"/>
  <c r="G99" i="80" s="1"/>
  <c r="E66" i="80"/>
  <c r="E114" i="80" s="1"/>
  <c r="F110" i="54"/>
  <c r="F13" i="54" s="1"/>
  <c r="H87" i="80"/>
  <c r="I113" i="80"/>
  <c r="O65" i="80"/>
  <c r="I89" i="80"/>
  <c r="N89" i="80"/>
  <c r="N113" i="80"/>
  <c r="G112" i="80"/>
  <c r="M64" i="80"/>
  <c r="G88" i="80"/>
  <c r="X99" i="80"/>
  <c r="Z99" i="80"/>
  <c r="Y99" i="80"/>
  <c r="AA99" i="80"/>
  <c r="W99" i="80"/>
  <c r="Y124" i="80"/>
  <c r="W124" i="80"/>
  <c r="AA124" i="80"/>
  <c r="X124" i="80"/>
  <c r="Z124" i="80"/>
  <c r="S25" i="80"/>
  <c r="U20" i="80"/>
  <c r="H118" i="80"/>
  <c r="N70" i="80"/>
  <c r="H94" i="80"/>
  <c r="I112" i="80"/>
  <c r="I88" i="80"/>
  <c r="O64" i="80"/>
  <c r="F93" i="80"/>
  <c r="L69" i="80"/>
  <c r="F117" i="80"/>
  <c r="I74" i="80"/>
  <c r="I87" i="80"/>
  <c r="K25" i="80"/>
  <c r="K29" i="80" s="1"/>
  <c r="M25" i="80"/>
  <c r="M29" i="80" s="1"/>
  <c r="O25" i="80"/>
  <c r="O29" i="80" s="1"/>
  <c r="N25" i="80"/>
  <c r="N29" i="80" s="1"/>
  <c r="N30" i="80" s="1"/>
  <c r="L25" i="80"/>
  <c r="L29" i="80" s="1"/>
  <c r="L30" i="80" s="1"/>
  <c r="E75" i="80"/>
  <c r="G118" i="80"/>
  <c r="M70" i="80"/>
  <c r="G94" i="80"/>
  <c r="E29" i="80"/>
  <c r="E30" i="80" s="1"/>
  <c r="J69" i="80"/>
  <c r="M76" i="80"/>
  <c r="G124" i="80"/>
  <c r="G100" i="80"/>
  <c r="I117" i="80"/>
  <c r="I93" i="80"/>
  <c r="O69" i="80"/>
  <c r="V43" i="80"/>
  <c r="S43" i="80" s="1"/>
  <c r="G180" i="54"/>
  <c r="E92" i="80"/>
  <c r="E116" i="80"/>
  <c r="K68" i="80"/>
  <c r="E120" i="80"/>
  <c r="E96" i="80"/>
  <c r="K72" i="80"/>
  <c r="J72" i="80"/>
  <c r="J67" i="80"/>
  <c r="E91" i="80"/>
  <c r="K67" i="80"/>
  <c r="E115" i="80"/>
  <c r="J68" i="80"/>
  <c r="L68" i="80"/>
  <c r="F92" i="80"/>
  <c r="F116" i="80"/>
  <c r="Y119" i="80"/>
  <c r="X119" i="80"/>
  <c r="V48" i="80"/>
  <c r="S48" i="80" s="1"/>
  <c r="G157" i="54"/>
  <c r="G63" i="54" s="1"/>
  <c r="V120" i="80" s="1"/>
  <c r="T25" i="80"/>
  <c r="R20" i="80"/>
  <c r="G115" i="80"/>
  <c r="G91" i="80"/>
  <c r="M67" i="80"/>
  <c r="G96" i="80"/>
  <c r="M72" i="80"/>
  <c r="G120" i="80"/>
  <c r="E94" i="80"/>
  <c r="K70" i="80"/>
  <c r="E118" i="80"/>
  <c r="J70" i="80"/>
  <c r="G74" i="80"/>
  <c r="G93" i="80"/>
  <c r="M69" i="80"/>
  <c r="G117" i="80"/>
  <c r="E131" i="54"/>
  <c r="E23" i="54" s="1"/>
  <c r="E26" i="54" s="1"/>
  <c r="X91" i="80"/>
  <c r="Z91" i="80"/>
  <c r="W91" i="80"/>
  <c r="Y91" i="80"/>
  <c r="AA91" i="80"/>
  <c r="F75" i="80"/>
  <c r="O71" i="80"/>
  <c r="I119" i="80"/>
  <c r="I95" i="80"/>
  <c r="U93" i="80"/>
  <c r="T93" i="80"/>
  <c r="Q93" i="80"/>
  <c r="S93" i="80"/>
  <c r="R93" i="80"/>
  <c r="AA121" i="80"/>
  <c r="Y121" i="80"/>
  <c r="X121" i="80"/>
  <c r="Z121" i="80"/>
  <c r="W121" i="80"/>
  <c r="U95" i="80"/>
  <c r="R95" i="80"/>
  <c r="Q95" i="80"/>
  <c r="T95" i="80"/>
  <c r="S95" i="80"/>
  <c r="Z114" i="80"/>
  <c r="V46" i="80"/>
  <c r="G156" i="54"/>
  <c r="G62" i="54" s="1"/>
  <c r="V118" i="80" s="1"/>
  <c r="Z120" i="80"/>
  <c r="Y120" i="80"/>
  <c r="Q25" i="80"/>
  <c r="S20" i="80"/>
  <c r="N68" i="80"/>
  <c r="H116" i="80"/>
  <c r="H92" i="80"/>
  <c r="I100" i="80"/>
  <c r="I124" i="80"/>
  <c r="O76" i="80"/>
  <c r="H29" i="80"/>
  <c r="H30" i="80" s="1"/>
  <c r="G116" i="80"/>
  <c r="M68" i="80"/>
  <c r="G92" i="80"/>
  <c r="F73" i="80"/>
  <c r="F74" i="80"/>
  <c r="I94" i="80"/>
  <c r="I118" i="80"/>
  <c r="O70" i="80"/>
  <c r="I75" i="80"/>
  <c r="L72" i="80"/>
  <c r="F120" i="80"/>
  <c r="F96" i="80"/>
  <c r="H66" i="80"/>
  <c r="Y117" i="80"/>
  <c r="H65" i="54"/>
  <c r="AB115" i="80" s="1"/>
  <c r="E95" i="80"/>
  <c r="K71" i="80"/>
  <c r="E119" i="80"/>
  <c r="J71" i="80"/>
  <c r="G113" i="80"/>
  <c r="G89" i="80"/>
  <c r="M65" i="80"/>
  <c r="V27" i="80"/>
  <c r="S27" i="80" s="1"/>
  <c r="G102" i="54"/>
  <c r="G41" i="54" s="1"/>
  <c r="V99" i="80" s="1"/>
  <c r="V44" i="80"/>
  <c r="S44" i="80" s="1"/>
  <c r="G155" i="54"/>
  <c r="U25" i="80"/>
  <c r="Q20" i="80"/>
  <c r="F112" i="80"/>
  <c r="L64" i="80"/>
  <c r="F88" i="80"/>
  <c r="AA92" i="80"/>
  <c r="X92" i="80"/>
  <c r="Z92" i="80"/>
  <c r="W92" i="80"/>
  <c r="Y92" i="80"/>
  <c r="G35" i="54"/>
  <c r="V88" i="80" s="1"/>
  <c r="U90" i="80"/>
  <c r="Q90" i="80"/>
  <c r="R90" i="80"/>
  <c r="S90" i="80"/>
  <c r="T90" i="80"/>
  <c r="J111" i="80"/>
  <c r="E66" i="54"/>
  <c r="H73" i="80"/>
  <c r="E74" i="80"/>
  <c r="E100" i="80"/>
  <c r="K76" i="80"/>
  <c r="E124" i="80"/>
  <c r="J76" i="80"/>
  <c r="H75" i="80"/>
  <c r="F113" i="80"/>
  <c r="F89" i="80"/>
  <c r="L65" i="80"/>
  <c r="K117" i="80"/>
  <c r="K93" i="80"/>
  <c r="I66" i="80"/>
  <c r="H35" i="54"/>
  <c r="AB88" i="80" s="1"/>
  <c r="H110" i="54"/>
  <c r="H13" i="54" s="1"/>
  <c r="H16" i="54" s="1"/>
  <c r="H17" i="54" s="1"/>
  <c r="N72" i="80"/>
  <c r="H96" i="80"/>
  <c r="H120" i="80"/>
  <c r="H117" i="80"/>
  <c r="N69" i="80"/>
  <c r="H93" i="80"/>
  <c r="H112" i="80"/>
  <c r="H88" i="80"/>
  <c r="N64" i="80"/>
  <c r="F16" i="54"/>
  <c r="F17" i="54" s="1"/>
  <c r="G51" i="80"/>
  <c r="G53" i="80" s="1"/>
  <c r="F51" i="80"/>
  <c r="F53" i="80" s="1"/>
  <c r="E51" i="80"/>
  <c r="E53" i="80" s="1"/>
  <c r="H51" i="80"/>
  <c r="H53" i="80" s="1"/>
  <c r="I51" i="80"/>
  <c r="I53" i="80" s="1"/>
  <c r="T100" i="80"/>
  <c r="U100" i="80"/>
  <c r="Q100" i="80"/>
  <c r="R100" i="80"/>
  <c r="S100" i="80"/>
  <c r="P111" i="80"/>
  <c r="P125" i="80" s="1"/>
  <c r="F66" i="54"/>
  <c r="E73" i="80"/>
  <c r="G29" i="80"/>
  <c r="G30" i="80" s="1"/>
  <c r="H95" i="80"/>
  <c r="H119" i="80"/>
  <c r="N71" i="80"/>
  <c r="G87" i="80"/>
  <c r="U96" i="80"/>
  <c r="T96" i="80"/>
  <c r="Q96" i="80"/>
  <c r="S96" i="80"/>
  <c r="R96" i="80"/>
  <c r="G66" i="80"/>
  <c r="V26" i="80"/>
  <c r="G101" i="54"/>
  <c r="G40" i="54" s="1"/>
  <c r="V98" i="80" s="1"/>
  <c r="O96" i="80"/>
  <c r="O120" i="80"/>
  <c r="V52" i="80"/>
  <c r="Q52" i="80" s="1"/>
  <c r="G158" i="54"/>
  <c r="G64" i="54" s="1"/>
  <c r="V124" i="80" s="1"/>
  <c r="AB87" i="80"/>
  <c r="E113" i="80"/>
  <c r="K65" i="80"/>
  <c r="E89" i="80"/>
  <c r="J65" i="80"/>
  <c r="G46" i="54"/>
  <c r="V91" i="80" s="1"/>
  <c r="G174" i="54"/>
  <c r="G15" i="54" s="1"/>
  <c r="AA98" i="80"/>
  <c r="X98" i="80"/>
  <c r="Z98" i="80"/>
  <c r="Y98" i="80"/>
  <c r="W98" i="80"/>
  <c r="G42" i="54"/>
  <c r="V92" i="80" s="1"/>
  <c r="G149" i="54"/>
  <c r="G14" i="54" s="1"/>
  <c r="H100" i="80"/>
  <c r="H124" i="80"/>
  <c r="N76" i="80"/>
  <c r="I73" i="80"/>
  <c r="F26" i="54"/>
  <c r="G119" i="80"/>
  <c r="M71" i="80"/>
  <c r="G95" i="80"/>
  <c r="I115" i="80"/>
  <c r="O67" i="80"/>
  <c r="I91" i="80"/>
  <c r="S97" i="80"/>
  <c r="Q97" i="80"/>
  <c r="R97" i="80"/>
  <c r="T97" i="80"/>
  <c r="U97" i="80"/>
  <c r="H91" i="80"/>
  <c r="N67" i="80"/>
  <c r="H115" i="80"/>
  <c r="F66" i="80"/>
  <c r="F29" i="80"/>
  <c r="F30" i="80" s="1"/>
  <c r="I29" i="80"/>
  <c r="I30" i="80" s="1"/>
  <c r="T27" i="80"/>
  <c r="U17" i="80"/>
  <c r="Q17" i="80"/>
  <c r="T17" i="80"/>
  <c r="S17" i="80"/>
  <c r="R17" i="80"/>
  <c r="S26" i="80"/>
  <c r="R26" i="80"/>
  <c r="Q26" i="80"/>
  <c r="U26" i="80"/>
  <c r="T26" i="80"/>
  <c r="V87" i="80"/>
  <c r="F47" i="54"/>
  <c r="P87" i="80"/>
  <c r="AA18" i="80"/>
  <c r="Z18" i="80"/>
  <c r="Y18" i="80"/>
  <c r="X18" i="80"/>
  <c r="W18" i="80"/>
  <c r="X19" i="80"/>
  <c r="W19" i="80"/>
  <c r="AA19" i="80"/>
  <c r="Y19" i="80"/>
  <c r="Z19" i="80"/>
  <c r="AA28" i="80"/>
  <c r="Z28" i="80"/>
  <c r="Y28" i="80"/>
  <c r="X28" i="80"/>
  <c r="W28" i="80"/>
  <c r="Z25" i="80"/>
  <c r="Y25" i="80"/>
  <c r="W25" i="80"/>
  <c r="AA25" i="80"/>
  <c r="X25" i="80"/>
  <c r="AA20" i="80"/>
  <c r="Z20" i="80"/>
  <c r="X20" i="80"/>
  <c r="W20" i="80"/>
  <c r="Y20" i="80"/>
  <c r="AA21" i="80"/>
  <c r="Z21" i="80"/>
  <c r="Y21" i="80"/>
  <c r="X21" i="80"/>
  <c r="W21" i="80"/>
  <c r="AA23" i="80"/>
  <c r="Y23" i="80"/>
  <c r="X23" i="80"/>
  <c r="W23" i="80"/>
  <c r="Z23" i="80"/>
  <c r="W24" i="80"/>
  <c r="Z24" i="80"/>
  <c r="Y24" i="80"/>
  <c r="AA24" i="80"/>
  <c r="X24" i="80"/>
  <c r="V70" i="80"/>
  <c r="V49" i="80"/>
  <c r="U49" i="80" s="1"/>
  <c r="G121" i="54"/>
  <c r="G58" i="54" s="1"/>
  <c r="V121" i="80" s="1"/>
  <c r="V45" i="80"/>
  <c r="Q45" i="80" s="1"/>
  <c r="G119" i="54"/>
  <c r="G56" i="54" s="1"/>
  <c r="V117" i="80" s="1"/>
  <c r="V39" i="80"/>
  <c r="R39" i="80" s="1"/>
  <c r="G83" i="54"/>
  <c r="AB39" i="80"/>
  <c r="Y39" i="80" s="1"/>
  <c r="H83" i="54"/>
  <c r="V47" i="80"/>
  <c r="S47" i="80" s="1"/>
  <c r="G120" i="54"/>
  <c r="G57" i="54" s="1"/>
  <c r="V119" i="80" s="1"/>
  <c r="V42" i="80"/>
  <c r="T42" i="80" s="1"/>
  <c r="G118" i="54"/>
  <c r="G55" i="54" s="1"/>
  <c r="V114" i="80" s="1"/>
  <c r="P15" i="49"/>
  <c r="AB17" i="80"/>
  <c r="P24" i="49"/>
  <c r="AB26" i="80"/>
  <c r="P25" i="49"/>
  <c r="AB27" i="80"/>
  <c r="T44" i="80"/>
  <c r="Q44" i="80"/>
  <c r="R44" i="80"/>
  <c r="P44" i="49"/>
  <c r="AB49" i="80"/>
  <c r="P39" i="49"/>
  <c r="AB44" i="80"/>
  <c r="P47" i="49"/>
  <c r="AB52" i="80"/>
  <c r="P38" i="49"/>
  <c r="AB43" i="80"/>
  <c r="P42" i="49"/>
  <c r="AB47" i="80"/>
  <c r="Q48" i="80"/>
  <c r="P41" i="49"/>
  <c r="AB46" i="80"/>
  <c r="R45" i="80"/>
  <c r="P40" i="49"/>
  <c r="AB45" i="80"/>
  <c r="P37" i="49"/>
  <c r="AB42" i="80"/>
  <c r="U46" i="80"/>
  <c r="T46" i="80"/>
  <c r="S46" i="80"/>
  <c r="R46" i="80"/>
  <c r="Q46" i="80"/>
  <c r="P43" i="49"/>
  <c r="AB48" i="80"/>
  <c r="M36" i="72"/>
  <c r="L28" i="72"/>
  <c r="L33" i="72"/>
  <c r="L32" i="72"/>
  <c r="L31" i="72"/>
  <c r="L34" i="72"/>
  <c r="L35" i="72"/>
  <c r="C28" i="72"/>
  <c r="J66" i="72"/>
  <c r="C35" i="72"/>
  <c r="C48" i="72" s="1"/>
  <c r="C32" i="72"/>
  <c r="C45" i="72" s="1"/>
  <c r="C34" i="72"/>
  <c r="C30" i="72"/>
  <c r="C29" i="72"/>
  <c r="C42" i="72" s="1"/>
  <c r="C31" i="72"/>
  <c r="C44" i="72" s="1"/>
  <c r="C33" i="72"/>
  <c r="C46" i="72" s="1"/>
  <c r="L29" i="72"/>
  <c r="D36" i="72"/>
  <c r="L30" i="72"/>
  <c r="K28" i="49"/>
  <c r="M36" i="49"/>
  <c r="L36" i="49"/>
  <c r="O49" i="49"/>
  <c r="M45" i="49"/>
  <c r="L45" i="49"/>
  <c r="P34" i="49"/>
  <c r="L46" i="49"/>
  <c r="M46" i="49"/>
  <c r="L27" i="49"/>
  <c r="S14" i="49"/>
  <c r="M27" i="49"/>
  <c r="F36" i="72" s="1"/>
  <c r="F28" i="72" s="1"/>
  <c r="F41" i="72" s="1"/>
  <c r="S13" i="49"/>
  <c r="Z117" i="80" l="1"/>
  <c r="N98" i="84"/>
  <c r="N143" i="84" s="1"/>
  <c r="M145" i="82"/>
  <c r="W120" i="80"/>
  <c r="J138" i="82"/>
  <c r="K91" i="84"/>
  <c r="K136" i="84" s="1"/>
  <c r="L142" i="82"/>
  <c r="M95" i="84"/>
  <c r="M140" i="84" s="1"/>
  <c r="N145" i="82"/>
  <c r="O98" i="84"/>
  <c r="O143" i="84" s="1"/>
  <c r="K140" i="82"/>
  <c r="L93" i="84"/>
  <c r="L138" i="84" s="1"/>
  <c r="K98" i="82"/>
  <c r="G123" i="83"/>
  <c r="G60" i="83" s="1"/>
  <c r="J98" i="82"/>
  <c r="I98" i="82"/>
  <c r="U44" i="80"/>
  <c r="Z118" i="80"/>
  <c r="X120" i="80"/>
  <c r="X114" i="80"/>
  <c r="W119" i="80"/>
  <c r="K98" i="84"/>
  <c r="K143" i="84" s="1"/>
  <c r="J145" i="82"/>
  <c r="K138" i="82"/>
  <c r="L91" i="84"/>
  <c r="L136" i="84" s="1"/>
  <c r="M142" i="82"/>
  <c r="N95" i="84"/>
  <c r="N140" i="84" s="1"/>
  <c r="N92" i="84"/>
  <c r="N137" i="84" s="1"/>
  <c r="M139" i="82"/>
  <c r="L140" i="82"/>
  <c r="M93" i="84"/>
  <c r="M138" i="84" s="1"/>
  <c r="J90" i="84"/>
  <c r="J135" i="84" s="1"/>
  <c r="E101" i="85" s="1"/>
  <c r="I137" i="82"/>
  <c r="J140" i="82"/>
  <c r="K93" i="84"/>
  <c r="K138" i="84" s="1"/>
  <c r="Y114" i="80"/>
  <c r="J98" i="84"/>
  <c r="J143" i="84" s="1"/>
  <c r="I145" i="82"/>
  <c r="O90" i="84"/>
  <c r="O135" i="84" s="1"/>
  <c r="N137" i="82"/>
  <c r="H123" i="54"/>
  <c r="H60" i="54" s="1"/>
  <c r="AB123" i="80" s="1"/>
  <c r="L98" i="82"/>
  <c r="H123" i="83"/>
  <c r="H60" i="83" s="1"/>
  <c r="N98" i="82"/>
  <c r="M98" i="82"/>
  <c r="Y118" i="80"/>
  <c r="W114" i="80"/>
  <c r="Z119" i="80"/>
  <c r="K135" i="82"/>
  <c r="L88" i="84"/>
  <c r="L133" i="84" s="1"/>
  <c r="G163" i="83"/>
  <c r="G24" i="83" s="1"/>
  <c r="G61" i="83"/>
  <c r="W118" i="80"/>
  <c r="I141" i="82"/>
  <c r="J94" i="84"/>
  <c r="J139" i="84" s="1"/>
  <c r="L138" i="82"/>
  <c r="M91" i="84"/>
  <c r="M136" i="84" s="1"/>
  <c r="N142" i="82"/>
  <c r="O95" i="84"/>
  <c r="O140" i="84" s="1"/>
  <c r="J95" i="84"/>
  <c r="J140" i="84" s="1"/>
  <c r="I142" i="82"/>
  <c r="M90" i="84"/>
  <c r="M135" i="84" s="1"/>
  <c r="L137" i="82"/>
  <c r="N139" i="82"/>
  <c r="O92" i="84"/>
  <c r="O137" i="84" s="1"/>
  <c r="M140" i="82"/>
  <c r="N93" i="84"/>
  <c r="N138" i="84" s="1"/>
  <c r="K90" i="84"/>
  <c r="K135" i="84" s="1"/>
  <c r="J137" i="82"/>
  <c r="J93" i="84"/>
  <c r="J138" i="84" s="1"/>
  <c r="I140" i="82"/>
  <c r="J135" i="82"/>
  <c r="K88" i="84"/>
  <c r="K133" i="84" s="1"/>
  <c r="H163" i="54"/>
  <c r="H24" i="54" s="1"/>
  <c r="M138" i="82"/>
  <c r="N91" i="84"/>
  <c r="N136" i="84" s="1"/>
  <c r="N135" i="82"/>
  <c r="O88" i="84"/>
  <c r="O133" i="84" s="1"/>
  <c r="I139" i="82"/>
  <c r="J92" i="84"/>
  <c r="J137" i="84" s="1"/>
  <c r="H122" i="54"/>
  <c r="H59" i="54" s="1"/>
  <c r="AB122" i="80" s="1"/>
  <c r="N97" i="82"/>
  <c r="M97" i="82"/>
  <c r="L97" i="82"/>
  <c r="H122" i="83"/>
  <c r="H59" i="83" s="1"/>
  <c r="AA118" i="80"/>
  <c r="AA117" i="80"/>
  <c r="J141" i="82"/>
  <c r="K94" i="84"/>
  <c r="K139" i="84" s="1"/>
  <c r="M135" i="82"/>
  <c r="N88" i="84"/>
  <c r="N133" i="84" s="1"/>
  <c r="K142" i="82"/>
  <c r="L95" i="84"/>
  <c r="L140" i="84" s="1"/>
  <c r="N90" i="84"/>
  <c r="N135" i="84" s="1"/>
  <c r="M137" i="82"/>
  <c r="L139" i="82"/>
  <c r="M92" i="84"/>
  <c r="M137" i="84" s="1"/>
  <c r="N140" i="82"/>
  <c r="O93" i="84"/>
  <c r="O138" i="84" s="1"/>
  <c r="J139" i="82"/>
  <c r="K92" i="84"/>
  <c r="K137" i="84" s="1"/>
  <c r="N141" i="82"/>
  <c r="O94" i="84"/>
  <c r="O139" i="84" s="1"/>
  <c r="V41" i="80"/>
  <c r="T41" i="80" s="1"/>
  <c r="K88" i="82"/>
  <c r="J88" i="82"/>
  <c r="I88" i="82"/>
  <c r="N88" i="82"/>
  <c r="M88" i="82"/>
  <c r="L88" i="82"/>
  <c r="I97" i="82"/>
  <c r="K97" i="82"/>
  <c r="J97" i="82"/>
  <c r="G122" i="83"/>
  <c r="G59" i="83" s="1"/>
  <c r="W117" i="80"/>
  <c r="J142" i="82"/>
  <c r="K95" i="84"/>
  <c r="K140" i="84" s="1"/>
  <c r="K141" i="82"/>
  <c r="L94" i="84"/>
  <c r="L139" i="84" s="1"/>
  <c r="O91" i="84"/>
  <c r="O136" i="84" s="1"/>
  <c r="N138" i="82"/>
  <c r="L92" i="84"/>
  <c r="L137" i="84" s="1"/>
  <c r="K139" i="82"/>
  <c r="L141" i="82"/>
  <c r="M94" i="84"/>
  <c r="M139" i="84" s="1"/>
  <c r="L98" i="84"/>
  <c r="L143" i="84" s="1"/>
  <c r="K145" i="82"/>
  <c r="L135" i="82"/>
  <c r="M88" i="84"/>
  <c r="M133" i="84" s="1"/>
  <c r="I135" i="82"/>
  <c r="J88" i="84"/>
  <c r="J133" i="84" s="1"/>
  <c r="M98" i="84"/>
  <c r="M143" i="84" s="1"/>
  <c r="L145" i="82"/>
  <c r="H61" i="83"/>
  <c r="H163" i="83"/>
  <c r="H24" i="83" s="1"/>
  <c r="N94" i="84"/>
  <c r="N139" i="84" s="1"/>
  <c r="M141" i="82"/>
  <c r="I138" i="82"/>
  <c r="J91" i="84"/>
  <c r="J136" i="84" s="1"/>
  <c r="L90" i="84"/>
  <c r="L135" i="84" s="1"/>
  <c r="K137" i="82"/>
  <c r="M85" i="84"/>
  <c r="M130" i="84" s="1"/>
  <c r="L132" i="82"/>
  <c r="K85" i="84"/>
  <c r="K130" i="84" s="1"/>
  <c r="J132" i="82"/>
  <c r="N85" i="84"/>
  <c r="N130" i="84" s="1"/>
  <c r="M132" i="82"/>
  <c r="L85" i="84"/>
  <c r="L130" i="84" s="1"/>
  <c r="K132" i="82"/>
  <c r="N132" i="82"/>
  <c r="O85" i="84"/>
  <c r="O130" i="84" s="1"/>
  <c r="G85" i="83"/>
  <c r="G22" i="83" s="1"/>
  <c r="G53" i="83"/>
  <c r="J85" i="84"/>
  <c r="J130" i="84" s="1"/>
  <c r="I132" i="82"/>
  <c r="H85" i="83"/>
  <c r="H22" i="83" s="1"/>
  <c r="H53" i="83"/>
  <c r="M89" i="84"/>
  <c r="L136" i="82"/>
  <c r="T43" i="80"/>
  <c r="G182" i="83"/>
  <c r="G25" i="83" s="1"/>
  <c r="G65" i="83"/>
  <c r="R43" i="80"/>
  <c r="I136" i="82"/>
  <c r="J89" i="84"/>
  <c r="H182" i="83"/>
  <c r="H25" i="83" s="1"/>
  <c r="H65" i="83"/>
  <c r="Q43" i="80"/>
  <c r="U43" i="80"/>
  <c r="M136" i="82"/>
  <c r="N89" i="84"/>
  <c r="J136" i="82"/>
  <c r="K89" i="84"/>
  <c r="N136" i="82"/>
  <c r="O89" i="84"/>
  <c r="L89" i="84"/>
  <c r="K136" i="82"/>
  <c r="K111" i="80"/>
  <c r="L100" i="80"/>
  <c r="L94" i="80"/>
  <c r="K112" i="80"/>
  <c r="G123" i="80"/>
  <c r="O92" i="80"/>
  <c r="H54" i="80"/>
  <c r="R78" i="54" s="1"/>
  <c r="N74" i="80"/>
  <c r="N98" i="80" s="1"/>
  <c r="H122" i="80"/>
  <c r="M75" i="80"/>
  <c r="M99" i="80" s="1"/>
  <c r="P68" i="80"/>
  <c r="L119" i="80"/>
  <c r="G54" i="80"/>
  <c r="Q78" i="54" s="1"/>
  <c r="L115" i="80"/>
  <c r="K66" i="80"/>
  <c r="K90" i="80" s="1"/>
  <c r="J66" i="80"/>
  <c r="P67" i="80"/>
  <c r="G97" i="80"/>
  <c r="E54" i="80"/>
  <c r="O78" i="54" s="1"/>
  <c r="M73" i="80"/>
  <c r="M121" i="80" s="1"/>
  <c r="U48" i="80"/>
  <c r="Q27" i="80"/>
  <c r="P72" i="80"/>
  <c r="U27" i="80"/>
  <c r="I54" i="80"/>
  <c r="S78" i="54" s="1"/>
  <c r="E90" i="80"/>
  <c r="T48" i="80"/>
  <c r="P69" i="80"/>
  <c r="P64" i="80"/>
  <c r="R48" i="80"/>
  <c r="T52" i="80"/>
  <c r="R27" i="80"/>
  <c r="V29" i="80"/>
  <c r="U52" i="80"/>
  <c r="H47" i="54"/>
  <c r="F54" i="80"/>
  <c r="P78" i="54" s="1"/>
  <c r="M100" i="80"/>
  <c r="M124" i="80"/>
  <c r="R119" i="80"/>
  <c r="S119" i="80"/>
  <c r="U119" i="80"/>
  <c r="T119" i="80"/>
  <c r="Q119" i="80"/>
  <c r="N124" i="80"/>
  <c r="N100" i="80"/>
  <c r="U45" i="80"/>
  <c r="G61" i="54"/>
  <c r="V116" i="80" s="1"/>
  <c r="G163" i="54"/>
  <c r="G24" i="54" s="1"/>
  <c r="O111" i="80"/>
  <c r="G122" i="80"/>
  <c r="M74" i="80"/>
  <c r="G98" i="80"/>
  <c r="J30" i="80"/>
  <c r="O113" i="80"/>
  <c r="O89" i="80"/>
  <c r="Q121" i="80"/>
  <c r="R121" i="80"/>
  <c r="S121" i="80"/>
  <c r="U121" i="80"/>
  <c r="T121" i="80"/>
  <c r="N120" i="80"/>
  <c r="N96" i="80"/>
  <c r="G47" i="54"/>
  <c r="M119" i="80"/>
  <c r="M95" i="80"/>
  <c r="E121" i="80"/>
  <c r="K73" i="80"/>
  <c r="J73" i="80"/>
  <c r="E97" i="80"/>
  <c r="X116" i="80"/>
  <c r="Z116" i="80"/>
  <c r="AA116" i="80"/>
  <c r="W116" i="80"/>
  <c r="Y116" i="80"/>
  <c r="W88" i="80"/>
  <c r="X88" i="80"/>
  <c r="Z88" i="80"/>
  <c r="Y88" i="80"/>
  <c r="AA88" i="80"/>
  <c r="H123" i="80"/>
  <c r="H99" i="80"/>
  <c r="N75" i="80"/>
  <c r="K119" i="80"/>
  <c r="K95" i="80"/>
  <c r="O118" i="80"/>
  <c r="O94" i="80"/>
  <c r="M92" i="80"/>
  <c r="M116" i="80"/>
  <c r="N92" i="80"/>
  <c r="N116" i="80"/>
  <c r="M96" i="80"/>
  <c r="M120" i="80"/>
  <c r="U120" i="80"/>
  <c r="S120" i="80"/>
  <c r="R120" i="80"/>
  <c r="Q120" i="80"/>
  <c r="T120" i="80"/>
  <c r="K96" i="80"/>
  <c r="K120" i="80"/>
  <c r="O117" i="80"/>
  <c r="O93" i="80"/>
  <c r="O115" i="80"/>
  <c r="O91" i="80"/>
  <c r="L113" i="80"/>
  <c r="L89" i="80"/>
  <c r="S45" i="80"/>
  <c r="I123" i="80"/>
  <c r="O75" i="80"/>
  <c r="I99" i="80"/>
  <c r="X122" i="80"/>
  <c r="AA122" i="80"/>
  <c r="W122" i="80"/>
  <c r="Z122" i="80"/>
  <c r="Y122" i="80"/>
  <c r="K89" i="80"/>
  <c r="K113" i="80"/>
  <c r="U98" i="80"/>
  <c r="Q98" i="80"/>
  <c r="R98" i="80"/>
  <c r="S98" i="80"/>
  <c r="T98" i="80"/>
  <c r="N88" i="80"/>
  <c r="N112" i="80"/>
  <c r="N117" i="80"/>
  <c r="N93" i="80"/>
  <c r="I114" i="80"/>
  <c r="O66" i="80"/>
  <c r="I90" i="80"/>
  <c r="E122" i="80"/>
  <c r="K74" i="80"/>
  <c r="E98" i="80"/>
  <c r="J74" i="80"/>
  <c r="Q99" i="80"/>
  <c r="R99" i="80"/>
  <c r="T99" i="80"/>
  <c r="S99" i="80"/>
  <c r="U99" i="80"/>
  <c r="N111" i="80"/>
  <c r="Q118" i="80"/>
  <c r="U118" i="80"/>
  <c r="R118" i="80"/>
  <c r="S118" i="80"/>
  <c r="T118" i="80"/>
  <c r="O95" i="80"/>
  <c r="O119" i="80"/>
  <c r="L92" i="80"/>
  <c r="L116" i="80"/>
  <c r="M118" i="80"/>
  <c r="M94" i="80"/>
  <c r="Q91" i="80"/>
  <c r="S91" i="80"/>
  <c r="R91" i="80"/>
  <c r="T91" i="80"/>
  <c r="U91" i="80"/>
  <c r="R52" i="80"/>
  <c r="P71" i="80"/>
  <c r="F114" i="80"/>
  <c r="L66" i="80"/>
  <c r="F90" i="80"/>
  <c r="T92" i="80"/>
  <c r="Q92" i="80"/>
  <c r="R92" i="80"/>
  <c r="S92" i="80"/>
  <c r="U92" i="80"/>
  <c r="N119" i="80"/>
  <c r="N95" i="80"/>
  <c r="H121" i="80"/>
  <c r="N73" i="80"/>
  <c r="H97" i="80"/>
  <c r="G110" i="54"/>
  <c r="G13" i="54" s="1"/>
  <c r="G16" i="54" s="1"/>
  <c r="G17" i="54" s="1"/>
  <c r="L88" i="80"/>
  <c r="L112" i="80"/>
  <c r="H114" i="80"/>
  <c r="H90" i="80"/>
  <c r="N66" i="80"/>
  <c r="L111" i="80"/>
  <c r="I122" i="80"/>
  <c r="O74" i="80"/>
  <c r="I98" i="80"/>
  <c r="N94" i="80"/>
  <c r="N118" i="80"/>
  <c r="M88" i="80"/>
  <c r="M112" i="80"/>
  <c r="X123" i="80"/>
  <c r="AA123" i="80"/>
  <c r="W123" i="80"/>
  <c r="Z123" i="80"/>
  <c r="Y123" i="80"/>
  <c r="K94" i="80"/>
  <c r="K118" i="80"/>
  <c r="P70" i="80"/>
  <c r="O88" i="80"/>
  <c r="O112" i="80"/>
  <c r="S52" i="80"/>
  <c r="P76" i="80"/>
  <c r="I121" i="80"/>
  <c r="O73" i="80"/>
  <c r="I97" i="80"/>
  <c r="AA87" i="80"/>
  <c r="W87" i="80"/>
  <c r="X87" i="80"/>
  <c r="Y87" i="80"/>
  <c r="AB101" i="80"/>
  <c r="Z87" i="80"/>
  <c r="G114" i="80"/>
  <c r="M66" i="80"/>
  <c r="G90" i="80"/>
  <c r="K100" i="80"/>
  <c r="K124" i="80"/>
  <c r="U88" i="80"/>
  <c r="Q88" i="80"/>
  <c r="S88" i="80"/>
  <c r="R88" i="80"/>
  <c r="T88" i="80"/>
  <c r="M113" i="80"/>
  <c r="M89" i="80"/>
  <c r="L74" i="80"/>
  <c r="F98" i="80"/>
  <c r="F122" i="80"/>
  <c r="O124" i="80"/>
  <c r="O100" i="80"/>
  <c r="L75" i="80"/>
  <c r="F123" i="80"/>
  <c r="F99" i="80"/>
  <c r="M115" i="80"/>
  <c r="M91" i="80"/>
  <c r="K92" i="80"/>
  <c r="K116" i="80"/>
  <c r="E123" i="80"/>
  <c r="J75" i="80"/>
  <c r="E99" i="80"/>
  <c r="K75" i="80"/>
  <c r="U124" i="80"/>
  <c r="Q124" i="80"/>
  <c r="T124" i="80"/>
  <c r="R124" i="80"/>
  <c r="S124" i="80"/>
  <c r="L120" i="80"/>
  <c r="L96" i="80"/>
  <c r="M93" i="80"/>
  <c r="M117" i="80"/>
  <c r="G65" i="54"/>
  <c r="V115" i="80" s="1"/>
  <c r="G182" i="54"/>
  <c r="G25" i="54" s="1"/>
  <c r="T45" i="80"/>
  <c r="Q114" i="80"/>
  <c r="U114" i="80"/>
  <c r="R114" i="80"/>
  <c r="T114" i="80"/>
  <c r="S114" i="80"/>
  <c r="T117" i="80"/>
  <c r="R117" i="80"/>
  <c r="S117" i="80"/>
  <c r="U117" i="80"/>
  <c r="Q117" i="80"/>
  <c r="N91" i="80"/>
  <c r="N115" i="80"/>
  <c r="M111" i="80"/>
  <c r="J125" i="80"/>
  <c r="G111" i="80"/>
  <c r="E111" i="80"/>
  <c r="I111" i="80"/>
  <c r="H111" i="80"/>
  <c r="F111" i="80"/>
  <c r="AA115" i="80"/>
  <c r="Z115" i="80"/>
  <c r="W115" i="80"/>
  <c r="X115" i="80"/>
  <c r="Y115" i="80"/>
  <c r="F121" i="80"/>
  <c r="L73" i="80"/>
  <c r="F97" i="80"/>
  <c r="K91" i="80"/>
  <c r="K115" i="80"/>
  <c r="L93" i="80"/>
  <c r="L117" i="80"/>
  <c r="P101" i="80"/>
  <c r="O87" i="80"/>
  <c r="M87" i="80"/>
  <c r="N87" i="80"/>
  <c r="L87" i="80"/>
  <c r="K87" i="80"/>
  <c r="U87" i="80"/>
  <c r="R87" i="80"/>
  <c r="S87" i="80"/>
  <c r="V101" i="80"/>
  <c r="Q87" i="80"/>
  <c r="T87" i="80"/>
  <c r="AA39" i="80"/>
  <c r="X39" i="80"/>
  <c r="Z39" i="80"/>
  <c r="T47" i="80"/>
  <c r="U42" i="80"/>
  <c r="Q42" i="80"/>
  <c r="R42" i="80"/>
  <c r="S42" i="80"/>
  <c r="AA26" i="80"/>
  <c r="Z26" i="80"/>
  <c r="Y26" i="80"/>
  <c r="X26" i="80"/>
  <c r="W26" i="80"/>
  <c r="Z17" i="80"/>
  <c r="Y17" i="80"/>
  <c r="X17" i="80"/>
  <c r="W17" i="80"/>
  <c r="AA17" i="80"/>
  <c r="X27" i="80"/>
  <c r="W27" i="80"/>
  <c r="AA27" i="80"/>
  <c r="Y27" i="80"/>
  <c r="Z27" i="80"/>
  <c r="R49" i="80"/>
  <c r="AB70" i="80"/>
  <c r="Q47" i="80"/>
  <c r="AB64" i="80"/>
  <c r="U47" i="80"/>
  <c r="R47" i="80"/>
  <c r="Q49" i="80"/>
  <c r="S49" i="80"/>
  <c r="T49" i="80"/>
  <c r="V66" i="80"/>
  <c r="AB63" i="80"/>
  <c r="V64" i="80"/>
  <c r="V73" i="80"/>
  <c r="V68" i="80"/>
  <c r="V72" i="80"/>
  <c r="V63" i="80"/>
  <c r="U29" i="80"/>
  <c r="R29" i="80"/>
  <c r="P65" i="80"/>
  <c r="AB69" i="80"/>
  <c r="V76" i="80"/>
  <c r="V67" i="80"/>
  <c r="V71" i="80"/>
  <c r="V69" i="80"/>
  <c r="P63" i="80"/>
  <c r="V74" i="80"/>
  <c r="AB76" i="80"/>
  <c r="H85" i="54"/>
  <c r="H22" i="54" s="1"/>
  <c r="H53" i="54"/>
  <c r="AB111" i="80" s="1"/>
  <c r="G85" i="54"/>
  <c r="G22" i="54" s="1"/>
  <c r="G53" i="54"/>
  <c r="V111" i="80" s="1"/>
  <c r="W39" i="80"/>
  <c r="Q39" i="80"/>
  <c r="S39" i="80"/>
  <c r="V51" i="80"/>
  <c r="U51" i="80" s="1"/>
  <c r="G123" i="54"/>
  <c r="G60" i="54" s="1"/>
  <c r="V123" i="80" s="1"/>
  <c r="U39" i="80"/>
  <c r="T39" i="80"/>
  <c r="V50" i="80"/>
  <c r="T50" i="80" s="1"/>
  <c r="G122" i="54"/>
  <c r="G59" i="54" s="1"/>
  <c r="V122" i="80" s="1"/>
  <c r="N54" i="80"/>
  <c r="L54" i="80"/>
  <c r="T29" i="80"/>
  <c r="S29" i="80"/>
  <c r="Q29" i="80"/>
  <c r="O30" i="80"/>
  <c r="O54" i="80" s="1"/>
  <c r="AB29" i="80"/>
  <c r="M30" i="80"/>
  <c r="M54" i="80" s="1"/>
  <c r="K30" i="80"/>
  <c r="P46" i="49"/>
  <c r="AB51" i="80"/>
  <c r="Z47" i="80"/>
  <c r="Y47" i="80"/>
  <c r="X47" i="80"/>
  <c r="AA47" i="80"/>
  <c r="W47" i="80"/>
  <c r="X48" i="80"/>
  <c r="Y48" i="80"/>
  <c r="Z48" i="80"/>
  <c r="W48" i="80"/>
  <c r="AA48" i="80"/>
  <c r="Z45" i="80"/>
  <c r="W45" i="80"/>
  <c r="AA45" i="80"/>
  <c r="X45" i="80"/>
  <c r="Y45" i="80"/>
  <c r="AA43" i="80"/>
  <c r="Z43" i="80"/>
  <c r="Y43" i="80"/>
  <c r="X43" i="80"/>
  <c r="W43" i="80"/>
  <c r="AA42" i="80"/>
  <c r="Z42" i="80"/>
  <c r="X42" i="80"/>
  <c r="W42" i="80"/>
  <c r="Y42" i="80"/>
  <c r="P45" i="49"/>
  <c r="AB50" i="80"/>
  <c r="X52" i="80"/>
  <c r="Y52" i="80"/>
  <c r="AA52" i="80"/>
  <c r="W52" i="80"/>
  <c r="Z52" i="80"/>
  <c r="X44" i="80"/>
  <c r="Y44" i="80"/>
  <c r="W44" i="80"/>
  <c r="Z44" i="80"/>
  <c r="AA44" i="80"/>
  <c r="Z46" i="80"/>
  <c r="X46" i="80"/>
  <c r="Y46" i="80"/>
  <c r="W46" i="80"/>
  <c r="AA46" i="80"/>
  <c r="S51" i="80"/>
  <c r="P36" i="49"/>
  <c r="AB41" i="80"/>
  <c r="AA49" i="80"/>
  <c r="Z49" i="80"/>
  <c r="W49" i="80"/>
  <c r="X49" i="80"/>
  <c r="Y49" i="80"/>
  <c r="F31" i="72"/>
  <c r="F44" i="72" s="1"/>
  <c r="F32" i="72"/>
  <c r="F45" i="72" s="1"/>
  <c r="F29" i="72"/>
  <c r="F42" i="72" s="1"/>
  <c r="F35" i="72"/>
  <c r="F48" i="72" s="1"/>
  <c r="F33" i="72"/>
  <c r="F46" i="72" s="1"/>
  <c r="C41" i="72"/>
  <c r="L63" i="72"/>
  <c r="C73" i="72" s="1"/>
  <c r="F30" i="72"/>
  <c r="F43" i="72" s="1"/>
  <c r="C43" i="72"/>
  <c r="L62" i="72"/>
  <c r="L36" i="72"/>
  <c r="L28" i="49"/>
  <c r="E36" i="72"/>
  <c r="E35" i="72" s="1"/>
  <c r="E48" i="72" s="1"/>
  <c r="D35" i="72"/>
  <c r="D48" i="72" s="1"/>
  <c r="D28" i="72"/>
  <c r="D33" i="72"/>
  <c r="D46" i="72" s="1"/>
  <c r="D32" i="72"/>
  <c r="D45" i="72" s="1"/>
  <c r="D31" i="72"/>
  <c r="D44" i="72" s="1"/>
  <c r="D29" i="72"/>
  <c r="D42" i="72" s="1"/>
  <c r="D30" i="72"/>
  <c r="D34" i="72"/>
  <c r="L64" i="72"/>
  <c r="C74" i="72" s="1"/>
  <c r="C47" i="72"/>
  <c r="F34" i="72"/>
  <c r="F47" i="72" s="1"/>
  <c r="H8" i="49"/>
  <c r="P27" i="49"/>
  <c r="L8" i="49" s="1"/>
  <c r="M28" i="49"/>
  <c r="Q27" i="49"/>
  <c r="J97" i="84" l="1"/>
  <c r="J142" i="84" s="1"/>
  <c r="I144" i="82"/>
  <c r="J96" i="84"/>
  <c r="J141" i="84" s="1"/>
  <c r="I143" i="82"/>
  <c r="J144" i="82"/>
  <c r="K97" i="84"/>
  <c r="K142" i="84" s="1"/>
  <c r="M87" i="84"/>
  <c r="M132" i="84" s="1"/>
  <c r="L134" i="82"/>
  <c r="F101" i="85"/>
  <c r="Q41" i="80"/>
  <c r="N134" i="82"/>
  <c r="O87" i="84"/>
  <c r="O132" i="84" s="1"/>
  <c r="M96" i="84"/>
  <c r="M141" i="84" s="1"/>
  <c r="L143" i="82"/>
  <c r="N144" i="82"/>
  <c r="O97" i="84"/>
  <c r="O142" i="84" s="1"/>
  <c r="M144" i="82"/>
  <c r="N97" i="84"/>
  <c r="N142" i="84" s="1"/>
  <c r="K144" i="82"/>
  <c r="L97" i="84"/>
  <c r="L142" i="84" s="1"/>
  <c r="U41" i="80"/>
  <c r="J87" i="84"/>
  <c r="J132" i="84" s="1"/>
  <c r="I134" i="82"/>
  <c r="M143" i="82"/>
  <c r="N96" i="84"/>
  <c r="N141" i="84" s="1"/>
  <c r="S41" i="80"/>
  <c r="R41" i="80"/>
  <c r="K87" i="84"/>
  <c r="K132" i="84" s="1"/>
  <c r="J134" i="82"/>
  <c r="N143" i="82"/>
  <c r="O96" i="84"/>
  <c r="O141" i="84" s="1"/>
  <c r="L144" i="82"/>
  <c r="M97" i="84"/>
  <c r="M142" i="84" s="1"/>
  <c r="K143" i="82"/>
  <c r="L96" i="84"/>
  <c r="L141" i="84" s="1"/>
  <c r="M134" i="82"/>
  <c r="N87" i="84"/>
  <c r="N132" i="84" s="1"/>
  <c r="J143" i="82"/>
  <c r="K96" i="84"/>
  <c r="K141" i="84" s="1"/>
  <c r="L87" i="84"/>
  <c r="L132" i="84" s="1"/>
  <c r="K134" i="82"/>
  <c r="F99" i="85"/>
  <c r="E99" i="85"/>
  <c r="J134" i="84"/>
  <c r="O134" i="84"/>
  <c r="N134" i="84"/>
  <c r="K134" i="84"/>
  <c r="L134" i="84"/>
  <c r="M134" i="84"/>
  <c r="Y101" i="80"/>
  <c r="T101" i="80"/>
  <c r="M97" i="80"/>
  <c r="N122" i="80"/>
  <c r="M123" i="80"/>
  <c r="K114" i="80"/>
  <c r="G101" i="80"/>
  <c r="G102" i="80" s="1"/>
  <c r="J54" i="80"/>
  <c r="P75" i="80"/>
  <c r="AA101" i="80"/>
  <c r="F101" i="80"/>
  <c r="H125" i="80"/>
  <c r="H126" i="80" s="1"/>
  <c r="H101" i="80"/>
  <c r="H102" i="80" s="1"/>
  <c r="E101" i="80"/>
  <c r="E102" i="80" s="1"/>
  <c r="R101" i="80"/>
  <c r="Z101" i="80"/>
  <c r="G125" i="80"/>
  <c r="G126" i="80" s="1"/>
  <c r="I101" i="80"/>
  <c r="I102" i="80" s="1"/>
  <c r="K97" i="80"/>
  <c r="K121" i="80"/>
  <c r="P73" i="80"/>
  <c r="Q123" i="80"/>
  <c r="U123" i="80"/>
  <c r="T123" i="80"/>
  <c r="R123" i="80"/>
  <c r="S123" i="80"/>
  <c r="Q101" i="80"/>
  <c r="L98" i="80"/>
  <c r="L122" i="80"/>
  <c r="O98" i="80"/>
  <c r="O122" i="80"/>
  <c r="O114" i="80"/>
  <c r="O90" i="80"/>
  <c r="N99" i="80"/>
  <c r="N123" i="80"/>
  <c r="F125" i="80"/>
  <c r="F126" i="80" s="1"/>
  <c r="K99" i="80"/>
  <c r="K123" i="80"/>
  <c r="X101" i="80"/>
  <c r="M98" i="80"/>
  <c r="M122" i="80"/>
  <c r="P74" i="80"/>
  <c r="S101" i="80"/>
  <c r="L97" i="80"/>
  <c r="L121" i="80"/>
  <c r="W101" i="80"/>
  <c r="N97" i="80"/>
  <c r="N121" i="80"/>
  <c r="X111" i="80"/>
  <c r="AA111" i="80"/>
  <c r="Z111" i="80"/>
  <c r="Y111" i="80"/>
  <c r="W111" i="80"/>
  <c r="I125" i="80"/>
  <c r="I126" i="80" s="1"/>
  <c r="L99" i="80"/>
  <c r="L123" i="80"/>
  <c r="N90" i="80"/>
  <c r="N114" i="80"/>
  <c r="U122" i="80"/>
  <c r="T122" i="80"/>
  <c r="S122" i="80"/>
  <c r="Q122" i="80"/>
  <c r="R122" i="80"/>
  <c r="U101" i="80"/>
  <c r="E125" i="80"/>
  <c r="M114" i="80"/>
  <c r="M90" i="80"/>
  <c r="L90" i="80"/>
  <c r="L114" i="80"/>
  <c r="P66" i="80"/>
  <c r="O99" i="80"/>
  <c r="O123" i="80"/>
  <c r="U115" i="80"/>
  <c r="S115" i="80"/>
  <c r="T115" i="80"/>
  <c r="Q115" i="80"/>
  <c r="R115" i="80"/>
  <c r="O97" i="80"/>
  <c r="O121" i="80"/>
  <c r="K98" i="80"/>
  <c r="K122" i="80"/>
  <c r="R116" i="80"/>
  <c r="T116" i="80"/>
  <c r="Q116" i="80"/>
  <c r="U116" i="80"/>
  <c r="S116" i="80"/>
  <c r="T111" i="80"/>
  <c r="R111" i="80"/>
  <c r="Q111" i="80"/>
  <c r="U111" i="80"/>
  <c r="S111" i="80"/>
  <c r="Q30" i="80"/>
  <c r="Q102" i="80" s="1"/>
  <c r="S30" i="80"/>
  <c r="T30" i="80"/>
  <c r="T102" i="80" s="1"/>
  <c r="R30" i="80"/>
  <c r="U30" i="80"/>
  <c r="R51" i="80"/>
  <c r="T51" i="80"/>
  <c r="Q51" i="80"/>
  <c r="AB72" i="80"/>
  <c r="AB66" i="80"/>
  <c r="V65" i="80"/>
  <c r="V75" i="80"/>
  <c r="AB71" i="80"/>
  <c r="AB68" i="80"/>
  <c r="AB74" i="80"/>
  <c r="AB73" i="80"/>
  <c r="AB67" i="80"/>
  <c r="U50" i="80"/>
  <c r="Q50" i="80"/>
  <c r="S50" i="80"/>
  <c r="R50" i="80"/>
  <c r="P30" i="80"/>
  <c r="Z29" i="80"/>
  <c r="K54" i="80"/>
  <c r="Y29" i="80"/>
  <c r="W29" i="80"/>
  <c r="X29" i="80"/>
  <c r="AA29" i="80"/>
  <c r="AA50" i="80"/>
  <c r="Z50" i="80"/>
  <c r="X50" i="80"/>
  <c r="Y50" i="80"/>
  <c r="W50" i="80"/>
  <c r="AA41" i="80"/>
  <c r="Z41" i="80"/>
  <c r="W41" i="80"/>
  <c r="X41" i="80"/>
  <c r="Y41" i="80"/>
  <c r="Y51" i="80"/>
  <c r="AA51" i="80"/>
  <c r="Z51" i="80"/>
  <c r="X51" i="80"/>
  <c r="W51" i="80"/>
  <c r="E31" i="72"/>
  <c r="E44" i="72" s="1"/>
  <c r="E32" i="72"/>
  <c r="E45" i="72" s="1"/>
  <c r="E33" i="72"/>
  <c r="E46" i="72" s="1"/>
  <c r="D41" i="72"/>
  <c r="M63" i="72"/>
  <c r="D73" i="72" s="1"/>
  <c r="E28" i="72"/>
  <c r="C50" i="72"/>
  <c r="G41" i="72" s="1"/>
  <c r="E29" i="72"/>
  <c r="E42" i="72" s="1"/>
  <c r="E34" i="72"/>
  <c r="D47" i="72"/>
  <c r="M64" i="72"/>
  <c r="D74" i="72" s="1"/>
  <c r="E30" i="72"/>
  <c r="K65" i="72"/>
  <c r="C72" i="72"/>
  <c r="K66" i="72"/>
  <c r="M62" i="72"/>
  <c r="D43" i="72"/>
  <c r="F50" i="72"/>
  <c r="F52" i="72" s="1"/>
  <c r="P28" i="49"/>
  <c r="H9" i="49"/>
  <c r="Q75" i="54" l="1"/>
  <c r="Q75" i="83"/>
  <c r="S75" i="54"/>
  <c r="S75" i="83"/>
  <c r="F102" i="85"/>
  <c r="R75" i="54"/>
  <c r="R75" i="83"/>
  <c r="E102" i="85"/>
  <c r="F102" i="80"/>
  <c r="P75" i="54"/>
  <c r="H137" i="80" a="1"/>
  <c r="H137" i="80" s="1"/>
  <c r="H142" i="80" s="1"/>
  <c r="G137" i="80" a="1"/>
  <c r="G137" i="80" s="1"/>
  <c r="G142" i="80" s="1"/>
  <c r="L125" i="80"/>
  <c r="L126" i="80" s="1"/>
  <c r="L101" i="80"/>
  <c r="L102" i="80" s="1"/>
  <c r="N125" i="80"/>
  <c r="N126" i="80" s="1"/>
  <c r="K125" i="80"/>
  <c r="K126" i="80" s="1"/>
  <c r="M125" i="80"/>
  <c r="M126" i="80" s="1"/>
  <c r="E137" i="80" a="1"/>
  <c r="E137" i="80" s="1"/>
  <c r="E142" i="80" s="1"/>
  <c r="R102" i="80"/>
  <c r="K101" i="80"/>
  <c r="K102" i="80" s="1"/>
  <c r="M101" i="80"/>
  <c r="M102" i="80" s="1"/>
  <c r="O101" i="80"/>
  <c r="O102" i="80" s="1"/>
  <c r="N101" i="80"/>
  <c r="N102" i="80" s="1"/>
  <c r="O125" i="80"/>
  <c r="O126" i="80" s="1"/>
  <c r="S102" i="80"/>
  <c r="E151" i="80" a="1"/>
  <c r="E151" i="80" s="1"/>
  <c r="E156" i="80" s="1"/>
  <c r="E126" i="80"/>
  <c r="U102" i="80"/>
  <c r="J102" i="80"/>
  <c r="K137" i="80" a="1"/>
  <c r="K137" i="80" s="1"/>
  <c r="P54" i="80"/>
  <c r="V30" i="80"/>
  <c r="Z30" i="80"/>
  <c r="Z102" i="80" s="1"/>
  <c r="X30" i="80"/>
  <c r="X102" i="80" s="1"/>
  <c r="AA30" i="80"/>
  <c r="AA102" i="80" s="1"/>
  <c r="W30" i="80"/>
  <c r="W102" i="80" s="1"/>
  <c r="Y30" i="80"/>
  <c r="Y102" i="80" s="1"/>
  <c r="AB75" i="80"/>
  <c r="AB65" i="80"/>
  <c r="G43" i="72"/>
  <c r="J46" i="72"/>
  <c r="J47" i="72"/>
  <c r="G47" i="72"/>
  <c r="C52" i="72"/>
  <c r="D72" i="72"/>
  <c r="L66" i="72"/>
  <c r="L65" i="72"/>
  <c r="E43" i="72"/>
  <c r="N62" i="72"/>
  <c r="C76" i="72"/>
  <c r="C77" i="72" s="1"/>
  <c r="B78" i="72"/>
  <c r="C51" i="72"/>
  <c r="G46" i="72"/>
  <c r="G44" i="72"/>
  <c r="G42" i="72"/>
  <c r="G48" i="72"/>
  <c r="G45" i="72"/>
  <c r="E47" i="72"/>
  <c r="N64" i="72"/>
  <c r="E74" i="72" s="1"/>
  <c r="F51" i="72"/>
  <c r="J48" i="72"/>
  <c r="J41" i="72"/>
  <c r="J44" i="72"/>
  <c r="J45" i="72"/>
  <c r="J42" i="72"/>
  <c r="E41" i="72"/>
  <c r="N63" i="72"/>
  <c r="E73" i="72" s="1"/>
  <c r="J43" i="72"/>
  <c r="D50" i="72"/>
  <c r="D52" i="72" s="1"/>
  <c r="O75" i="54" l="1"/>
  <c r="O75" i="83"/>
  <c r="E143" i="80"/>
  <c r="G143" i="80"/>
  <c r="H143" i="80"/>
  <c r="E157" i="80"/>
  <c r="M137" i="80" a="1"/>
  <c r="M137" i="80" s="1"/>
  <c r="M142" i="80" s="1"/>
  <c r="M143" i="80" s="1"/>
  <c r="V102" i="80"/>
  <c r="F151" i="80" a="1"/>
  <c r="F151" i="80" s="1"/>
  <c r="F156" i="80" s="1"/>
  <c r="P102" i="80"/>
  <c r="F137" i="80" a="1"/>
  <c r="F137" i="80" s="1"/>
  <c r="F142" i="80" s="1"/>
  <c r="J126" i="80"/>
  <c r="K151" i="80" a="1"/>
  <c r="K151" i="80" s="1"/>
  <c r="K156" i="80" s="1"/>
  <c r="K157" i="80" s="1"/>
  <c r="L137" i="80" a="1"/>
  <c r="L137" i="80" s="1"/>
  <c r="L142" i="80" s="1"/>
  <c r="L143" i="80" s="1"/>
  <c r="N137" i="80" a="1"/>
  <c r="N137" i="80" s="1"/>
  <c r="N142" i="80" s="1"/>
  <c r="P126" i="80"/>
  <c r="L151" i="80" a="1"/>
  <c r="AB102" i="80"/>
  <c r="AB30" i="80"/>
  <c r="H43" i="72"/>
  <c r="G50" i="72"/>
  <c r="H47" i="72"/>
  <c r="H41" i="72"/>
  <c r="D76" i="72"/>
  <c r="D77" i="72"/>
  <c r="C78" i="72"/>
  <c r="E50" i="72"/>
  <c r="J50" i="72"/>
  <c r="D51" i="72"/>
  <c r="H46" i="72"/>
  <c r="H48" i="72"/>
  <c r="H44" i="72"/>
  <c r="H45" i="72"/>
  <c r="H42" i="72"/>
  <c r="E72" i="72"/>
  <c r="E76" i="72" s="1"/>
  <c r="E78" i="72" s="1"/>
  <c r="M66" i="72"/>
  <c r="M65" i="72"/>
  <c r="F157" i="80" l="1"/>
  <c r="F143" i="80" s="1"/>
  <c r="N143" i="80"/>
  <c r="L151" i="80"/>
  <c r="L156" i="80" s="1"/>
  <c r="L157" i="80" s="1"/>
  <c r="K142" i="80"/>
  <c r="K143" i="80" s="1"/>
  <c r="E52" i="72"/>
  <c r="E51" i="72"/>
  <c r="I48" i="72"/>
  <c r="I44" i="72"/>
  <c r="I45" i="72"/>
  <c r="I42" i="72"/>
  <c r="I46" i="72"/>
  <c r="I43" i="72"/>
  <c r="I41" i="72"/>
  <c r="D78" i="72"/>
  <c r="E77" i="72"/>
  <c r="H50" i="72"/>
  <c r="I47" i="72"/>
  <c r="P114" i="49"/>
  <c r="I50" i="72" l="1"/>
  <c r="J48" i="49"/>
  <c r="J49" i="49" s="1"/>
  <c r="K48" i="49" l="1"/>
  <c r="L35" i="49" l="1"/>
  <c r="M35" i="49"/>
  <c r="K49" i="49"/>
  <c r="G117" i="54" l="1"/>
  <c r="G54" i="54" s="1"/>
  <c r="V112" i="80" s="1"/>
  <c r="T112" i="80" s="1"/>
  <c r="T125" i="80" s="1"/>
  <c r="K87" i="82"/>
  <c r="J87" i="82"/>
  <c r="I87" i="82"/>
  <c r="G117" i="83"/>
  <c r="H117" i="83"/>
  <c r="N87" i="82"/>
  <c r="M87" i="82"/>
  <c r="L87" i="82"/>
  <c r="AB40" i="80"/>
  <c r="Z40" i="80" s="1"/>
  <c r="Z53" i="80" s="1"/>
  <c r="H117" i="54"/>
  <c r="H54" i="54" s="1"/>
  <c r="AB112" i="80" s="1"/>
  <c r="X40" i="80"/>
  <c r="X53" i="80" s="1"/>
  <c r="Y40" i="80"/>
  <c r="Y53" i="80" s="1"/>
  <c r="AA40" i="80"/>
  <c r="AA53" i="80" s="1"/>
  <c r="W40" i="80"/>
  <c r="W53" i="80" s="1"/>
  <c r="L48" i="49"/>
  <c r="V40" i="80"/>
  <c r="P35" i="49"/>
  <c r="M48" i="49"/>
  <c r="H54" i="83" l="1"/>
  <c r="H66" i="83" s="1"/>
  <c r="H131" i="83"/>
  <c r="H23" i="83" s="1"/>
  <c r="H26" i="83" s="1"/>
  <c r="G131" i="54"/>
  <c r="G23" i="54" s="1"/>
  <c r="G26" i="54" s="1"/>
  <c r="N86" i="84"/>
  <c r="M133" i="82"/>
  <c r="M146" i="82" s="1"/>
  <c r="M100" i="82"/>
  <c r="M101" i="82"/>
  <c r="Q112" i="80"/>
  <c r="Q125" i="80" s="1"/>
  <c r="G54" i="83"/>
  <c r="G66" i="83" s="1"/>
  <c r="G131" i="83"/>
  <c r="G23" i="83" s="1"/>
  <c r="G26" i="83" s="1"/>
  <c r="G66" i="54"/>
  <c r="M86" i="84"/>
  <c r="L133" i="82"/>
  <c r="L146" i="82" s="1"/>
  <c r="L101" i="82"/>
  <c r="L100" i="82"/>
  <c r="V125" i="80"/>
  <c r="O86" i="84"/>
  <c r="N133" i="82"/>
  <c r="N146" i="82" s="1"/>
  <c r="N100" i="82"/>
  <c r="N101" i="82"/>
  <c r="R112" i="80"/>
  <c r="R125" i="80" s="1"/>
  <c r="S112" i="80"/>
  <c r="S125" i="80" s="1"/>
  <c r="I133" i="82"/>
  <c r="I146" i="82" s="1"/>
  <c r="J86" i="84"/>
  <c r="I101" i="82"/>
  <c r="I100" i="82"/>
  <c r="U112" i="80"/>
  <c r="U125" i="80" s="1"/>
  <c r="G151" i="80" s="1" a="1"/>
  <c r="G151" i="80" s="1"/>
  <c r="G156" i="80" s="1"/>
  <c r="J133" i="82"/>
  <c r="J146" i="82" s="1"/>
  <c r="K86" i="84"/>
  <c r="J101" i="82"/>
  <c r="J100" i="82"/>
  <c r="K133" i="82"/>
  <c r="K146" i="82" s="1"/>
  <c r="L86" i="84"/>
  <c r="K100" i="82"/>
  <c r="K101" i="82"/>
  <c r="D136" i="85"/>
  <c r="I164" i="85"/>
  <c r="D135" i="85"/>
  <c r="F135" i="85" s="1"/>
  <c r="D150" i="85" s="1" a="1"/>
  <c r="F136" i="85"/>
  <c r="AA112" i="80"/>
  <c r="AA125" i="80" s="1"/>
  <c r="W112" i="80"/>
  <c r="W125" i="80" s="1"/>
  <c r="Y112" i="80"/>
  <c r="Y125" i="80" s="1"/>
  <c r="X112" i="80"/>
  <c r="X125" i="80" s="1"/>
  <c r="Z112" i="80"/>
  <c r="Z125" i="80" s="1"/>
  <c r="AB125" i="80"/>
  <c r="AA54" i="80"/>
  <c r="Y54" i="80"/>
  <c r="X54" i="80"/>
  <c r="Z54" i="80"/>
  <c r="AB53" i="80"/>
  <c r="H131" i="54"/>
  <c r="H23" i="54" s="1"/>
  <c r="H26" i="54" s="1"/>
  <c r="H66" i="54"/>
  <c r="W54" i="80"/>
  <c r="U40" i="80"/>
  <c r="U53" i="80" s="1"/>
  <c r="T40" i="80"/>
  <c r="T53" i="80" s="1"/>
  <c r="Q40" i="80"/>
  <c r="Q53" i="80" s="1"/>
  <c r="S40" i="80"/>
  <c r="S53" i="80" s="1"/>
  <c r="R40" i="80"/>
  <c r="R53" i="80" s="1"/>
  <c r="V53" i="80"/>
  <c r="L49" i="49"/>
  <c r="F32" i="49"/>
  <c r="I8" i="49"/>
  <c r="M49" i="49"/>
  <c r="Q48" i="49"/>
  <c r="P48" i="49"/>
  <c r="L9" i="49" s="1"/>
  <c r="F64" i="85" l="1" a="1"/>
  <c r="F64" i="85" s="1"/>
  <c r="F68" i="85" s="1"/>
  <c r="L131" i="84"/>
  <c r="L100" i="84"/>
  <c r="L99" i="84"/>
  <c r="O131" i="84"/>
  <c r="O144" i="84" s="1"/>
  <c r="O99" i="84"/>
  <c r="O100" i="84"/>
  <c r="J131" i="84"/>
  <c r="J144" i="84" s="1"/>
  <c r="J100" i="84"/>
  <c r="J99" i="84"/>
  <c r="K131" i="84"/>
  <c r="K144" i="84" s="1"/>
  <c r="K100" i="84"/>
  <c r="K99" i="84"/>
  <c r="E64" i="85" a="1"/>
  <c r="E64" i="85" s="1"/>
  <c r="E68" i="85" s="1"/>
  <c r="L64" i="85" a="1"/>
  <c r="L64" i="85" s="1"/>
  <c r="L68" i="85" s="1"/>
  <c r="M131" i="84"/>
  <c r="M100" i="84"/>
  <c r="M99" i="84"/>
  <c r="N131" i="84"/>
  <c r="N144" i="84" s="1"/>
  <c r="N99" i="84"/>
  <c r="N100" i="84"/>
  <c r="K64" i="85" a="1"/>
  <c r="K64" i="85" s="1"/>
  <c r="K68" i="85" s="1"/>
  <c r="I162" i="85"/>
  <c r="J162" i="85" s="1"/>
  <c r="J164" i="85"/>
  <c r="I146" i="85"/>
  <c r="F146" i="85"/>
  <c r="D150" i="85"/>
  <c r="H146" i="85"/>
  <c r="G146" i="85"/>
  <c r="E146" i="85"/>
  <c r="AA126" i="80"/>
  <c r="G157" i="80"/>
  <c r="X126" i="80"/>
  <c r="Y126" i="80"/>
  <c r="Z126" i="80"/>
  <c r="H151" i="80" a="1"/>
  <c r="H151" i="80" s="1"/>
  <c r="H156" i="80" s="1"/>
  <c r="W126" i="80"/>
  <c r="R54" i="80"/>
  <c r="R126" i="80" s="1"/>
  <c r="S54" i="80"/>
  <c r="S126" i="80" s="1"/>
  <c r="T54" i="80"/>
  <c r="T126" i="80" s="1"/>
  <c r="AB54" i="80"/>
  <c r="U54" i="80"/>
  <c r="U126" i="80" s="1"/>
  <c r="Q54" i="80"/>
  <c r="Q126" i="80" s="1"/>
  <c r="I9" i="49"/>
  <c r="P49" i="49"/>
  <c r="F100" i="85" l="1"/>
  <c r="F104" i="85" s="1"/>
  <c r="M144" i="84"/>
  <c r="O145" i="84" s="1"/>
  <c r="O101" i="84"/>
  <c r="F77" i="85"/>
  <c r="F76" i="85" s="1"/>
  <c r="F79" i="85" s="1"/>
  <c r="F81" i="85" s="1"/>
  <c r="F88" i="85" a="1"/>
  <c r="F88" i="85" s="1"/>
  <c r="F92" i="85" s="1"/>
  <c r="E88" i="85" a="1"/>
  <c r="E88" i="85" s="1"/>
  <c r="E92" i="85" s="1"/>
  <c r="E77" i="85"/>
  <c r="E76" i="85" s="1"/>
  <c r="E79" i="85" s="1"/>
  <c r="E81" i="85" s="1"/>
  <c r="L101" i="84"/>
  <c r="L145" i="84"/>
  <c r="L88" i="85" a="1"/>
  <c r="L88" i="85" s="1"/>
  <c r="L92" i="85" s="1"/>
  <c r="L77" i="85"/>
  <c r="L76" i="85" s="1"/>
  <c r="L79" i="85" s="1"/>
  <c r="L81" i="85" s="1"/>
  <c r="K77" i="85"/>
  <c r="K76" i="85" s="1"/>
  <c r="K79" i="85" s="1"/>
  <c r="K81" i="85" s="1"/>
  <c r="K88" i="85" a="1"/>
  <c r="K88" i="85" s="1"/>
  <c r="K92" i="85" s="1"/>
  <c r="E100" i="85"/>
  <c r="E104" i="85" s="1"/>
  <c r="L144" i="84"/>
  <c r="J150" i="85"/>
  <c r="J146" i="85" s="1"/>
  <c r="D146" i="85"/>
  <c r="H157" i="80"/>
  <c r="N151" i="80" a="1"/>
  <c r="N151" i="80" s="1"/>
  <c r="N156" i="80" s="1"/>
  <c r="N157" i="80" s="1"/>
  <c r="AB126" i="80"/>
  <c r="M151" i="80" a="1"/>
  <c r="M151" i="80" s="1"/>
  <c r="M156" i="80" s="1"/>
  <c r="V126" i="80"/>
  <c r="V54" i="80"/>
  <c r="M157" i="8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<sst xmlns="http://schemas.openxmlformats.org/spreadsheetml/2006/main" count="7123" uniqueCount="911">
  <si>
    <t>Description</t>
  </si>
  <si>
    <t>Color codes</t>
  </si>
  <si>
    <t>Client :</t>
  </si>
  <si>
    <t>OCP Africa</t>
  </si>
  <si>
    <t>abc</t>
  </si>
  <si>
    <t>From external source</t>
  </si>
  <si>
    <t>Données</t>
  </si>
  <si>
    <t>Description :</t>
  </si>
  <si>
    <t>Calculs</t>
  </si>
  <si>
    <t>Projected</t>
  </si>
  <si>
    <t>P205 Forecasted Consumption</t>
  </si>
  <si>
    <t xml:space="preserve">Range </t>
  </si>
  <si>
    <t>CAGR 21-25</t>
  </si>
  <si>
    <t>TOTAL P205</t>
  </si>
  <si>
    <t xml:space="preserve">kt </t>
  </si>
  <si>
    <t>Baseline</t>
  </si>
  <si>
    <t>P205 consumption - Baseline</t>
  </si>
  <si>
    <t>eqDAP/ TSP</t>
  </si>
  <si>
    <t>RAR</t>
  </si>
  <si>
    <t>P205/ TSP, kt</t>
  </si>
  <si>
    <t>CAGR 17-20</t>
  </si>
  <si>
    <t>P205 consumption - Recommended Application Rates</t>
  </si>
  <si>
    <t>Harvested areas</t>
  </si>
  <si>
    <t>Overview</t>
  </si>
  <si>
    <t>ha</t>
  </si>
  <si>
    <t>Hypothesis</t>
  </si>
  <si>
    <t>from FAOSTAT</t>
  </si>
  <si>
    <t xml:space="preserve">To be updated per crop </t>
  </si>
  <si>
    <t xml:space="preserve">CAGR 17-21 </t>
  </si>
  <si>
    <t>CAGR 20-21</t>
  </si>
  <si>
    <t>Retained CAGR 21-25</t>
  </si>
  <si>
    <t>Supporting Programs (if applicable)</t>
  </si>
  <si>
    <t>Source 1</t>
  </si>
  <si>
    <t>Source 2</t>
  </si>
  <si>
    <t>N/A</t>
  </si>
  <si>
    <t>TOTAL</t>
  </si>
  <si>
    <t>*-5% growth discount applied to 2022 due to draught and contracting agricultural output</t>
  </si>
  <si>
    <t xml:space="preserve">a </t>
  </si>
  <si>
    <t xml:space="preserve">Application rate - Scénario1 (Baseline) </t>
  </si>
  <si>
    <t>P205, kg/ha</t>
  </si>
  <si>
    <t>COMTRADE DATA</t>
  </si>
  <si>
    <t>Projected with retained CAGR</t>
  </si>
  <si>
    <t>To be updated if needed</t>
  </si>
  <si>
    <t>Imported P205 nutrient</t>
  </si>
  <si>
    <t>P205/ TSP, kg/ha</t>
  </si>
  <si>
    <t>Check</t>
  </si>
  <si>
    <t>Crop - undifferentiated</t>
  </si>
  <si>
    <t>eq. DAP/ TSP</t>
  </si>
  <si>
    <t>Source</t>
  </si>
  <si>
    <t>b</t>
  </si>
  <si>
    <t>Application rate - Recommended Application Rates</t>
  </si>
  <si>
    <t xml:space="preserve">Ramp up </t>
  </si>
  <si>
    <t>P205 kg/ha</t>
  </si>
  <si>
    <t>Projected with OCP RAR</t>
  </si>
  <si>
    <t>Crop type</t>
  </si>
  <si>
    <t>Crop category</t>
  </si>
  <si>
    <t>Application potential</t>
  </si>
  <si>
    <t>Target 2025</t>
  </si>
  <si>
    <t>Potential fulfillment curve</t>
  </si>
  <si>
    <t>Adjusted RAR</t>
  </si>
  <si>
    <t>Comments</t>
  </si>
  <si>
    <t xml:space="preserve">DRAFT - HYOTHESES </t>
  </si>
  <si>
    <t>Maize</t>
  </si>
  <si>
    <t>Linear</t>
  </si>
  <si>
    <t>Leguminous</t>
  </si>
  <si>
    <t>Exponential</t>
  </si>
  <si>
    <t>Others</t>
  </si>
  <si>
    <t>Tubercules</t>
  </si>
  <si>
    <t>Sorghum</t>
  </si>
  <si>
    <t>Wheat</t>
  </si>
  <si>
    <t>Millet</t>
  </si>
  <si>
    <t>Cacao, Coffee</t>
  </si>
  <si>
    <t>Gardening crop</t>
  </si>
  <si>
    <t>Rice</t>
  </si>
  <si>
    <t>Recommended Application rates</t>
  </si>
  <si>
    <t>check deflator applied in P-potential model</t>
  </si>
  <si>
    <t>Deflator - structurel au marché (to be adjusted)</t>
  </si>
  <si>
    <t>Textile plant</t>
  </si>
  <si>
    <t>OCP - Amadou Gouzaye</t>
  </si>
  <si>
    <t>Agroproductivity index, P-potential model (to be adjusted)</t>
  </si>
  <si>
    <t>²</t>
  </si>
  <si>
    <t>P205 captured</t>
  </si>
  <si>
    <t>In kt P205</t>
  </si>
  <si>
    <t>Total</t>
  </si>
  <si>
    <t>OCP market share</t>
  </si>
  <si>
    <t>FROM P-POTENTIAL MODEL</t>
  </si>
  <si>
    <t>In kg of P2O5</t>
  </si>
  <si>
    <t>Average in kg of P2O5</t>
  </si>
  <si>
    <t xml:space="preserve">Leguminous </t>
  </si>
  <si>
    <t xml:space="preserve">Fonio </t>
  </si>
  <si>
    <t xml:space="preserve">Plante textile </t>
  </si>
  <si>
    <t xml:space="preserve">Coton </t>
  </si>
  <si>
    <t>Culture maraichere</t>
  </si>
  <si>
    <t>Column Labels</t>
  </si>
  <si>
    <t>Row Labels</t>
  </si>
  <si>
    <t>Grand Total</t>
  </si>
  <si>
    <t>Domain Code</t>
  </si>
  <si>
    <t>Domain</t>
  </si>
  <si>
    <t>Area Code (M49)</t>
  </si>
  <si>
    <t>Area</t>
  </si>
  <si>
    <t>Element Code</t>
  </si>
  <si>
    <t>Element</t>
  </si>
  <si>
    <t>Item</t>
  </si>
  <si>
    <t>Year Code</t>
  </si>
  <si>
    <t>Year</t>
  </si>
  <si>
    <t>Unit</t>
  </si>
  <si>
    <t>Value</t>
  </si>
  <si>
    <t>Flag</t>
  </si>
  <si>
    <t>Flag Description</t>
  </si>
  <si>
    <t>E</t>
  </si>
  <si>
    <t>Estimated value</t>
  </si>
  <si>
    <t>Targeted crops by area harvested</t>
  </si>
  <si>
    <t>Sum of Value</t>
  </si>
  <si>
    <t>Maize (corn)</t>
  </si>
  <si>
    <t>Beans, dry</t>
  </si>
  <si>
    <t>Potatoes</t>
  </si>
  <si>
    <t>Other pulses n.e.c.</t>
  </si>
  <si>
    <t>Coffee, green</t>
  </si>
  <si>
    <t>Other oil seeds, n.e.c.</t>
  </si>
  <si>
    <t>Sugar cane</t>
  </si>
  <si>
    <t>Other vegetables, fresh n.e.c.</t>
  </si>
  <si>
    <t>Coconuts, in shell</t>
  </si>
  <si>
    <t>Bananas</t>
  </si>
  <si>
    <t>Sweet potatoes</t>
  </si>
  <si>
    <t>Cassava, fresh</t>
  </si>
  <si>
    <t>Mangoes, guavas and mangosteens</t>
  </si>
  <si>
    <t>https://www.fao.org/faostat/fr/#data/QCL</t>
  </si>
  <si>
    <t>Item Code (CPC)</t>
  </si>
  <si>
    <t>QCL</t>
  </si>
  <si>
    <t>Crops and livestock products</t>
  </si>
  <si>
    <t>Area harvested</t>
  </si>
  <si>
    <t>I</t>
  </si>
  <si>
    <t>Imputed value</t>
  </si>
  <si>
    <t>Avocados</t>
  </si>
  <si>
    <t>T</t>
  </si>
  <si>
    <t>Unofficial figure</t>
  </si>
  <si>
    <t>Cashew nuts, in shell</t>
  </si>
  <si>
    <t>M</t>
  </si>
  <si>
    <t>Missing value (data cannot exist, not applicable)</t>
  </si>
  <si>
    <t>Chillies and peppers, dry (Capsicum spp., Pimenta spp.), raw</t>
  </si>
  <si>
    <t>Chillies and peppers, green (Capsicum spp. and Pimenta spp.)</t>
  </si>
  <si>
    <t>Cucumbers and gherkins</t>
  </si>
  <si>
    <t>Edible roots and tubers with high starch or inulin content, n.e.c., fresh</t>
  </si>
  <si>
    <t>Ginger, raw</t>
  </si>
  <si>
    <t>Groundnuts, excluding shelled</t>
  </si>
  <si>
    <t>Okra</t>
  </si>
  <si>
    <t>Oranges</t>
  </si>
  <si>
    <t>Other beans, green</t>
  </si>
  <si>
    <t>Other citrus fruit, n.e.c.</t>
  </si>
  <si>
    <t>Other fruits, n.e.c.</t>
  </si>
  <si>
    <t>Other nuts (excluding wild edible nuts and groundnuts), in shell, n.e.c.</t>
  </si>
  <si>
    <t>Other stimulant, spice and aromatic crops, n.e.c.</t>
  </si>
  <si>
    <t>Other tropical fruits, n.e.c.</t>
  </si>
  <si>
    <t>Papayas</t>
  </si>
  <si>
    <t>Pepper (Piper spp.), raw</t>
  </si>
  <si>
    <t>Pineapples</t>
  </si>
  <si>
    <t>Plantains and cooking bananas</t>
  </si>
  <si>
    <t>Pomelos and grapefruits</t>
  </si>
  <si>
    <t>Seed cotton, unginned</t>
  </si>
  <si>
    <t>Sesame seed</t>
  </si>
  <si>
    <t>Soya beans</t>
  </si>
  <si>
    <t>Tomatoes</t>
  </si>
  <si>
    <t>Unmanufactured tobacco</t>
  </si>
  <si>
    <t>Yams</t>
  </si>
  <si>
    <t>Côte d'Ivoire</t>
  </si>
  <si>
    <t>Almonds, in shell</t>
  </si>
  <si>
    <t>01520.01</t>
  </si>
  <si>
    <t>Cocoa beans</t>
  </si>
  <si>
    <t>01929.08</t>
  </si>
  <si>
    <t>Coir, raw</t>
  </si>
  <si>
    <t>01599.10</t>
  </si>
  <si>
    <t>Eggplants (aubergines)</t>
  </si>
  <si>
    <t>Fonio</t>
  </si>
  <si>
    <t>01290.01</t>
  </si>
  <si>
    <t>Green corn (maize)</t>
  </si>
  <si>
    <t>01922.01</t>
  </si>
  <si>
    <t>Jute, raw or retted</t>
  </si>
  <si>
    <t>01499.01</t>
  </si>
  <si>
    <t>Karite nuts (sheanuts)</t>
  </si>
  <si>
    <t>01379.02</t>
  </si>
  <si>
    <t>Kola nuts</t>
  </si>
  <si>
    <t>01950.01</t>
  </si>
  <si>
    <t>Natural rubber in primary forms</t>
  </si>
  <si>
    <t>01491.01</t>
  </si>
  <si>
    <t>Oil palm fruit</t>
  </si>
  <si>
    <t>01239.01</t>
  </si>
  <si>
    <t>01253.01</t>
  </si>
  <si>
    <t>Onions and shallots, green</t>
  </si>
  <si>
    <t>01241.90</t>
  </si>
  <si>
    <t>01359.90</t>
  </si>
  <si>
    <t>01379.90</t>
  </si>
  <si>
    <t>01449.90</t>
  </si>
  <si>
    <t>01709.90</t>
  </si>
  <si>
    <t>01290.90</t>
  </si>
  <si>
    <t>Pistachios, in shell</t>
  </si>
  <si>
    <t>Pumpkins, squash and gourds</t>
  </si>
  <si>
    <t>01921.01</t>
  </si>
  <si>
    <t>01241.01</t>
  </si>
  <si>
    <t>String beans</t>
  </si>
  <si>
    <t>Taro</t>
  </si>
  <si>
    <t>Pineapple</t>
  </si>
  <si>
    <t>Product</t>
  </si>
  <si>
    <t>Classification</t>
  </si>
  <si>
    <t>Cotton</t>
  </si>
  <si>
    <t>Cocoa</t>
  </si>
  <si>
    <t>Oil Palm</t>
  </si>
  <si>
    <t>Sugarecane</t>
  </si>
  <si>
    <t>Banana</t>
  </si>
  <si>
    <t>Rubber</t>
  </si>
  <si>
    <t>Legumes</t>
  </si>
  <si>
    <t>Vegetables</t>
  </si>
  <si>
    <t>P-content</t>
  </si>
  <si>
    <t>NPK 15-15-15</t>
  </si>
  <si>
    <t>T15</t>
  </si>
  <si>
    <t>Urea</t>
  </si>
  <si>
    <t>NPK 0-23-19</t>
  </si>
  <si>
    <t>High-P</t>
  </si>
  <si>
    <t>Nitrabor</t>
  </si>
  <si>
    <t>High-N</t>
  </si>
  <si>
    <t>NPK 0-18-18</t>
  </si>
  <si>
    <t>TSP</t>
  </si>
  <si>
    <t>MOP</t>
  </si>
  <si>
    <t>High-K</t>
  </si>
  <si>
    <t>NPK 10-10-30</t>
  </si>
  <si>
    <t>NPK 10.5-0-30</t>
  </si>
  <si>
    <t>Tricalcium phosphate</t>
  </si>
  <si>
    <t>NPK 3.5 - 3.5 - 49.5</t>
  </si>
  <si>
    <t>Other</t>
  </si>
  <si>
    <t>NPK 15-15-15 + 4MgO + 0.78</t>
  </si>
  <si>
    <t>Phosphate rocks</t>
  </si>
  <si>
    <t>T10</t>
  </si>
  <si>
    <t>DAP</t>
  </si>
  <si>
    <t>NPK 15-15-15+65+1B</t>
  </si>
  <si>
    <t>NPK 12-24-18</t>
  </si>
  <si>
    <t>NPK 16-8.5-23+2.5S+4MgO</t>
  </si>
  <si>
    <t>NPK 18.5-9-24 + 2.5S+2MgO</t>
  </si>
  <si>
    <t>NPK 18.5-9-24 + 2.5S+4CaO</t>
  </si>
  <si>
    <t>Crop</t>
  </si>
  <si>
    <t>Total (Product)</t>
  </si>
  <si>
    <t>Total (P2O5)</t>
  </si>
  <si>
    <t>Dolomite</t>
  </si>
  <si>
    <t>Phosphate tricalcique</t>
  </si>
  <si>
    <t>MAP</t>
  </si>
  <si>
    <t>NPK 23.2-2-2.8-27.2</t>
  </si>
  <si>
    <t>NPK 14.4-32</t>
  </si>
  <si>
    <t>NPK-20.8-2.3-30</t>
  </si>
  <si>
    <t>NPK 15-7-15</t>
  </si>
  <si>
    <t>NPK 14-10-18</t>
  </si>
  <si>
    <t>NPK 0-13-37</t>
  </si>
  <si>
    <t>NPK 10-10-10+7MgO+18CaO</t>
  </si>
  <si>
    <t>NPK 17-8-9+3MgO</t>
  </si>
  <si>
    <t>NPK 30-10-10</t>
  </si>
  <si>
    <t>NPK 20-10-10+2.3MoG+10CaO</t>
  </si>
  <si>
    <t>NPK 12-12-17</t>
  </si>
  <si>
    <t>NPK 13-11-21</t>
  </si>
  <si>
    <t>NPK 15-15-15+6S+1B</t>
  </si>
  <si>
    <t>NPK 12-22-22</t>
  </si>
  <si>
    <t>NPK 24.4-4-20</t>
  </si>
  <si>
    <t>Soluble potash</t>
  </si>
  <si>
    <t>NPK 11-5-27</t>
  </si>
  <si>
    <t>Kieserite</t>
  </si>
  <si>
    <t>Calcium nitrate</t>
  </si>
  <si>
    <t>NPL 10-18-18</t>
  </si>
  <si>
    <t xml:space="preserve">P-content </t>
  </si>
  <si>
    <t>Apparent Consumption</t>
  </si>
  <si>
    <t>Year(s)</t>
  </si>
  <si>
    <t>2022, 2021, 2020, 2019, 2018, 2017, 2016, 2015, 2014, 2013, 2012, 2011, 2010</t>
  </si>
  <si>
    <t>Products</t>
  </si>
  <si>
    <t>Diammonium Phosphate, Urea, Ammonium Sulphate, Triple Super Phosphate, Muriate of Potash, NPK, Others</t>
  </si>
  <si>
    <t>Product HS Code</t>
  </si>
  <si>
    <t>Apparent Consumption in MT</t>
  </si>
  <si>
    <t>*Unreliable data</t>
  </si>
  <si>
    <t>3103100000</t>
  </si>
  <si>
    <t>Triple Super Phosphate</t>
  </si>
  <si>
    <t>Total 2010</t>
  </si>
  <si>
    <t>Total 2011</t>
  </si>
  <si>
    <t>Total 2012</t>
  </si>
  <si>
    <t>Total 2013</t>
  </si>
  <si>
    <t>Total 2014</t>
  </si>
  <si>
    <t>Total 2015</t>
  </si>
  <si>
    <t>Total 2016</t>
  </si>
  <si>
    <t>Total 2017</t>
  </si>
  <si>
    <t>Total 2018</t>
  </si>
  <si>
    <t>Total 2019</t>
  </si>
  <si>
    <t>Total 2020</t>
  </si>
  <si>
    <t>Total 2021</t>
  </si>
  <si>
    <t>Total 2022</t>
  </si>
  <si>
    <t>3102210000</t>
  </si>
  <si>
    <t>Ammonium Sulphate</t>
  </si>
  <si>
    <t>3102100000</t>
  </si>
  <si>
    <t>3105300000</t>
  </si>
  <si>
    <t>Diammonium Phosphate</t>
  </si>
  <si>
    <t>Total P2O5 (T)</t>
  </si>
  <si>
    <t>3104200000</t>
  </si>
  <si>
    <t>Muriate of Potash</t>
  </si>
  <si>
    <t>3105400000</t>
  </si>
  <si>
    <t>Monoammonium Phosphate</t>
  </si>
  <si>
    <t>3101000000</t>
  </si>
  <si>
    <t>Organic Fertilizer</t>
  </si>
  <si>
    <t/>
  </si>
  <si>
    <t>Other NP Compound</t>
  </si>
  <si>
    <t>3102900000</t>
  </si>
  <si>
    <t>Other Nitrogen</t>
  </si>
  <si>
    <t>3104900000</t>
  </si>
  <si>
    <t>Other Potash fertilizer</t>
  </si>
  <si>
    <t>3103900000</t>
  </si>
  <si>
    <t>Other phosphate</t>
  </si>
  <si>
    <t>2510000000</t>
  </si>
  <si>
    <t>Phosphate Rock</t>
  </si>
  <si>
    <t>3104300000</t>
  </si>
  <si>
    <t>Sulphate of Potash</t>
  </si>
  <si>
    <t>Other PK Compound</t>
  </si>
  <si>
    <t>3105200000</t>
  </si>
  <si>
    <t>NPK unspecified</t>
  </si>
  <si>
    <t>3102600000</t>
  </si>
  <si>
    <t>Calcium Nitrate</t>
  </si>
  <si>
    <t>3105600000</t>
  </si>
  <si>
    <t>Monopotassium Phosphate</t>
  </si>
  <si>
    <t>NPK 12-11-18</t>
  </si>
  <si>
    <t>NPK 13-13-21</t>
  </si>
  <si>
    <t>NPK 15-15-15 + 6S + 1B</t>
  </si>
  <si>
    <t>NPK 15-9-20 + 9.5S</t>
  </si>
  <si>
    <t>NP 3-22-0 + 27S</t>
  </si>
  <si>
    <t>NPK 23-10+05+2MgO+3S+0.3Zn</t>
  </si>
  <si>
    <t>3102400000</t>
  </si>
  <si>
    <t>Calcium Ammonium Nitrate</t>
  </si>
  <si>
    <t>NK 12-0-43</t>
  </si>
  <si>
    <t>NP 16-26-0 + 11S + 0.5Zn</t>
  </si>
  <si>
    <t>NPK 14-18-18 + 6S + 1B</t>
  </si>
  <si>
    <t>NPK 23-10-5</t>
  </si>
  <si>
    <t>NPK 12-11-8</t>
  </si>
  <si>
    <t>NPK 15-9-20 + 9.5 S + TE</t>
  </si>
  <si>
    <t>NPK 13-11-21 + 2MgO + TE</t>
  </si>
  <si>
    <t>NPK 7-4-11 + TE</t>
  </si>
  <si>
    <t>NPK 6-5-49</t>
  </si>
  <si>
    <t>NPK 8-8-8</t>
  </si>
  <si>
    <t>NPK (unknown grade)</t>
  </si>
  <si>
    <t>NPK 6-4-10 + TE</t>
  </si>
  <si>
    <t>NPK 20-10-10</t>
  </si>
  <si>
    <t>NPK 18-18-18 + TE</t>
  </si>
  <si>
    <t>NPK 14-6-5</t>
  </si>
  <si>
    <t>NPK 12-6-20 + 14S + 4MgO</t>
  </si>
  <si>
    <t>NPK 13.5-27-27</t>
  </si>
  <si>
    <t>NPK 11-44-11+TE</t>
  </si>
  <si>
    <t>NPK 17-8-9 + 3MgO</t>
  </si>
  <si>
    <t>NPK 17-17-17</t>
  </si>
  <si>
    <t>NPK 28-10-10 + TE</t>
  </si>
  <si>
    <t>NPK 12-9-34 + 2MgO + TE</t>
  </si>
  <si>
    <t>NPK 13-2-44</t>
  </si>
  <si>
    <t>NPK 3-4-2</t>
  </si>
  <si>
    <t>NPK 7-21-7</t>
  </si>
  <si>
    <t>PK 0-18-19 + 2S + 6MgO + 0.5B + 0.3Zn</t>
  </si>
  <si>
    <t>Single Super Phosphate</t>
  </si>
  <si>
    <t>NPK 11-22-21 + 5S + 1B + 0.7Zn</t>
  </si>
  <si>
    <t>PK 0-24-22</t>
  </si>
  <si>
    <t>2834210000</t>
  </si>
  <si>
    <t>Potassium Nitrate</t>
  </si>
  <si>
    <t>Zinc Sulphate</t>
  </si>
  <si>
    <t>9999999990</t>
  </si>
  <si>
    <t>Enhancers</t>
  </si>
  <si>
    <t>NP 20-2-0</t>
  </si>
  <si>
    <t>Other NK Compound</t>
  </si>
  <si>
    <t>3102300000</t>
  </si>
  <si>
    <t>Ammonium Nitrate</t>
  </si>
  <si>
    <t>Biostimulant</t>
  </si>
  <si>
    <t>Source: Fertilizer Technical Working Group (FTWG)</t>
  </si>
  <si>
    <t>Analysis by: Africafertilizer.org</t>
  </si>
  <si>
    <t>Area (ha)</t>
  </si>
  <si>
    <t xml:space="preserve">P2O5 / ha (kg/ha) </t>
  </si>
  <si>
    <t>xx</t>
  </si>
  <si>
    <t>Classification2</t>
  </si>
  <si>
    <t>Crop (alt)</t>
  </si>
  <si>
    <t>Total (Ton Product)</t>
  </si>
  <si>
    <t>Total (Ton P2O5)</t>
  </si>
  <si>
    <t>&gt;&gt; Input data (Argust - Consumption per crop per product)</t>
  </si>
  <si>
    <t xml:space="preserve">Est. Application rates (actual) per crop - 2017 - Source: Argus </t>
  </si>
  <si>
    <t>Other crops</t>
  </si>
  <si>
    <t>Share P2O5 (%)</t>
  </si>
  <si>
    <t xml:space="preserve">Do not change - Used to approximate app rate of other crops </t>
  </si>
  <si>
    <t>from VIFAA CIV</t>
  </si>
  <si>
    <t>Total P2O5 (ton)</t>
  </si>
  <si>
    <t>CAGR 19-21</t>
  </si>
  <si>
    <t>x</t>
  </si>
  <si>
    <t>Key crop, within 99% of consumption in 2017</t>
  </si>
  <si>
    <t>Marginal crop, within 1% of consumption in 2017</t>
  </si>
  <si>
    <t>Lever 1: Strengthen positioning on cocoa</t>
  </si>
  <si>
    <t>Lever 2: Intensify partnership with Solevo</t>
  </si>
  <si>
    <t>Lever 3: Industrial plantations</t>
  </si>
  <si>
    <t>Lever 4: Rice value proposition</t>
  </si>
  <si>
    <t>Demand unlocking scenario</t>
  </si>
  <si>
    <t>OCP Product mix 2022</t>
  </si>
  <si>
    <t>kt Product</t>
  </si>
  <si>
    <t>Type</t>
  </si>
  <si>
    <t>DAP Special</t>
  </si>
  <si>
    <t>NPK  15 15 15 6S 1B2O3</t>
  </si>
  <si>
    <t>NPK  14 18 18 6S 1B2O3 Afrique</t>
  </si>
  <si>
    <t>TSP CIV</t>
  </si>
  <si>
    <t>(All)</t>
  </si>
  <si>
    <t>DAP en sacs de 50 Kgs</t>
  </si>
  <si>
    <t>DI-AMMONIUM PHOSPHATE (DAP) VRAC</t>
  </si>
  <si>
    <t>NPK 00 . 23 . 19  + 10CaO + 6S + 5 MgONP</t>
  </si>
  <si>
    <t>NPK 151515 6S 1B2O3 (T15 ENRICHI) VRAC</t>
  </si>
  <si>
    <t>NPKSB 14-18-18-6S-1B2O3 SAC 50KG</t>
  </si>
  <si>
    <t>NPKSB 14-18-18-6S-1B2O3 VRAC</t>
  </si>
  <si>
    <t>ROCHE PHOSPHATE BG4 SAC 50KG</t>
  </si>
  <si>
    <t>TRIPLE SUPER PHOSPHATE (TSP) VRAC</t>
  </si>
  <si>
    <t>00-23-19</t>
  </si>
  <si>
    <t>15-15-15</t>
  </si>
  <si>
    <t>14-18-18</t>
  </si>
  <si>
    <t>Phosphate rock</t>
  </si>
  <si>
    <t>Product _ Alt</t>
  </si>
  <si>
    <t>Entity</t>
  </si>
  <si>
    <t>Corporate</t>
  </si>
  <si>
    <t>Quantity (Tons)</t>
  </si>
  <si>
    <t xml:space="preserve">Total Product (Tons) </t>
  </si>
  <si>
    <t>Subsidiary</t>
  </si>
  <si>
    <t>P-Content</t>
  </si>
  <si>
    <t xml:space="preserve">OCP Product mix 2022 - synthesis </t>
  </si>
  <si>
    <t>Source: OCP Africa; OCP CIV 2022 sales data</t>
  </si>
  <si>
    <t>CIV P205</t>
  </si>
  <si>
    <t>Alt_name</t>
  </si>
  <si>
    <t>Other P</t>
  </si>
  <si>
    <t>MKP</t>
  </si>
  <si>
    <t>13-13-21</t>
  </si>
  <si>
    <t>12-0-43</t>
  </si>
  <si>
    <t>23-10-5</t>
  </si>
  <si>
    <t>10-10-30</t>
  </si>
  <si>
    <t>12-11-8</t>
  </si>
  <si>
    <t>12-11-18</t>
  </si>
  <si>
    <t>6-5-49</t>
  </si>
  <si>
    <t>8-8-8</t>
  </si>
  <si>
    <t>20-10-10</t>
  </si>
  <si>
    <t>14-6-5</t>
  </si>
  <si>
    <t>17-17-17</t>
  </si>
  <si>
    <t>13-2-44</t>
  </si>
  <si>
    <t>3-4-2</t>
  </si>
  <si>
    <t>7-21-7</t>
  </si>
  <si>
    <t>0-24-22</t>
  </si>
  <si>
    <t>20-2-0</t>
  </si>
  <si>
    <t>15-9-20</t>
  </si>
  <si>
    <t>3-22-0</t>
  </si>
  <si>
    <t>23-10+05</t>
  </si>
  <si>
    <t>16-26-0</t>
  </si>
  <si>
    <t>13-11-21</t>
  </si>
  <si>
    <t>7-4-11</t>
  </si>
  <si>
    <t>6-4-10</t>
  </si>
  <si>
    <t>18-18-18</t>
  </si>
  <si>
    <t>12-6-20</t>
  </si>
  <si>
    <t>13.5-27</t>
  </si>
  <si>
    <t>11-44-11</t>
  </si>
  <si>
    <t>17-8-9</t>
  </si>
  <si>
    <t>28-10-10</t>
  </si>
  <si>
    <t>12-9-34</t>
  </si>
  <si>
    <t>0-18-19</t>
  </si>
  <si>
    <t>11-22-21</t>
  </si>
  <si>
    <t>2022 product mix - synthesis</t>
  </si>
  <si>
    <t>2022 volume (Tons)</t>
  </si>
  <si>
    <t>2021 volume (Tons)</t>
  </si>
  <si>
    <t xml:space="preserve">Market in 2022 -  kT product reconstruction </t>
  </si>
  <si>
    <t>Product - Clean</t>
  </si>
  <si>
    <t>0-22-16</t>
  </si>
  <si>
    <t>10-45-0</t>
  </si>
  <si>
    <t xml:space="preserve">Market product mix-  kT P2O5 projection </t>
  </si>
  <si>
    <t xml:space="preserve">*P2O5 projection is output of crop consumption analysis </t>
  </si>
  <si>
    <t xml:space="preserve">*Input </t>
  </si>
  <si>
    <t>kT P2O5  2022</t>
  </si>
  <si>
    <t>kT P2O5  2023</t>
  </si>
  <si>
    <t>kT P2O5  2024</t>
  </si>
  <si>
    <t>kT P2O5  2025</t>
  </si>
  <si>
    <t>P205-Content</t>
  </si>
  <si>
    <t>Share of P2O5 2022</t>
  </si>
  <si>
    <t>Share of P2O5 2023</t>
  </si>
  <si>
    <t>Share of P2O5 2024</t>
  </si>
  <si>
    <t>Share of P2O5 2025</t>
  </si>
  <si>
    <t xml:space="preserve">Market mix product -  kT product projection </t>
  </si>
  <si>
    <t>Market kT product  2022</t>
  </si>
  <si>
    <t>Market kT product  2023</t>
  </si>
  <si>
    <t>Market kT product  2024</t>
  </si>
  <si>
    <t>Market kT product  2025</t>
  </si>
  <si>
    <t>Share of Product 2022</t>
  </si>
  <si>
    <t>Share of Product 2023</t>
  </si>
  <si>
    <t>Share of Product 2024</t>
  </si>
  <si>
    <t>Share of Product 2025</t>
  </si>
  <si>
    <t>Open market</t>
  </si>
  <si>
    <t>Average P2O5 content</t>
  </si>
  <si>
    <t xml:space="preserve">OCP Product mix projection </t>
  </si>
  <si>
    <t>Share P2O5</t>
  </si>
  <si>
    <t>OCP evolution of market share per product</t>
  </si>
  <si>
    <t>OCP kT P2O5 sales projection</t>
  </si>
  <si>
    <t>OCP real P2O5 market share 2022</t>
  </si>
  <si>
    <t>OCP real P2O5 market share 2023</t>
  </si>
  <si>
    <t>OCP real P2O5 market share 2024</t>
  </si>
  <si>
    <t>OCP real P2O5 market share 2025</t>
  </si>
  <si>
    <t>OCP P2O5 kT 2022</t>
  </si>
  <si>
    <t>OCP P2O5 kT 2023</t>
  </si>
  <si>
    <t>OCP P2O5 kT 2024</t>
  </si>
  <si>
    <t>OCP P2O5 kT 2025</t>
  </si>
  <si>
    <t>P2O5 OCP MS</t>
  </si>
  <si>
    <t xml:space="preserve">OCP kT product sales projection </t>
  </si>
  <si>
    <t>OCP Product kT 2022</t>
  </si>
  <si>
    <t>OCP Product kT 2023</t>
  </si>
  <si>
    <t>OCP Product kT 2024</t>
  </si>
  <si>
    <t>OCP Product kT 2025</t>
  </si>
  <si>
    <t>kT Product OCP sales</t>
  </si>
  <si>
    <t>Average P2O5 content in OCP sales</t>
  </si>
  <si>
    <t>OCP kT Product MS</t>
  </si>
  <si>
    <t>Source data : VIFAA 2022</t>
  </si>
  <si>
    <t>Country of Origin</t>
  </si>
  <si>
    <t>Sum of Imports from Country in MT</t>
  </si>
  <si>
    <t>Share</t>
  </si>
  <si>
    <t>Share imports</t>
  </si>
  <si>
    <t>NPK 5-16-15 + 16CaO + 6S + 3MgO + 0.7Zn + 0.3B</t>
  </si>
  <si>
    <t>NPK 2-18-16 + 8CaO + 6MgO + 4S + 0.3B2O3 + 0.3Zn</t>
  </si>
  <si>
    <t>NPK 22-5-5</t>
  </si>
  <si>
    <t>NPK 23-10-5 + 6S + 1ZnSO4</t>
  </si>
  <si>
    <t>PK 0-22-16 + 10CaO + 5MGO + 3S + 0.5B2O3</t>
  </si>
  <si>
    <t>NPK 20-10-10 + 3S</t>
  </si>
  <si>
    <t>NPK 3-20-18 + 6CaO + 7MgO + 4S + 0.5B2O3 + 0.5Zn</t>
  </si>
  <si>
    <t>NPK 15-15-15 + 10S</t>
  </si>
  <si>
    <t>NPK 7-20-13 + 6CaO + 5S + 5MgO + 0.4B + TE</t>
  </si>
  <si>
    <t>NPK 5-5-45</t>
  </si>
  <si>
    <t>NPK 3-23-17 + 5MgO + 0.16B + 0.4ZN</t>
  </si>
  <si>
    <t>NPK 13-8-30 + 2MgO + 0.25B</t>
  </si>
  <si>
    <t>NPK 20-20-20</t>
  </si>
  <si>
    <t>NP 10-45-0 + 1S + Zn</t>
  </si>
  <si>
    <t>NPK 3-2-2</t>
  </si>
  <si>
    <t>NPK 24-24-18 + TE</t>
  </si>
  <si>
    <t>NPK 19-19-19 + TE</t>
  </si>
  <si>
    <t>NPK 20-20-20 + TE</t>
  </si>
  <si>
    <t>NPK 9-9-9</t>
  </si>
  <si>
    <t>NPK 10-8-10 + TE</t>
  </si>
  <si>
    <t>NPK 10-5-30</t>
  </si>
  <si>
    <t>NPK 12-12-36 + TE</t>
  </si>
  <si>
    <t>NPK 18-18-18</t>
  </si>
  <si>
    <t>NPK 11-22-21 + 5S + 0.5B + 0.72ZN</t>
  </si>
  <si>
    <t>NPK 30-10-10 + TE</t>
  </si>
  <si>
    <t>NPK 28-10-10</t>
  </si>
  <si>
    <t>NPK 10-14-4</t>
  </si>
  <si>
    <t>NPK 8-32-21</t>
  </si>
  <si>
    <t>NPK 12-7-5 + TE</t>
  </si>
  <si>
    <t>NPK 8-17.4-11.4 + 5.8CaO + 2.9MgO + 0.18B + 0.6Zn</t>
  </si>
  <si>
    <t>NP 20-20-0</t>
  </si>
  <si>
    <t>NPK 6-10-6</t>
  </si>
  <si>
    <t>NPK 17-3.5-4.4</t>
  </si>
  <si>
    <t>NPK 21-21-21-+ TE</t>
  </si>
  <si>
    <t>NPK 1-5-6</t>
  </si>
  <si>
    <t>NPK 10-10-5</t>
  </si>
  <si>
    <t>NPK 17-7-10 + 4MgO</t>
  </si>
  <si>
    <t>NPK 17-8-9 + TE</t>
  </si>
  <si>
    <t>NPK 17-9-8 + 4MgO</t>
  </si>
  <si>
    <t>2021 volume (kT)</t>
  </si>
  <si>
    <t>OCP 2021 (kT)</t>
  </si>
  <si>
    <t>OCP 2021 sales (T)</t>
  </si>
  <si>
    <t>OCP Product mix 2021</t>
  </si>
  <si>
    <t>PK 00-23-19</t>
  </si>
  <si>
    <t>PK 00-23-19 + 2.5S + 10CaO + 0.1Zn</t>
  </si>
  <si>
    <t>PK 00-23-19 +2.5SO3 + 5MgO + 10CaO + 0.1B + 0.1Zn</t>
  </si>
  <si>
    <t>PK 00-23-19 + 5MgO + 2.5SO3 + 0.1ZN + 0.1B</t>
  </si>
  <si>
    <t>kT P2O5  2021</t>
  </si>
  <si>
    <t>Share of P2O5 2021</t>
  </si>
  <si>
    <t>OCP market share of P2O5 2021</t>
  </si>
  <si>
    <t>Market kT product  2021</t>
  </si>
  <si>
    <t>OCP real P2O5 market share 2021</t>
  </si>
  <si>
    <t>OCP 2022 sales (T)</t>
  </si>
  <si>
    <t>Années</t>
  </si>
  <si>
    <t>Industry key Description</t>
  </si>
  <si>
    <t>Customer Name</t>
  </si>
  <si>
    <t>Localisation</t>
  </si>
  <si>
    <t>Payment Terms Description</t>
  </si>
  <si>
    <t>Somme de OK Quantity in Sale's Unit</t>
  </si>
  <si>
    <t>Somme de Total price</t>
  </si>
  <si>
    <t>2021</t>
  </si>
  <si>
    <t>Agrodealer</t>
  </si>
  <si>
    <t>AD PHYTO</t>
  </si>
  <si>
    <t>Duekoue</t>
  </si>
  <si>
    <t>CHLORURE DE POTASSIUM (KCL) SAC 50KG</t>
  </si>
  <si>
    <t>Prepayment</t>
  </si>
  <si>
    <t>APSD</t>
  </si>
  <si>
    <t>60 jours: Date de la facture</t>
  </si>
  <si>
    <t>BARRO DJAKARIDJA</t>
  </si>
  <si>
    <t>BEIDARI SOULEY</t>
  </si>
  <si>
    <t>CIPAM SA</t>
  </si>
  <si>
    <t>Abidjan</t>
  </si>
  <si>
    <t>DI-AMMONIUM PHOSPHATE (DAP) SAC 50KG</t>
  </si>
  <si>
    <t>Client Occasionnel</t>
  </si>
  <si>
    <t>UREE SAC 50KG</t>
  </si>
  <si>
    <t>CROP DOCTOR COTE D'IVOIRE</t>
  </si>
  <si>
    <t>DABRE HASSAN</t>
  </si>
  <si>
    <t>Sassandra</t>
  </si>
  <si>
    <t>DEMBA ALIOU</t>
  </si>
  <si>
    <t>ETS KEITA SILAMAKAN</t>
  </si>
  <si>
    <t>GROUPE DOUBARE</t>
  </si>
  <si>
    <t>K-INVEST SARL</t>
  </si>
  <si>
    <t>KOMBELE PHYTO SARL U</t>
  </si>
  <si>
    <t>LA MAISON DU PLANTEUR</t>
  </si>
  <si>
    <t>San-Pedro</t>
  </si>
  <si>
    <t>30 jours: Date de la facture</t>
  </si>
  <si>
    <t>MONDIAL CYCLES NOUVELLE</t>
  </si>
  <si>
    <t>MOUSSA MOCTAR</t>
  </si>
  <si>
    <t>Soubre</t>
  </si>
  <si>
    <t>NARE SOUMAILA</t>
  </si>
  <si>
    <t>Bonoua</t>
  </si>
  <si>
    <t>PHYTO-CHIM</t>
  </si>
  <si>
    <t>RIFI DISTRIBUTION</t>
  </si>
  <si>
    <t>SABA HAMIDOU</t>
  </si>
  <si>
    <t>SADOU AROUNA</t>
  </si>
  <si>
    <t>Lakota</t>
  </si>
  <si>
    <t>SICA</t>
  </si>
  <si>
    <t>Korhogo</t>
  </si>
  <si>
    <t>SODIPHYTO</t>
  </si>
  <si>
    <t>SODP</t>
  </si>
  <si>
    <t>YAMEOGO SARL</t>
  </si>
  <si>
    <t>ZOUMA KARIM</t>
  </si>
  <si>
    <t>Total Agrodealer</t>
  </si>
  <si>
    <t>Coopérative</t>
  </si>
  <si>
    <t>ADVANS CÔTE D'IVOIRE</t>
  </si>
  <si>
    <t>90% Prep 10% 30j année proch</t>
  </si>
  <si>
    <t>SCOOPS BARAKA</t>
  </si>
  <si>
    <t>SCOOPS PAGO</t>
  </si>
  <si>
    <t>SOCIETE CAFE-CACAO DE GUIBEROUA</t>
  </si>
  <si>
    <t>Gagnoa</t>
  </si>
  <si>
    <t>SOCIETE COOPERATIVE DES PRODUCTEURS</t>
  </si>
  <si>
    <t>Burkina Faso</t>
  </si>
  <si>
    <t>Total Coopérative</t>
  </si>
  <si>
    <t>Importateur</t>
  </si>
  <si>
    <t>AGRIIS</t>
  </si>
  <si>
    <t>CHLORURE DE POTASSIUM (KCL) VRAC</t>
  </si>
  <si>
    <t>Kieserite en sacs de 50 Kgs</t>
  </si>
  <si>
    <t>BIOFERTIL</t>
  </si>
  <si>
    <t>CAP SIKAN SA</t>
  </si>
  <si>
    <t>COMPAGNIE GENERALE AFRICAINE</t>
  </si>
  <si>
    <t>NPK 112221  5S. 1 Zn. 1B203 en sac de 50</t>
  </si>
  <si>
    <t>DPA INDUSTRIES</t>
  </si>
  <si>
    <t>Mali</t>
  </si>
  <si>
    <t>NPK 15-15-15 VRAC</t>
  </si>
  <si>
    <t>OLAM IVOIRE SA</t>
  </si>
  <si>
    <t>Total Importateur</t>
  </si>
  <si>
    <t>Plantation</t>
  </si>
  <si>
    <t>PALMCI</t>
  </si>
  <si>
    <t>90 jours: Date de la facture</t>
  </si>
  <si>
    <t>SCB</t>
  </si>
  <si>
    <t>Total Plantation</t>
  </si>
  <si>
    <t>Projet</t>
  </si>
  <si>
    <t>MINISTERE PROMOTION RIZICULTURE</t>
  </si>
  <si>
    <t>SOCOMCI</t>
  </si>
  <si>
    <t>180 jours: Date de la facture</t>
  </si>
  <si>
    <t>Total Projet</t>
  </si>
  <si>
    <t>(blank)</t>
  </si>
  <si>
    <t>Sum of Somme de OK Quantity in Sale's Unit</t>
  </si>
  <si>
    <t>Product_Alt</t>
  </si>
  <si>
    <t>BG4</t>
  </si>
  <si>
    <t>NPK</t>
  </si>
  <si>
    <t>Date BL</t>
  </si>
  <si>
    <t>PDT</t>
  </si>
  <si>
    <t>Pays du client</t>
  </si>
  <si>
    <t>Sum of Quantité facturée réajustée</t>
  </si>
  <si>
    <t>(Multiple Items)</t>
  </si>
  <si>
    <t>Client</t>
  </si>
  <si>
    <t>KCL</t>
  </si>
  <si>
    <t>Numéro de facture</t>
  </si>
  <si>
    <t>Numéro de commande</t>
  </si>
  <si>
    <t xml:space="preserve">Débloquée par </t>
  </si>
  <si>
    <t>Mode d'expédition</t>
  </si>
  <si>
    <t>ID OV</t>
  </si>
  <si>
    <t>Devise</t>
  </si>
  <si>
    <t>Entité</t>
  </si>
  <si>
    <t>Navire</t>
  </si>
  <si>
    <t>ID Parcel</t>
  </si>
  <si>
    <t>Port de chargement</t>
  </si>
  <si>
    <t>Port de déchargement</t>
  </si>
  <si>
    <t>Mode de vente</t>
  </si>
  <si>
    <t>Produit</t>
  </si>
  <si>
    <t>Famille du produit</t>
  </si>
  <si>
    <t>Quantité chargée</t>
  </si>
  <si>
    <t>Concentration</t>
  </si>
  <si>
    <t>Humidité</t>
  </si>
  <si>
    <t>Quantité facturée</t>
  </si>
  <si>
    <t>Quantité facturée réajustée</t>
  </si>
  <si>
    <t>Montant Ex Work</t>
  </si>
  <si>
    <t>Montant mise à FOB</t>
  </si>
  <si>
    <t>Montant FOB</t>
  </si>
  <si>
    <t>Montant AJF</t>
  </si>
  <si>
    <t>Montant FRET</t>
  </si>
  <si>
    <t xml:space="preserve"> Montant assurance et stocke</t>
  </si>
  <si>
    <t xml:space="preserve"> Montant CFR LINER OUT</t>
  </si>
  <si>
    <t>Montant réajustements de qualité</t>
  </si>
  <si>
    <t>Montant régularisations de prix</t>
  </si>
  <si>
    <t xml:space="preserve">Montant global réajustements </t>
  </si>
  <si>
    <t xml:space="preserve">CA FOB Net </t>
  </si>
  <si>
    <t xml:space="preserve">CA TQ Net </t>
  </si>
  <si>
    <t xml:space="preserve">Nature prix </t>
  </si>
  <si>
    <t>Secteur de Vente</t>
  </si>
  <si>
    <t>Mode de Paiement</t>
  </si>
  <si>
    <t>Echéance</t>
  </si>
  <si>
    <t>Date de fermeture de la commande</t>
  </si>
  <si>
    <t>Date de début de la planche</t>
  </si>
  <si>
    <t>Date de fin de la planche</t>
  </si>
  <si>
    <t>Date de confirmation d'expédition</t>
  </si>
  <si>
    <t>Nom de la banque</t>
  </si>
  <si>
    <t>Numéro compte bancaire</t>
  </si>
  <si>
    <t>Client SOLD TO</t>
  </si>
  <si>
    <t xml:space="preserve">Num Client SOLD TO </t>
  </si>
  <si>
    <t>ETG AGRI INPUTS FZE</t>
  </si>
  <si>
    <t>ZOUHAIR.MALZOUM.EXT</t>
  </si>
  <si>
    <t>Vessel</t>
  </si>
  <si>
    <t>ID-5784</t>
  </si>
  <si>
    <t>USD</t>
  </si>
  <si>
    <t>OCP</t>
  </si>
  <si>
    <t>Export</t>
  </si>
  <si>
    <t>LOUISA BOLTEN-9406049</t>
  </si>
  <si>
    <t>Jorf Lasfar</t>
  </si>
  <si>
    <t>SAN PEDRO</t>
  </si>
  <si>
    <t>CFR</t>
  </si>
  <si>
    <t>Engrais</t>
  </si>
  <si>
    <t>Définitif</t>
  </si>
  <si>
    <t>Afrique</t>
  </si>
  <si>
    <t>Telegraphic Transfer</t>
  </si>
  <si>
    <t>ATTIJARI WAFABANK</t>
  </si>
  <si>
    <t>007780010200900000002469.</t>
  </si>
  <si>
    <t>YARA SWITZERLAND LTD</t>
  </si>
  <si>
    <t>HOUYAM.FANIAR.EXT</t>
  </si>
  <si>
    <t>ID-5804</t>
  </si>
  <si>
    <t>AMIRA SOPHIE-9493224</t>
  </si>
  <si>
    <t>ABIDJAN</t>
  </si>
  <si>
    <t>TT à vue</t>
  </si>
  <si>
    <t>ID-5805</t>
  </si>
  <si>
    <t>DOCOURE PARTENAIRE AGRO INDUSTRIE</t>
  </si>
  <si>
    <t>BOUGATTAYA.8287</t>
  </si>
  <si>
    <t>EUR</t>
  </si>
  <si>
    <t>TBC PRINCESS-9606871</t>
  </si>
  <si>
    <t>SAN PEDRO / COTE D'IVOIRE</t>
  </si>
  <si>
    <t>CIF</t>
  </si>
  <si>
    <t>LC Irrévocable et confirmée</t>
  </si>
  <si>
    <t>007780800200200000002456.</t>
  </si>
  <si>
    <t>HALIMA.OUADOUD.EXT</t>
  </si>
  <si>
    <t>ATLANTIC LAUREL-9494747</t>
  </si>
  <si>
    <t>OLAM INTERNATIONAL LTD</t>
  </si>
  <si>
    <t>ERKUL S-9177789</t>
  </si>
  <si>
    <t>ABIDJAN, IVORY COAST</t>
  </si>
  <si>
    <t>LC Irrévocable</t>
  </si>
  <si>
    <t>order ID: 2920</t>
  </si>
  <si>
    <t>ATILLA-9579339</t>
  </si>
  <si>
    <t>SOLEVO SUISSE SA</t>
  </si>
  <si>
    <t>order ID: 2929</t>
  </si>
  <si>
    <t>KOOMBANA BAY-9515735</t>
  </si>
  <si>
    <t>Product_alt</t>
  </si>
  <si>
    <t>P2O5 quantity 2021 (T)</t>
  </si>
  <si>
    <t>P2O5 quantity 2022 (T)</t>
  </si>
  <si>
    <t>*Not included in 2021, sales to client in Mali</t>
  </si>
  <si>
    <t>OCP trade share 2021</t>
  </si>
  <si>
    <t>Average P2O5 content 2021 (Market)</t>
  </si>
  <si>
    <t>P205-Content (Market)</t>
  </si>
  <si>
    <t>Source: VIFAA CIV document ; OCP CIV data</t>
  </si>
  <si>
    <t>0-23-19</t>
  </si>
  <si>
    <t>0-18-18</t>
  </si>
  <si>
    <t>10.5-0-30</t>
  </si>
  <si>
    <t>12-24-18</t>
  </si>
  <si>
    <t>12-22-22</t>
  </si>
  <si>
    <t>10-18-18</t>
  </si>
  <si>
    <t>0-13-37</t>
  </si>
  <si>
    <t>10-10-10</t>
  </si>
  <si>
    <t>3.5-3.5 -49.5</t>
  </si>
  <si>
    <t>18-9-24</t>
  </si>
  <si>
    <t>16-8.5-23</t>
  </si>
  <si>
    <t>23-2-3</t>
  </si>
  <si>
    <t>14-32-0</t>
  </si>
  <si>
    <t>21-2-30</t>
  </si>
  <si>
    <t>15-7-15</t>
  </si>
  <si>
    <t>14-10-18</t>
  </si>
  <si>
    <t>30-10-10</t>
  </si>
  <si>
    <t>12-12-17</t>
  </si>
  <si>
    <t>24-4-20</t>
  </si>
  <si>
    <t>11-5-27</t>
  </si>
  <si>
    <t>Sum of Cotton</t>
  </si>
  <si>
    <t>Sum of Cocoa</t>
  </si>
  <si>
    <t>Sum of Oil Palm</t>
  </si>
  <si>
    <t>Sum of Maize</t>
  </si>
  <si>
    <t>Sum of Rice</t>
  </si>
  <si>
    <t>Sum of Sugarecane</t>
  </si>
  <si>
    <t>Sum of Banana</t>
  </si>
  <si>
    <t>Sum of Rubber</t>
  </si>
  <si>
    <t>Sum of Legumes</t>
  </si>
  <si>
    <t>Sum of Pineapple</t>
  </si>
  <si>
    <t>Sum of Vegetables</t>
  </si>
  <si>
    <t>Other NPK</t>
  </si>
  <si>
    <t>Est. Consumption per product</t>
  </si>
  <si>
    <t>kT Product</t>
  </si>
  <si>
    <t>kT P2O5</t>
  </si>
  <si>
    <t>Est. P2O5 consumption per product</t>
  </si>
  <si>
    <t>&gt;&gt; Consumption per crop per product</t>
  </si>
  <si>
    <t>kT product</t>
  </si>
  <si>
    <t>Total 2023</t>
  </si>
  <si>
    <t>TOTAL Product (kT)</t>
  </si>
  <si>
    <t>Market projection - per product</t>
  </si>
  <si>
    <t>Strengthening positioning on Cocoa</t>
  </si>
  <si>
    <t>*-10% growth discount applied to 2022 due to market contraction witnessed</t>
  </si>
  <si>
    <t>*+20% growth applied to 2023 given strong market recovery</t>
  </si>
  <si>
    <t>Total OCP P2O5 (kT)</t>
  </si>
  <si>
    <t>OCP share</t>
  </si>
  <si>
    <t>OCP P2O5</t>
  </si>
  <si>
    <t xml:space="preserve">Demand unlocking </t>
  </si>
  <si>
    <t>Intensify partnership with Solevo</t>
  </si>
  <si>
    <t>Industrial plantations</t>
  </si>
  <si>
    <t xml:space="preserve">Rice value proposition </t>
  </si>
  <si>
    <t>Synthesis OCP per crop</t>
  </si>
  <si>
    <t>Synthesis OCP</t>
  </si>
  <si>
    <t>P2O5 source per product (market shift)</t>
  </si>
  <si>
    <t>% of P2O5 from product</t>
  </si>
  <si>
    <t>P205 consumption - Demand unlocking scenario</t>
  </si>
  <si>
    <t xml:space="preserve">P2O5 sales - baseline scenario </t>
  </si>
  <si>
    <t>P2O5 sales - demand unlocking scenario</t>
  </si>
  <si>
    <t xml:space="preserve">OCP Projection - per crop </t>
  </si>
  <si>
    <t xml:space="preserve">OCP Projection - Synthesis </t>
  </si>
  <si>
    <t>Product sales - baseline scenario</t>
  </si>
  <si>
    <t xml:space="preserve">Total (KT product) </t>
  </si>
  <si>
    <t>Product sales - demand unlocking scenario</t>
  </si>
  <si>
    <t>OCP MS (Product)</t>
  </si>
  <si>
    <t>Total (KT P2O5)</t>
  </si>
  <si>
    <t>OCP MS (P205)</t>
  </si>
  <si>
    <t>P2O5 - baseline scenario</t>
  </si>
  <si>
    <t>P2O5 - demand unlocking scenario</t>
  </si>
  <si>
    <t>Consumption per product adjusted to reflect market evolution since 2017</t>
  </si>
  <si>
    <t>OCP projected</t>
  </si>
  <si>
    <t>OCP sales</t>
  </si>
  <si>
    <t>Real market</t>
  </si>
  <si>
    <t>Projected market</t>
  </si>
  <si>
    <t>Total P2O5</t>
  </si>
  <si>
    <t>Total Product</t>
  </si>
  <si>
    <t>Check total market</t>
  </si>
  <si>
    <t>Total Product (kT)</t>
  </si>
  <si>
    <t>Market projection - Baseline scenario</t>
  </si>
  <si>
    <t>Market projection - Demand unlocking scenario scenario</t>
  </si>
  <si>
    <t>kT P2O5 view</t>
  </si>
  <si>
    <t>kT Product view</t>
  </si>
  <si>
    <t>Source of P2O5</t>
  </si>
  <si>
    <t>OCP Levers - Baseline scenario</t>
  </si>
  <si>
    <t>OCP Share of P2O5</t>
  </si>
  <si>
    <t>Levier 1 - Intensifying cocoa</t>
  </si>
  <si>
    <t>Lever 4 - Rice value prop.</t>
  </si>
  <si>
    <t>Lever 2 - Solevo partnership</t>
  </si>
  <si>
    <t>Lever 3 - Industrial plantations</t>
  </si>
  <si>
    <t>OCP Lever</t>
  </si>
  <si>
    <t>Check OCP total P2O5</t>
  </si>
  <si>
    <t>Check OCP total product</t>
  </si>
  <si>
    <t xml:space="preserve">Delta </t>
  </si>
  <si>
    <t>OCP P2O5 sales</t>
  </si>
  <si>
    <t>OCP P-Product sales</t>
  </si>
  <si>
    <t>OCP P2O5 market share</t>
  </si>
  <si>
    <t>Total  (P-product)</t>
  </si>
  <si>
    <t>P-product (kT)</t>
  </si>
  <si>
    <t>P2O5 (kT)</t>
  </si>
  <si>
    <t>Total  (P2O5)</t>
  </si>
  <si>
    <t xml:space="preserve">OCP (total) </t>
  </si>
  <si>
    <t xml:space="preserve">Market (Without OCP) </t>
  </si>
  <si>
    <t>OCP MS (%)</t>
  </si>
  <si>
    <t>Baseline scenario</t>
  </si>
  <si>
    <t>OCP market shares</t>
  </si>
  <si>
    <t>OCP detailed sales</t>
  </si>
  <si>
    <t>Demand-unlocking scenario</t>
  </si>
  <si>
    <t>Delta</t>
  </si>
  <si>
    <t>others</t>
  </si>
  <si>
    <t>2025e</t>
  </si>
  <si>
    <t>Demand unlock scenario growth</t>
  </si>
  <si>
    <t>Baseline scenario growth</t>
  </si>
  <si>
    <t>Series</t>
  </si>
  <si>
    <t>Crop view (growth)</t>
  </si>
  <si>
    <t>Crop product mix</t>
  </si>
  <si>
    <t>P2O5 2025 - Baseline</t>
  </si>
  <si>
    <t xml:space="preserve">P2O5 2025 - Demand unlocking </t>
  </si>
  <si>
    <t>Range</t>
  </si>
  <si>
    <t>Synthesis</t>
  </si>
  <si>
    <t>Total investment - Low range</t>
  </si>
  <si>
    <t>Total investment - High range</t>
  </si>
  <si>
    <t>Recurring cost</t>
  </si>
  <si>
    <t>Comment</t>
  </si>
  <si>
    <t>FTE needs</t>
  </si>
  <si>
    <t>Yes</t>
  </si>
  <si>
    <t>No</t>
  </si>
  <si>
    <t>Warehouse rental</t>
  </si>
  <si>
    <t xml:space="preserve">Total investments (year 1, excl. blender) </t>
  </si>
  <si>
    <t xml:space="preserve">Blender </t>
  </si>
  <si>
    <t xml:space="preserve">Total investments (year 1, incl. blender) </t>
  </si>
  <si>
    <t xml:space="preserve">FTEs needs </t>
  </si>
  <si>
    <t>Unit cost low range</t>
  </si>
  <si>
    <t>Unit cost high range</t>
  </si>
  <si>
    <t xml:space="preserve">Quantity </t>
  </si>
  <si>
    <t>Total investmentn - Low range</t>
  </si>
  <si>
    <t>Total investmentn - High range</t>
  </si>
  <si>
    <t>FTE gross salary ($/year)</t>
  </si>
  <si>
    <t>Regional warehouses</t>
  </si>
  <si>
    <t xml:space="preserve">Warehouse rental </t>
  </si>
  <si>
    <t>Warehouse ($/m²)</t>
  </si>
  <si>
    <t>Warehouse area (m²)</t>
  </si>
  <si>
    <t>Demo plots</t>
  </si>
  <si>
    <t>Salary Regional sales cocoa</t>
  </si>
  <si>
    <t>Salary key account partnerships</t>
  </si>
  <si>
    <t>Salary market intelligence analyst</t>
  </si>
  <si>
    <t>Salary sales manager importer</t>
  </si>
  <si>
    <t>Salary Industrial plantations sales rep</t>
  </si>
  <si>
    <t xml:space="preserve">Number of demo plots (Cocoa) </t>
  </si>
  <si>
    <t>Cost of individual demo plot ($)</t>
  </si>
  <si>
    <t>*Delta explained by OCP T15 sales exceeding market size</t>
  </si>
  <si>
    <t>Regional warehouse to serve industrial plantations</t>
  </si>
  <si>
    <t xml:space="preserve">Yearly gross salaries for FTE reinforcement </t>
  </si>
  <si>
    <t>In charge of extended partnership with Solevo</t>
  </si>
  <si>
    <t>In charge of overall market intelligence, data collection, market insights…</t>
  </si>
  <si>
    <t xml:space="preserve">In charge of local CIV and regional importers </t>
  </si>
  <si>
    <t>In charge of addressing industrial plantations</t>
  </si>
  <si>
    <t xml:space="preserve">In charge of commercial development of cocoa cooperatives/Agribusiness </t>
  </si>
  <si>
    <t xml:space="preserve">Demo plots to stimulate cocoa plantations' fertilizer demand </t>
  </si>
  <si>
    <t>Total recurring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</si>
</sst>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0.0_);\(#,##0.0\);0.0_);@_)"/>
    <numFmt numFmtId="167" formatCode="0.0%_);\(0.0%\)"/>
    <numFmt numFmtId="168" formatCode="dd\-mmm\-yy_)"/>
    <numFmt numFmtId="169" formatCode=";;;"/>
    <numFmt numFmtId="170" formatCode="#,##0_);\(#,##0\);0_);@_)"/>
    <numFmt numFmtId="171" formatCode="#.##0;\-#.##0;\-"/>
    <numFmt numFmtId="172" formatCode="#,##0.00_);\(#,##0.00\);0.00_);@_)"/>
    <numFmt numFmtId="173" formatCode="########0.00"/>
    <numFmt numFmtId="174" formatCode="0%_);\(0%\)"/>
    <numFmt numFmtId="175" formatCode="0.0"/>
    <numFmt numFmtId="176" formatCode="0.000000000000000%"/>
    <numFmt numFmtId="177" formatCode="0.00%_);\(0.00%\)"/>
    <numFmt numFmtId="178" formatCode="_-* #,##0_-;\-* #,##0_-;_-* &quot;-&quot;??_-;_-@_-"/>
    <numFmt numFmtId="179" formatCode="_-* #,##0.0_-;\-* #,##0.0_-;_-* &quot;-&quot;??_-;_-@_-"/>
    <numFmt numFmtId="180" formatCode="0.0000000000%_);\(0.0000000000%\)"/>
    <numFmt numFmtId="181" formatCode="_ * #,##0.00_)_ ;_ * \(#,##0.00\)_ ;_ * &quot;-&quot;_)_ ;_ @_ "/>
    <numFmt numFmtId="182" formatCode="_ * #,##0_)_ ;_ * \(#,##0\)_ ;_ * &quot;-&quot;_)_ ;_ @_ "/>
    <numFmt numFmtId="183" formatCode="#;\-#;\-"/>
    <numFmt numFmtId="184" formatCode="#,##0.0"/>
  </numFmts>
  <fonts count="98" x14ac:knownFonts="1">
    <font>
      <sz val="10"/>
      <name val="Arial"/>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0"/>
      <color indexed="12"/>
      <name val="Arial"/>
      <family val="2"/>
    </font>
    <font>
      <sz val="8"/>
      <name val="Arial"/>
      <family val="2"/>
    </font>
    <font>
      <b/>
      <sz val="18"/>
      <color theme="3"/>
      <name val="Trebuchet MS"/>
      <family val="2"/>
      <scheme val="major"/>
    </font>
    <font>
      <b/>
      <sz val="15"/>
      <color theme="3"/>
      <name val="Arial"/>
      <family val="2"/>
    </font>
    <font>
      <b/>
      <sz val="13"/>
      <color theme="3"/>
      <name val="Arial"/>
      <family val="2"/>
    </font>
    <font>
      <b/>
      <sz val="11"/>
      <color theme="3"/>
      <name val="Arial"/>
      <family val="2"/>
    </font>
    <font>
      <sz val="16"/>
      <color rgb="FF006100"/>
      <name val="Arial"/>
      <family val="2"/>
    </font>
    <font>
      <sz val="16"/>
      <color rgb="FF9C0006"/>
      <name val="Arial"/>
      <family val="2"/>
    </font>
    <font>
      <sz val="16"/>
      <color rgb="FF9C6500"/>
      <name val="Arial"/>
      <family val="2"/>
    </font>
    <font>
      <b/>
      <sz val="16"/>
      <color rgb="FF3F3F3F"/>
      <name val="Arial"/>
      <family val="2"/>
    </font>
    <font>
      <b/>
      <sz val="16"/>
      <color rgb="FFFA7D00"/>
      <name val="Arial"/>
      <family val="2"/>
    </font>
    <font>
      <sz val="16"/>
      <color rgb="FFFA7D00"/>
      <name val="Arial"/>
      <family val="2"/>
    </font>
    <font>
      <b/>
      <sz val="16"/>
      <color theme="0"/>
      <name val="Arial"/>
      <family val="2"/>
    </font>
    <font>
      <sz val="16"/>
      <color rgb="FFFF0000"/>
      <name val="Arial"/>
      <family val="2"/>
    </font>
    <font>
      <sz val="10"/>
      <name val="Arial"/>
      <family val="2"/>
    </font>
    <font>
      <i/>
      <sz val="16"/>
      <color rgb="FF7F7F7F"/>
      <name val="Arial"/>
      <family val="2"/>
    </font>
    <font>
      <b/>
      <sz val="16"/>
      <color theme="1"/>
      <name val="Arial"/>
      <family val="2"/>
    </font>
    <font>
      <sz val="16"/>
      <color theme="0"/>
      <name val="Arial"/>
      <family val="2"/>
    </font>
    <font>
      <sz val="16"/>
      <color theme="1"/>
      <name val="Arial"/>
      <family val="2"/>
    </font>
    <font>
      <sz val="10"/>
      <color rgb="FF0000FF"/>
      <name val="Arial"/>
      <family val="2"/>
    </font>
    <font>
      <sz val="10"/>
      <name val="Arial"/>
      <family val="2"/>
    </font>
    <font>
      <b/>
      <sz val="10"/>
      <color indexed="9"/>
      <name val="Arial"/>
      <family val="2"/>
    </font>
    <font>
      <b/>
      <sz val="18"/>
      <color indexed="9"/>
      <name val="Arial"/>
      <family val="2"/>
    </font>
    <font>
      <b/>
      <sz val="12"/>
      <color rgb="FF006600"/>
      <name val="Arial"/>
      <family val="2"/>
    </font>
    <font>
      <b/>
      <sz val="8"/>
      <name val="Arial"/>
      <family val="2"/>
    </font>
    <font>
      <b/>
      <sz val="10"/>
      <color theme="3"/>
      <name val="Arial"/>
      <family val="2"/>
    </font>
    <font>
      <sz val="10"/>
      <color theme="3"/>
      <name val="Arial"/>
      <family val="2"/>
    </font>
    <font>
      <b/>
      <sz val="12"/>
      <color theme="3"/>
      <name val="Arial"/>
      <family val="2"/>
    </font>
    <font>
      <b/>
      <sz val="12"/>
      <color theme="0"/>
      <name val="Arial"/>
      <family val="2"/>
    </font>
    <font>
      <sz val="11"/>
      <name val="Trebuchet MS"/>
      <family val="2"/>
      <scheme val="minor"/>
    </font>
    <font>
      <b/>
      <sz val="10"/>
      <color theme="0"/>
      <name val="Arial"/>
      <family val="2"/>
    </font>
    <font>
      <b/>
      <sz val="10"/>
      <name val="Arial"/>
      <family val="2"/>
    </font>
    <font>
      <u/>
      <sz val="10"/>
      <color theme="10"/>
      <name val="Arial"/>
      <family val="2"/>
    </font>
    <font>
      <sz val="11"/>
      <color indexed="8"/>
      <name val="Trebuchet MS"/>
      <family val="2"/>
      <scheme val="minor"/>
    </font>
    <font>
      <sz val="10"/>
      <color theme="1"/>
      <name val="Arial"/>
      <family val="2"/>
    </font>
    <font>
      <sz val="8"/>
      <name val="Arial"/>
      <family val="2"/>
    </font>
    <font>
      <b/>
      <sz val="10"/>
      <color rgb="FF0000FF"/>
      <name val="Arial"/>
      <family val="2"/>
    </font>
    <font>
      <b/>
      <sz val="10"/>
      <color theme="1"/>
      <name val="Arial"/>
      <family val="2"/>
    </font>
    <font>
      <sz val="10"/>
      <color theme="0"/>
      <name val="Arial"/>
      <family val="2"/>
    </font>
    <font>
      <sz val="12"/>
      <name val="Arial"/>
      <family val="2"/>
    </font>
    <font>
      <sz val="12"/>
      <color theme="1"/>
      <name val="Trebuchet MS"/>
      <family val="2"/>
      <scheme val="minor"/>
    </font>
    <font>
      <i/>
      <sz val="10"/>
      <name val="Arial"/>
      <family val="2"/>
    </font>
    <font>
      <sz val="10"/>
      <color theme="9" tint="0.79998168889431442"/>
      <name val="Arial"/>
      <family val="2"/>
    </font>
    <font>
      <b/>
      <i/>
      <sz val="10"/>
      <name val="Arial"/>
      <family val="2"/>
    </font>
    <font>
      <i/>
      <sz val="10"/>
      <color theme="0" tint="-0.499984740745262"/>
      <name val="Arial"/>
      <family val="2"/>
    </font>
    <font>
      <u/>
      <sz val="10"/>
      <color theme="10"/>
      <name val="Arial"/>
      <family val="2"/>
    </font>
    <font>
      <i/>
      <sz val="10"/>
      <color theme="0"/>
      <name val="Arial"/>
      <family val="2"/>
    </font>
    <font>
      <b/>
      <i/>
      <sz val="10"/>
      <color theme="9"/>
      <name val="Arial"/>
      <family val="2"/>
    </font>
    <font>
      <sz val="12"/>
      <color indexed="0"/>
      <name val="Arial"/>
      <family val="2"/>
    </font>
    <font>
      <i/>
      <sz val="10"/>
      <color rgb="FF0000FF"/>
      <name val="Arial"/>
      <family val="2"/>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b/>
      <sz val="11"/>
      <name val="Trebuchet MS"/>
      <family val="2"/>
      <scheme val="minor"/>
    </font>
    <font>
      <b/>
      <sz val="18"/>
      <name val="Calibri"/>
      <family val="4"/>
    </font>
    <font>
      <b/>
      <sz val="11"/>
      <name val="Calibri"/>
      <family val="4"/>
    </font>
    <font>
      <b/>
      <sz val="11"/>
      <color rgb="FFFF0000"/>
      <name val="Trebuchet MS"/>
      <family val="2"/>
      <scheme val="minor"/>
    </font>
    <font>
      <b/>
      <sz val="12"/>
      <color theme="0"/>
      <name val="Trebuchet MS"/>
      <family val="2"/>
      <scheme val="minor"/>
    </font>
    <font>
      <i/>
      <sz val="9"/>
      <name val="Arial"/>
      <family val="2"/>
    </font>
    <font>
      <i/>
      <sz val="8"/>
      <color theme="9" tint="-0.499984740745262"/>
      <name val="Arial"/>
      <family val="2"/>
    </font>
    <font>
      <sz val="11"/>
      <color theme="1"/>
      <name val="Calibri"/>
      <family val="2"/>
    </font>
    <font>
      <u/>
      <sz val="11"/>
      <color theme="10"/>
      <name val="Calibri"/>
      <family val="2"/>
    </font>
    <font>
      <b/>
      <sz val="11"/>
      <color theme="0"/>
      <name val="Arial"/>
      <family val="2"/>
    </font>
    <font>
      <i/>
      <sz val="11"/>
      <color theme="1"/>
      <name val="Trebuchet MS"/>
      <family val="2"/>
      <scheme val="minor"/>
    </font>
    <font>
      <b/>
      <sz val="10"/>
      <name val="Trebuchet MS"/>
      <family val="2"/>
      <scheme val="minor"/>
    </font>
    <font>
      <b/>
      <sz val="10"/>
      <color theme="1"/>
      <name val="Arial"/>
    </font>
    <font>
      <i/>
      <sz val="8"/>
      <name val="Arial"/>
      <family val="2"/>
    </font>
    <font>
      <i/>
      <sz val="9"/>
      <color rgb="FF0000FF"/>
      <name val="Arial"/>
      <family val="2"/>
    </font>
    <font>
      <b/>
      <sz val="10"/>
      <color theme="1" tint="0.39997558519241921"/>
      <name val="Arial"/>
      <family val="2"/>
    </font>
    <font>
      <b/>
      <i/>
      <sz val="11"/>
      <color theme="3"/>
      <name val="Arial"/>
      <family val="2"/>
    </font>
    <font>
      <sz val="11"/>
      <name val="Arial"/>
      <family val="2"/>
    </font>
    <font>
      <b/>
      <sz val="10"/>
      <color rgb="FFFF0000"/>
      <name val="Arial"/>
      <family val="2"/>
    </font>
    <font>
      <sz val="10"/>
      <color rgb="FFFF0000"/>
      <name val="Arial"/>
      <family val="2"/>
    </font>
  </fonts>
  <fills count="62">
    <fill>
      <patternFill patternType="none"/>
    </fill>
    <fill>
      <patternFill patternType="gray125"/>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66"/>
        <bgColor indexed="64"/>
      </patternFill>
    </fill>
    <fill>
      <patternFill patternType="solid">
        <fgColor rgb="FFFFFFCC"/>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
      <patternFill patternType="solid">
        <fgColor theme="4"/>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0000FF"/>
        <bgColor indexed="64"/>
      </patternFill>
    </fill>
    <fill>
      <patternFill patternType="solid">
        <fgColor theme="9" tint="0.79998168889431442"/>
        <bgColor indexed="64"/>
      </patternFill>
    </fill>
    <fill>
      <patternFill patternType="solid">
        <fgColor theme="4" tint="0.89999084444715716"/>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bgColor indexed="64"/>
      </patternFill>
    </fill>
    <fill>
      <patternFill patternType="solid">
        <fgColor rgb="FFFFCC99"/>
      </patternFill>
    </fill>
    <fill>
      <patternFill patternType="solid">
        <fgColor rgb="FF93C47D"/>
      </patternFill>
    </fill>
    <fill>
      <patternFill patternType="solid">
        <fgColor rgb="FFCCCCCC"/>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
      <patternFill patternType="solid">
        <fgColor theme="5" tint="0.79998168889431442"/>
        <bgColor indexed="6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FF7C80"/>
        <bgColor indexed="64"/>
      </patternFill>
    </fill>
    <fill>
      <patternFill patternType="solid">
        <fgColor theme="1" tint="0.79998168889431442"/>
        <bgColor indexed="64"/>
      </patternFill>
    </fill>
    <fill>
      <patternFill patternType="solid">
        <fgColor theme="2" tint="-9.9978637043366805E-2"/>
        <bgColor indexed="64"/>
      </patternFill>
    </fill>
  </fills>
  <borders count="9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thin">
        <color theme="0" tint="-0.499984740745262"/>
      </left>
      <right/>
      <top/>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style="double">
        <color indexed="64"/>
      </top>
      <bottom style="double">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theme="9"/>
      </left>
      <right/>
      <top style="medium">
        <color theme="9"/>
      </top>
      <bottom/>
      <diagonal/>
    </border>
    <border>
      <left/>
      <right/>
      <top style="medium">
        <color theme="9"/>
      </top>
      <bottom style="thin">
        <color indexed="64"/>
      </bottom>
      <diagonal/>
    </border>
    <border>
      <left style="medium">
        <color theme="9"/>
      </left>
      <right/>
      <top/>
      <bottom/>
      <diagonal/>
    </border>
    <border>
      <left style="medium">
        <color theme="9"/>
      </left>
      <right/>
      <top/>
      <bottom style="medium">
        <color theme="9"/>
      </bottom>
      <diagonal/>
    </border>
    <border>
      <left/>
      <right/>
      <top/>
      <bottom style="medium">
        <color theme="9"/>
      </bottom>
      <diagonal/>
    </border>
    <border>
      <left/>
      <right style="thin">
        <color indexed="64"/>
      </right>
      <top style="medium">
        <color theme="9"/>
      </top>
      <bottom style="thin">
        <color indexed="64"/>
      </bottom>
      <diagonal/>
    </border>
    <border>
      <left/>
      <right style="thin">
        <color indexed="64"/>
      </right>
      <top/>
      <bottom/>
      <diagonal/>
    </border>
    <border>
      <left/>
      <right style="thin">
        <color indexed="64"/>
      </right>
      <top/>
      <bottom style="medium">
        <color theme="9"/>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theme="1"/>
      </top>
      <bottom/>
      <diagonal/>
    </border>
    <border>
      <left style="thin">
        <color indexed="64"/>
      </left>
      <right/>
      <top/>
      <bottom/>
      <diagonal/>
    </border>
    <border>
      <left/>
      <right style="medium">
        <color indexed="64"/>
      </right>
      <top style="medium">
        <color indexed="64"/>
      </top>
      <bottom/>
      <diagonal/>
    </border>
    <border>
      <left/>
      <right style="medium">
        <color indexed="64"/>
      </right>
      <top style="thin">
        <color theme="1"/>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theme="1"/>
      </top>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theme="4" tint="0.39997558519241921"/>
      </bottom>
      <diagonal/>
    </border>
    <border>
      <left/>
      <right/>
      <top style="thin">
        <color theme="4"/>
      </top>
      <bottom style="thin">
        <color theme="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dotted">
        <color indexed="64"/>
      </left>
      <right/>
      <top/>
      <bottom/>
      <diagonal/>
    </border>
    <border>
      <left style="dotted">
        <color indexed="64"/>
      </left>
      <right/>
      <top style="double">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bottom style="thin">
        <color theme="0"/>
      </bottom>
      <diagonal/>
    </border>
    <border>
      <left/>
      <right/>
      <top style="thin">
        <color theme="0"/>
      </top>
      <bottom/>
      <diagonal/>
    </border>
    <border>
      <left style="thin">
        <color theme="0"/>
      </left>
      <right style="thin">
        <color theme="0"/>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double">
        <color indexed="64"/>
      </bottom>
      <diagonal/>
    </border>
    <border>
      <left style="medium">
        <color indexed="64"/>
      </left>
      <right style="thin">
        <color theme="0"/>
      </right>
      <top style="medium">
        <color indexed="64"/>
      </top>
      <bottom style="thin">
        <color indexed="64"/>
      </bottom>
      <diagonal/>
    </border>
    <border>
      <left style="thin">
        <color theme="0"/>
      </left>
      <right style="thin">
        <color theme="0"/>
      </right>
      <top style="medium">
        <color indexed="64"/>
      </top>
      <bottom style="thin">
        <color indexed="64"/>
      </bottom>
      <diagonal/>
    </border>
    <border>
      <left style="thin">
        <color theme="0"/>
      </left>
      <right style="medium">
        <color indexed="64"/>
      </right>
      <top style="medium">
        <color indexed="64"/>
      </top>
      <bottom style="thin">
        <color indexed="64"/>
      </bottom>
      <diagonal/>
    </border>
    <border>
      <left style="medium">
        <color indexed="64"/>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25">
    <xf numFmtId="0" fontId="0" fillId="0" borderId="0"/>
    <xf numFmtId="166" fontId="12" fillId="2" borderId="1" applyNumberFormat="0" applyAlignment="0" applyProtection="0"/>
    <xf numFmtId="0" fontId="14" fillId="0" borderId="0" applyNumberFormat="0" applyFill="0" applyBorder="0" applyAlignment="0" applyProtection="0"/>
    <xf numFmtId="0" fontId="15" fillId="0" borderId="2" applyNumberFormat="0" applyFill="0" applyAlignment="0" applyProtection="0"/>
    <xf numFmtId="0" fontId="16" fillId="0" borderId="3" applyNumberFormat="0" applyFill="0" applyAlignment="0" applyProtection="0"/>
    <xf numFmtId="0" fontId="17" fillId="0" borderId="4" applyNumberFormat="0" applyFill="0" applyAlignment="0" applyProtection="0"/>
    <xf numFmtId="0" fontId="17" fillId="0" borderId="0" applyNumberFormat="0" applyFill="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0" applyNumberFormat="0" applyBorder="0" applyAlignment="0" applyProtection="0"/>
    <xf numFmtId="0" fontId="21" fillId="6" borderId="5" applyNumberFormat="0" applyAlignment="0" applyProtection="0"/>
    <xf numFmtId="0" fontId="22" fillId="6" borderId="6" applyNumberFormat="0" applyAlignment="0" applyProtection="0"/>
    <xf numFmtId="0" fontId="23" fillId="0" borderId="7" applyNumberFormat="0" applyFill="0" applyAlignment="0" applyProtection="0"/>
    <xf numFmtId="0" fontId="24" fillId="7" borderId="8" applyNumberFormat="0" applyAlignment="0" applyProtection="0"/>
    <xf numFmtId="0" fontId="25" fillId="0" borderId="0" applyNumberFormat="0" applyFill="0" applyBorder="0" applyAlignment="0" applyProtection="0"/>
    <xf numFmtId="0" fontId="26" fillId="8" borderId="9" applyNumberFormat="0" applyFont="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29" fillId="32" borderId="0" applyNumberFormat="0" applyBorder="0" applyAlignment="0" applyProtection="0"/>
    <xf numFmtId="167" fontId="31" fillId="33" borderId="1" applyNumberFormat="0" applyFill="0" applyBorder="0" applyAlignment="0" applyProtection="0"/>
    <xf numFmtId="168" fontId="26" fillId="0" borderId="0" applyFont="0" applyFill="0" applyBorder="0" applyAlignment="0" applyProtection="0"/>
    <xf numFmtId="169" fontId="26" fillId="0" borderId="0"/>
    <xf numFmtId="43" fontId="32" fillId="0" borderId="0" applyFont="0" applyFill="0" applyBorder="0" applyAlignment="0" applyProtection="0"/>
    <xf numFmtId="41" fontId="32" fillId="0" borderId="0" applyFont="0" applyFill="0" applyBorder="0" applyAlignment="0" applyProtection="0"/>
    <xf numFmtId="165" fontId="32" fillId="0" borderId="0" applyFont="0" applyFill="0" applyBorder="0" applyAlignment="0" applyProtection="0"/>
    <xf numFmtId="164" fontId="32" fillId="0" borderId="0" applyFont="0" applyFill="0" applyBorder="0" applyAlignment="0" applyProtection="0"/>
    <xf numFmtId="167" fontId="26" fillId="0" borderId="0" applyFont="0" applyFill="0" applyBorder="0" applyAlignment="0" applyProtection="0"/>
    <xf numFmtId="166" fontId="31" fillId="34" borderId="1" applyNumberFormat="0" applyAlignment="0" applyProtection="0"/>
    <xf numFmtId="166" fontId="26" fillId="37" borderId="0"/>
    <xf numFmtId="166" fontId="26" fillId="0" borderId="0"/>
    <xf numFmtId="166" fontId="26" fillId="0" borderId="0"/>
    <xf numFmtId="0" fontId="41" fillId="0" borderId="0"/>
    <xf numFmtId="0" fontId="11" fillId="0" borderId="0"/>
    <xf numFmtId="0" fontId="10" fillId="0" borderId="0"/>
    <xf numFmtId="0" fontId="41" fillId="0" borderId="0"/>
    <xf numFmtId="0" fontId="44" fillId="0" borderId="0" applyNumberFormat="0" applyFill="0" applyBorder="0" applyAlignment="0" applyProtection="0"/>
    <xf numFmtId="0" fontId="9" fillId="0" borderId="0"/>
    <xf numFmtId="9" fontId="9" fillId="0" borderId="0" applyFont="0" applyFill="0" applyBorder="0" applyAlignment="0" applyProtection="0"/>
    <xf numFmtId="0" fontId="45"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7" fillId="0" borderId="0"/>
    <xf numFmtId="0" fontId="26" fillId="0" borderId="0"/>
    <xf numFmtId="0" fontId="52" fillId="0" borderId="0"/>
    <xf numFmtId="0" fontId="52" fillId="0" borderId="0"/>
    <xf numFmtId="0" fontId="6" fillId="0" borderId="0"/>
    <xf numFmtId="0" fontId="57" fillId="0" borderId="0" applyNumberFormat="0" applyFill="0" applyBorder="0" applyAlignment="0" applyProtection="0"/>
    <xf numFmtId="0" fontId="60" fillId="0" borderId="0">
      <alignment vertical="top"/>
      <protection locked="0"/>
    </xf>
    <xf numFmtId="0" fontId="5" fillId="0" borderId="0"/>
    <xf numFmtId="0" fontId="62" fillId="0" borderId="0" applyNumberFormat="0" applyFill="0" applyBorder="0" applyAlignment="0" applyProtection="0"/>
    <xf numFmtId="0" fontId="63" fillId="0" borderId="2" applyNumberFormat="0" applyFill="0" applyAlignment="0" applyProtection="0"/>
    <xf numFmtId="0" fontId="64" fillId="0" borderId="3" applyNumberFormat="0" applyFill="0" applyAlignment="0" applyProtection="0"/>
    <xf numFmtId="0" fontId="65" fillId="0" borderId="4" applyNumberFormat="0" applyFill="0" applyAlignment="0" applyProtection="0"/>
    <xf numFmtId="0" fontId="65" fillId="0" borderId="0" applyNumberFormat="0" applyFill="0" applyBorder="0" applyAlignment="0" applyProtection="0"/>
    <xf numFmtId="0" fontId="66" fillId="3" borderId="0" applyNumberFormat="0" applyBorder="0" applyAlignment="0" applyProtection="0"/>
    <xf numFmtId="0" fontId="67" fillId="4" borderId="0" applyNumberFormat="0" applyBorder="0" applyAlignment="0" applyProtection="0"/>
    <xf numFmtId="0" fontId="68" fillId="5" borderId="0" applyNumberFormat="0" applyBorder="0" applyAlignment="0" applyProtection="0"/>
    <xf numFmtId="0" fontId="69" fillId="48" borderId="6" applyNumberFormat="0" applyAlignment="0" applyProtection="0"/>
    <xf numFmtId="0" fontId="70" fillId="6" borderId="5" applyNumberFormat="0" applyAlignment="0" applyProtection="0"/>
    <xf numFmtId="0" fontId="71" fillId="6" borderId="6" applyNumberFormat="0" applyAlignment="0" applyProtection="0"/>
    <xf numFmtId="0" fontId="72" fillId="0" borderId="7" applyNumberFormat="0" applyFill="0" applyAlignment="0" applyProtection="0"/>
    <xf numFmtId="0" fontId="73" fillId="7" borderId="8" applyNumberFormat="0" applyAlignment="0" applyProtection="0"/>
    <xf numFmtId="0" fontId="74" fillId="0" borderId="0" applyNumberFormat="0" applyFill="0" applyBorder="0" applyAlignment="0" applyProtection="0"/>
    <xf numFmtId="0" fontId="5" fillId="8" borderId="9" applyNumberFormat="0" applyFont="0" applyAlignment="0" applyProtection="0"/>
    <xf numFmtId="0" fontId="75" fillId="0" borderId="0" applyNumberFormat="0" applyFill="0" applyBorder="0" applyAlignment="0" applyProtection="0"/>
    <xf numFmtId="0" fontId="76" fillId="0" borderId="10" applyNumberFormat="0" applyFill="0" applyAlignment="0" applyProtection="0"/>
    <xf numFmtId="0" fontId="77"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77"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7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7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7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7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9" fontId="4" fillId="0" borderId="0" applyFont="0" applyFill="0" applyBorder="0" applyAlignment="0" applyProtection="0"/>
    <xf numFmtId="43" fontId="4" fillId="0" borderId="0" applyFont="0" applyFill="0" applyBorder="0" applyAlignment="0" applyProtection="0"/>
    <xf numFmtId="0" fontId="85" fillId="0" borderId="0"/>
    <xf numFmtId="0" fontId="86" fillId="0" borderId="0" applyNumberFormat="0" applyFill="0" applyBorder="0" applyAlignment="0" applyProtection="0"/>
    <xf numFmtId="9" fontId="4" fillId="0" borderId="0" applyFont="0" applyFill="0" applyBorder="0" applyAlignment="0" applyProtection="0"/>
    <xf numFmtId="43" fontId="26" fillId="0" borderId="0" applyFont="0" applyFill="0" applyBorder="0" applyAlignment="0" applyProtection="0"/>
    <xf numFmtId="0" fontId="3" fillId="0" borderId="0"/>
    <xf numFmtId="0" fontId="26" fillId="0" borderId="0"/>
    <xf numFmtId="0" fontId="1" fillId="0" borderId="0"/>
    <xf numFmtId="9" fontId="1" fillId="0" borderId="0" applyFont="0" applyFill="0" applyBorder="0" applyAlignment="0" applyProtection="0"/>
  </cellStyleXfs>
  <cellXfs count="650">
    <xf numFmtId="0" fontId="0" fillId="0" borderId="0" xfId="0"/>
    <xf numFmtId="166" fontId="26" fillId="0" borderId="0" xfId="0" applyNumberFormat="1" applyFont="1"/>
    <xf numFmtId="166" fontId="0" fillId="0" borderId="0" xfId="0" applyNumberFormat="1"/>
    <xf numFmtId="166" fontId="31" fillId="0" borderId="0" xfId="42" applyNumberFormat="1" applyFill="1" applyBorder="1" applyAlignment="1">
      <alignment horizontal="center"/>
    </xf>
    <xf numFmtId="166" fontId="0" fillId="0" borderId="0" xfId="0" applyNumberFormat="1" applyAlignment="1">
      <alignment horizontal="center"/>
    </xf>
    <xf numFmtId="0" fontId="34" fillId="35" borderId="0" xfId="0" applyFont="1" applyFill="1" applyAlignment="1">
      <alignment horizontal="left" vertical="center"/>
    </xf>
    <xf numFmtId="0" fontId="33" fillId="35" borderId="0" xfId="0" applyFont="1" applyFill="1" applyAlignment="1">
      <alignment horizontal="right" vertical="center"/>
    </xf>
    <xf numFmtId="166" fontId="0" fillId="35" borderId="0" xfId="0" applyNumberFormat="1" applyFill="1"/>
    <xf numFmtId="0" fontId="15" fillId="36" borderId="0" xfId="0" applyFont="1" applyFill="1" applyAlignment="1">
      <alignment horizontal="left" vertical="center"/>
    </xf>
    <xf numFmtId="0" fontId="37" fillId="36" borderId="0" xfId="0" applyFont="1" applyFill="1" applyAlignment="1">
      <alignment horizontal="right" vertical="center"/>
    </xf>
    <xf numFmtId="166" fontId="37" fillId="36" borderId="0" xfId="0" applyNumberFormat="1" applyFont="1" applyFill="1" applyAlignment="1">
      <alignment horizontal="right"/>
    </xf>
    <xf numFmtId="166" fontId="38" fillId="36" borderId="0" xfId="0" applyNumberFormat="1" applyFont="1" applyFill="1"/>
    <xf numFmtId="166" fontId="39" fillId="0" borderId="11" xfId="0" applyNumberFormat="1" applyFont="1" applyBorder="1"/>
    <xf numFmtId="166" fontId="26" fillId="0" borderId="12" xfId="0" applyNumberFormat="1" applyFont="1" applyBorder="1"/>
    <xf numFmtId="166" fontId="0" fillId="0" borderId="12" xfId="0" applyNumberFormat="1" applyBorder="1"/>
    <xf numFmtId="166" fontId="0" fillId="0" borderId="13" xfId="0" applyNumberFormat="1" applyBorder="1"/>
    <xf numFmtId="166" fontId="26" fillId="0" borderId="14" xfId="0" applyNumberFormat="1" applyFont="1" applyBorder="1"/>
    <xf numFmtId="166" fontId="0" fillId="0" borderId="15" xfId="0" applyNumberFormat="1" applyBorder="1"/>
    <xf numFmtId="166" fontId="26" fillId="0" borderId="16" xfId="0" applyNumberFormat="1" applyFont="1" applyBorder="1"/>
    <xf numFmtId="166" fontId="26" fillId="0" borderId="17" xfId="0" applyNumberFormat="1" applyFont="1" applyBorder="1"/>
    <xf numFmtId="166" fontId="0" fillId="0" borderId="17" xfId="0" applyNumberFormat="1" applyBorder="1"/>
    <xf numFmtId="166" fontId="0" fillId="0" borderId="18" xfId="0" applyNumberFormat="1" applyBorder="1"/>
    <xf numFmtId="166" fontId="35" fillId="0" borderId="12" xfId="0" applyNumberFormat="1" applyFont="1" applyBorder="1"/>
    <xf numFmtId="166" fontId="0" fillId="0" borderId="14" xfId="0" applyNumberFormat="1" applyBorder="1"/>
    <xf numFmtId="166" fontId="0" fillId="0" borderId="16" xfId="0" applyNumberFormat="1" applyBorder="1"/>
    <xf numFmtId="0" fontId="33" fillId="35" borderId="19" xfId="0" applyFont="1" applyFill="1" applyBorder="1" applyAlignment="1">
      <alignment horizontal="right" vertical="center"/>
    </xf>
    <xf numFmtId="0" fontId="36" fillId="35" borderId="19" xfId="0" applyFont="1" applyFill="1" applyBorder="1" applyAlignment="1">
      <alignment horizontal="left" vertical="center"/>
    </xf>
    <xf numFmtId="0" fontId="13" fillId="35" borderId="19" xfId="52" applyNumberFormat="1" applyFont="1" applyFill="1" applyBorder="1" applyAlignment="1">
      <alignment horizontal="left" vertical="center"/>
    </xf>
    <xf numFmtId="166" fontId="39" fillId="0" borderId="0" xfId="0" applyNumberFormat="1" applyFont="1"/>
    <xf numFmtId="0" fontId="40" fillId="36" borderId="0" xfId="0" applyFont="1" applyFill="1" applyAlignment="1">
      <alignment horizontal="center"/>
    </xf>
    <xf numFmtId="166" fontId="42" fillId="36" borderId="0" xfId="0" applyNumberFormat="1" applyFont="1" applyFill="1"/>
    <xf numFmtId="170" fontId="0" fillId="0" borderId="0" xfId="0" applyNumberFormat="1"/>
    <xf numFmtId="166" fontId="42" fillId="38" borderId="0" xfId="0" applyNumberFormat="1" applyFont="1" applyFill="1"/>
    <xf numFmtId="166" fontId="43" fillId="39" borderId="0" xfId="0" applyNumberFormat="1" applyFont="1" applyFill="1"/>
    <xf numFmtId="0" fontId="42" fillId="36" borderId="0" xfId="0" applyFont="1" applyFill="1" applyAlignment="1">
      <alignment horizontal="center"/>
    </xf>
    <xf numFmtId="166" fontId="42" fillId="35" borderId="0" xfId="0" applyNumberFormat="1" applyFont="1" applyFill="1"/>
    <xf numFmtId="166" fontId="43" fillId="35" borderId="0" xfId="0" applyNumberFormat="1" applyFont="1" applyFill="1"/>
    <xf numFmtId="171" fontId="0" fillId="0" borderId="0" xfId="0" applyNumberFormat="1"/>
    <xf numFmtId="166" fontId="42" fillId="41" borderId="0" xfId="0" applyNumberFormat="1" applyFont="1" applyFill="1"/>
    <xf numFmtId="166" fontId="50" fillId="41" borderId="0" xfId="0" applyNumberFormat="1" applyFont="1" applyFill="1"/>
    <xf numFmtId="170" fontId="49" fillId="35" borderId="0" xfId="0" applyNumberFormat="1" applyFont="1" applyFill="1"/>
    <xf numFmtId="166" fontId="0" fillId="0" borderId="0" xfId="0" applyNumberFormat="1" applyAlignment="1">
      <alignment horizontal="left"/>
    </xf>
    <xf numFmtId="166" fontId="26" fillId="0" borderId="0" xfId="0" applyNumberFormat="1" applyFont="1" applyAlignment="1">
      <alignment horizontal="left"/>
    </xf>
    <xf numFmtId="170" fontId="0" fillId="0" borderId="0" xfId="0" applyNumberFormat="1" applyAlignment="1">
      <alignment horizontal="left"/>
    </xf>
    <xf numFmtId="166" fontId="42" fillId="36" borderId="0" xfId="0" applyNumberFormat="1" applyFont="1" applyFill="1" applyAlignment="1">
      <alignment horizontal="left"/>
    </xf>
    <xf numFmtId="0" fontId="42" fillId="36" borderId="0" xfId="0" applyFont="1" applyFill="1" applyAlignment="1">
      <alignment horizontal="left"/>
    </xf>
    <xf numFmtId="0" fontId="0" fillId="0" borderId="0" xfId="0" applyAlignment="1">
      <alignment horizontal="left"/>
    </xf>
    <xf numFmtId="166" fontId="50" fillId="35" borderId="0" xfId="0" applyNumberFormat="1" applyFont="1" applyFill="1"/>
    <xf numFmtId="166" fontId="42" fillId="35" borderId="0" xfId="0" applyNumberFormat="1" applyFont="1" applyFill="1" applyAlignment="1">
      <alignment horizontal="center"/>
    </xf>
    <xf numFmtId="166" fontId="50" fillId="35" borderId="0" xfId="0" applyNumberFormat="1" applyFont="1" applyFill="1" applyAlignment="1">
      <alignment horizontal="left"/>
    </xf>
    <xf numFmtId="0" fontId="42" fillId="35" borderId="0" xfId="0" applyFont="1" applyFill="1" applyAlignment="1">
      <alignment horizontal="left"/>
    </xf>
    <xf numFmtId="0" fontId="40" fillId="35" borderId="0" xfId="0" applyFont="1" applyFill="1" applyAlignment="1">
      <alignment horizontal="center"/>
    </xf>
    <xf numFmtId="166" fontId="39" fillId="35" borderId="0" xfId="0" applyNumberFormat="1" applyFont="1" applyFill="1"/>
    <xf numFmtId="171" fontId="0" fillId="35" borderId="0" xfId="0" applyNumberFormat="1" applyFill="1"/>
    <xf numFmtId="170" fontId="49" fillId="35" borderId="0" xfId="0" applyNumberFormat="1" applyFont="1" applyFill="1" applyAlignment="1">
      <alignment horizontal="left"/>
    </xf>
    <xf numFmtId="0" fontId="43" fillId="35" borderId="0" xfId="0" applyFont="1" applyFill="1" applyAlignment="1">
      <alignment horizontal="left"/>
    </xf>
    <xf numFmtId="166" fontId="46" fillId="35" borderId="0" xfId="0" applyNumberFormat="1" applyFont="1" applyFill="1" applyAlignment="1">
      <alignment horizontal="left"/>
    </xf>
    <xf numFmtId="0" fontId="0" fillId="0" borderId="0" xfId="0" applyAlignment="1" applyProtection="1">
      <alignment vertical="top"/>
      <protection locked="0"/>
    </xf>
    <xf numFmtId="173" fontId="0" fillId="0" borderId="0" xfId="0" applyNumberFormat="1" applyAlignment="1" applyProtection="1">
      <alignment vertical="top"/>
      <protection locked="0"/>
    </xf>
    <xf numFmtId="166" fontId="26" fillId="35" borderId="0" xfId="0" applyNumberFormat="1" applyFont="1" applyFill="1"/>
    <xf numFmtId="172" fontId="0" fillId="0" borderId="0" xfId="0" applyNumberFormat="1" applyAlignment="1">
      <alignment horizontal="left"/>
    </xf>
    <xf numFmtId="0" fontId="0" fillId="0" borderId="0" xfId="0" pivotButton="1"/>
    <xf numFmtId="3" fontId="0" fillId="0" borderId="0" xfId="0" applyNumberFormat="1"/>
    <xf numFmtId="170" fontId="26" fillId="0" borderId="0" xfId="0" applyNumberFormat="1" applyFont="1" applyAlignment="1">
      <alignment horizontal="left"/>
    </xf>
    <xf numFmtId="170" fontId="50" fillId="35" borderId="0" xfId="0" applyNumberFormat="1" applyFont="1" applyFill="1"/>
    <xf numFmtId="0" fontId="0" fillId="35" borderId="0" xfId="0" applyFill="1" applyAlignment="1">
      <alignment horizontal="left"/>
    </xf>
    <xf numFmtId="0" fontId="51" fillId="35" borderId="0" xfId="0" applyFont="1" applyFill="1" applyAlignment="1" applyProtection="1">
      <alignment vertical="top"/>
      <protection locked="0"/>
    </xf>
    <xf numFmtId="10" fontId="0" fillId="0" borderId="0" xfId="0" applyNumberFormat="1"/>
    <xf numFmtId="2" fontId="0" fillId="0" borderId="0" xfId="49" applyNumberFormat="1" applyFont="1"/>
    <xf numFmtId="167" fontId="0" fillId="0" borderId="0" xfId="49" applyFont="1" applyAlignment="1">
      <alignment horizontal="left"/>
    </xf>
    <xf numFmtId="174" fontId="49" fillId="35" borderId="0" xfId="49" applyNumberFormat="1" applyFont="1" applyFill="1" applyAlignment="1">
      <alignment horizontal="left"/>
    </xf>
    <xf numFmtId="0" fontId="6" fillId="0" borderId="0" xfId="69"/>
    <xf numFmtId="0" fontId="6" fillId="0" borderId="0" xfId="69" applyAlignment="1">
      <alignment horizontal="left"/>
    </xf>
    <xf numFmtId="1" fontId="6" fillId="0" borderId="0" xfId="69" applyNumberFormat="1" applyAlignment="1">
      <alignment horizontal="left"/>
    </xf>
    <xf numFmtId="171" fontId="0" fillId="35" borderId="0" xfId="0" applyNumberFormat="1" applyFill="1" applyAlignment="1">
      <alignment horizontal="center"/>
    </xf>
    <xf numFmtId="171" fontId="26" fillId="35" borderId="0" xfId="0" applyNumberFormat="1" applyFont="1" applyFill="1"/>
    <xf numFmtId="1" fontId="0" fillId="35" borderId="0" xfId="0" applyNumberFormat="1" applyFill="1"/>
    <xf numFmtId="1" fontId="6" fillId="0" borderId="0" xfId="69" applyNumberFormat="1" applyAlignment="1">
      <alignment horizontal="center"/>
    </xf>
    <xf numFmtId="1" fontId="0" fillId="0" borderId="0" xfId="0" applyNumberFormat="1" applyAlignment="1">
      <alignment horizontal="center"/>
    </xf>
    <xf numFmtId="1" fontId="0" fillId="35" borderId="0" xfId="0" applyNumberFormat="1" applyFill="1" applyAlignment="1">
      <alignment horizontal="center"/>
    </xf>
    <xf numFmtId="2" fontId="26" fillId="0" borderId="0" xfId="0" applyNumberFormat="1" applyFont="1"/>
    <xf numFmtId="2" fontId="0" fillId="0" borderId="0" xfId="0" applyNumberFormat="1"/>
    <xf numFmtId="2" fontId="26" fillId="0" borderId="0" xfId="49" applyNumberFormat="1" applyFont="1" applyAlignment="1">
      <alignment horizontal="left"/>
    </xf>
    <xf numFmtId="9" fontId="49" fillId="35" borderId="0" xfId="49" applyNumberFormat="1" applyFont="1" applyFill="1" applyAlignment="1">
      <alignment horizontal="left"/>
    </xf>
    <xf numFmtId="166" fontId="0" fillId="43" borderId="0" xfId="0" applyNumberFormat="1" applyFill="1"/>
    <xf numFmtId="166" fontId="54" fillId="35" borderId="17" xfId="0" applyNumberFormat="1" applyFont="1" applyFill="1" applyBorder="1"/>
    <xf numFmtId="166" fontId="0" fillId="44" borderId="0" xfId="0" applyNumberFormat="1" applyFill="1"/>
    <xf numFmtId="166" fontId="0" fillId="44" borderId="20" xfId="0" applyNumberFormat="1" applyFill="1" applyBorder="1"/>
    <xf numFmtId="166" fontId="26" fillId="44" borderId="21" xfId="0" applyNumberFormat="1" applyFont="1" applyFill="1" applyBorder="1"/>
    <xf numFmtId="167" fontId="26" fillId="0" borderId="0" xfId="49" applyFont="1"/>
    <xf numFmtId="167" fontId="48" fillId="35" borderId="0" xfId="49" applyFont="1" applyFill="1" applyAlignment="1">
      <alignment horizontal="left"/>
    </xf>
    <xf numFmtId="170" fontId="0" fillId="35" borderId="0" xfId="0" applyNumberFormat="1" applyFill="1" applyAlignment="1">
      <alignment horizontal="left"/>
    </xf>
    <xf numFmtId="166" fontId="26" fillId="44" borderId="0" xfId="0" applyNumberFormat="1" applyFont="1" applyFill="1"/>
    <xf numFmtId="0" fontId="53" fillId="0" borderId="20" xfId="0" applyFont="1" applyBorder="1" applyAlignment="1">
      <alignment horizontal="left"/>
    </xf>
    <xf numFmtId="170" fontId="42" fillId="35" borderId="0" xfId="0" applyNumberFormat="1" applyFont="1" applyFill="1"/>
    <xf numFmtId="1" fontId="50" fillId="35" borderId="0" xfId="0" applyNumberFormat="1" applyFont="1" applyFill="1"/>
    <xf numFmtId="1" fontId="50" fillId="35" borderId="0" xfId="49" applyNumberFormat="1" applyFont="1" applyFill="1"/>
    <xf numFmtId="167" fontId="42" fillId="35" borderId="0" xfId="49" applyFont="1" applyFill="1" applyAlignment="1">
      <alignment horizontal="left"/>
    </xf>
    <xf numFmtId="166" fontId="48" fillId="35" borderId="0" xfId="0" applyNumberFormat="1" applyFont="1" applyFill="1"/>
    <xf numFmtId="0" fontId="56" fillId="0" borderId="0" xfId="0" applyFont="1" applyAlignment="1">
      <alignment horizontal="left"/>
    </xf>
    <xf numFmtId="166" fontId="56" fillId="0" borderId="0" xfId="0" applyNumberFormat="1" applyFont="1"/>
    <xf numFmtId="166" fontId="56" fillId="0" borderId="24" xfId="0" applyNumberFormat="1" applyFont="1" applyBorder="1"/>
    <xf numFmtId="0" fontId="42" fillId="41" borderId="0" xfId="0" applyFont="1" applyFill="1" applyAlignment="1">
      <alignment horizontal="left"/>
    </xf>
    <xf numFmtId="0" fontId="26" fillId="0" borderId="0" xfId="0" applyFont="1"/>
    <xf numFmtId="166" fontId="0" fillId="40" borderId="23" xfId="0" applyNumberFormat="1" applyFill="1" applyBorder="1"/>
    <xf numFmtId="2" fontId="0" fillId="0" borderId="0" xfId="0" applyNumberFormat="1" applyAlignment="1">
      <alignment horizontal="center" vertical="center"/>
    </xf>
    <xf numFmtId="2" fontId="0" fillId="43" borderId="0" xfId="0" applyNumberFormat="1" applyFill="1" applyAlignment="1">
      <alignment horizontal="center" vertical="center"/>
    </xf>
    <xf numFmtId="2" fontId="0" fillId="0" borderId="21" xfId="0" applyNumberFormat="1" applyBorder="1" applyAlignment="1">
      <alignment horizontal="center" vertical="center"/>
    </xf>
    <xf numFmtId="2" fontId="0" fillId="43" borderId="21" xfId="0" applyNumberFormat="1" applyFill="1" applyBorder="1" applyAlignment="1">
      <alignment horizontal="center" vertical="center"/>
    </xf>
    <xf numFmtId="2" fontId="55" fillId="0" borderId="22" xfId="0" applyNumberFormat="1" applyFont="1" applyBorder="1" applyAlignment="1">
      <alignment horizontal="center" vertical="center"/>
    </xf>
    <xf numFmtId="2" fontId="55" fillId="43" borderId="22" xfId="0" applyNumberFormat="1" applyFont="1" applyFill="1" applyBorder="1" applyAlignment="1">
      <alignment horizontal="center" vertical="center"/>
    </xf>
    <xf numFmtId="175" fontId="0" fillId="43" borderId="0" xfId="0" applyNumberFormat="1" applyFill="1" applyAlignment="1">
      <alignment horizontal="center" vertical="center"/>
    </xf>
    <xf numFmtId="2" fontId="55" fillId="43" borderId="21" xfId="0" applyNumberFormat="1" applyFont="1" applyFill="1" applyBorder="1" applyAlignment="1">
      <alignment horizontal="center" vertical="center"/>
    </xf>
    <xf numFmtId="170" fontId="0" fillId="43" borderId="0" xfId="0" applyNumberFormat="1" applyFill="1" applyAlignment="1">
      <alignment horizontal="center" vertical="center"/>
    </xf>
    <xf numFmtId="170" fontId="0" fillId="43" borderId="21" xfId="0" applyNumberFormat="1" applyFill="1" applyBorder="1" applyAlignment="1">
      <alignment horizontal="center" vertical="center"/>
    </xf>
    <xf numFmtId="167" fontId="49" fillId="35" borderId="0" xfId="49" applyFont="1" applyFill="1" applyAlignment="1">
      <alignment horizontal="center" vertical="center"/>
    </xf>
    <xf numFmtId="167" fontId="49" fillId="43" borderId="0" xfId="49" applyFont="1" applyFill="1" applyAlignment="1">
      <alignment horizontal="center" vertical="center"/>
    </xf>
    <xf numFmtId="167" fontId="49" fillId="35" borderId="21" xfId="49" applyFont="1" applyFill="1" applyBorder="1" applyAlignment="1">
      <alignment horizontal="center" vertical="center"/>
    </xf>
    <xf numFmtId="172" fontId="0" fillId="43" borderId="0" xfId="0" applyNumberFormat="1" applyFill="1" applyAlignment="1">
      <alignment horizontal="center" vertical="center"/>
    </xf>
    <xf numFmtId="174" fontId="49" fillId="35" borderId="0" xfId="49" applyNumberFormat="1" applyFont="1" applyFill="1" applyAlignment="1">
      <alignment horizontal="center" vertical="center"/>
    </xf>
    <xf numFmtId="0" fontId="42" fillId="36" borderId="0" xfId="0" applyFont="1" applyFill="1" applyAlignment="1">
      <alignment horizontal="center" vertical="center"/>
    </xf>
    <xf numFmtId="172" fontId="0" fillId="0" borderId="20" xfId="0" applyNumberFormat="1" applyBorder="1" applyAlignment="1">
      <alignment horizontal="center" vertical="center"/>
    </xf>
    <xf numFmtId="2" fontId="26" fillId="0" borderId="0" xfId="0" applyNumberFormat="1" applyFont="1" applyAlignment="1">
      <alignment horizontal="center" vertical="center"/>
    </xf>
    <xf numFmtId="2" fontId="0" fillId="0" borderId="0" xfId="49" applyNumberFormat="1" applyFont="1" applyAlignment="1">
      <alignment horizontal="center" vertical="center"/>
    </xf>
    <xf numFmtId="166" fontId="0" fillId="0" borderId="0" xfId="0" applyNumberFormat="1" applyAlignment="1">
      <alignment horizontal="center" vertical="center"/>
    </xf>
    <xf numFmtId="166" fontId="31" fillId="0" borderId="0" xfId="0" applyNumberFormat="1" applyFont="1" applyAlignment="1">
      <alignment horizontal="center" vertical="center"/>
    </xf>
    <xf numFmtId="166" fontId="43" fillId="40" borderId="0" xfId="0" applyNumberFormat="1" applyFont="1" applyFill="1" applyAlignment="1">
      <alignment horizontal="center" vertical="center"/>
    </xf>
    <xf numFmtId="166" fontId="0" fillId="43" borderId="23" xfId="0" applyNumberFormat="1" applyFill="1" applyBorder="1" applyAlignment="1">
      <alignment vertical="center"/>
    </xf>
    <xf numFmtId="167" fontId="49" fillId="43" borderId="21" xfId="49" applyFont="1" applyFill="1" applyBorder="1" applyAlignment="1">
      <alignment horizontal="center" vertical="center"/>
    </xf>
    <xf numFmtId="0" fontId="57" fillId="35" borderId="19" xfId="70" applyNumberFormat="1" applyFill="1" applyBorder="1" applyAlignment="1">
      <alignment horizontal="left" vertical="center"/>
    </xf>
    <xf numFmtId="2" fontId="0" fillId="35" borderId="0" xfId="0" applyNumberFormat="1" applyFill="1" applyAlignment="1">
      <alignment horizontal="center" vertical="center"/>
    </xf>
    <xf numFmtId="2" fontId="0" fillId="35" borderId="20" xfId="0" applyNumberFormat="1" applyFill="1" applyBorder="1" applyAlignment="1">
      <alignment horizontal="center" vertical="center"/>
    </xf>
    <xf numFmtId="166" fontId="0" fillId="45" borderId="0" xfId="0" applyNumberFormat="1" applyFill="1"/>
    <xf numFmtId="166" fontId="53" fillId="44" borderId="23" xfId="0" applyNumberFormat="1" applyFont="1" applyFill="1" applyBorder="1"/>
    <xf numFmtId="166" fontId="26" fillId="0" borderId="25" xfId="0" applyNumberFormat="1" applyFont="1" applyBorder="1"/>
    <xf numFmtId="175" fontId="0" fillId="35" borderId="0" xfId="0" applyNumberFormat="1" applyFill="1" applyAlignment="1">
      <alignment horizontal="center" vertical="center"/>
    </xf>
    <xf numFmtId="2" fontId="0" fillId="35" borderId="21" xfId="0" applyNumberFormat="1" applyFill="1" applyBorder="1" applyAlignment="1">
      <alignment horizontal="center" vertical="center"/>
    </xf>
    <xf numFmtId="2" fontId="55" fillId="35" borderId="23" xfId="0" applyNumberFormat="1" applyFont="1" applyFill="1" applyBorder="1" applyAlignment="1">
      <alignment horizontal="center" vertical="center"/>
    </xf>
    <xf numFmtId="166" fontId="26" fillId="0" borderId="25" xfId="0" applyNumberFormat="1" applyFont="1" applyBorder="1" applyAlignment="1">
      <alignment horizontal="centerContinuous"/>
    </xf>
    <xf numFmtId="166" fontId="0" fillId="0" borderId="27" xfId="0" applyNumberFormat="1" applyBorder="1" applyAlignment="1">
      <alignment horizontal="centerContinuous"/>
    </xf>
    <xf numFmtId="166" fontId="0" fillId="0" borderId="26" xfId="0" applyNumberFormat="1" applyBorder="1" applyAlignment="1">
      <alignment horizontal="centerContinuous"/>
    </xf>
    <xf numFmtId="166" fontId="26" fillId="0" borderId="27" xfId="0" applyNumberFormat="1" applyFont="1" applyBorder="1" applyAlignment="1">
      <alignment horizontal="center"/>
    </xf>
    <xf numFmtId="167" fontId="43" fillId="35" borderId="1" xfId="49" applyFont="1" applyFill="1" applyBorder="1"/>
    <xf numFmtId="167" fontId="26" fillId="35" borderId="0" xfId="49" applyFont="1" applyFill="1" applyAlignment="1">
      <alignment horizontal="left"/>
    </xf>
    <xf numFmtId="166" fontId="26" fillId="35" borderId="0" xfId="0" applyNumberFormat="1" applyFont="1" applyFill="1" applyAlignment="1">
      <alignment horizontal="left"/>
    </xf>
    <xf numFmtId="166" fontId="57" fillId="35" borderId="0" xfId="70" applyNumberFormat="1" applyFill="1"/>
    <xf numFmtId="166" fontId="0" fillId="35" borderId="0" xfId="0" applyNumberFormat="1" applyFill="1" applyAlignment="1">
      <alignment horizontal="left"/>
    </xf>
    <xf numFmtId="167" fontId="57" fillId="35" borderId="0" xfId="70" applyNumberFormat="1" applyFill="1" applyAlignment="1">
      <alignment horizontal="left"/>
    </xf>
    <xf numFmtId="166" fontId="26" fillId="34" borderId="0" xfId="50" applyNumberFormat="1" applyFont="1" applyBorder="1" applyAlignment="1">
      <alignment horizontal="center"/>
    </xf>
    <xf numFmtId="2" fontId="26" fillId="35" borderId="0" xfId="49" applyNumberFormat="1" applyFont="1" applyFill="1" applyAlignment="1">
      <alignment horizontal="center" vertical="center"/>
    </xf>
    <xf numFmtId="167" fontId="48" fillId="46" borderId="0" xfId="49" applyFont="1" applyFill="1" applyAlignment="1">
      <alignment horizontal="left"/>
    </xf>
    <xf numFmtId="166" fontId="0" fillId="46" borderId="0" xfId="0" applyNumberFormat="1" applyFill="1"/>
    <xf numFmtId="174" fontId="46" fillId="35" borderId="0" xfId="49" applyNumberFormat="1" applyFont="1" applyFill="1" applyAlignment="1">
      <alignment horizontal="center" vertical="center"/>
    </xf>
    <xf numFmtId="174" fontId="49" fillId="35" borderId="20" xfId="49" applyNumberFormat="1" applyFont="1" applyFill="1" applyBorder="1" applyAlignment="1">
      <alignment horizontal="center" vertical="center"/>
    </xf>
    <xf numFmtId="167" fontId="48" fillId="42" borderId="0" xfId="49" applyFont="1" applyFill="1" applyAlignment="1">
      <alignment horizontal="left"/>
    </xf>
    <xf numFmtId="174" fontId="43" fillId="35" borderId="0" xfId="49" applyNumberFormat="1" applyFont="1" applyFill="1" applyAlignment="1">
      <alignment horizontal="center" vertical="center"/>
    </xf>
    <xf numFmtId="166" fontId="0" fillId="0" borderId="28" xfId="0" applyNumberFormat="1" applyBorder="1"/>
    <xf numFmtId="166" fontId="0" fillId="0" borderId="29" xfId="0" applyNumberFormat="1" applyBorder="1"/>
    <xf numFmtId="166" fontId="50" fillId="47" borderId="30" xfId="0" applyNumberFormat="1" applyFont="1" applyFill="1" applyBorder="1"/>
    <xf numFmtId="166" fontId="56" fillId="40" borderId="0" xfId="0" applyNumberFormat="1" applyFont="1" applyFill="1"/>
    <xf numFmtId="170" fontId="0" fillId="35" borderId="0" xfId="0" applyNumberFormat="1" applyFill="1"/>
    <xf numFmtId="166" fontId="58" fillId="47" borderId="31" xfId="0" applyNumberFormat="1" applyFont="1" applyFill="1" applyBorder="1"/>
    <xf numFmtId="166" fontId="56" fillId="40" borderId="32" xfId="0" applyNumberFormat="1" applyFont="1" applyFill="1" applyBorder="1"/>
    <xf numFmtId="170" fontId="0" fillId="35" borderId="32" xfId="0" applyNumberFormat="1" applyFill="1" applyBorder="1"/>
    <xf numFmtId="170" fontId="0" fillId="35" borderId="34" xfId="0" applyNumberFormat="1" applyFill="1" applyBorder="1"/>
    <xf numFmtId="170" fontId="0" fillId="35" borderId="35" xfId="0" applyNumberFormat="1" applyFill="1" applyBorder="1"/>
    <xf numFmtId="166" fontId="59" fillId="0" borderId="1" xfId="0" applyNumberFormat="1" applyFont="1" applyBorder="1"/>
    <xf numFmtId="174" fontId="0" fillId="0" borderId="34" xfId="49" applyNumberFormat="1" applyFont="1" applyBorder="1"/>
    <xf numFmtId="174" fontId="0" fillId="0" borderId="37" xfId="49" applyNumberFormat="1" applyFont="1" applyBorder="1"/>
    <xf numFmtId="166" fontId="0" fillId="0" borderId="38" xfId="0" applyNumberFormat="1" applyBorder="1"/>
    <xf numFmtId="166" fontId="0" fillId="0" borderId="36" xfId="0" applyNumberFormat="1" applyBorder="1"/>
    <xf numFmtId="174" fontId="61" fillId="40" borderId="0" xfId="49" applyNumberFormat="1" applyFont="1" applyFill="1"/>
    <xf numFmtId="166" fontId="53" fillId="46" borderId="0" xfId="0" applyNumberFormat="1" applyFont="1" applyFill="1"/>
    <xf numFmtId="0" fontId="5" fillId="0" borderId="0" xfId="72"/>
    <xf numFmtId="170" fontId="0" fillId="35" borderId="0" xfId="0" applyNumberFormat="1" applyFill="1" applyAlignment="1">
      <alignment horizontal="center" vertical="center"/>
    </xf>
    <xf numFmtId="170" fontId="0" fillId="35" borderId="21" xfId="0" applyNumberFormat="1" applyFill="1" applyBorder="1" applyAlignment="1">
      <alignment horizontal="center" vertical="center"/>
    </xf>
    <xf numFmtId="172" fontId="0" fillId="35" borderId="0" xfId="0" applyNumberFormat="1" applyFill="1" applyAlignment="1">
      <alignment horizontal="center" vertical="center"/>
    </xf>
    <xf numFmtId="167" fontId="0" fillId="0" borderId="0" xfId="49" applyFont="1"/>
    <xf numFmtId="176" fontId="0" fillId="0" borderId="0" xfId="0" applyNumberFormat="1"/>
    <xf numFmtId="0" fontId="57" fillId="0" borderId="0" xfId="70"/>
    <xf numFmtId="0" fontId="5" fillId="0" borderId="0" xfId="69" applyFont="1" applyAlignment="1">
      <alignment horizontal="left"/>
    </xf>
    <xf numFmtId="0" fontId="15" fillId="35" borderId="0" xfId="0" applyFont="1" applyFill="1" applyAlignment="1">
      <alignment horizontal="left" vertical="center"/>
    </xf>
    <xf numFmtId="0" fontId="37" fillId="35" borderId="0" xfId="0" applyFont="1" applyFill="1" applyAlignment="1">
      <alignment horizontal="right" vertical="center"/>
    </xf>
    <xf numFmtId="166" fontId="37" fillId="35" borderId="0" xfId="0" applyNumberFormat="1" applyFont="1" applyFill="1" applyAlignment="1">
      <alignment horizontal="right"/>
    </xf>
    <xf numFmtId="166" fontId="38" fillId="35" borderId="0" xfId="0" applyNumberFormat="1" applyFont="1" applyFill="1"/>
    <xf numFmtId="177" fontId="49" fillId="35" borderId="20" xfId="49" applyNumberFormat="1" applyFont="1" applyFill="1" applyBorder="1" applyAlignment="1">
      <alignment horizontal="center" vertical="center"/>
    </xf>
    <xf numFmtId="166" fontId="53" fillId="0" borderId="0" xfId="0" applyNumberFormat="1" applyFont="1"/>
    <xf numFmtId="0" fontId="15" fillId="0" borderId="0" xfId="0" applyFont="1" applyAlignment="1">
      <alignment horizontal="left" vertical="center"/>
    </xf>
    <xf numFmtId="166" fontId="38" fillId="0" borderId="0" xfId="0" applyNumberFormat="1" applyFont="1"/>
    <xf numFmtId="174" fontId="26" fillId="0" borderId="0" xfId="49" applyNumberFormat="1" applyFont="1"/>
    <xf numFmtId="170" fontId="53" fillId="0" borderId="0" xfId="0" applyNumberFormat="1" applyFont="1" applyAlignment="1">
      <alignment horizontal="left"/>
    </xf>
    <xf numFmtId="0" fontId="0" fillId="35" borderId="0" xfId="0" applyFont="1" applyFill="1" applyAlignment="1">
      <alignment horizontal="left"/>
    </xf>
    <xf numFmtId="0" fontId="76" fillId="0" borderId="0" xfId="114" applyFont="1"/>
    <xf numFmtId="0" fontId="4" fillId="0" borderId="0" xfId="114"/>
    <xf numFmtId="9" fontId="0" fillId="0" borderId="0" xfId="115" applyFont="1"/>
    <xf numFmtId="0" fontId="4" fillId="0" borderId="0" xfId="114" applyAlignment="1">
      <alignment horizontal="left"/>
    </xf>
    <xf numFmtId="178" fontId="4" fillId="0" borderId="0" xfId="114" applyNumberFormat="1"/>
    <xf numFmtId="166" fontId="26" fillId="44" borderId="21" xfId="114" applyNumberFormat="1" applyFont="1" applyFill="1" applyBorder="1"/>
    <xf numFmtId="0" fontId="80" fillId="0" borderId="0" xfId="114" applyFont="1"/>
    <xf numFmtId="0" fontId="80" fillId="50" borderId="1" xfId="114" applyFont="1" applyFill="1" applyBorder="1" applyAlignment="1">
      <alignment horizontal="center" vertical="center"/>
    </xf>
    <xf numFmtId="0" fontId="4" fillId="0" borderId="1" xfId="114" applyBorder="1" applyAlignment="1">
      <alignment horizontal="right" vertical="center"/>
    </xf>
    <xf numFmtId="0" fontId="4" fillId="0" borderId="1" xfId="114" applyBorder="1"/>
    <xf numFmtId="178" fontId="0" fillId="0" borderId="1" xfId="116" applyNumberFormat="1" applyFont="1" applyBorder="1" applyAlignment="1">
      <alignment horizontal="right" vertical="center"/>
    </xf>
    <xf numFmtId="174" fontId="0" fillId="0" borderId="1" xfId="49" applyNumberFormat="1" applyFont="1" applyBorder="1" applyAlignment="1">
      <alignment horizontal="center" vertical="center"/>
    </xf>
    <xf numFmtId="0" fontId="81" fillId="0" borderId="0" xfId="114" applyFont="1"/>
    <xf numFmtId="178" fontId="4" fillId="0" borderId="0" xfId="116" applyNumberFormat="1"/>
    <xf numFmtId="178" fontId="74" fillId="0" borderId="0" xfId="116" applyNumberFormat="1" applyFont="1"/>
    <xf numFmtId="174" fontId="4" fillId="0" borderId="0" xfId="49" applyNumberFormat="1" applyFont="1"/>
    <xf numFmtId="174" fontId="74" fillId="0" borderId="0" xfId="49" applyNumberFormat="1" applyFont="1"/>
    <xf numFmtId="0" fontId="80" fillId="0" borderId="1" xfId="114" applyFont="1" applyBorder="1"/>
    <xf numFmtId="178" fontId="80" fillId="0" borderId="1" xfId="116" applyNumberFormat="1" applyFont="1" applyBorder="1"/>
    <xf numFmtId="174" fontId="43" fillId="0" borderId="1" xfId="49" applyNumberFormat="1" applyFont="1" applyBorder="1" applyAlignment="1">
      <alignment horizontal="center" vertical="center"/>
    </xf>
    <xf numFmtId="178" fontId="26" fillId="0" borderId="0" xfId="116" applyNumberFormat="1" applyFont="1" applyAlignment="1">
      <alignment horizontal="left"/>
    </xf>
    <xf numFmtId="166" fontId="26" fillId="44" borderId="22" xfId="114" applyNumberFormat="1" applyFont="1" applyFill="1" applyBorder="1"/>
    <xf numFmtId="0" fontId="4" fillId="51" borderId="39" xfId="114" applyNumberFormat="1" applyFont="1" applyFill="1" applyBorder="1" applyAlignment="1"/>
    <xf numFmtId="0" fontId="4" fillId="51" borderId="39" xfId="57" applyNumberFormat="1" applyFont="1" applyFill="1" applyBorder="1" applyAlignment="1"/>
    <xf numFmtId="0" fontId="4" fillId="0" borderId="0" xfId="114" applyNumberFormat="1" applyFont="1" applyBorder="1" applyAlignment="1"/>
    <xf numFmtId="0" fontId="4" fillId="0" borderId="0" xfId="57" applyNumberFormat="1" applyFont="1" applyBorder="1" applyAlignment="1"/>
    <xf numFmtId="0" fontId="4" fillId="51" borderId="0" xfId="114" applyNumberFormat="1" applyFont="1" applyFill="1" applyBorder="1" applyAlignment="1"/>
    <xf numFmtId="0" fontId="4" fillId="51" borderId="0" xfId="57" applyNumberFormat="1" applyFont="1" applyFill="1" applyBorder="1" applyAlignment="1"/>
    <xf numFmtId="0" fontId="4" fillId="0" borderId="20" xfId="114" applyNumberFormat="1" applyFont="1" applyBorder="1" applyAlignment="1"/>
    <xf numFmtId="0" fontId="4" fillId="0" borderId="20" xfId="57" applyNumberFormat="1" applyFont="1" applyBorder="1" applyAlignment="1"/>
    <xf numFmtId="0" fontId="4" fillId="36" borderId="0" xfId="114" applyFill="1"/>
    <xf numFmtId="0" fontId="73" fillId="36" borderId="0" xfId="114" applyFont="1" applyFill="1"/>
    <xf numFmtId="0" fontId="82" fillId="36" borderId="0" xfId="114" applyFont="1" applyFill="1"/>
    <xf numFmtId="2" fontId="55" fillId="35" borderId="21" xfId="0" applyNumberFormat="1" applyFont="1" applyFill="1" applyBorder="1" applyAlignment="1">
      <alignment horizontal="center" vertical="center"/>
    </xf>
    <xf numFmtId="179" fontId="53" fillId="35" borderId="21" xfId="116" applyNumberFormat="1" applyFont="1" applyFill="1" applyBorder="1" applyAlignment="1">
      <alignment horizontal="center" vertical="center"/>
    </xf>
    <xf numFmtId="178" fontId="0" fillId="35" borderId="0" xfId="116" applyNumberFormat="1" applyFont="1" applyFill="1" applyAlignment="1">
      <alignment horizontal="center" vertical="center"/>
    </xf>
    <xf numFmtId="178" fontId="53" fillId="35" borderId="21" xfId="116" applyNumberFormat="1" applyFont="1" applyFill="1" applyBorder="1" applyAlignment="1">
      <alignment horizontal="center" vertical="center"/>
    </xf>
    <xf numFmtId="0" fontId="76" fillId="0" borderId="41" xfId="114" applyNumberFormat="1" applyFont="1" applyBorder="1" applyAlignment="1"/>
    <xf numFmtId="9" fontId="26" fillId="51" borderId="42" xfId="115" applyNumberFormat="1" applyFont="1" applyFill="1" applyBorder="1"/>
    <xf numFmtId="9" fontId="26" fillId="0" borderId="43" xfId="115" applyNumberFormat="1" applyFont="1" applyBorder="1"/>
    <xf numFmtId="9" fontId="26" fillId="51" borderId="43" xfId="115" applyNumberFormat="1" applyFont="1" applyFill="1" applyBorder="1"/>
    <xf numFmtId="9" fontId="26" fillId="0" borderId="44" xfId="115" applyNumberFormat="1" applyFont="1" applyBorder="1"/>
    <xf numFmtId="0" fontId="76" fillId="0" borderId="45" xfId="57" applyNumberFormat="1" applyFont="1" applyBorder="1" applyAlignment="1">
      <alignment horizontal="left"/>
    </xf>
    <xf numFmtId="0" fontId="76" fillId="0" borderId="46" xfId="114" applyNumberFormat="1" applyFont="1" applyBorder="1" applyAlignment="1"/>
    <xf numFmtId="0" fontId="76" fillId="0" borderId="46" xfId="57" applyNumberFormat="1" applyFont="1" applyBorder="1" applyAlignment="1">
      <alignment horizontal="center" vertical="top"/>
    </xf>
    <xf numFmtId="0" fontId="76" fillId="0" borderId="41" xfId="57" applyNumberFormat="1" applyFont="1" applyBorder="1" applyAlignment="1">
      <alignment horizontal="center" vertical="top"/>
    </xf>
    <xf numFmtId="0" fontId="4" fillId="51" borderId="47" xfId="57" applyNumberFormat="1" applyFont="1" applyFill="1" applyBorder="1" applyAlignment="1">
      <alignment horizontal="left"/>
    </xf>
    <xf numFmtId="0" fontId="4" fillId="51" borderId="42" xfId="57" applyNumberFormat="1" applyFont="1" applyFill="1" applyBorder="1" applyAlignment="1"/>
    <xf numFmtId="0" fontId="4" fillId="0" borderId="48" xfId="57" applyNumberFormat="1" applyFont="1" applyBorder="1" applyAlignment="1">
      <alignment horizontal="left"/>
    </xf>
    <xf numFmtId="0" fontId="4" fillId="0" borderId="43" xfId="57" applyNumberFormat="1" applyFont="1" applyBorder="1" applyAlignment="1"/>
    <xf numFmtId="0" fontId="4" fillId="51" borderId="48" xfId="57" applyNumberFormat="1" applyFont="1" applyFill="1" applyBorder="1" applyAlignment="1">
      <alignment horizontal="left"/>
    </xf>
    <xf numFmtId="0" fontId="4" fillId="51" borderId="43" xfId="57" applyNumberFormat="1" applyFont="1" applyFill="1" applyBorder="1" applyAlignment="1"/>
    <xf numFmtId="0" fontId="4" fillId="51" borderId="43" xfId="114" applyNumberFormat="1" applyFont="1" applyFill="1" applyBorder="1" applyAlignment="1"/>
    <xf numFmtId="0" fontId="4" fillId="0" borderId="43" xfId="114" applyNumberFormat="1" applyFont="1" applyBorder="1" applyAlignment="1"/>
    <xf numFmtId="0" fontId="4" fillId="0" borderId="49" xfId="57" applyNumberFormat="1" applyFont="1" applyBorder="1" applyAlignment="1">
      <alignment horizontal="left"/>
    </xf>
    <xf numFmtId="0" fontId="4" fillId="0" borderId="50" xfId="57" applyNumberFormat="1" applyFont="1" applyBorder="1" applyAlignment="1"/>
    <xf numFmtId="166" fontId="26" fillId="44" borderId="51" xfId="114" applyNumberFormat="1" applyFont="1" applyFill="1" applyBorder="1"/>
    <xf numFmtId="166" fontId="26" fillId="44" borderId="52" xfId="114" applyNumberFormat="1" applyFont="1" applyFill="1" applyBorder="1"/>
    <xf numFmtId="166" fontId="26" fillId="44" borderId="53" xfId="114" applyNumberFormat="1" applyFont="1" applyFill="1" applyBorder="1"/>
    <xf numFmtId="166" fontId="26" fillId="44" borderId="54" xfId="114" applyNumberFormat="1" applyFont="1" applyFill="1" applyBorder="1"/>
    <xf numFmtId="166" fontId="26" fillId="44" borderId="55" xfId="114" applyNumberFormat="1" applyFont="1" applyFill="1" applyBorder="1"/>
    <xf numFmtId="0" fontId="4" fillId="35" borderId="0" xfId="114" applyFill="1"/>
    <xf numFmtId="0" fontId="76" fillId="35" borderId="0" xfId="114" applyFont="1" applyFill="1"/>
    <xf numFmtId="178" fontId="4" fillId="35" borderId="0" xfId="116" applyNumberFormat="1" applyFill="1"/>
    <xf numFmtId="0" fontId="41" fillId="35" borderId="0" xfId="57" applyFill="1"/>
    <xf numFmtId="0" fontId="41" fillId="35" borderId="0" xfId="57" applyFill="1" applyAlignment="1">
      <alignment horizontal="left"/>
    </xf>
    <xf numFmtId="9" fontId="4" fillId="35" borderId="0" xfId="114" applyNumberFormat="1" applyFill="1"/>
    <xf numFmtId="10" fontId="4" fillId="35" borderId="0" xfId="114" applyNumberFormat="1" applyFill="1"/>
    <xf numFmtId="0" fontId="78" fillId="35" borderId="20" xfId="57" applyFont="1" applyFill="1" applyBorder="1" applyAlignment="1">
      <alignment horizontal="center"/>
    </xf>
    <xf numFmtId="0" fontId="76" fillId="35" borderId="20" xfId="114" applyFont="1" applyFill="1" applyBorder="1" applyAlignment="1">
      <alignment horizontal="center"/>
    </xf>
    <xf numFmtId="174" fontId="53" fillId="35" borderId="21" xfId="49" applyNumberFormat="1" applyFont="1" applyFill="1" applyBorder="1" applyAlignment="1">
      <alignment horizontal="center" vertical="center"/>
    </xf>
    <xf numFmtId="174" fontId="0" fillId="35" borderId="0" xfId="49" applyNumberFormat="1" applyFont="1" applyFill="1" applyAlignment="1">
      <alignment horizontal="center" vertical="center"/>
    </xf>
    <xf numFmtId="43" fontId="0" fillId="35" borderId="0" xfId="116" applyNumberFormat="1" applyFont="1" applyFill="1" applyAlignment="1">
      <alignment horizontal="center" vertical="center"/>
    </xf>
    <xf numFmtId="167" fontId="0" fillId="35" borderId="0" xfId="49" applyNumberFormat="1" applyFont="1" applyFill="1" applyAlignment="1">
      <alignment horizontal="center" vertical="center"/>
    </xf>
    <xf numFmtId="166" fontId="26" fillId="52" borderId="0" xfId="0" applyNumberFormat="1" applyFont="1" applyFill="1"/>
    <xf numFmtId="166" fontId="50" fillId="52" borderId="0" xfId="0" applyNumberFormat="1" applyFont="1" applyFill="1"/>
    <xf numFmtId="2" fontId="50" fillId="52" borderId="0" xfId="0" applyNumberFormat="1" applyFont="1" applyFill="1" applyAlignment="1">
      <alignment horizontal="center" vertical="center"/>
    </xf>
    <xf numFmtId="178" fontId="50" fillId="52" borderId="0" xfId="116" applyNumberFormat="1" applyFont="1" applyFill="1" applyAlignment="1">
      <alignment horizontal="center" vertical="center"/>
    </xf>
    <xf numFmtId="43" fontId="50" fillId="52" borderId="0" xfId="116" applyNumberFormat="1" applyFont="1" applyFill="1" applyAlignment="1">
      <alignment horizontal="center" vertical="center"/>
    </xf>
    <xf numFmtId="167" fontId="50" fillId="52" borderId="0" xfId="49" applyNumberFormat="1" applyFont="1" applyFill="1" applyAlignment="1">
      <alignment horizontal="center" vertical="center"/>
    </xf>
    <xf numFmtId="178" fontId="0" fillId="35" borderId="20" xfId="116" applyNumberFormat="1" applyFont="1" applyFill="1" applyBorder="1" applyAlignment="1">
      <alignment horizontal="center" vertical="center"/>
    </xf>
    <xf numFmtId="43" fontId="0" fillId="35" borderId="20" xfId="116" applyNumberFormat="1" applyFont="1" applyFill="1" applyBorder="1" applyAlignment="1">
      <alignment horizontal="center" vertical="center"/>
    </xf>
    <xf numFmtId="174" fontId="0" fillId="35" borderId="20" xfId="49" applyNumberFormat="1" applyFont="1" applyFill="1" applyBorder="1" applyAlignment="1">
      <alignment horizontal="center" vertical="center"/>
    </xf>
    <xf numFmtId="180" fontId="0" fillId="0" borderId="0" xfId="49" applyNumberFormat="1" applyFont="1"/>
    <xf numFmtId="0" fontId="84" fillId="0" borderId="0" xfId="0" applyFont="1" applyAlignment="1">
      <alignment horizontal="left" indent="1"/>
    </xf>
    <xf numFmtId="170" fontId="84" fillId="35" borderId="0" xfId="0" applyNumberFormat="1" applyFont="1" applyFill="1" applyAlignment="1">
      <alignment horizontal="center" vertical="center"/>
    </xf>
    <xf numFmtId="2" fontId="26" fillId="43" borderId="0" xfId="49" applyNumberFormat="1" applyFont="1" applyFill="1" applyAlignment="1">
      <alignment horizontal="center" vertical="center"/>
    </xf>
    <xf numFmtId="166" fontId="0" fillId="52" borderId="0" xfId="0" applyNumberFormat="1" applyFill="1"/>
    <xf numFmtId="0" fontId="0" fillId="35" borderId="0" xfId="0" applyFill="1"/>
    <xf numFmtId="166" fontId="26" fillId="40" borderId="23" xfId="0" applyNumberFormat="1" applyFont="1" applyFill="1" applyBorder="1"/>
    <xf numFmtId="170" fontId="26" fillId="35" borderId="0" xfId="0" applyNumberFormat="1" applyFont="1" applyFill="1"/>
    <xf numFmtId="170" fontId="0" fillId="35" borderId="23" xfId="0" applyNumberFormat="1" applyFill="1" applyBorder="1" applyAlignment="1">
      <alignment vertical="center"/>
    </xf>
    <xf numFmtId="166" fontId="26" fillId="35" borderId="23" xfId="0" applyNumberFormat="1" applyFont="1" applyFill="1" applyBorder="1" applyAlignment="1">
      <alignment vertical="center"/>
    </xf>
    <xf numFmtId="174" fontId="26" fillId="35" borderId="0" xfId="49" applyNumberFormat="1" applyFont="1" applyFill="1" applyAlignment="1">
      <alignment horizontal="center"/>
    </xf>
    <xf numFmtId="174" fontId="26" fillId="35" borderId="23" xfId="49" applyNumberFormat="1" applyFont="1" applyFill="1" applyBorder="1" applyAlignment="1">
      <alignment horizontal="center" vertical="center"/>
    </xf>
    <xf numFmtId="170" fontId="26" fillId="35" borderId="0" xfId="0" applyNumberFormat="1" applyFont="1" applyFill="1" applyAlignment="1">
      <alignment horizontal="center"/>
    </xf>
    <xf numFmtId="0" fontId="0" fillId="36" borderId="0" xfId="0" applyFill="1"/>
    <xf numFmtId="0" fontId="42" fillId="36" borderId="0" xfId="0" applyFont="1" applyFill="1"/>
    <xf numFmtId="0" fontId="4" fillId="0" borderId="0" xfId="114" quotePrefix="1"/>
    <xf numFmtId="0" fontId="4" fillId="0" borderId="1" xfId="114" applyBorder="1" applyAlignment="1">
      <alignment horizontal="center"/>
    </xf>
    <xf numFmtId="0" fontId="34" fillId="35" borderId="0" xfId="66" applyFont="1" applyFill="1" applyAlignment="1">
      <alignment horizontal="left" vertical="center"/>
    </xf>
    <xf numFmtId="0" fontId="33" fillId="35" borderId="0" xfId="66" applyFont="1" applyFill="1" applyAlignment="1">
      <alignment horizontal="right" vertical="center"/>
    </xf>
    <xf numFmtId="0" fontId="33" fillId="35" borderId="19" xfId="66" applyFont="1" applyFill="1" applyBorder="1" applyAlignment="1">
      <alignment horizontal="right" vertical="center"/>
    </xf>
    <xf numFmtId="166" fontId="26" fillId="35" borderId="0" xfId="66" applyNumberFormat="1" applyFill="1"/>
    <xf numFmtId="0" fontId="36" fillId="35" borderId="19" xfId="66" applyFont="1" applyFill="1" applyBorder="1" applyAlignment="1">
      <alignment horizontal="left" vertical="center"/>
    </xf>
    <xf numFmtId="0" fontId="36" fillId="35" borderId="0" xfId="66" applyFont="1" applyFill="1" applyAlignment="1">
      <alignment horizontal="left" vertical="center"/>
    </xf>
    <xf numFmtId="0" fontId="13" fillId="35" borderId="0" xfId="52" applyNumberFormat="1" applyFont="1" applyFill="1" applyAlignment="1">
      <alignment horizontal="left" vertical="center"/>
    </xf>
    <xf numFmtId="0" fontId="15" fillId="36" borderId="0" xfId="66" applyFont="1" applyFill="1" applyAlignment="1">
      <alignment horizontal="left" vertical="center"/>
    </xf>
    <xf numFmtId="0" fontId="37" fillId="36" borderId="0" xfId="66" applyFont="1" applyFill="1" applyAlignment="1">
      <alignment horizontal="right" vertical="center"/>
    </xf>
    <xf numFmtId="166" fontId="37" fillId="36" borderId="0" xfId="66" applyNumberFormat="1" applyFont="1" applyFill="1" applyAlignment="1">
      <alignment horizontal="right"/>
    </xf>
    <xf numFmtId="166" fontId="38" fillId="36" borderId="0" xfId="66" applyNumberFormat="1" applyFont="1" applyFill="1"/>
    <xf numFmtId="9" fontId="0" fillId="35" borderId="0" xfId="119" applyFont="1" applyFill="1"/>
    <xf numFmtId="0" fontId="26" fillId="35" borderId="0" xfId="66" applyFill="1"/>
    <xf numFmtId="0" fontId="87" fillId="53" borderId="0" xfId="66" applyFont="1" applyFill="1" applyAlignment="1">
      <alignment horizontal="left" vertical="center"/>
    </xf>
    <xf numFmtId="0" fontId="15" fillId="53" borderId="0" xfId="66" applyFont="1" applyFill="1" applyAlignment="1">
      <alignment horizontal="left" vertical="center"/>
    </xf>
    <xf numFmtId="0" fontId="37" fillId="53" borderId="0" xfId="66" applyFont="1" applyFill="1" applyAlignment="1">
      <alignment horizontal="right" vertical="center"/>
    </xf>
    <xf numFmtId="166" fontId="37" fillId="53" borderId="0" xfId="66" applyNumberFormat="1" applyFont="1" applyFill="1" applyAlignment="1">
      <alignment horizontal="right"/>
    </xf>
    <xf numFmtId="166" fontId="38" fillId="53" borderId="0" xfId="66" applyNumberFormat="1" applyFont="1" applyFill="1"/>
    <xf numFmtId="0" fontId="88" fillId="35" borderId="0" xfId="114" applyFont="1" applyFill="1"/>
    <xf numFmtId="170" fontId="40" fillId="36" borderId="0" xfId="66" applyNumberFormat="1" applyFont="1" applyFill="1" applyAlignment="1">
      <alignment horizontal="center" vertical="center" wrapText="1"/>
    </xf>
    <xf numFmtId="0" fontId="78" fillId="0" borderId="0" xfId="114" applyFont="1" applyAlignment="1">
      <alignment horizontal="center" vertical="center" wrapText="1"/>
    </xf>
    <xf numFmtId="0" fontId="4" fillId="0" borderId="0" xfId="114" applyAlignment="1">
      <alignment horizontal="center" vertical="center" wrapText="1"/>
    </xf>
    <xf numFmtId="0" fontId="4" fillId="35" borderId="0" xfId="114" applyFill="1" applyAlignment="1">
      <alignment horizontal="left" vertical="center" indent="2"/>
    </xf>
    <xf numFmtId="174" fontId="4" fillId="35" borderId="0" xfId="49" applyNumberFormat="1" applyFont="1" applyFill="1" applyAlignment="1">
      <alignment horizontal="center"/>
    </xf>
    <xf numFmtId="0" fontId="76" fillId="35" borderId="27" xfId="114" applyFont="1" applyFill="1" applyBorder="1"/>
    <xf numFmtId="174" fontId="76" fillId="35" borderId="27" xfId="49" applyNumberFormat="1" applyFont="1" applyFill="1" applyBorder="1" applyAlignment="1">
      <alignment horizontal="center"/>
    </xf>
    <xf numFmtId="9" fontId="76" fillId="35" borderId="0" xfId="114" applyNumberFormat="1" applyFont="1" applyFill="1"/>
    <xf numFmtId="0" fontId="76" fillId="35" borderId="0" xfId="114" quotePrefix="1" applyFont="1" applyFill="1"/>
    <xf numFmtId="178" fontId="76" fillId="35" borderId="0" xfId="120" applyNumberFormat="1" applyFont="1" applyFill="1" applyAlignment="1">
      <alignment horizontal="center"/>
    </xf>
    <xf numFmtId="174" fontId="76" fillId="35" borderId="0" xfId="49" applyNumberFormat="1" applyFont="1" applyFill="1" applyAlignment="1">
      <alignment horizontal="center"/>
    </xf>
    <xf numFmtId="178" fontId="4" fillId="35" borderId="0" xfId="114" applyNumberFormat="1" applyFill="1"/>
    <xf numFmtId="0" fontId="76" fillId="35" borderId="25" xfId="114" applyFont="1" applyFill="1" applyBorder="1"/>
    <xf numFmtId="9" fontId="78" fillId="54" borderId="1" xfId="114" applyNumberFormat="1" applyFont="1" applyFill="1" applyBorder="1" applyAlignment="1">
      <alignment horizontal="center"/>
    </xf>
    <xf numFmtId="0" fontId="81" fillId="35" borderId="0" xfId="114" applyFont="1" applyFill="1"/>
    <xf numFmtId="0" fontId="4" fillId="35" borderId="0" xfId="114" applyFill="1"/>
    <xf numFmtId="170" fontId="40" fillId="36" borderId="40" xfId="66" applyNumberFormat="1" applyFont="1" applyFill="1" applyBorder="1" applyAlignment="1">
      <alignment horizontal="center" vertical="center" wrapText="1"/>
    </xf>
    <xf numFmtId="0" fontId="26" fillId="0" borderId="0" xfId="66"/>
    <xf numFmtId="178" fontId="4" fillId="43" borderId="0" xfId="120" applyNumberFormat="1" applyFont="1" applyFill="1" applyAlignment="1">
      <alignment horizontal="center"/>
    </xf>
    <xf numFmtId="174" fontId="4" fillId="46" borderId="0" xfId="49" applyNumberFormat="1" applyFont="1" applyFill="1" applyAlignment="1">
      <alignment horizontal="center"/>
    </xf>
    <xf numFmtId="174" fontId="4" fillId="35" borderId="40" xfId="49" applyNumberFormat="1" applyFont="1" applyFill="1" applyBorder="1" applyAlignment="1">
      <alignment horizontal="center" vertical="center"/>
    </xf>
    <xf numFmtId="174" fontId="4" fillId="43" borderId="0" xfId="49" applyNumberFormat="1" applyFont="1" applyFill="1" applyAlignment="1">
      <alignment horizontal="center"/>
    </xf>
    <xf numFmtId="174" fontId="4" fillId="35" borderId="0" xfId="49" applyNumberFormat="1" applyFont="1" applyFill="1" applyAlignment="1">
      <alignment horizontal="left"/>
    </xf>
    <xf numFmtId="0" fontId="55" fillId="35" borderId="27" xfId="66" applyFont="1" applyFill="1" applyBorder="1" applyAlignment="1">
      <alignment vertical="center"/>
    </xf>
    <xf numFmtId="1" fontId="55" fillId="35" borderId="27" xfId="66" applyNumberFormat="1" applyFont="1" applyFill="1" applyBorder="1" applyAlignment="1">
      <alignment horizontal="center"/>
    </xf>
    <xf numFmtId="167" fontId="55" fillId="35" borderId="25" xfId="49" applyFont="1" applyFill="1" applyBorder="1" applyAlignment="1">
      <alignment horizontal="center" vertical="center"/>
    </xf>
    <xf numFmtId="167" fontId="55" fillId="35" borderId="27" xfId="49" applyFont="1" applyFill="1" applyBorder="1" applyAlignment="1">
      <alignment horizontal="center"/>
    </xf>
    <xf numFmtId="174" fontId="55" fillId="35" borderId="27" xfId="49" applyNumberFormat="1" applyFont="1" applyFill="1" applyBorder="1" applyAlignment="1">
      <alignment horizontal="center" vertical="center"/>
    </xf>
    <xf numFmtId="167" fontId="55" fillId="35" borderId="24" xfId="49" applyFont="1" applyFill="1" applyBorder="1" applyAlignment="1">
      <alignment horizontal="left" vertical="center"/>
    </xf>
    <xf numFmtId="0" fontId="55" fillId="35" borderId="0" xfId="66" applyFont="1" applyFill="1" applyAlignment="1">
      <alignment vertical="center"/>
    </xf>
    <xf numFmtId="1" fontId="55" fillId="35" borderId="0" xfId="66" applyNumberFormat="1" applyFont="1" applyFill="1" applyAlignment="1">
      <alignment horizontal="center"/>
    </xf>
    <xf numFmtId="167" fontId="55" fillId="35" borderId="0" xfId="49" applyFont="1" applyFill="1" applyBorder="1" applyAlignment="1">
      <alignment horizontal="center" vertical="center"/>
    </xf>
    <xf numFmtId="167" fontId="55" fillId="35" borderId="0" xfId="49" applyFont="1" applyFill="1" applyBorder="1" applyAlignment="1">
      <alignment horizontal="center"/>
    </xf>
    <xf numFmtId="167" fontId="55" fillId="35" borderId="0" xfId="49" applyFont="1" applyFill="1" applyBorder="1" applyAlignment="1">
      <alignment horizontal="left" vertical="center"/>
    </xf>
    <xf numFmtId="178" fontId="4" fillId="35" borderId="0" xfId="120" applyNumberFormat="1" applyFont="1" applyFill="1" applyAlignment="1">
      <alignment horizontal="center"/>
    </xf>
    <xf numFmtId="0" fontId="4" fillId="0" borderId="40" xfId="114" applyBorder="1"/>
    <xf numFmtId="174" fontId="4" fillId="0" borderId="0" xfId="114" applyNumberFormat="1"/>
    <xf numFmtId="0" fontId="55" fillId="35" borderId="24" xfId="66" applyFont="1" applyFill="1" applyBorder="1" applyAlignment="1">
      <alignment vertical="center"/>
    </xf>
    <xf numFmtId="174" fontId="55" fillId="35" borderId="25" xfId="49" applyNumberFormat="1" applyFont="1" applyFill="1" applyBorder="1" applyAlignment="1">
      <alignment horizontal="center" vertical="center"/>
    </xf>
    <xf numFmtId="174" fontId="55" fillId="35" borderId="27" xfId="49" applyNumberFormat="1" applyFont="1" applyFill="1" applyBorder="1" applyAlignment="1">
      <alignment horizontal="center"/>
    </xf>
    <xf numFmtId="0" fontId="83" fillId="35" borderId="27" xfId="66" applyFont="1" applyFill="1" applyBorder="1" applyAlignment="1">
      <alignment vertical="center"/>
    </xf>
    <xf numFmtId="1" fontId="83" fillId="35" borderId="27" xfId="66" applyNumberFormat="1" applyFont="1" applyFill="1" applyBorder="1" applyAlignment="1">
      <alignment horizontal="center"/>
    </xf>
    <xf numFmtId="178" fontId="76" fillId="35" borderId="0" xfId="120" applyNumberFormat="1" applyFont="1" applyFill="1"/>
    <xf numFmtId="9" fontId="76" fillId="35" borderId="0" xfId="114" applyNumberFormat="1" applyFont="1" applyFill="1" applyAlignment="1">
      <alignment horizontal="center"/>
    </xf>
    <xf numFmtId="0" fontId="55" fillId="35" borderId="20" xfId="66" applyFont="1" applyFill="1" applyBorder="1" applyAlignment="1">
      <alignment vertical="center"/>
    </xf>
    <xf numFmtId="167" fontId="55" fillId="35" borderId="20" xfId="49" applyFont="1" applyFill="1" applyBorder="1" applyAlignment="1">
      <alignment horizontal="center"/>
    </xf>
    <xf numFmtId="166" fontId="38" fillId="35" borderId="0" xfId="66" applyNumberFormat="1" applyFont="1" applyFill="1"/>
    <xf numFmtId="0" fontId="87" fillId="35" borderId="0" xfId="66" applyFont="1" applyFill="1" applyAlignment="1">
      <alignment horizontal="left" vertical="center"/>
    </xf>
    <xf numFmtId="0" fontId="15" fillId="35" borderId="0" xfId="66" applyFont="1" applyFill="1" applyAlignment="1">
      <alignment horizontal="left" vertical="center"/>
    </xf>
    <xf numFmtId="0" fontId="37" fillId="35" borderId="0" xfId="66" applyFont="1" applyFill="1" applyAlignment="1">
      <alignment horizontal="right" vertical="center"/>
    </xf>
    <xf numFmtId="166" fontId="37" fillId="35" borderId="0" xfId="66" applyNumberFormat="1" applyFont="1" applyFill="1" applyAlignment="1">
      <alignment horizontal="right"/>
    </xf>
    <xf numFmtId="0" fontId="89" fillId="35" borderId="0" xfId="114" applyFont="1" applyFill="1" applyAlignment="1">
      <alignment horizontal="center" wrapText="1"/>
    </xf>
    <xf numFmtId="174" fontId="76" fillId="35" borderId="0" xfId="49" applyNumberFormat="1" applyFont="1" applyFill="1" applyBorder="1" applyAlignment="1">
      <alignment horizontal="center"/>
    </xf>
    <xf numFmtId="166" fontId="42" fillId="38" borderId="0" xfId="66" applyNumberFormat="1" applyFont="1" applyFill="1"/>
    <xf numFmtId="174" fontId="4" fillId="35" borderId="0" xfId="49" applyNumberFormat="1" applyFont="1" applyFill="1" applyAlignment="1">
      <alignment horizontal="left" vertical="center"/>
    </xf>
    <xf numFmtId="0" fontId="88" fillId="35" borderId="0" xfId="114" applyFont="1" applyFill="1" applyAlignment="1">
      <alignment horizontal="left"/>
    </xf>
    <xf numFmtId="0" fontId="88" fillId="35" borderId="0" xfId="114" applyFont="1" applyFill="1" applyAlignment="1">
      <alignment horizontal="left" indent="1"/>
    </xf>
    <xf numFmtId="0" fontId="53" fillId="35" borderId="27" xfId="66" applyFont="1" applyFill="1" applyBorder="1" applyAlignment="1">
      <alignment horizontal="left" vertical="center" indent="1"/>
    </xf>
    <xf numFmtId="167" fontId="53" fillId="35" borderId="27" xfId="49" applyFont="1" applyFill="1" applyBorder="1" applyAlignment="1">
      <alignment horizontal="center"/>
    </xf>
    <xf numFmtId="0" fontId="53" fillId="35" borderId="0" xfId="66" applyFont="1" applyFill="1" applyAlignment="1">
      <alignment horizontal="left" vertical="center" indent="1"/>
    </xf>
    <xf numFmtId="167" fontId="53" fillId="35" borderId="0" xfId="49" applyFont="1" applyFill="1" applyBorder="1" applyAlignment="1">
      <alignment horizontal="center"/>
    </xf>
    <xf numFmtId="167" fontId="76" fillId="35" borderId="0" xfId="49" applyFont="1" applyFill="1"/>
    <xf numFmtId="167" fontId="83" fillId="35" borderId="27" xfId="49" applyFont="1" applyFill="1" applyBorder="1" applyAlignment="1">
      <alignment horizontal="center"/>
    </xf>
    <xf numFmtId="9" fontId="0" fillId="0" borderId="0" xfId="119" applyFont="1"/>
    <xf numFmtId="1" fontId="4" fillId="35" borderId="0" xfId="114" applyNumberFormat="1" applyFill="1" applyAlignment="1">
      <alignment horizontal="center" vertical="center"/>
    </xf>
    <xf numFmtId="170" fontId="40" fillId="35" borderId="0" xfId="66" applyNumberFormat="1" applyFont="1" applyFill="1" applyAlignment="1">
      <alignment horizontal="center" vertical="center" wrapText="1"/>
    </xf>
    <xf numFmtId="0" fontId="90" fillId="55" borderId="56" xfId="121" applyFont="1" applyFill="1" applyBorder="1" applyAlignment="1">
      <alignment vertical="top"/>
    </xf>
    <xf numFmtId="181" fontId="90" fillId="55" borderId="56" xfId="121" applyNumberFormat="1" applyFont="1" applyFill="1" applyBorder="1" applyAlignment="1">
      <alignment vertical="top"/>
    </xf>
    <xf numFmtId="182" fontId="90" fillId="55" borderId="56" xfId="121" applyNumberFormat="1" applyFont="1" applyFill="1" applyBorder="1" applyAlignment="1">
      <alignment vertical="top"/>
    </xf>
    <xf numFmtId="0" fontId="3" fillId="0" borderId="0" xfId="121"/>
    <xf numFmtId="0" fontId="90" fillId="56" borderId="0" xfId="121" applyFont="1" applyFill="1" applyAlignment="1">
      <alignment vertical="top"/>
    </xf>
    <xf numFmtId="0" fontId="90" fillId="57" borderId="0" xfId="121" applyFont="1" applyFill="1" applyAlignment="1">
      <alignment vertical="top"/>
    </xf>
    <xf numFmtId="0" fontId="3" fillId="57" borderId="0" xfId="121" applyFill="1" applyAlignment="1">
      <alignment vertical="top"/>
    </xf>
    <xf numFmtId="181" fontId="3" fillId="0" borderId="0" xfId="121" applyNumberFormat="1" applyAlignment="1">
      <alignment vertical="top"/>
    </xf>
    <xf numFmtId="182" fontId="3" fillId="0" borderId="0" xfId="121" applyNumberFormat="1" applyAlignment="1">
      <alignment vertical="top"/>
    </xf>
    <xf numFmtId="0" fontId="90" fillId="0" borderId="0" xfId="121" applyFont="1" applyAlignment="1">
      <alignment vertical="top"/>
    </xf>
    <xf numFmtId="0" fontId="3" fillId="0" borderId="0" xfId="121" applyAlignment="1">
      <alignment vertical="top"/>
    </xf>
    <xf numFmtId="0" fontId="90" fillId="58" borderId="0" xfId="121" applyFont="1" applyFill="1" applyAlignment="1">
      <alignment vertical="top"/>
    </xf>
    <xf numFmtId="181" fontId="90" fillId="58" borderId="0" xfId="121" applyNumberFormat="1" applyFont="1" applyFill="1" applyAlignment="1">
      <alignment vertical="top"/>
    </xf>
    <xf numFmtId="182" fontId="90" fillId="58" borderId="0" xfId="121" applyNumberFormat="1" applyFont="1" applyFill="1" applyAlignment="1">
      <alignment vertical="top"/>
    </xf>
    <xf numFmtId="0" fontId="90" fillId="56" borderId="56" xfId="121" applyFont="1" applyFill="1" applyBorder="1" applyAlignment="1">
      <alignment vertical="top"/>
    </xf>
    <xf numFmtId="0" fontId="90" fillId="56" borderId="57" xfId="121" applyFont="1" applyFill="1" applyBorder="1" applyAlignment="1">
      <alignment vertical="top"/>
    </xf>
    <xf numFmtId="181" fontId="90" fillId="56" borderId="57" xfId="121" applyNumberFormat="1" applyFont="1" applyFill="1" applyBorder="1" applyAlignment="1">
      <alignment vertical="top"/>
    </xf>
    <xf numFmtId="182" fontId="90" fillId="56" borderId="57" xfId="121" applyNumberFormat="1" applyFont="1" applyFill="1" applyBorder="1" applyAlignment="1">
      <alignment vertical="top"/>
    </xf>
    <xf numFmtId="0" fontId="0" fillId="0" borderId="58" xfId="0" applyBorder="1"/>
    <xf numFmtId="0" fontId="0" fillId="0" borderId="59" xfId="0" applyBorder="1"/>
    <xf numFmtId="0" fontId="0" fillId="0" borderId="0" xfId="0" applyNumberFormat="1"/>
    <xf numFmtId="0" fontId="0" fillId="0" borderId="60" xfId="0" applyBorder="1"/>
    <xf numFmtId="0" fontId="0" fillId="0" borderId="62" xfId="0" applyBorder="1"/>
    <xf numFmtId="0" fontId="0" fillId="0" borderId="62" xfId="0" pivotButton="1" applyBorder="1"/>
    <xf numFmtId="0" fontId="0" fillId="0" borderId="58" xfId="0" pivotButton="1" applyBorder="1"/>
    <xf numFmtId="0" fontId="0" fillId="0" borderId="61" xfId="0" applyBorder="1"/>
    <xf numFmtId="178" fontId="0" fillId="0" borderId="60" xfId="0" applyNumberFormat="1" applyBorder="1"/>
    <xf numFmtId="178" fontId="0" fillId="0" borderId="63" xfId="0" applyNumberFormat="1" applyBorder="1"/>
    <xf numFmtId="178" fontId="0" fillId="0" borderId="62" xfId="0" applyNumberFormat="1" applyBorder="1"/>
    <xf numFmtId="14" fontId="0" fillId="0" borderId="0" xfId="0" applyNumberFormat="1"/>
    <xf numFmtId="170" fontId="26" fillId="35" borderId="64" xfId="0" applyNumberFormat="1" applyFont="1" applyFill="1" applyBorder="1"/>
    <xf numFmtId="170" fontId="0" fillId="40" borderId="65" xfId="0" applyNumberFormat="1" applyFill="1" applyBorder="1" applyAlignment="1">
      <alignment vertical="center"/>
    </xf>
    <xf numFmtId="170" fontId="0" fillId="40" borderId="23" xfId="0" applyNumberFormat="1" applyFill="1" applyBorder="1" applyAlignment="1">
      <alignment horizontal="center" vertical="center"/>
    </xf>
    <xf numFmtId="174" fontId="26" fillId="40" borderId="23" xfId="49" applyNumberFormat="1" applyFont="1" applyFill="1" applyBorder="1" applyAlignment="1">
      <alignment horizontal="center" vertical="center"/>
    </xf>
    <xf numFmtId="170" fontId="26" fillId="35" borderId="0" xfId="0" applyNumberFormat="1" applyFont="1" applyFill="1" applyAlignment="1">
      <alignment horizontal="right"/>
    </xf>
    <xf numFmtId="170" fontId="26" fillId="40" borderId="23" xfId="0" applyNumberFormat="1" applyFont="1" applyFill="1" applyBorder="1"/>
    <xf numFmtId="174" fontId="26" fillId="40" borderId="23" xfId="49" applyNumberFormat="1" applyFont="1" applyFill="1" applyBorder="1" applyAlignment="1">
      <alignment horizontal="center"/>
    </xf>
    <xf numFmtId="166" fontId="42" fillId="36" borderId="64" xfId="0" applyNumberFormat="1" applyFont="1" applyFill="1" applyBorder="1" applyAlignment="1">
      <alignment horizontal="center"/>
    </xf>
    <xf numFmtId="166" fontId="50" fillId="59" borderId="0" xfId="0" applyNumberFormat="1" applyFont="1" applyFill="1"/>
    <xf numFmtId="170" fontId="50" fillId="59" borderId="64" xfId="0" applyNumberFormat="1" applyFont="1" applyFill="1" applyBorder="1"/>
    <xf numFmtId="170" fontId="50" fillId="59" borderId="0" xfId="0" applyNumberFormat="1" applyFont="1" applyFill="1" applyAlignment="1">
      <alignment horizontal="right"/>
    </xf>
    <xf numFmtId="174" fontId="50" fillId="59" borderId="0" xfId="49" applyNumberFormat="1" applyFont="1" applyFill="1" applyAlignment="1">
      <alignment horizontal="center"/>
    </xf>
    <xf numFmtId="170" fontId="50" fillId="59" borderId="0" xfId="0" applyNumberFormat="1" applyFont="1" applyFill="1" applyAlignment="1">
      <alignment horizontal="center"/>
    </xf>
    <xf numFmtId="0" fontId="26" fillId="35" borderId="0" xfId="0" applyFont="1" applyFill="1"/>
    <xf numFmtId="175" fontId="4" fillId="35" borderId="0" xfId="114" applyNumberFormat="1" applyFill="1" applyAlignment="1">
      <alignment horizontal="center"/>
    </xf>
    <xf numFmtId="175" fontId="76" fillId="35" borderId="27" xfId="114" applyNumberFormat="1" applyFont="1" applyFill="1" applyBorder="1" applyAlignment="1">
      <alignment horizontal="center"/>
    </xf>
    <xf numFmtId="0" fontId="3" fillId="51" borderId="39" xfId="114" applyNumberFormat="1" applyFont="1" applyFill="1" applyBorder="1" applyAlignment="1"/>
    <xf numFmtId="0" fontId="3" fillId="0" borderId="0" xfId="114" applyNumberFormat="1" applyFont="1" applyBorder="1" applyAlignment="1"/>
    <xf numFmtId="0" fontId="3" fillId="51" borderId="0" xfId="114" applyNumberFormat="1" applyFont="1" applyFill="1" applyBorder="1" applyAlignment="1"/>
    <xf numFmtId="0" fontId="3" fillId="44" borderId="22" xfId="114" applyNumberFormat="1" applyFont="1" applyFill="1" applyBorder="1" applyAlignment="1"/>
    <xf numFmtId="0" fontId="3" fillId="44" borderId="54" xfId="114" applyNumberFormat="1" applyFont="1" applyFill="1" applyBorder="1" applyAlignment="1"/>
    <xf numFmtId="0" fontId="3" fillId="0" borderId="0" xfId="114" quotePrefix="1" applyNumberFormat="1" applyFont="1" applyBorder="1" applyAlignment="1"/>
    <xf numFmtId="0" fontId="3" fillId="51" borderId="0" xfId="114" quotePrefix="1" applyNumberFormat="1" applyFont="1" applyFill="1" applyBorder="1" applyAlignment="1"/>
    <xf numFmtId="14" fontId="3" fillId="51" borderId="0" xfId="114" quotePrefix="1" applyNumberFormat="1" applyFont="1" applyFill="1" applyBorder="1" applyAlignment="1"/>
    <xf numFmtId="167" fontId="4" fillId="35" borderId="0" xfId="49" applyFont="1" applyFill="1"/>
    <xf numFmtId="0" fontId="3" fillId="35" borderId="0" xfId="114" applyFont="1" applyFill="1"/>
    <xf numFmtId="0" fontId="42" fillId="35" borderId="0" xfId="0" applyFont="1" applyFill="1" applyAlignment="1">
      <alignment horizontal="center"/>
    </xf>
    <xf numFmtId="2" fontId="0" fillId="35" borderId="0" xfId="0" applyNumberFormat="1" applyFill="1" applyBorder="1" applyAlignment="1">
      <alignment horizontal="center" vertical="center"/>
    </xf>
    <xf numFmtId="166" fontId="26" fillId="35" borderId="0" xfId="0" applyNumberFormat="1" applyFont="1" applyFill="1" applyBorder="1"/>
    <xf numFmtId="0" fontId="40" fillId="35" borderId="0" xfId="0" applyFont="1" applyFill="1" applyBorder="1" applyAlignment="1">
      <alignment horizontal="center"/>
    </xf>
    <xf numFmtId="166" fontId="0" fillId="35" borderId="0" xfId="0" applyNumberFormat="1" applyFill="1" applyBorder="1"/>
    <xf numFmtId="166" fontId="50" fillId="35" borderId="0" xfId="0" applyNumberFormat="1" applyFont="1" applyFill="1" applyBorder="1"/>
    <xf numFmtId="170" fontId="0" fillId="35" borderId="0" xfId="0" applyNumberFormat="1" applyFill="1" applyBorder="1" applyAlignment="1">
      <alignment horizontal="center" vertical="center"/>
    </xf>
    <xf numFmtId="167" fontId="49" fillId="35" borderId="0" xfId="49" applyFont="1" applyFill="1" applyBorder="1" applyAlignment="1">
      <alignment horizontal="center" vertical="center"/>
    </xf>
    <xf numFmtId="167" fontId="57" fillId="35" borderId="0" xfId="70" applyNumberFormat="1" applyFill="1" applyBorder="1" applyAlignment="1">
      <alignment horizontal="left"/>
    </xf>
    <xf numFmtId="166" fontId="57" fillId="35" borderId="0" xfId="70" applyNumberFormat="1" applyFill="1" applyBorder="1"/>
    <xf numFmtId="167" fontId="0" fillId="35" borderId="0" xfId="49" applyFont="1" applyFill="1" applyBorder="1"/>
    <xf numFmtId="170" fontId="0" fillId="35" borderId="0" xfId="0" applyNumberFormat="1" applyFill="1" applyBorder="1"/>
    <xf numFmtId="166" fontId="56" fillId="35" borderId="0" xfId="0" applyNumberFormat="1" applyFont="1" applyFill="1" applyBorder="1"/>
    <xf numFmtId="166" fontId="0" fillId="35" borderId="0" xfId="0" applyNumberFormat="1" applyFill="1" applyBorder="1" applyAlignment="1">
      <alignment horizontal="center" vertical="center"/>
    </xf>
    <xf numFmtId="166" fontId="31" fillId="35" borderId="0" xfId="0" applyNumberFormat="1" applyFont="1" applyFill="1" applyBorder="1" applyAlignment="1">
      <alignment horizontal="center" vertical="center"/>
    </xf>
    <xf numFmtId="166" fontId="43" fillId="35" borderId="0" xfId="0" applyNumberFormat="1" applyFont="1" applyFill="1" applyBorder="1" applyAlignment="1">
      <alignment horizontal="center" vertical="center"/>
    </xf>
    <xf numFmtId="178" fontId="0" fillId="35" borderId="0" xfId="116" applyNumberFormat="1" applyFont="1" applyFill="1" applyBorder="1" applyAlignment="1">
      <alignment horizontal="center" vertical="center"/>
    </xf>
    <xf numFmtId="167" fontId="0" fillId="35" borderId="0" xfId="49" applyFont="1" applyFill="1" applyBorder="1" applyAlignment="1">
      <alignment horizontal="center" vertical="center"/>
    </xf>
    <xf numFmtId="174" fontId="0" fillId="35" borderId="0" xfId="49" applyNumberFormat="1" applyFont="1" applyFill="1" applyBorder="1" applyAlignment="1">
      <alignment horizontal="center" vertical="center"/>
    </xf>
    <xf numFmtId="174" fontId="91" fillId="35" borderId="27" xfId="49" applyNumberFormat="1" applyFont="1" applyFill="1" applyBorder="1" applyAlignment="1">
      <alignment horizontal="center" vertical="center"/>
    </xf>
    <xf numFmtId="0" fontId="26" fillId="0" borderId="0" xfId="0" applyFont="1" applyAlignment="1">
      <alignment horizontal="left"/>
    </xf>
    <xf numFmtId="0" fontId="42" fillId="36" borderId="46" xfId="0" applyFont="1" applyFill="1" applyBorder="1" applyAlignment="1">
      <alignment horizontal="center"/>
    </xf>
    <xf numFmtId="0" fontId="42" fillId="36" borderId="41" xfId="0" applyFont="1" applyFill="1" applyBorder="1" applyAlignment="1">
      <alignment horizontal="center"/>
    </xf>
    <xf numFmtId="166" fontId="59" fillId="35" borderId="0" xfId="0" applyNumberFormat="1" applyFont="1" applyFill="1" applyBorder="1"/>
    <xf numFmtId="174" fontId="0" fillId="35" borderId="0" xfId="49" applyNumberFormat="1" applyFont="1" applyFill="1" applyBorder="1"/>
    <xf numFmtId="166" fontId="58" fillId="35" borderId="0" xfId="0" applyNumberFormat="1" applyFont="1" applyFill="1" applyBorder="1"/>
    <xf numFmtId="166" fontId="42" fillId="36" borderId="0" xfId="0" applyNumberFormat="1" applyFont="1" applyFill="1" applyAlignment="1">
      <alignment horizontal="center"/>
    </xf>
    <xf numFmtId="166" fontId="42" fillId="36" borderId="45" xfId="0" applyNumberFormat="1" applyFont="1" applyFill="1" applyBorder="1" applyAlignment="1">
      <alignment horizontal="center"/>
    </xf>
    <xf numFmtId="166" fontId="0" fillId="35" borderId="0" xfId="0" applyNumberFormat="1" applyFill="1" applyBorder="1" applyAlignment="1">
      <alignment horizontal="center"/>
    </xf>
    <xf numFmtId="0" fontId="42" fillId="36" borderId="71" xfId="0" applyFont="1" applyFill="1" applyBorder="1" applyAlignment="1">
      <alignment horizontal="center"/>
    </xf>
    <xf numFmtId="2" fontId="0" fillId="35" borderId="72" xfId="0" applyNumberFormat="1" applyFill="1" applyBorder="1" applyAlignment="1">
      <alignment horizontal="center" vertical="center"/>
    </xf>
    <xf numFmtId="170" fontId="91" fillId="35" borderId="0" xfId="0" applyNumberFormat="1" applyFont="1" applyFill="1"/>
    <xf numFmtId="179" fontId="0" fillId="35" borderId="0" xfId="116" applyNumberFormat="1" applyFont="1" applyFill="1" applyBorder="1" applyAlignment="1">
      <alignment horizontal="center" vertical="center"/>
    </xf>
    <xf numFmtId="178" fontId="0" fillId="35" borderId="48" xfId="116" applyNumberFormat="1" applyFont="1" applyFill="1" applyBorder="1" applyAlignment="1">
      <alignment horizontal="center" vertical="center"/>
    </xf>
    <xf numFmtId="179" fontId="0" fillId="35" borderId="48" xfId="116" applyNumberFormat="1" applyFont="1" applyFill="1" applyBorder="1" applyAlignment="1">
      <alignment horizontal="center" vertical="center"/>
    </xf>
    <xf numFmtId="2" fontId="0" fillId="43" borderId="74" xfId="0" applyNumberFormat="1" applyFill="1" applyBorder="1" applyAlignment="1">
      <alignment horizontal="center" vertical="center"/>
    </xf>
    <xf numFmtId="2" fontId="0" fillId="43" borderId="24" xfId="0" applyNumberFormat="1" applyFill="1" applyBorder="1" applyAlignment="1">
      <alignment horizontal="center" vertical="center"/>
    </xf>
    <xf numFmtId="2" fontId="0" fillId="43" borderId="75" xfId="0" applyNumberFormat="1" applyFill="1" applyBorder="1" applyAlignment="1">
      <alignment horizontal="center" vertical="center"/>
    </xf>
    <xf numFmtId="174" fontId="0" fillId="0" borderId="0" xfId="49" applyNumberFormat="1" applyFont="1" applyAlignment="1">
      <alignment horizontal="center"/>
    </xf>
    <xf numFmtId="166" fontId="26" fillId="44" borderId="22" xfId="0" applyNumberFormat="1" applyFont="1" applyFill="1" applyBorder="1"/>
    <xf numFmtId="183" fontId="0" fillId="0" borderId="68" xfId="0" applyNumberFormat="1" applyBorder="1" applyAlignment="1">
      <alignment horizontal="center"/>
    </xf>
    <xf numFmtId="183" fontId="0" fillId="0" borderId="69" xfId="0" applyNumberFormat="1" applyBorder="1" applyAlignment="1">
      <alignment horizontal="center"/>
    </xf>
    <xf numFmtId="183" fontId="0" fillId="0" borderId="70" xfId="0" applyNumberFormat="1" applyBorder="1" applyAlignment="1">
      <alignment horizontal="center"/>
    </xf>
    <xf numFmtId="43" fontId="4" fillId="0" borderId="0" xfId="116"/>
    <xf numFmtId="166" fontId="26" fillId="43" borderId="0" xfId="0" applyNumberFormat="1" applyFont="1" applyFill="1"/>
    <xf numFmtId="166" fontId="53" fillId="0" borderId="0" xfId="0" applyNumberFormat="1" applyFont="1" applyAlignment="1">
      <alignment horizontal="left" indent="1"/>
    </xf>
    <xf numFmtId="174" fontId="31" fillId="0" borderId="0" xfId="49" applyNumberFormat="1" applyFont="1"/>
    <xf numFmtId="174" fontId="92" fillId="0" borderId="0" xfId="49" applyNumberFormat="1" applyFont="1"/>
    <xf numFmtId="166" fontId="26" fillId="0" borderId="20" xfId="0" applyNumberFormat="1" applyFont="1" applyBorder="1"/>
    <xf numFmtId="166" fontId="0" fillId="0" borderId="20" xfId="0" applyNumberFormat="1" applyBorder="1"/>
    <xf numFmtId="166" fontId="26" fillId="0" borderId="27" xfId="0" applyNumberFormat="1" applyFont="1" applyBorder="1"/>
    <xf numFmtId="166" fontId="0" fillId="0" borderId="27" xfId="0" applyNumberFormat="1" applyBorder="1"/>
    <xf numFmtId="167" fontId="0" fillId="35" borderId="48" xfId="49" applyFont="1" applyFill="1" applyBorder="1" applyAlignment="1">
      <alignment horizontal="center" vertical="center"/>
    </xf>
    <xf numFmtId="167" fontId="0" fillId="35" borderId="72" xfId="49" applyFont="1" applyFill="1" applyBorder="1" applyAlignment="1">
      <alignment horizontal="center" vertical="center"/>
    </xf>
    <xf numFmtId="167" fontId="0" fillId="35" borderId="66" xfId="49" applyFont="1" applyFill="1" applyBorder="1" applyAlignment="1">
      <alignment horizontal="center" vertical="center"/>
    </xf>
    <xf numFmtId="167" fontId="0" fillId="35" borderId="67" xfId="49" applyFont="1" applyFill="1" applyBorder="1" applyAlignment="1">
      <alignment horizontal="center" vertical="center"/>
    </xf>
    <xf numFmtId="167" fontId="0" fillId="35" borderId="73" xfId="49" applyFont="1" applyFill="1" applyBorder="1" applyAlignment="1">
      <alignment horizontal="center" vertical="center"/>
    </xf>
    <xf numFmtId="166" fontId="0" fillId="0" borderId="71" xfId="0" applyNumberFormat="1" applyBorder="1"/>
    <xf numFmtId="166" fontId="42" fillId="36" borderId="72" xfId="0" applyNumberFormat="1" applyFont="1" applyFill="1" applyBorder="1" applyAlignment="1">
      <alignment horizontal="center"/>
    </xf>
    <xf numFmtId="166" fontId="0" fillId="44" borderId="72" xfId="0" applyNumberFormat="1" applyFill="1" applyBorder="1"/>
    <xf numFmtId="166" fontId="0" fillId="44" borderId="73" xfId="0" applyNumberFormat="1" applyFill="1" applyBorder="1"/>
    <xf numFmtId="167" fontId="31" fillId="35" borderId="48" xfId="49" applyFont="1" applyFill="1" applyBorder="1" applyAlignment="1">
      <alignment horizontal="center" vertical="center"/>
    </xf>
    <xf numFmtId="167" fontId="31" fillId="35" borderId="0" xfId="49" applyFont="1" applyFill="1" applyBorder="1" applyAlignment="1">
      <alignment horizontal="center" vertical="center"/>
    </xf>
    <xf numFmtId="167" fontId="31" fillId="35" borderId="66" xfId="49" applyFont="1" applyFill="1" applyBorder="1" applyAlignment="1">
      <alignment horizontal="center" vertical="center"/>
    </xf>
    <xf numFmtId="167" fontId="31" fillId="35" borderId="67" xfId="49" applyFont="1" applyFill="1" applyBorder="1" applyAlignment="1">
      <alignment horizontal="center" vertical="center"/>
    </xf>
    <xf numFmtId="167" fontId="26" fillId="35" borderId="48" xfId="49" applyFont="1" applyFill="1" applyBorder="1" applyAlignment="1">
      <alignment horizontal="center" vertical="center"/>
    </xf>
    <xf numFmtId="167" fontId="26" fillId="35" borderId="0" xfId="49" applyFont="1" applyFill="1" applyBorder="1" applyAlignment="1">
      <alignment horizontal="center" vertical="center"/>
    </xf>
    <xf numFmtId="167" fontId="26" fillId="35" borderId="66" xfId="49" applyFont="1" applyFill="1" applyBorder="1" applyAlignment="1">
      <alignment horizontal="center" vertical="center"/>
    </xf>
    <xf numFmtId="167" fontId="26" fillId="35" borderId="67" xfId="49" applyFont="1" applyFill="1" applyBorder="1" applyAlignment="1">
      <alignment horizontal="center" vertical="center"/>
    </xf>
    <xf numFmtId="178" fontId="0" fillId="35" borderId="66" xfId="116" applyNumberFormat="1" applyFont="1" applyFill="1" applyBorder="1" applyAlignment="1">
      <alignment horizontal="center" vertical="center"/>
    </xf>
    <xf numFmtId="178" fontId="0" fillId="35" borderId="67" xfId="116" applyNumberFormat="1" applyFont="1" applyFill="1" applyBorder="1" applyAlignment="1">
      <alignment horizontal="center" vertical="center"/>
    </xf>
    <xf numFmtId="166" fontId="42" fillId="36" borderId="72" xfId="0" applyNumberFormat="1" applyFont="1" applyFill="1" applyBorder="1" applyAlignment="1">
      <alignment horizontal="left"/>
    </xf>
    <xf numFmtId="166" fontId="42" fillId="36" borderId="0" xfId="0" applyNumberFormat="1" applyFont="1" applyFill="1" applyBorder="1" applyAlignment="1">
      <alignment horizontal="center"/>
    </xf>
    <xf numFmtId="0" fontId="42" fillId="36" borderId="0" xfId="0" applyFont="1" applyFill="1" applyBorder="1" applyAlignment="1">
      <alignment horizontal="center"/>
    </xf>
    <xf numFmtId="166" fontId="43" fillId="35" borderId="21" xfId="0" applyNumberFormat="1" applyFont="1" applyFill="1" applyBorder="1"/>
    <xf numFmtId="166" fontId="43" fillId="44" borderId="21" xfId="0" applyNumberFormat="1" applyFont="1" applyFill="1" applyBorder="1"/>
    <xf numFmtId="2" fontId="0" fillId="43" borderId="74" xfId="0" applyNumberFormat="1" applyFill="1" applyBorder="1" applyAlignment="1">
      <alignment horizontal="right" vertical="center"/>
    </xf>
    <xf numFmtId="2" fontId="0" fillId="43" borderId="24" xfId="0" applyNumberFormat="1" applyFill="1" applyBorder="1" applyAlignment="1">
      <alignment horizontal="right" vertical="center"/>
    </xf>
    <xf numFmtId="183" fontId="0" fillId="0" borderId="68" xfId="0" applyNumberFormat="1" applyBorder="1" applyAlignment="1">
      <alignment horizontal="right"/>
    </xf>
    <xf numFmtId="183" fontId="0" fillId="0" borderId="69" xfId="0" applyNumberFormat="1" applyBorder="1" applyAlignment="1">
      <alignment horizontal="right"/>
    </xf>
    <xf numFmtId="178" fontId="0" fillId="0" borderId="0" xfId="116" applyNumberFormat="1" applyFont="1" applyAlignment="1">
      <alignment horizontal="center"/>
    </xf>
    <xf numFmtId="0" fontId="2" fillId="35" borderId="0" xfId="114" applyFont="1" applyFill="1"/>
    <xf numFmtId="0" fontId="2" fillId="35" borderId="76" xfId="114" applyFont="1" applyFill="1" applyBorder="1"/>
    <xf numFmtId="178" fontId="4" fillId="35" borderId="77" xfId="116" applyNumberFormat="1" applyFill="1" applyBorder="1"/>
    <xf numFmtId="184" fontId="0" fillId="35" borderId="0" xfId="0" applyNumberFormat="1" applyFill="1"/>
    <xf numFmtId="0" fontId="0" fillId="35" borderId="40" xfId="0" applyFill="1" applyBorder="1"/>
    <xf numFmtId="0" fontId="0" fillId="35" borderId="80" xfId="0" applyFill="1" applyBorder="1"/>
    <xf numFmtId="166" fontId="0" fillId="44" borderId="40" xfId="0" applyNumberFormat="1" applyFill="1" applyBorder="1"/>
    <xf numFmtId="0" fontId="0" fillId="35" borderId="25" xfId="0" applyFill="1" applyBorder="1"/>
    <xf numFmtId="166" fontId="42" fillId="36" borderId="80" xfId="0" applyNumberFormat="1" applyFont="1" applyFill="1" applyBorder="1" applyAlignment="1">
      <alignment horizontal="left"/>
    </xf>
    <xf numFmtId="166" fontId="0" fillId="44" borderId="79" xfId="0" applyNumberFormat="1" applyFill="1" applyBorder="1"/>
    <xf numFmtId="0" fontId="43" fillId="60" borderId="81" xfId="0" applyFont="1" applyFill="1" applyBorder="1"/>
    <xf numFmtId="9" fontId="0" fillId="35" borderId="85" xfId="0" applyNumberFormat="1" applyFill="1" applyBorder="1" applyAlignment="1">
      <alignment horizontal="center"/>
    </xf>
    <xf numFmtId="9" fontId="0" fillId="35" borderId="78" xfId="0" applyNumberFormat="1" applyFill="1" applyBorder="1" applyAlignment="1">
      <alignment horizontal="center"/>
    </xf>
    <xf numFmtId="9" fontId="0" fillId="35" borderId="86" xfId="0" applyNumberFormat="1" applyFill="1" applyBorder="1" applyAlignment="1">
      <alignment horizontal="center"/>
    </xf>
    <xf numFmtId="9" fontId="42" fillId="36" borderId="48" xfId="0" applyNumberFormat="1" applyFont="1" applyFill="1" applyBorder="1" applyAlignment="1">
      <alignment horizontal="center"/>
    </xf>
    <xf numFmtId="9" fontId="42" fillId="36" borderId="0" xfId="0" applyNumberFormat="1" applyFont="1" applyFill="1" applyBorder="1" applyAlignment="1">
      <alignment horizontal="center"/>
    </xf>
    <xf numFmtId="9" fontId="42" fillId="36" borderId="43" xfId="0" applyNumberFormat="1" applyFont="1" applyFill="1" applyBorder="1" applyAlignment="1">
      <alignment horizontal="center"/>
    </xf>
    <xf numFmtId="9" fontId="0" fillId="35" borderId="48" xfId="0" applyNumberFormat="1" applyFill="1" applyBorder="1" applyAlignment="1">
      <alignment horizontal="center"/>
    </xf>
    <xf numFmtId="9" fontId="0" fillId="35" borderId="0" xfId="0" applyNumberFormat="1" applyFill="1" applyBorder="1" applyAlignment="1">
      <alignment horizontal="center"/>
    </xf>
    <xf numFmtId="9" fontId="0" fillId="35" borderId="43" xfId="0" applyNumberFormat="1" applyFill="1" applyBorder="1" applyAlignment="1">
      <alignment horizontal="center"/>
    </xf>
    <xf numFmtId="178" fontId="26" fillId="35" borderId="48" xfId="116" applyNumberFormat="1" applyFont="1" applyFill="1" applyBorder="1" applyAlignment="1">
      <alignment horizontal="center"/>
    </xf>
    <xf numFmtId="178" fontId="26" fillId="35" borderId="0" xfId="116" applyNumberFormat="1" applyFont="1" applyFill="1" applyBorder="1" applyAlignment="1">
      <alignment horizontal="center"/>
    </xf>
    <xf numFmtId="178" fontId="26" fillId="35" borderId="43" xfId="116" applyNumberFormat="1" applyFont="1" applyFill="1" applyBorder="1" applyAlignment="1">
      <alignment horizontal="center"/>
    </xf>
    <xf numFmtId="178" fontId="26" fillId="35" borderId="49" xfId="116" applyNumberFormat="1" applyFont="1" applyFill="1" applyBorder="1" applyAlignment="1">
      <alignment horizontal="center"/>
    </xf>
    <xf numFmtId="178" fontId="26" fillId="35" borderId="20" xfId="116" applyNumberFormat="1" applyFont="1" applyFill="1" applyBorder="1" applyAlignment="1">
      <alignment horizontal="center"/>
    </xf>
    <xf numFmtId="178" fontId="26" fillId="35" borderId="50" xfId="116" applyNumberFormat="1" applyFont="1" applyFill="1" applyBorder="1" applyAlignment="1">
      <alignment horizontal="center"/>
    </xf>
    <xf numFmtId="178" fontId="43" fillId="60" borderId="87" xfId="116" applyNumberFormat="1" applyFont="1" applyFill="1" applyBorder="1" applyAlignment="1">
      <alignment horizontal="center"/>
    </xf>
    <xf numFmtId="178" fontId="43" fillId="60" borderId="21" xfId="116" applyNumberFormat="1" applyFont="1" applyFill="1" applyBorder="1" applyAlignment="1">
      <alignment horizontal="center"/>
    </xf>
    <xf numFmtId="178" fontId="43" fillId="60" borderId="88" xfId="116" applyNumberFormat="1" applyFont="1" applyFill="1" applyBorder="1" applyAlignment="1">
      <alignment horizontal="center"/>
    </xf>
    <xf numFmtId="178" fontId="43" fillId="60" borderId="66" xfId="116" applyNumberFormat="1" applyFont="1" applyFill="1" applyBorder="1" applyAlignment="1">
      <alignment horizontal="center"/>
    </xf>
    <xf numFmtId="178" fontId="43" fillId="60" borderId="67" xfId="116" applyNumberFormat="1" applyFont="1" applyFill="1" applyBorder="1" applyAlignment="1">
      <alignment horizontal="center"/>
    </xf>
    <xf numFmtId="178" fontId="43" fillId="60" borderId="44" xfId="116" applyNumberFormat="1" applyFont="1" applyFill="1" applyBorder="1" applyAlignment="1">
      <alignment horizontal="center"/>
    </xf>
    <xf numFmtId="174" fontId="31" fillId="35" borderId="48" xfId="49" applyNumberFormat="1" applyFont="1" applyFill="1" applyBorder="1" applyAlignment="1">
      <alignment horizontal="center"/>
    </xf>
    <xf numFmtId="174" fontId="31" fillId="35" borderId="0" xfId="49" applyNumberFormat="1" applyFont="1" applyFill="1" applyBorder="1" applyAlignment="1">
      <alignment horizontal="center"/>
    </xf>
    <xf numFmtId="174" fontId="31" fillId="35" borderId="43" xfId="49" applyNumberFormat="1" applyFont="1" applyFill="1" applyBorder="1" applyAlignment="1">
      <alignment horizontal="center"/>
    </xf>
    <xf numFmtId="174" fontId="31" fillId="35" borderId="49" xfId="49" applyNumberFormat="1" applyFont="1" applyFill="1" applyBorder="1" applyAlignment="1">
      <alignment horizontal="center"/>
    </xf>
    <xf numFmtId="174" fontId="31" fillId="35" borderId="20" xfId="49" applyNumberFormat="1" applyFont="1" applyFill="1" applyBorder="1" applyAlignment="1">
      <alignment horizontal="center"/>
    </xf>
    <xf numFmtId="174" fontId="31" fillId="35" borderId="50" xfId="49" applyNumberFormat="1" applyFont="1" applyFill="1" applyBorder="1" applyAlignment="1">
      <alignment horizontal="center"/>
    </xf>
    <xf numFmtId="0" fontId="93" fillId="60" borderId="0" xfId="0" applyFont="1" applyFill="1" applyAlignment="1">
      <alignment vertical="center"/>
    </xf>
    <xf numFmtId="166" fontId="93" fillId="60" borderId="0" xfId="0" applyNumberFormat="1" applyFont="1" applyFill="1" applyAlignment="1">
      <alignment vertical="center"/>
    </xf>
    <xf numFmtId="0" fontId="43" fillId="35" borderId="80" xfId="0" applyFont="1" applyFill="1" applyBorder="1"/>
    <xf numFmtId="0" fontId="93" fillId="35" borderId="0" xfId="0" applyFont="1" applyFill="1"/>
    <xf numFmtId="1" fontId="93" fillId="35" borderId="0" xfId="0" applyNumberFormat="1" applyFont="1" applyFill="1"/>
    <xf numFmtId="174" fontId="31" fillId="35" borderId="66" xfId="49" applyNumberFormat="1" applyFont="1" applyFill="1" applyBorder="1" applyAlignment="1">
      <alignment horizontal="center"/>
    </xf>
    <xf numFmtId="174" fontId="31" fillId="35" borderId="67" xfId="49" applyNumberFormat="1" applyFont="1" applyFill="1" applyBorder="1" applyAlignment="1">
      <alignment horizontal="center"/>
    </xf>
    <xf numFmtId="174" fontId="31" fillId="35" borderId="44" xfId="49" applyNumberFormat="1" applyFont="1" applyFill="1" applyBorder="1" applyAlignment="1">
      <alignment horizontal="center"/>
    </xf>
    <xf numFmtId="0" fontId="50" fillId="35" borderId="0" xfId="0" applyFont="1" applyFill="1"/>
    <xf numFmtId="0" fontId="50" fillId="35" borderId="0" xfId="0" applyFont="1" applyFill="1" applyBorder="1"/>
    <xf numFmtId="0" fontId="42" fillId="35" borderId="0" xfId="0" applyFont="1" applyFill="1" applyBorder="1"/>
    <xf numFmtId="0" fontId="43" fillId="35" borderId="71" xfId="0" applyFont="1" applyFill="1" applyBorder="1"/>
    <xf numFmtId="166" fontId="42" fillId="36" borderId="71" xfId="0" applyNumberFormat="1" applyFont="1" applyFill="1" applyBorder="1" applyAlignment="1">
      <alignment horizontal="left"/>
    </xf>
    <xf numFmtId="0" fontId="42" fillId="36" borderId="74" xfId="0" applyFont="1" applyFill="1" applyBorder="1"/>
    <xf numFmtId="9" fontId="42" fillId="36" borderId="80" xfId="0" applyNumberFormat="1" applyFont="1" applyFill="1" applyBorder="1" applyAlignment="1">
      <alignment horizontal="center"/>
    </xf>
    <xf numFmtId="174" fontId="0" fillId="35" borderId="0" xfId="0" applyNumberFormat="1" applyFill="1"/>
    <xf numFmtId="178" fontId="43" fillId="35" borderId="0" xfId="0" applyNumberFormat="1" applyFont="1" applyFill="1"/>
    <xf numFmtId="0" fontId="43" fillId="35" borderId="40" xfId="0" applyFont="1" applyFill="1" applyBorder="1"/>
    <xf numFmtId="0" fontId="43" fillId="35" borderId="0" xfId="0" applyFont="1" applyFill="1"/>
    <xf numFmtId="1" fontId="43" fillId="35" borderId="0" xfId="0" applyNumberFormat="1" applyFont="1" applyFill="1"/>
    <xf numFmtId="167" fontId="0" fillId="35" borderId="0" xfId="49" applyFont="1" applyFill="1"/>
    <xf numFmtId="166" fontId="94" fillId="35" borderId="20" xfId="0" applyNumberFormat="1" applyFont="1" applyFill="1" applyBorder="1"/>
    <xf numFmtId="0" fontId="0" fillId="35" borderId="20" xfId="0" applyFill="1" applyBorder="1"/>
    <xf numFmtId="166" fontId="94" fillId="35" borderId="0" xfId="0" applyNumberFormat="1" applyFont="1" applyFill="1" applyBorder="1"/>
    <xf numFmtId="0" fontId="0" fillId="35" borderId="0" xfId="0" applyFill="1" applyBorder="1"/>
    <xf numFmtId="175" fontId="0" fillId="0" borderId="0" xfId="0" applyNumberFormat="1"/>
    <xf numFmtId="166" fontId="26" fillId="44" borderId="0" xfId="0" applyNumberFormat="1" applyFont="1" applyFill="1" applyBorder="1"/>
    <xf numFmtId="166" fontId="0" fillId="44" borderId="21" xfId="0" applyNumberFormat="1" applyFill="1" applyBorder="1"/>
    <xf numFmtId="175" fontId="0" fillId="35" borderId="21" xfId="0" applyNumberFormat="1" applyFill="1" applyBorder="1" applyAlignment="1">
      <alignment horizontal="center" vertical="center"/>
    </xf>
    <xf numFmtId="2" fontId="0" fillId="43" borderId="0" xfId="0" applyNumberFormat="1" applyFill="1" applyBorder="1" applyAlignment="1">
      <alignment horizontal="center" vertical="center"/>
    </xf>
    <xf numFmtId="175" fontId="0" fillId="43" borderId="21" xfId="0" applyNumberFormat="1" applyFill="1" applyBorder="1" applyAlignment="1">
      <alignment horizontal="center" vertical="center"/>
    </xf>
    <xf numFmtId="2" fontId="0" fillId="0" borderId="0" xfId="0" applyNumberFormat="1" applyBorder="1" applyAlignment="1">
      <alignment horizontal="center" vertical="center"/>
    </xf>
    <xf numFmtId="0" fontId="41" fillId="35" borderId="0" xfId="57" applyFill="1" applyAlignment="1" applyProtection="1">
      <alignment horizontal="left"/>
    </xf>
    <xf numFmtId="166" fontId="26" fillId="35" borderId="0" xfId="122" applyNumberFormat="1" applyFill="1"/>
    <xf numFmtId="0" fontId="41" fillId="35" borderId="0" xfId="57" applyFill="1" applyAlignment="1" applyProtection="1">
      <alignment horizontal="center" vertical="top"/>
    </xf>
    <xf numFmtId="175" fontId="26" fillId="35" borderId="0" xfId="122" applyNumberFormat="1" applyFill="1"/>
    <xf numFmtId="166" fontId="41" fillId="35" borderId="0" xfId="57" applyNumberFormat="1" applyFill="1"/>
    <xf numFmtId="9" fontId="0" fillId="35" borderId="0" xfId="0" applyNumberFormat="1" applyFill="1"/>
    <xf numFmtId="0" fontId="0" fillId="35" borderId="0" xfId="0" applyFill="1" applyAlignment="1">
      <alignment horizontal="center"/>
    </xf>
    <xf numFmtId="178" fontId="0" fillId="35" borderId="0" xfId="116" applyNumberFormat="1" applyFont="1" applyFill="1"/>
    <xf numFmtId="0" fontId="26" fillId="35" borderId="0" xfId="0" applyFont="1" applyFill="1" applyAlignment="1">
      <alignment horizontal="center"/>
    </xf>
    <xf numFmtId="2" fontId="0" fillId="35" borderId="0" xfId="0" applyNumberFormat="1" applyFill="1" applyAlignment="1">
      <alignment horizontal="center"/>
    </xf>
    <xf numFmtId="170" fontId="41" fillId="35" borderId="0" xfId="57" applyNumberFormat="1" applyFill="1"/>
    <xf numFmtId="170" fontId="26" fillId="35" borderId="0" xfId="122" applyNumberFormat="1" applyFill="1"/>
    <xf numFmtId="170" fontId="26" fillId="35" borderId="0" xfId="122" applyNumberFormat="1" applyFill="1" applyBorder="1" applyAlignment="1">
      <alignment horizontal="center" vertical="center"/>
    </xf>
    <xf numFmtId="0" fontId="83" fillId="35" borderId="0" xfId="0" applyFont="1" applyFill="1"/>
    <xf numFmtId="174" fontId="83" fillId="35" borderId="0" xfId="49" applyNumberFormat="1" applyFont="1" applyFill="1"/>
    <xf numFmtId="178" fontId="43" fillId="35" borderId="0" xfId="120" applyNumberFormat="1" applyFont="1" applyFill="1"/>
    <xf numFmtId="178" fontId="0" fillId="35" borderId="0" xfId="120" applyNumberFormat="1" applyFont="1" applyFill="1"/>
    <xf numFmtId="178" fontId="26" fillId="35" borderId="0" xfId="120" applyNumberFormat="1" applyFont="1" applyFill="1"/>
    <xf numFmtId="0" fontId="34" fillId="35" borderId="0" xfId="122" applyFont="1" applyFill="1" applyAlignment="1">
      <alignment horizontal="left" vertical="center"/>
    </xf>
    <xf numFmtId="0" fontId="36" fillId="35" borderId="19" xfId="122" applyFont="1" applyFill="1" applyBorder="1" applyAlignment="1">
      <alignment horizontal="left" vertical="center"/>
    </xf>
    <xf numFmtId="0" fontId="33" fillId="35" borderId="0" xfId="122" applyFont="1" applyFill="1" applyAlignment="1">
      <alignment horizontal="right" vertical="center"/>
    </xf>
    <xf numFmtId="0" fontId="36" fillId="35" borderId="0" xfId="122" applyFont="1" applyFill="1" applyAlignment="1">
      <alignment horizontal="left" vertical="center"/>
    </xf>
    <xf numFmtId="0" fontId="33" fillId="35" borderId="19" xfId="122" applyFont="1" applyFill="1" applyBorder="1" applyAlignment="1">
      <alignment horizontal="right" vertical="center"/>
    </xf>
    <xf numFmtId="0" fontId="15" fillId="36" borderId="0" xfId="122" applyFont="1" applyFill="1" applyAlignment="1">
      <alignment horizontal="left" vertical="center"/>
    </xf>
    <xf numFmtId="0" fontId="37" fillId="36" borderId="0" xfId="122" applyFont="1" applyFill="1" applyAlignment="1">
      <alignment horizontal="right" vertical="center"/>
    </xf>
    <xf numFmtId="166" fontId="37" fillId="36" borderId="0" xfId="122" applyNumberFormat="1" applyFont="1" applyFill="1" applyAlignment="1">
      <alignment horizontal="right"/>
    </xf>
    <xf numFmtId="166" fontId="38" fillId="36" borderId="0" xfId="122" applyNumberFormat="1" applyFont="1" applyFill="1"/>
    <xf numFmtId="0" fontId="26" fillId="35" borderId="0" xfId="122" applyFill="1"/>
    <xf numFmtId="0" fontId="40" fillId="36" borderId="0" xfId="122" applyFont="1" applyFill="1" applyAlignment="1">
      <alignment horizontal="center" vertical="center"/>
    </xf>
    <xf numFmtId="0" fontId="95" fillId="35" borderId="0" xfId="122" applyFont="1" applyFill="1"/>
    <xf numFmtId="170" fontId="87" fillId="36" borderId="0" xfId="122" applyNumberFormat="1" applyFont="1" applyFill="1" applyAlignment="1">
      <alignment horizontal="center" vertical="center" wrapText="1"/>
    </xf>
    <xf numFmtId="170" fontId="87" fillId="35" borderId="0" xfId="122" applyNumberFormat="1" applyFont="1" applyFill="1" applyAlignment="1">
      <alignment horizontal="center" vertical="center" wrapText="1"/>
    </xf>
    <xf numFmtId="178" fontId="26" fillId="35" borderId="0" xfId="122" applyNumberFormat="1" applyFill="1"/>
    <xf numFmtId="0" fontId="26" fillId="61" borderId="27" xfId="122" applyFill="1" applyBorder="1"/>
    <xf numFmtId="178" fontId="26" fillId="61" borderId="27" xfId="122" applyNumberFormat="1" applyFill="1" applyBorder="1"/>
    <xf numFmtId="0" fontId="43" fillId="35" borderId="0" xfId="122" applyFont="1" applyFill="1"/>
    <xf numFmtId="178" fontId="96" fillId="35" borderId="0" xfId="120" applyNumberFormat="1" applyFont="1" applyFill="1"/>
    <xf numFmtId="0" fontId="26" fillId="35" borderId="0" xfId="122" applyFill="1" applyAlignment="1">
      <alignment horizontal="left" indent="1"/>
    </xf>
    <xf numFmtId="0" fontId="53" fillId="35" borderId="0" xfId="122" applyFont="1" applyFill="1" applyAlignment="1">
      <alignment horizontal="left" indent="1"/>
    </xf>
    <xf numFmtId="0" fontId="53" fillId="35" borderId="0" xfId="122" applyFont="1" applyFill="1"/>
    <xf numFmtId="0" fontId="26" fillId="35" borderId="0" xfId="122" applyFont="1" applyFill="1"/>
    <xf numFmtId="178" fontId="97" fillId="35" borderId="0" xfId="120" applyNumberFormat="1" applyFont="1" applyFill="1"/>
    <xf numFmtId="178" fontId="26" fillId="35" borderId="0" xfId="122" applyNumberFormat="1" applyFont="1" applyFill="1"/>
    <xf numFmtId="170" fontId="43" fillId="35" borderId="68" xfId="0" applyNumberFormat="1" applyFont="1" applyFill="1" applyBorder="1" applyAlignment="1">
      <alignment horizontal="center"/>
    </xf>
    <xf numFmtId="170" fontId="43" fillId="35" borderId="69" xfId="0" applyNumberFormat="1" applyFont="1" applyFill="1" applyBorder="1" applyAlignment="1">
      <alignment horizontal="center"/>
    </xf>
    <xf numFmtId="170" fontId="43" fillId="35" borderId="70" xfId="0" applyNumberFormat="1" applyFont="1" applyFill="1" applyBorder="1" applyAlignment="1">
      <alignment horizontal="center"/>
    </xf>
    <xf numFmtId="166" fontId="59" fillId="35" borderId="0" xfId="0" applyNumberFormat="1" applyFont="1" applyFill="1" applyBorder="1" applyAlignment="1">
      <alignment horizontal="center"/>
    </xf>
    <xf numFmtId="166" fontId="26" fillId="35" borderId="25" xfId="0" applyNumberFormat="1" applyFont="1" applyFill="1" applyBorder="1" applyAlignment="1">
      <alignment horizontal="center"/>
    </xf>
    <xf numFmtId="166" fontId="26" fillId="35" borderId="27" xfId="0" applyNumberFormat="1" applyFont="1" applyFill="1" applyBorder="1" applyAlignment="1">
      <alignment horizontal="center"/>
    </xf>
    <xf numFmtId="166" fontId="26" fillId="35" borderId="26" xfId="0" applyNumberFormat="1" applyFont="1" applyFill="1" applyBorder="1" applyAlignment="1">
      <alignment horizontal="center"/>
    </xf>
    <xf numFmtId="166" fontId="59" fillId="0" borderId="29" xfId="0" applyNumberFormat="1" applyFont="1" applyBorder="1" applyAlignment="1">
      <alignment horizontal="center"/>
    </xf>
    <xf numFmtId="166" fontId="59" fillId="0" borderId="33" xfId="0" applyNumberFormat="1" applyFont="1" applyBorder="1" applyAlignment="1">
      <alignment horizontal="center"/>
    </xf>
    <xf numFmtId="166" fontId="53" fillId="40" borderId="0" xfId="0" applyNumberFormat="1" applyFont="1" applyFill="1" applyAlignment="1">
      <alignment horizontal="center"/>
    </xf>
    <xf numFmtId="166" fontId="26" fillId="0" borderId="25" xfId="0" applyNumberFormat="1" applyFont="1" applyBorder="1" applyAlignment="1">
      <alignment horizontal="center"/>
    </xf>
    <xf numFmtId="166" fontId="26" fillId="0" borderId="27" xfId="0" applyNumberFormat="1" applyFont="1" applyBorder="1" applyAlignment="1">
      <alignment horizontal="center"/>
    </xf>
    <xf numFmtId="166" fontId="26" fillId="0" borderId="26" xfId="0" applyNumberFormat="1" applyFont="1" applyBorder="1" applyAlignment="1">
      <alignment horizontal="center"/>
    </xf>
    <xf numFmtId="0" fontId="43" fillId="35" borderId="0" xfId="0" applyFont="1" applyFill="1" applyAlignment="1">
      <alignment horizontal="center"/>
    </xf>
    <xf numFmtId="0" fontId="0" fillId="35" borderId="89" xfId="0" applyFill="1" applyBorder="1" applyAlignment="1">
      <alignment horizontal="center"/>
    </xf>
    <xf numFmtId="0" fontId="0" fillId="35" borderId="90" xfId="0" applyFill="1" applyBorder="1" applyAlignment="1">
      <alignment horizontal="center"/>
    </xf>
    <xf numFmtId="0" fontId="0" fillId="35" borderId="91" xfId="0" applyFill="1" applyBorder="1" applyAlignment="1">
      <alignment horizontal="center"/>
    </xf>
    <xf numFmtId="0" fontId="0" fillId="35" borderId="82" xfId="0" applyFill="1" applyBorder="1" applyAlignment="1">
      <alignment horizontal="center"/>
    </xf>
    <xf numFmtId="0" fontId="0" fillId="35" borderId="83" xfId="0" applyFill="1" applyBorder="1" applyAlignment="1">
      <alignment horizontal="center"/>
    </xf>
    <xf numFmtId="0" fontId="0" fillId="35" borderId="84" xfId="0" applyFill="1" applyBorder="1" applyAlignment="1">
      <alignment horizontal="center"/>
    </xf>
    <xf numFmtId="0" fontId="4" fillId="35" borderId="0" xfId="114" applyFill="1"/>
    <xf numFmtId="166" fontId="42" fillId="38" borderId="0" xfId="66" applyNumberFormat="1" applyFont="1" applyFill="1" applyAlignment="1">
      <alignment horizontal="left"/>
    </xf>
    <xf numFmtId="0" fontId="79" fillId="49" borderId="1" xfId="114" applyFont="1" applyFill="1" applyBorder="1" applyAlignment="1">
      <alignment horizontal="center" vertical="center"/>
    </xf>
  </cellXfs>
  <cellStyles count="125">
    <cellStyle name="20% - Accent1" xfId="19" builtinId="30" hidden="1"/>
    <cellStyle name="20% - Accent1" xfId="91" builtinId="30" customBuiltin="1"/>
    <cellStyle name="20% - Accent2" xfId="23" builtinId="34" hidden="1"/>
    <cellStyle name="20% - Accent2" xfId="95" builtinId="34" customBuiltin="1"/>
    <cellStyle name="20% - Accent3" xfId="27" builtinId="38" hidden="1"/>
    <cellStyle name="20% - Accent3" xfId="99" builtinId="38" customBuiltin="1"/>
    <cellStyle name="20% - Accent4" xfId="31" builtinId="42" hidden="1"/>
    <cellStyle name="20% - Accent4" xfId="103" builtinId="42" customBuiltin="1"/>
    <cellStyle name="20% - Accent5" xfId="35" builtinId="46" hidden="1"/>
    <cellStyle name="20% - Accent5" xfId="107" builtinId="46" customBuiltin="1"/>
    <cellStyle name="20% - Accent6" xfId="39" builtinId="50" hidden="1"/>
    <cellStyle name="20% - Accent6" xfId="111" builtinId="50" customBuiltin="1"/>
    <cellStyle name="40% - Accent1" xfId="20" builtinId="31" hidden="1"/>
    <cellStyle name="40% - Accent1" xfId="92" builtinId="31" customBuiltin="1"/>
    <cellStyle name="40% - Accent2" xfId="24" builtinId="35" hidden="1"/>
    <cellStyle name="40% - Accent2" xfId="96" builtinId="35" customBuiltin="1"/>
    <cellStyle name="40% - Accent3" xfId="28" builtinId="39" hidden="1"/>
    <cellStyle name="40% - Accent3" xfId="100" builtinId="39" customBuiltin="1"/>
    <cellStyle name="40% - Accent4" xfId="32" builtinId="43" hidden="1"/>
    <cellStyle name="40% - Accent4" xfId="104" builtinId="43" customBuiltin="1"/>
    <cellStyle name="40% - Accent5" xfId="36" builtinId="47" hidden="1"/>
    <cellStyle name="40% - Accent5" xfId="108" builtinId="47" customBuiltin="1"/>
    <cellStyle name="40% - Accent6" xfId="40" builtinId="51" hidden="1"/>
    <cellStyle name="40% - Accent6" xfId="112" builtinId="51" customBuiltin="1"/>
    <cellStyle name="60% - Accent1" xfId="21" builtinId="32" hidden="1"/>
    <cellStyle name="60% - Accent1" xfId="93" builtinId="32" customBuiltin="1"/>
    <cellStyle name="60% - Accent2" xfId="25" builtinId="36" hidden="1"/>
    <cellStyle name="60% - Accent2" xfId="97" builtinId="36" customBuiltin="1"/>
    <cellStyle name="60% - Accent3" xfId="29" builtinId="40" hidden="1"/>
    <cellStyle name="60% - Accent3" xfId="101" builtinId="40" customBuiltin="1"/>
    <cellStyle name="60% - Accent4" xfId="33" builtinId="44" hidden="1"/>
    <cellStyle name="60% - Accent4" xfId="105" builtinId="44" customBuiltin="1"/>
    <cellStyle name="60% - Accent5" xfId="37" builtinId="48" hidden="1"/>
    <cellStyle name="60% - Accent5" xfId="109" builtinId="48" customBuiltin="1"/>
    <cellStyle name="60% - Accent6" xfId="41" builtinId="52" hidden="1"/>
    <cellStyle name="60% - Accent6" xfId="113" builtinId="52" customBuiltin="1"/>
    <cellStyle name="Accent1" xfId="18" builtinId="29" hidden="1"/>
    <cellStyle name="Accent1" xfId="90" builtinId="29" customBuiltin="1"/>
    <cellStyle name="Accent2" xfId="22" builtinId="33" hidden="1"/>
    <cellStyle name="Accent2" xfId="94" builtinId="33" customBuiltin="1"/>
    <cellStyle name="Accent3" xfId="26" builtinId="37" hidden="1"/>
    <cellStyle name="Accent3" xfId="98" builtinId="37" customBuiltin="1"/>
    <cellStyle name="Accent4" xfId="30" builtinId="41" hidden="1"/>
    <cellStyle name="Accent4" xfId="102" builtinId="41" customBuiltin="1"/>
    <cellStyle name="Accent5" xfId="34" builtinId="45" hidden="1"/>
    <cellStyle name="Accent5" xfId="106" builtinId="45" customBuiltin="1"/>
    <cellStyle name="Accent6" xfId="38" builtinId="49" hidden="1"/>
    <cellStyle name="Accent6" xfId="110" builtinId="49" customBuiltin="1"/>
    <cellStyle name="Assumptions" xfId="50" xr:uid="{00000000-0005-0000-0000-000018000000}"/>
    <cellStyle name="Bad" xfId="8" builtinId="27" hidden="1"/>
    <cellStyle name="Bad" xfId="79" builtinId="27" customBuiltin="1"/>
    <cellStyle name="Blank" xfId="44" xr:uid="{00000000-0005-0000-0000-00001A000000}"/>
    <cellStyle name="Calculation" xfId="11" builtinId="22" hidden="1"/>
    <cellStyle name="Calculation" xfId="83" builtinId="22" customBuiltin="1"/>
    <cellStyle name="Check Cell" xfId="13" builtinId="23" hidden="1"/>
    <cellStyle name="Check Cell" xfId="85" builtinId="23" customBuiltin="1"/>
    <cellStyle name="Comma" xfId="45" builtinId="3" hidden="1"/>
    <cellStyle name="Comma" xfId="116" builtinId="3"/>
    <cellStyle name="Comma [0]" xfId="46" builtinId="6" hidden="1"/>
    <cellStyle name="Comma 2" xfId="120" xr:uid="{1C728D55-DF4D-4C8D-8EFE-D1C2189CDBF8}"/>
    <cellStyle name="Comma 2 2 2" xfId="64" xr:uid="{595C4EC5-16D5-491E-AAE1-BAC0AD8A0F32}"/>
    <cellStyle name="Comma 7" xfId="63" xr:uid="{C082EF36-3322-41A7-8935-5B2410F09ED6}"/>
    <cellStyle name="Currency" xfId="47" builtinId="4" hidden="1"/>
    <cellStyle name="Currency [0]" xfId="48" builtinId="7" hidden="1"/>
    <cellStyle name="Date" xfId="43" xr:uid="{00000000-0005-0000-0000-000021000000}"/>
    <cellStyle name="Explanatory Text" xfId="16" builtinId="53" hidden="1"/>
    <cellStyle name="Explanatory Text" xfId="88" builtinId="53" customBuiltin="1"/>
    <cellStyle name="Good" xfId="7" builtinId="26" hidden="1"/>
    <cellStyle name="Good" xfId="78" builtinId="26" customBuiltin="1"/>
    <cellStyle name="Heading 1" xfId="3" builtinId="16" hidden="1"/>
    <cellStyle name="Heading 1" xfId="74" builtinId="16" customBuiltin="1"/>
    <cellStyle name="Heading 2" xfId="4" builtinId="17" hidden="1"/>
    <cellStyle name="Heading 2" xfId="75" builtinId="17" customBuiltin="1"/>
    <cellStyle name="Heading 3" xfId="5" builtinId="18" hidden="1"/>
    <cellStyle name="Heading 3" xfId="76" builtinId="18" customBuiltin="1"/>
    <cellStyle name="Heading 4" xfId="6" builtinId="19" hidden="1"/>
    <cellStyle name="Heading 4" xfId="77" builtinId="19" customBuiltin="1"/>
    <cellStyle name="Historical inputs" xfId="42" xr:uid="{00000000-0005-0000-0000-000028000000}"/>
    <cellStyle name="Hyperlink" xfId="70" builtinId="8"/>
    <cellStyle name="Hyperlink 2" xfId="58" xr:uid="{8D5DCA8D-5EE3-4136-98DA-9D89BF391220}"/>
    <cellStyle name="Hyperlink 2 2" xfId="118" xr:uid="{9A4A6B97-8B66-4CC2-A115-663784D9B9C6}"/>
    <cellStyle name="Important output" xfId="51" xr:uid="{00000000-0005-0000-0000-000029000000}"/>
    <cellStyle name="Input" xfId="1" builtinId="20" hidden="1" customBuiltin="1"/>
    <cellStyle name="Input" xfId="81" builtinId="20" customBuiltin="1"/>
    <cellStyle name="Linked Cell" xfId="12" builtinId="24" hidden="1"/>
    <cellStyle name="Linked Cell" xfId="84" builtinId="24" customBuiltin="1"/>
    <cellStyle name="Neutral" xfId="9" builtinId="28" hidden="1"/>
    <cellStyle name="Neutral" xfId="80" builtinId="28" customBuiltin="1"/>
    <cellStyle name="Normal" xfId="0" builtinId="0"/>
    <cellStyle name="Normal 10" xfId="72" xr:uid="{F7887B24-6711-4A47-83F6-5B347719D805}"/>
    <cellStyle name="Normal 11" xfId="121" xr:uid="{5A773A01-E732-4B3E-BE49-BE3E34201579}"/>
    <cellStyle name="Normal 12" xfId="114" xr:uid="{382E847A-FFB1-4898-82FC-BFC62B17D7AA}"/>
    <cellStyle name="Normal 12 2" xfId="122" xr:uid="{FB442D92-6506-498E-8CAA-51FBCE53A4DB}"/>
    <cellStyle name="Normal 12 3" xfId="123" xr:uid="{331B50D9-7022-4AC1-9DF8-DE929D47F661}"/>
    <cellStyle name="Normal 2" xfId="52" xr:uid="{0A3F0A62-75A9-4DAB-918D-DFBAB435CB2C}"/>
    <cellStyle name="Normal 2 2" xfId="61" xr:uid="{4050F5A3-2918-4C05-931F-E28B0ED8ABE7}"/>
    <cellStyle name="Normal 2 2 2" xfId="68" xr:uid="{04414A1E-90EB-4ADA-A1AE-0F9016BC285B}"/>
    <cellStyle name="Normal 2 3" xfId="65" xr:uid="{133C52F7-3616-4FD4-87C5-35F3F3A86A55}"/>
    <cellStyle name="Normal 2 4" xfId="71" xr:uid="{E470788E-F1A2-4755-A360-78CEB4F13A09}"/>
    <cellStyle name="Normal 3" xfId="53" xr:uid="{98A70635-4B06-4781-AAD6-921251ECA9C4}"/>
    <cellStyle name="Normal 3 2" xfId="57" xr:uid="{8A94803A-5837-47B2-90C7-16CDDF95A78B}"/>
    <cellStyle name="Normal 3 3" xfId="59" xr:uid="{263D99AA-4161-44C0-B0FE-CA448C0B3B8F}"/>
    <cellStyle name="Normal 4" xfId="54" xr:uid="{7E549C3A-7DA1-4A79-8DBA-BD78BD344796}"/>
    <cellStyle name="Normal 4 2" xfId="56" xr:uid="{EED7265A-68A8-4F5C-9E1C-954DD9081CBC}"/>
    <cellStyle name="Normal 5" xfId="55" xr:uid="{3FF89FD9-5247-49AD-96F4-C658CD717EDD}"/>
    <cellStyle name="Normal 5 2" xfId="117" xr:uid="{C45B6D9E-79DD-4EEA-9374-57FFE8019D97}"/>
    <cellStyle name="Normal 6" xfId="67" xr:uid="{795E2629-4BCD-4A21-9395-A2FC382EB578}"/>
    <cellStyle name="Normal 7" xfId="62" xr:uid="{7AEE2B66-36F0-4937-A431-7D64ABD7F7EF}"/>
    <cellStyle name="Normal 8" xfId="66" xr:uid="{EE612A93-0777-449A-A05B-AD03C6EA7FC3}"/>
    <cellStyle name="Normal 9" xfId="69" xr:uid="{E8217428-2BAD-4063-8F7B-81BA5E6470F4}"/>
    <cellStyle name="Note" xfId="15" builtinId="10" hidden="1"/>
    <cellStyle name="Note" xfId="87" builtinId="10" customBuiltin="1"/>
    <cellStyle name="Output" xfId="10" builtinId="21" hidden="1"/>
    <cellStyle name="Output" xfId="82" builtinId="21" customBuiltin="1"/>
    <cellStyle name="Percent" xfId="49" builtinId="5" customBuiltin="1"/>
    <cellStyle name="Percent 2" xfId="60" xr:uid="{FB3226F9-E178-456C-81FF-99E1F5A981BE}"/>
    <cellStyle name="Percent 3" xfId="115" xr:uid="{B3D931DD-35D4-4B51-8B4C-332DF079C344}"/>
    <cellStyle name="Percent 4" xfId="119" xr:uid="{5302D429-AE6E-4324-8918-1562559E0A4B}"/>
    <cellStyle name="Percent 4 2" xfId="124" xr:uid="{23F22F14-8FBD-4507-86E9-CF8AFD25595F}"/>
    <cellStyle name="Title" xfId="2" builtinId="15" hidden="1"/>
    <cellStyle name="Title" xfId="73" builtinId="15" customBuiltin="1"/>
    <cellStyle name="Total" xfId="17" builtinId="25" hidden="1"/>
    <cellStyle name="Total" xfId="89" builtinId="25" customBuiltin="1"/>
    <cellStyle name="Warning Text" xfId="14" builtinId="11" hidden="1"/>
    <cellStyle name="Warning Text" xfId="86" builtinId="11" customBuiltin="1"/>
  </cellStyles>
  <dxfs count="31">
    <dxf>
      <numFmt numFmtId="178" formatCode="_-* #,##0_-;\-* #,##0_-;_-* &quot;-&quot;??_-;_-@_-"/>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fill>
        <patternFill>
          <bgColor theme="0"/>
        </patternFill>
      </fill>
    </dxf>
    <dxf>
      <fill>
        <patternFill>
          <bgColor theme="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3" formatCode="#,##0"/>
    </dxf>
    <dxf>
      <numFmt numFmtId="178" formatCode="_-* #,##0_-;\-* #,##0_-;_-* &quot;-&quot;??_-;_-@_-"/>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8080"/>
      <rgbColor rgb="00FFFFFF"/>
      <rgbColor rgb="008EC6A1"/>
      <rgbColor rgb="00FFFFFF"/>
      <rgbColor rgb="00CEA09D"/>
      <rgbColor rgb="0006C245"/>
      <rgbColor rgb="00BCDEC2"/>
      <rgbColor rgb="00FFFFFF"/>
      <rgbColor rgb="005BC182"/>
      <rgbColor rgb="00E7D475"/>
      <rgbColor rgb="00B1726B"/>
      <rgbColor rgb="00BBAD87"/>
      <rgbColor rgb="00FEEC00"/>
      <rgbColor rgb="00F5C77B"/>
      <rgbColor rgb="00FFFFFF"/>
      <rgbColor rgb="00B2B2B2"/>
      <rgbColor rgb="005BAD82"/>
      <rgbColor rgb="008EC6A1"/>
      <rgbColor rgb="00BCDEC2"/>
      <rgbColor rgb="0079A2B3"/>
      <rgbColor rgb="00ACC6D0"/>
      <rgbColor rgb="00D2E0E6"/>
      <rgbColor rgb="00908052"/>
      <rgbColor rgb="00BBAD87"/>
      <rgbColor rgb="00177B57"/>
      <rgbColor rgb="003D6E81"/>
      <rgbColor rgb="00655939"/>
      <rgbColor rgb="004D4D4D"/>
      <rgbColor rgb="00CFA649"/>
      <rgbColor rgb="009C3328"/>
      <rgbColor rgb="00DC8700"/>
      <rgbColor rgb="00808080"/>
      <rgbColor rgb="00FFFFFF"/>
      <rgbColor rgb="00DC8700"/>
      <rgbColor rgb="00CFA649"/>
      <rgbColor rgb="00655939"/>
      <rgbColor rgb="009C3328"/>
      <rgbColor rgb="00177B57"/>
      <rgbColor rgb="004D4D4D"/>
      <rgbColor rgb="003D6E81"/>
      <rgbColor rgb="00E7C7C7"/>
      <rgbColor rgb="00F9DFB5"/>
      <rgbColor rgb="00D8CEB8"/>
      <rgbColor rgb="00008FC8"/>
      <rgbColor rgb="00D2E0E6"/>
      <rgbColor rgb="00ACC0D0"/>
      <rgbColor rgb="00DC6E00"/>
      <rgbColor rgb="00E2E2E2"/>
      <rgbColor rgb="00EEA632"/>
      <rgbColor rgb="00F9EFBD"/>
      <rgbColor rgb="00DCC05A"/>
      <rgbColor rgb="00908052"/>
      <rgbColor rgb="0079A2B3"/>
      <rgbColor rgb="007716B2"/>
      <rgbColor rgb="00C41300"/>
      <rgbColor rgb="00808080"/>
    </indexedColors>
    <mruColors>
      <color rgb="FF0000FF"/>
      <color rgb="FFFF7C80"/>
      <color rgb="FFFFFFCC"/>
      <color rgb="FFFFFF66"/>
      <color rgb="FF5BAD82"/>
      <color rgb="FFD4DF33"/>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pivotCacheDefinition" Target="pivotCache/pivotCacheDefinition3.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2.xml"/><Relationship Id="rId30" Type="http://schemas.openxmlformats.org/officeDocument/2006/relationships/pivotCacheDefinition" Target="pivotCache/pivotCacheDefinition5.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133985</xdr:rowOff>
    </xdr:to>
    <xdr:pic>
      <xdr:nvPicPr>
        <xdr:cNvPr id="2" name="Picture 1">
          <a:extLst>
            <a:ext uri="{FF2B5EF4-FFF2-40B4-BE49-F238E27FC236}">
              <a16:creationId xmlns:a16="http://schemas.microsoft.com/office/drawing/2014/main" id="{F582B49C-4174-4CE5-B704-5371B5C954A8}"/>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2047989</xdr:colOff>
      <xdr:row>3</xdr:row>
      <xdr:rowOff>130175</xdr:rowOff>
    </xdr:to>
    <xdr:pic>
      <xdr:nvPicPr>
        <xdr:cNvPr id="2" name="Picture 1">
          <a:extLst>
            <a:ext uri="{FF2B5EF4-FFF2-40B4-BE49-F238E27FC236}">
              <a16:creationId xmlns:a16="http://schemas.microsoft.com/office/drawing/2014/main" id="{B9299619-6DEB-4057-9DA6-84E03E70DC0B}"/>
            </a:ext>
          </a:extLst>
        </xdr:cNvPr>
        <xdr:cNvPicPr>
          <a:picLocks noChangeAspect="1"/>
        </xdr:cNvPicPr>
      </xdr:nvPicPr>
      <xdr:blipFill rotWithShape="1">
        <a:blip xmlns:r="http://schemas.openxmlformats.org/officeDocument/2006/relationships" r:embed="rId1"/>
        <a:srcRect t="25739" b="26749"/>
        <a:stretch/>
      </xdr:blipFill>
      <xdr:spPr>
        <a:xfrm>
          <a:off x="457200" y="86995"/>
          <a:ext cx="2047989" cy="5575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15</xdr:row>
      <xdr:rowOff>28574</xdr:rowOff>
    </xdr:from>
    <xdr:ext cx="10210800" cy="145732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14300" y="4238624"/>
          <a:ext cx="10210800" cy="1457326"/>
        </a:xfrm>
        <a:prstGeom prst="rect">
          <a:avLst/>
        </a:prstGeom>
        <a:noFill/>
        <a:ln>
          <a:solidFill>
            <a:schemeClr val="bg1">
              <a:lumMod val="85000"/>
            </a:scheme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GB" sz="1000">
              <a:latin typeface="Arial" pitchFamily="34" charset="0"/>
              <a:cs typeface="Arial" pitchFamily="34" charset="0"/>
            </a:rPr>
            <a:t>Disclaimer:</a:t>
          </a:r>
          <a:r>
            <a:rPr lang="en-GB" sz="1000" baseline="0">
              <a:latin typeface="Arial" pitchFamily="34" charset="0"/>
              <a:cs typeface="Arial" pitchFamily="34" charset="0"/>
            </a:rPr>
            <a:t> </a:t>
          </a:r>
          <a:r>
            <a:rPr lang="en-US" sz="1000">
              <a:solidFill>
                <a:schemeClr val="tx1"/>
              </a:solidFill>
              <a:latin typeface="Arial" pitchFamily="34" charset="0"/>
              <a:ea typeface="+mn-ea"/>
              <a:cs typeface="Arial" pitchFamily="34" charset="0"/>
            </a:rPr>
            <a:t>Client is responsible for obtaining independent advice concerning these matters, which advice may affect the guidance given by BCG.  Further, BCG has made no undertaking to update these materials after the date hereof notwithstanding that such information may become outdated or inaccurate.</a:t>
          </a:r>
          <a:endParaRPr lang="de-DE" sz="1000">
            <a:solidFill>
              <a:schemeClr val="tx1"/>
            </a:solidFill>
            <a:latin typeface="Arial" pitchFamily="34" charset="0"/>
            <a:ea typeface="+mn-ea"/>
            <a:cs typeface="Arial" pitchFamily="34" charset="0"/>
          </a:endParaRPr>
        </a:p>
        <a:p>
          <a:r>
            <a:rPr lang="en-US" sz="1000">
              <a:solidFill>
                <a:schemeClr val="tx1"/>
              </a:solidFill>
              <a:latin typeface="Arial" pitchFamily="34" charset="0"/>
              <a:ea typeface="+mn-ea"/>
              <a:cs typeface="Arial" pitchFamily="34" charset="0"/>
            </a:rPr>
            <a:t>  To the fullest extent permitted by law (and except to the extent otherwise agreed in a signed writing by BCG), BCG shall have no liability whatsoever to any Third-Party, and any Third-Party hereby waives any rights and claims it may, have at any time against BCG with regard to the services, this presentation or other materials, including the accuracy or completeness thereof. </a:t>
          </a:r>
          <a:endParaRPr lang="de-DE" sz="1000">
            <a:solidFill>
              <a:schemeClr val="tx1"/>
            </a:solidFill>
            <a:latin typeface="Arial" pitchFamily="34" charset="0"/>
            <a:ea typeface="+mn-ea"/>
            <a:cs typeface="Arial" pitchFamily="34" charset="0"/>
          </a:endParaRPr>
        </a:p>
        <a:p>
          <a:r>
            <a:rPr lang="en-US" sz="1000">
              <a:solidFill>
                <a:schemeClr val="tx1"/>
              </a:solidFill>
              <a:latin typeface="Arial" pitchFamily="34" charset="0"/>
              <a:ea typeface="+mn-ea"/>
              <a:cs typeface="Arial" pitchFamily="34" charset="0"/>
            </a:rPr>
            <a:t>  Further, the financial evaluations, projected market and financial information, and conclusions contained in these materials are based upon standard valuation methodologies, are not definitive forecasts, and are not guaranteed by BCG. BCG has used public and/or confidential data and assumptions provided to BCG by the client which BCG has not independently verified the data and assumptions used in these analyses. Changes in the underlying data or operating assumptions will clearly impact the analyses and conclusions.</a:t>
          </a:r>
          <a:endParaRPr lang="en-GB" sz="1000">
            <a:latin typeface="Arial" pitchFamily="34" charset="0"/>
            <a:cs typeface="Arial" pitchFamily="34" charset="0"/>
          </a:endParaRPr>
        </a:p>
      </xdr:txBody>
    </xdr:sp>
    <xdr:clientData/>
  </xdr:oneCellAnchor>
  <xdr:twoCellAnchor editAs="oneCell">
    <xdr:from>
      <xdr:col>1</xdr:col>
      <xdr:colOff>0</xdr:colOff>
      <xdr:row>0</xdr:row>
      <xdr:rowOff>57150</xdr:rowOff>
    </xdr:from>
    <xdr:to>
      <xdr:col>1</xdr:col>
      <xdr:colOff>2056879</xdr:colOff>
      <xdr:row>3</xdr:row>
      <xdr:rowOff>104775</xdr:rowOff>
    </xdr:to>
    <xdr:pic>
      <xdr:nvPicPr>
        <xdr:cNvPr id="5" name="Picture 4">
          <a:extLst>
            <a:ext uri="{FF2B5EF4-FFF2-40B4-BE49-F238E27FC236}">
              <a16:creationId xmlns:a16="http://schemas.microsoft.com/office/drawing/2014/main" id="{19445CD8-873F-439C-B61E-F8989D8F4B72}"/>
            </a:ext>
          </a:extLst>
        </xdr:cNvPr>
        <xdr:cNvPicPr>
          <a:picLocks noChangeAspect="1"/>
        </xdr:cNvPicPr>
      </xdr:nvPicPr>
      <xdr:blipFill rotWithShape="1">
        <a:blip xmlns:r="http://schemas.openxmlformats.org/officeDocument/2006/relationships" r:embed="rId1"/>
        <a:srcRect t="25739" b="26749"/>
        <a:stretch/>
      </xdr:blipFill>
      <xdr:spPr>
        <a:xfrm>
          <a:off x="114300" y="57150"/>
          <a:ext cx="2056879" cy="542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2047989</xdr:colOff>
      <xdr:row>3</xdr:row>
      <xdr:rowOff>130175</xdr:rowOff>
    </xdr:to>
    <xdr:pic>
      <xdr:nvPicPr>
        <xdr:cNvPr id="2" name="Picture 1">
          <a:extLst>
            <a:ext uri="{FF2B5EF4-FFF2-40B4-BE49-F238E27FC236}">
              <a16:creationId xmlns:a16="http://schemas.microsoft.com/office/drawing/2014/main" id="{989E4088-3B2F-4361-9B83-102E65ACB5AF}"/>
            </a:ext>
          </a:extLst>
        </xdr:cNvPr>
        <xdr:cNvPicPr>
          <a:picLocks noChangeAspect="1"/>
        </xdr:cNvPicPr>
      </xdr:nvPicPr>
      <xdr:blipFill rotWithShape="1">
        <a:blip xmlns:r="http://schemas.openxmlformats.org/officeDocument/2006/relationships" r:embed="rId1"/>
        <a:srcRect t="25739" b="26749"/>
        <a:stretch/>
      </xdr:blipFill>
      <xdr:spPr>
        <a:xfrm>
          <a:off x="411480" y="83820"/>
          <a:ext cx="2047354" cy="5435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699325</xdr:colOff>
      <xdr:row>0</xdr:row>
      <xdr:rowOff>63904</xdr:rowOff>
    </xdr:from>
    <xdr:to>
      <xdr:col>2</xdr:col>
      <xdr:colOff>603941</xdr:colOff>
      <xdr:row>3</xdr:row>
      <xdr:rowOff>129309</xdr:rowOff>
    </xdr:to>
    <xdr:pic>
      <xdr:nvPicPr>
        <xdr:cNvPr id="2" name="Picture 1">
          <a:extLst>
            <a:ext uri="{FF2B5EF4-FFF2-40B4-BE49-F238E27FC236}">
              <a16:creationId xmlns:a16="http://schemas.microsoft.com/office/drawing/2014/main" id="{DD4C5EF6-83E6-4801-B3E3-A3A63067101F}"/>
            </a:ext>
          </a:extLst>
        </xdr:cNvPr>
        <xdr:cNvPicPr>
          <a:picLocks noChangeAspect="1"/>
        </xdr:cNvPicPr>
      </xdr:nvPicPr>
      <xdr:blipFill rotWithShape="1">
        <a:blip xmlns:r="http://schemas.openxmlformats.org/officeDocument/2006/relationships" r:embed="rId1"/>
        <a:srcRect t="25739" b="26749"/>
        <a:stretch/>
      </xdr:blipFill>
      <xdr:spPr>
        <a:xfrm>
          <a:off x="1307111" y="63904"/>
          <a:ext cx="2045473" cy="5824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4</xdr:col>
      <xdr:colOff>800214</xdr:colOff>
      <xdr:row>3</xdr:row>
      <xdr:rowOff>161925</xdr:rowOff>
    </xdr:to>
    <xdr:pic>
      <xdr:nvPicPr>
        <xdr:cNvPr id="2" name="Picture 1">
          <a:extLst>
            <a:ext uri="{FF2B5EF4-FFF2-40B4-BE49-F238E27FC236}">
              <a16:creationId xmlns:a16="http://schemas.microsoft.com/office/drawing/2014/main" id="{E6D88412-95F2-49C4-9DEA-2AADB5E19E06}"/>
            </a:ext>
          </a:extLst>
        </xdr:cNvPr>
        <xdr:cNvPicPr>
          <a:picLocks noChangeAspect="1"/>
        </xdr:cNvPicPr>
      </xdr:nvPicPr>
      <xdr:blipFill rotWithShape="1">
        <a:blip xmlns:r="http://schemas.openxmlformats.org/officeDocument/2006/relationships" r:embed="rId1"/>
        <a:srcRect t="25739" b="26749"/>
        <a:stretch/>
      </xdr:blipFill>
      <xdr:spPr>
        <a:xfrm>
          <a:off x="4000500" y="86995"/>
          <a:ext cx="2047989" cy="58610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1697182</xdr:colOff>
      <xdr:row>0</xdr:row>
      <xdr:rowOff>404</xdr:rowOff>
    </xdr:from>
    <xdr:to>
      <xdr:col>3</xdr:col>
      <xdr:colOff>353116</xdr:colOff>
      <xdr:row>3</xdr:row>
      <xdr:rowOff>68984</xdr:rowOff>
    </xdr:to>
    <xdr:pic>
      <xdr:nvPicPr>
        <xdr:cNvPr id="3" name="Picture 2">
          <a:extLst>
            <a:ext uri="{FF2B5EF4-FFF2-40B4-BE49-F238E27FC236}">
              <a16:creationId xmlns:a16="http://schemas.microsoft.com/office/drawing/2014/main" id="{4FD457E6-D989-425C-BF1D-EBCD7AB3F3A8}"/>
            </a:ext>
          </a:extLst>
        </xdr:cNvPr>
        <xdr:cNvPicPr>
          <a:picLocks noChangeAspect="1"/>
        </xdr:cNvPicPr>
      </xdr:nvPicPr>
      <xdr:blipFill rotWithShape="1">
        <a:blip xmlns:r="http://schemas.openxmlformats.org/officeDocument/2006/relationships" r:embed="rId1"/>
        <a:srcRect t="25739" b="26749"/>
        <a:stretch/>
      </xdr:blipFill>
      <xdr:spPr>
        <a:xfrm>
          <a:off x="2303318" y="404"/>
          <a:ext cx="2047123" cy="591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133985</xdr:rowOff>
    </xdr:to>
    <xdr:pic>
      <xdr:nvPicPr>
        <xdr:cNvPr id="2" name="Picture 1">
          <a:extLst>
            <a:ext uri="{FF2B5EF4-FFF2-40B4-BE49-F238E27FC236}">
              <a16:creationId xmlns:a16="http://schemas.microsoft.com/office/drawing/2014/main" id="{645BFCE9-0A9F-447D-9319-7243DA6A8A27}"/>
            </a:ext>
          </a:extLst>
        </xdr:cNvPr>
        <xdr:cNvPicPr>
          <a:picLocks noChangeAspect="1"/>
        </xdr:cNvPicPr>
      </xdr:nvPicPr>
      <xdr:blipFill rotWithShape="1">
        <a:blip xmlns:r="http://schemas.openxmlformats.org/officeDocument/2006/relationships" r:embed="rId1"/>
        <a:srcRect t="25739" b="26749"/>
        <a:stretch/>
      </xdr:blipFill>
      <xdr:spPr>
        <a:xfrm>
          <a:off x="457200" y="86995"/>
          <a:ext cx="2037829" cy="5613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266700</xdr:colOff>
      <xdr:row>0</xdr:row>
      <xdr:rowOff>0</xdr:rowOff>
    </xdr:from>
    <xdr:to>
      <xdr:col>0</xdr:col>
      <xdr:colOff>2303093</xdr:colOff>
      <xdr:row>3</xdr:row>
      <xdr:rowOff>56515</xdr:rowOff>
    </xdr:to>
    <xdr:pic>
      <xdr:nvPicPr>
        <xdr:cNvPr id="2" name="Picture 1">
          <a:extLst>
            <a:ext uri="{FF2B5EF4-FFF2-40B4-BE49-F238E27FC236}">
              <a16:creationId xmlns:a16="http://schemas.microsoft.com/office/drawing/2014/main" id="{10F987A2-2A44-444C-A206-B8F70B6FD135}"/>
            </a:ext>
          </a:extLst>
        </xdr:cNvPr>
        <xdr:cNvPicPr>
          <a:picLocks noChangeAspect="1"/>
        </xdr:cNvPicPr>
      </xdr:nvPicPr>
      <xdr:blipFill rotWithShape="1">
        <a:blip xmlns:r="http://schemas.openxmlformats.org/officeDocument/2006/relationships" r:embed="rId1"/>
        <a:srcRect t="25739" b="26749"/>
        <a:stretch/>
      </xdr:blipFill>
      <xdr:spPr>
        <a:xfrm>
          <a:off x="266700" y="0"/>
          <a:ext cx="2036393" cy="57086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2381</xdr:colOff>
      <xdr:row>0</xdr:row>
      <xdr:rowOff>13891</xdr:rowOff>
    </xdr:from>
    <xdr:to>
      <xdr:col>1</xdr:col>
      <xdr:colOff>2030959</xdr:colOff>
      <xdr:row>3</xdr:row>
      <xdr:rowOff>105331</xdr:rowOff>
    </xdr:to>
    <xdr:pic>
      <xdr:nvPicPr>
        <xdr:cNvPr id="2" name="Picture 1">
          <a:extLst>
            <a:ext uri="{FF2B5EF4-FFF2-40B4-BE49-F238E27FC236}">
              <a16:creationId xmlns:a16="http://schemas.microsoft.com/office/drawing/2014/main" id="{54D90EAB-0643-4AC0-830C-0A51EFC64979}"/>
            </a:ext>
          </a:extLst>
        </xdr:cNvPr>
        <xdr:cNvPicPr>
          <a:picLocks noChangeAspect="1"/>
        </xdr:cNvPicPr>
      </xdr:nvPicPr>
      <xdr:blipFill rotWithShape="1">
        <a:blip xmlns:r="http://schemas.openxmlformats.org/officeDocument/2006/relationships" r:embed="rId1"/>
        <a:srcRect t="25739" b="26749"/>
        <a:stretch/>
      </xdr:blipFill>
      <xdr:spPr>
        <a:xfrm>
          <a:off x="278606" y="10716"/>
          <a:ext cx="2028578" cy="5994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794657</xdr:colOff>
      <xdr:row>0</xdr:row>
      <xdr:rowOff>0</xdr:rowOff>
    </xdr:from>
    <xdr:to>
      <xdr:col>1</xdr:col>
      <xdr:colOff>334562</xdr:colOff>
      <xdr:row>3</xdr:row>
      <xdr:rowOff>65405</xdr:rowOff>
    </xdr:to>
    <xdr:pic>
      <xdr:nvPicPr>
        <xdr:cNvPr id="2" name="Picture 1">
          <a:extLst>
            <a:ext uri="{FF2B5EF4-FFF2-40B4-BE49-F238E27FC236}">
              <a16:creationId xmlns:a16="http://schemas.microsoft.com/office/drawing/2014/main" id="{69842D23-9A30-4CEB-B91A-8EC7D5267CD4}"/>
            </a:ext>
          </a:extLst>
        </xdr:cNvPr>
        <xdr:cNvPicPr>
          <a:picLocks noChangeAspect="1"/>
        </xdr:cNvPicPr>
      </xdr:nvPicPr>
      <xdr:blipFill rotWithShape="1">
        <a:blip xmlns:r="http://schemas.openxmlformats.org/officeDocument/2006/relationships" r:embed="rId1"/>
        <a:srcRect t="25739" b="26749"/>
        <a:stretch/>
      </xdr:blipFill>
      <xdr:spPr>
        <a:xfrm>
          <a:off x="794657" y="0"/>
          <a:ext cx="2046174" cy="58474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2044814</xdr:colOff>
      <xdr:row>3</xdr:row>
      <xdr:rowOff>130175</xdr:rowOff>
    </xdr:to>
    <xdr:pic>
      <xdr:nvPicPr>
        <xdr:cNvPr id="2" name="Picture 1">
          <a:extLst>
            <a:ext uri="{FF2B5EF4-FFF2-40B4-BE49-F238E27FC236}">
              <a16:creationId xmlns:a16="http://schemas.microsoft.com/office/drawing/2014/main" id="{50CBFA11-7C57-4FC7-B8A9-50C651F170B8}"/>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2055942</xdr:colOff>
      <xdr:row>0</xdr:row>
      <xdr:rowOff>34946</xdr:rowOff>
    </xdr:from>
    <xdr:to>
      <xdr:col>0</xdr:col>
      <xdr:colOff>4086484</xdr:colOff>
      <xdr:row>3</xdr:row>
      <xdr:rowOff>50186</xdr:rowOff>
    </xdr:to>
    <xdr:pic>
      <xdr:nvPicPr>
        <xdr:cNvPr id="2" name="Picture 1">
          <a:extLst>
            <a:ext uri="{FF2B5EF4-FFF2-40B4-BE49-F238E27FC236}">
              <a16:creationId xmlns:a16="http://schemas.microsoft.com/office/drawing/2014/main" id="{4856DE7E-61AA-4B04-A8A4-A5E7165D7A9D}"/>
            </a:ext>
          </a:extLst>
        </xdr:cNvPr>
        <xdr:cNvPicPr>
          <a:picLocks noChangeAspect="1"/>
        </xdr:cNvPicPr>
      </xdr:nvPicPr>
      <xdr:blipFill rotWithShape="1">
        <a:blip xmlns:r="http://schemas.openxmlformats.org/officeDocument/2006/relationships" r:embed="rId1"/>
        <a:srcRect t="25739" b="26749"/>
        <a:stretch/>
      </xdr:blipFill>
      <xdr:spPr>
        <a:xfrm>
          <a:off x="2055942" y="34946"/>
          <a:ext cx="2033717" cy="53370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2047989</xdr:colOff>
      <xdr:row>3</xdr:row>
      <xdr:rowOff>130810</xdr:rowOff>
    </xdr:to>
    <xdr:pic>
      <xdr:nvPicPr>
        <xdr:cNvPr id="2" name="Picture 1">
          <a:extLst>
            <a:ext uri="{FF2B5EF4-FFF2-40B4-BE49-F238E27FC236}">
              <a16:creationId xmlns:a16="http://schemas.microsoft.com/office/drawing/2014/main" id="{C2D90564-D834-4BC9-A220-5C343E29575E}"/>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133985</xdr:rowOff>
    </xdr:to>
    <xdr:pic>
      <xdr:nvPicPr>
        <xdr:cNvPr id="2" name="Picture 1">
          <a:extLst>
            <a:ext uri="{FF2B5EF4-FFF2-40B4-BE49-F238E27FC236}">
              <a16:creationId xmlns:a16="http://schemas.microsoft.com/office/drawing/2014/main" id="{BE33E2EB-93AF-49A8-942C-D4186C71A6F1}"/>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265453-45/Externally%20accessible/OCP%20Africa%20Folder/230215%20DR/Reports/CRU/phosphate-fertilizer-market-outlook-november-2022-npk-flat-databa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265453-34/Shared%20Documents/2%20-%20Client%20data/CRU%20phosphate%20market%20outlook%20-%20August%202022_Amend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ites/265453-45/Shared%20Documents/05.%20Deliverables/3-FRP/1_Salesboost/2_Countries%20deep%20dive/2_Ghana/2.%20Data%20&amp;%20resources/P2O5%20Model/20230607_P205Projection_Ghana_v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ata Dashboard"/>
      <sheetName val="Capacity"/>
      <sheetName val="Country Capacity - Total"/>
      <sheetName val="Country Capacity - Phos Acid"/>
      <sheetName val="Country Capacity - Nitrophos"/>
      <sheetName val="Country Capacity - Steam"/>
      <sheetName val="Country Capacity - Melt"/>
      <sheetName val="NPK"/>
      <sheetName val="NPK Production"/>
      <sheetName val="PK Production"/>
      <sheetName val="NPK App Demand"/>
      <sheetName val="NPK Imports"/>
      <sheetName val="NPK Exports"/>
      <sheetName val="NP"/>
      <sheetName val="NP Production"/>
      <sheetName val="NP App Demand"/>
      <sheetName val="NP Imports"/>
      <sheetName val="NP Exports"/>
      <sheetName val="PK"/>
      <sheetName val="PK App Demand"/>
      <sheetName val="PK Imports"/>
      <sheetName val="PK Exports"/>
      <sheetName val="NPK+NP+PK"/>
      <sheetName val="NPK+NP+PK Production"/>
      <sheetName val="NPK+NP+PK App Demand"/>
      <sheetName val="NPK+NP+PK Imports"/>
      <sheetName val="NPK+NP+PK Exports"/>
    </sheetNames>
    <sheetDataSet>
      <sheetData sheetId="0"/>
      <sheetData sheetId="1">
        <row r="19">
          <cell r="D19">
            <v>48.356453000000002</v>
          </cell>
          <cell r="E19">
            <v>77.101525000000009</v>
          </cell>
          <cell r="F19">
            <v>146.6422</v>
          </cell>
          <cell r="G19">
            <v>315.39183299999996</v>
          </cell>
          <cell r="H19">
            <v>175.23312000000001</v>
          </cell>
          <cell r="I19">
            <v>253.78091699999999</v>
          </cell>
          <cell r="J19">
            <v>611.14063799999997</v>
          </cell>
          <cell r="K19">
            <v>835.27263300000004</v>
          </cell>
          <cell r="L19">
            <v>458.58204212442399</v>
          </cell>
          <cell r="M19">
            <v>684.50591999999995</v>
          </cell>
          <cell r="N19">
            <v>906.47305000000006</v>
          </cell>
          <cell r="O19">
            <v>976.19905000002484</v>
          </cell>
          <cell r="P19">
            <v>990.01913084472369</v>
          </cell>
          <cell r="Q19">
            <v>1087.3219420780533</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row>
      </sheetData>
      <sheetData sheetId="2"/>
      <sheetData sheetId="3"/>
      <sheetData sheetId="4"/>
      <sheetData sheetId="5"/>
      <sheetData sheetId="6"/>
      <sheetData sheetId="7"/>
      <sheetData sheetId="8"/>
      <sheetData sheetId="9"/>
      <sheetData sheetId="10"/>
      <sheetData sheetId="11">
        <row r="4">
          <cell r="E4">
            <v>63121.263377337928</v>
          </cell>
        </row>
      </sheetData>
      <sheetData sheetId="12"/>
      <sheetData sheetId="13"/>
      <sheetData sheetId="14"/>
      <sheetData sheetId="15"/>
      <sheetData sheetId="16">
        <row r="4">
          <cell r="E4">
            <v>7183.2374317664198</v>
          </cell>
        </row>
      </sheetData>
      <sheetData sheetId="17"/>
      <sheetData sheetId="18"/>
      <sheetData sheetId="19"/>
      <sheetData sheetId="20">
        <row r="4">
          <cell r="E4">
            <v>3173.1806503090029</v>
          </cell>
        </row>
      </sheetData>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CONTROL"/>
      <sheetName val="DASHBOARD"/>
      <sheetName val="DATABASE - MARKET"/>
      <sheetName val="DATABASE - PRICES"/>
      <sheetName val="Sheet2"/>
      <sheetName val="PIVOT COUNTRY - MARKET"/>
      <sheetName val="Sheet1"/>
      <sheetName val="PIVOT COUNTRY - PRODUCT"/>
      <sheetName val="DATABASE - NPK PRICES"/>
      <sheetName val="PIVOT COMPARISON - PRICES"/>
      <sheetName val="DATABASE - NPK NP PK"/>
      <sheetName val="PIVOT COUNTRY - NPK NP PK"/>
      <sheetName val="PIVOT COMPARISON - NPK PRICES"/>
    </sheetNames>
    <sheetDataSet>
      <sheetData sheetId="0"/>
      <sheetData sheetId="1">
        <row r="3">
          <cell r="J3" t="str">
            <v>World_Total</v>
          </cell>
        </row>
        <row r="4">
          <cell r="J4" t="str">
            <v>Europe_CIS_Total</v>
          </cell>
        </row>
        <row r="5">
          <cell r="J5" t="str">
            <v>West_Europe</v>
          </cell>
        </row>
        <row r="6">
          <cell r="J6" t="str">
            <v>East_Europe</v>
          </cell>
        </row>
        <row r="7">
          <cell r="J7" t="str">
            <v>CIS</v>
          </cell>
        </row>
        <row r="8">
          <cell r="J8" t="str">
            <v>Africa_Total</v>
          </cell>
        </row>
        <row r="9">
          <cell r="J9" t="str">
            <v>North_Africa</v>
          </cell>
        </row>
        <row r="10">
          <cell r="J10" t="str">
            <v>East_Africa</v>
          </cell>
        </row>
        <row r="11">
          <cell r="J11" t="str">
            <v>West_Africa</v>
          </cell>
        </row>
        <row r="12">
          <cell r="J12" t="str">
            <v>Central_Africa</v>
          </cell>
        </row>
        <row r="13">
          <cell r="J13" t="str">
            <v>Southern_Africa</v>
          </cell>
        </row>
        <row r="14">
          <cell r="J14" t="str">
            <v>North_America</v>
          </cell>
        </row>
        <row r="15">
          <cell r="J15" t="str">
            <v>Central_South_America_Total</v>
          </cell>
        </row>
        <row r="16">
          <cell r="J16" t="str">
            <v>Caribbean</v>
          </cell>
        </row>
        <row r="17">
          <cell r="J17" t="str">
            <v>Central_America</v>
          </cell>
        </row>
        <row r="18">
          <cell r="J18" t="str">
            <v>South_America</v>
          </cell>
        </row>
        <row r="19">
          <cell r="J19" t="str">
            <v>Asia_Total</v>
          </cell>
        </row>
        <row r="20">
          <cell r="J20" t="str">
            <v>Middle_East</v>
          </cell>
        </row>
        <row r="21">
          <cell r="J21" t="str">
            <v>South_Asia</v>
          </cell>
        </row>
        <row r="22">
          <cell r="J22" t="str">
            <v>South-East_Asia</v>
          </cell>
        </row>
        <row r="23">
          <cell r="J23" t="str">
            <v>East_Asia</v>
          </cell>
        </row>
        <row r="24">
          <cell r="J24" t="str">
            <v>Oceania</v>
          </cell>
        </row>
        <row r="25">
          <cell r="J25" t="str">
            <v>Unidentified</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verture"/>
      <sheetName val="Model &gt;&gt;"/>
      <sheetName val="ProjectedP205_Consumption"/>
      <sheetName val="OCP Scenarios"/>
      <sheetName val="OCPMarketShares"/>
      <sheetName val="OCP Scenarios_2"/>
      <sheetName val=" Product Mix Hypotheses"/>
      <sheetName val="Target mix (2)"/>
      <sheetName val="Target mix"/>
      <sheetName val="Historique OCP"/>
      <sheetName val="Investments &amp; capabilities"/>
      <sheetName val="Inputs &gt;&gt;"/>
      <sheetName val="RAR_OCP"/>
      <sheetName val="UNComtradeData_Imports"/>
      <sheetName val="P2O5Consumption"/>
      <sheetName val="HarvestedAreas_TCD"/>
      <sheetName val="HarvestedAreas"/>
      <sheetName val="Stocks22"/>
      <sheetName val="OCP 2022 - Sales"/>
      <sheetName val="Old_OCP Trajectory "/>
    </sheetNames>
    <sheetDataSet>
      <sheetData sheetId="0">
        <row r="2">
          <cell r="C2" t="str">
            <v>OCP Africa - Ghana P205</v>
          </cell>
        </row>
      </sheetData>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3" Type="http://schemas.microsoft.com/office/2019/04/relationships/externalLinkLongPath" Target="/sites/265453-45/Shared%20Documents/05.%20Deliverables/3-FRP/1_Salesboost/2_Countries%20deep%20dive/2_Ghana/2.%20Data%20&amp;%20resources/Fertilizer%20market/VIFAA%20Quanti/By%20Country%20of%20Origin%20and%20Product.xlsx?7A5E3086" TargetMode="External"/><Relationship Id="rId2" Type="http://schemas.openxmlformats.org/officeDocument/2006/relationships/externalLinkPath" Target="file:///\\7A5E3086\By%20Country%20of%20Origin%20and%20Product.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externalLinkPath" Target="/sites/265453-45/Externally%20accessible/OCP%20Africa%20Folder/OCP_Documents/Sales/2021/Facturation-Brut%202021.ods" TargetMode="Externa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tnine, Hicham" refreshedDate="45103.640761805553" createdVersion="8" refreshedVersion="8" minRefreshableVersion="3" recordCount="420" xr:uid="{09C71F34-6301-4131-ACF1-B3AD65FECD08}">
  <cacheSource type="worksheet">
    <worksheetSource ref="E7:R427" sheet="HarvestedAreas"/>
  </cacheSource>
  <cacheFields count="14">
    <cacheField name="Domain Code" numFmtId="0">
      <sharedItems containsBlank="1"/>
    </cacheField>
    <cacheField name="Domain" numFmtId="0">
      <sharedItems containsBlank="1"/>
    </cacheField>
    <cacheField name="Area Code (M49)" numFmtId="0">
      <sharedItems containsString="0" containsBlank="1" containsNumber="1" containsInteger="1" minValue="384" maxValue="384"/>
    </cacheField>
    <cacheField name="Area" numFmtId="0">
      <sharedItems containsBlank="1"/>
    </cacheField>
    <cacheField name="Element Code" numFmtId="0">
      <sharedItems containsString="0" containsBlank="1" containsNumber="1" containsInteger="1" minValue="5312" maxValue="5312"/>
    </cacheField>
    <cacheField name="Element" numFmtId="0">
      <sharedItems containsBlank="1"/>
    </cacheField>
    <cacheField name="Item Code (CPC)" numFmtId="0">
      <sharedItems containsBlank="1" containsMixedTypes="1" containsNumber="1" containsInteger="1" minValue="112" maxValue="1970"/>
    </cacheField>
    <cacheField name="Item" numFmtId="0">
      <sharedItems containsBlank="1" count="101">
        <s v="Almonds, in shell"/>
        <s v="Avocados"/>
        <s v="Bananas"/>
        <s v="Beans, dry"/>
        <s v="Cashew nuts, in shell"/>
        <s v="Cassava, fresh"/>
        <s v="Chillies and peppers, dry (Capsicum spp., Pimenta spp.), raw"/>
        <s v="Chillies and peppers, green (Capsicum spp. and Pimenta spp.)"/>
        <s v="Cocoa beans"/>
        <s v="Coconuts, in shell"/>
        <s v="Coffee, green"/>
        <s v="Coir, raw"/>
        <s v="Cucumbers and gherkins"/>
        <s v="Edible roots and tubers with high starch or inulin content, n.e.c., fresh"/>
        <s v="Eggplants (aubergines)"/>
        <s v="Fonio"/>
        <s v="Ginger, raw"/>
        <s v="Green corn (maize)"/>
        <s v="Groundnuts, excluding shelled"/>
        <s v="Jute, raw or retted"/>
        <s v="Karite nuts (sheanuts)"/>
        <s v="Kola nuts"/>
        <s v="Maize (corn)"/>
        <s v="Mangoes, guavas and mangosteens"/>
        <s v="Millet"/>
        <s v="Natural rubber in primary forms"/>
        <s v="Oil palm fruit"/>
        <s v="Okra"/>
        <s v="Onions and shallots, green"/>
        <s v="Oranges"/>
        <s v="Other beans, green"/>
        <s v="Other citrus fruit, n.e.c."/>
        <s v="Other fruits, n.e.c."/>
        <s v="Other nuts (excluding wild edible nuts and groundnuts), in shell, n.e.c."/>
        <s v="Other oil seeds, n.e.c."/>
        <s v="Other pulses n.e.c."/>
        <s v="Other stimulant, spice and aromatic crops, n.e.c."/>
        <s v="Other tropical fruits, n.e.c."/>
        <s v="Other vegetables, fresh n.e.c."/>
        <s v="Papayas"/>
        <s v="Pepper (Piper spp.), raw"/>
        <s v="Pineapples"/>
        <s v="Pistachios, in shell"/>
        <s v="Plantains and cooking bananas"/>
        <s v="Pomelos and grapefruits"/>
        <s v="Potatoes"/>
        <s v="Pumpkins, squash and gourds"/>
        <s v="Rice"/>
        <s v="Seed cotton, unginned"/>
        <s v="Sesame seed"/>
        <s v="Sorghum"/>
        <s v="Soya beans"/>
        <s v="String beans"/>
        <s v="Sugar cane"/>
        <s v="Sweet potatoes"/>
        <s v="Taro"/>
        <s v="Tomatoes"/>
        <s v="Unmanufactured tobacco"/>
        <s v="Yams"/>
        <m/>
        <s v="Leeks and other alliaceous vegetables" u="1"/>
        <s v="Barley" u="1"/>
        <s v="Cow peas, dry" u="1"/>
        <s v="Chestnuts, in shell" u="1"/>
        <s v="Spinach" u="1"/>
        <s v="Castor oil seeds" u="1"/>
        <s v="Linseed" u="1"/>
        <s v="Tangerines, mandarins, clementines" u="1"/>
        <s v="Pyrethrum, dried flowers" u="1"/>
        <s v="Peaches and nectarines" u="1"/>
        <s v="Carrots and turnips" u="1"/>
        <s v="Anise, badian, coriander, cumin, caraway, fennel and juniper berries, raw" u="1"/>
        <s v="Chick peas, dry" u="1"/>
        <s v="Pears" u="1"/>
        <s v="Broad beans and horse beans, green" u="1"/>
        <s v="Lentils, dry" u="1"/>
        <s v="Other berries and fruits of the genus vaccinium n.e.c." u="1"/>
        <s v="Sisal, raw" u="1"/>
        <s v="Lettuce and chicory" u="1"/>
        <s v="Cauliflowers and broccoli" u="1"/>
        <s v="Plums and sloes" u="1"/>
        <s v="Cabbages" u="1"/>
        <s v="Asparagus" u="1"/>
        <s v="Strawberries" u="1"/>
        <s v="Peas, green" u="1"/>
        <s v="Tea leaves" u="1"/>
        <s v="Wheat" u="1"/>
        <s v="Watermelons" u="1"/>
        <s v="Lemons and limes" u="1"/>
        <s v="Oats" u="1"/>
        <s v="Nutmeg, mace, cardamoms, raw" u="1"/>
        <s v="Artichokes" u="1"/>
        <s v="Vanilla, raw" u="1"/>
        <s v="Pigeon peas, dry" u="1"/>
        <s v="Apples" u="1"/>
        <s v="Sunflower seed" u="1"/>
        <s v="Cloves (whole stems), raw" u="1"/>
        <s v="Green garlic" u="1"/>
        <s v="Dates" u="1"/>
        <s v="Onions and shallots, dry (excluding dehydrated)" u="1"/>
        <s v="Apricots" u="1"/>
      </sharedItems>
    </cacheField>
    <cacheField name="Year Code" numFmtId="0">
      <sharedItems containsString="0" containsBlank="1" containsNumber="1" containsInteger="1" minValue="2015" maxValue="2021"/>
    </cacheField>
    <cacheField name="Year" numFmtId="0">
      <sharedItems containsString="0" containsBlank="1" containsNumber="1" containsInteger="1" minValue="2015" maxValue="2021" count="8">
        <n v="2015"/>
        <n v="2016"/>
        <n v="2017"/>
        <n v="2018"/>
        <n v="2019"/>
        <n v="2020"/>
        <n v="2021"/>
        <m/>
      </sharedItems>
    </cacheField>
    <cacheField name="Unit" numFmtId="0">
      <sharedItems containsBlank="1"/>
    </cacheField>
    <cacheField name="Value" numFmtId="0">
      <sharedItems containsString="0" containsBlank="1" containsNumber="1" containsInteger="1" minValue="0" maxValue="4817367"/>
    </cacheField>
    <cacheField name="Flag" numFmtId="0">
      <sharedItems containsBlank="1"/>
    </cacheField>
    <cacheField name="Flag Description"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21.576515162036" createdVersion="8" refreshedVersion="8" minRefreshableVersion="3" recordCount="144" xr:uid="{5A2C210E-9643-4CB3-B50E-7B1C9F9F5C64}">
  <cacheSource type="worksheet">
    <worksheetSource ref="A6:D150" sheet="VIFAA Data" r:id="rId2"/>
  </cacheSource>
  <cacheFields count="4">
    <cacheField name="Year" numFmtId="0">
      <sharedItems count="1">
        <s v="2022"/>
      </sharedItems>
    </cacheField>
    <cacheField name="Country of Origin" numFmtId="0">
      <sharedItems count="36">
        <s v="Argentina"/>
        <s v="Australia"/>
        <s v="Belgium"/>
        <s v="Canada"/>
        <s v="Chile"/>
        <s v="China"/>
        <s v="Egypt"/>
        <s v="France"/>
        <s v="Germany"/>
        <s v="India"/>
        <s v="Indonesia"/>
        <s v="Israel"/>
        <s v="Italy"/>
        <s v="Ivory Coast"/>
        <s v="Jordan"/>
        <s v="Latvia"/>
        <s v="Lithuania"/>
        <s v="Mexico"/>
        <s v="Morocco"/>
        <s v="Netherlands"/>
        <s v="Nicaragua"/>
        <s v="Niger"/>
        <s v="Nigeria"/>
        <s v="Norway"/>
        <s v="Republic of Colombia"/>
        <s v="Republic of Madagascar"/>
        <s v="Republic of South Africa"/>
        <s v="Russian Federation"/>
        <s v="Sierra Leone"/>
        <s v="Spain"/>
        <s v="Switzerland"/>
        <s v="Turkey"/>
        <s v="United Arab Emirates"/>
        <s v="United Kingdom"/>
        <s v="United States of America"/>
        <s v="Viet Nam"/>
      </sharedItems>
    </cacheField>
    <cacheField name="Product" numFmtId="0">
      <sharedItems count="65">
        <s v="Enhancers"/>
        <s v="Organic Fertilizer"/>
        <s v="Muriate of Potash"/>
        <s v="Ammonium Sulphate"/>
        <s v="Calcium Ammonium Nitrate"/>
        <s v="Calcium Nitrate"/>
        <s v="NPK 13-8-30 + 2MgO + 0.25B"/>
        <s v="NPK 15-15-15"/>
        <s v="NPK 20-10-10 + 3S"/>
        <s v="NPK 20-20-20 + TE"/>
        <s v="NPK 22-5-5"/>
        <s v="NPK 23-10-5"/>
        <s v="NPK 24-24-18 + TE"/>
        <s v="NPK 5-5-45"/>
        <s v="Urea"/>
        <s v="Biostimulant"/>
        <s v="Potassium Nitrate"/>
        <s v="Kieserite"/>
        <s v="Monoammonium Phosphate"/>
        <s v="NPK unspecified"/>
        <s v="Sulphate of Potash"/>
        <s v="Phosphate Rock"/>
        <s v="NK 10.8-0-11.8"/>
        <s v="NPK 12-7-5 + TE"/>
        <s v="NPK 20-20-20"/>
        <s v="Other phosphate"/>
        <s v="NPK 19-19-19 + TE"/>
        <s v="NPK 21-21-21-+ TE"/>
        <s v="NPK 30-10-10"/>
        <s v="NPK 8-17.4-11.4 + 5.8CaO + 2.9MgO + 0.18B + 0.6Zn"/>
        <s v="NPK 9-9-9"/>
        <s v="Other Potash fertilizer"/>
        <s v="NPK 10-8-10 + TE"/>
        <s v="Triple Super Phosphate"/>
        <s v="NPK 12-12-36 + TE"/>
        <s v="NPK 30-10-10 + TE"/>
        <s v="NPK 3-23-17 + 5MgO + 0.16B + 0.4ZN"/>
        <s v="NPK 11-22-21 + 5S + 0.5B + 0.72ZN"/>
        <s v="NPK 14-18-18 + 6S + 1B"/>
        <s v="NPK 10-5-30"/>
        <s v="NPK 17-7-10 + 4MgO"/>
        <s v="NPK 17-8-9 + TE"/>
        <s v="NPK 17-9-8 + 4MgO"/>
        <s v="NPK 18-18-18"/>
        <s v="NPK 28-10-10"/>
        <s v="NPK 10-10-5"/>
        <s v="NPK 3-2-2"/>
        <s v="NPK 15-15-15 + 10S"/>
        <s v="NPK 20-10-10"/>
        <s v="NP 20-20-0"/>
        <s v="NPK 10-14-4"/>
        <s v="NPK 17-3.5-4.4"/>
        <s v="NPK 5-16-15 + 16CaO + 6S + 3MgO + 0.7Zn + 0.3B"/>
        <s v="Agric Lime"/>
        <s v="NP 10-45-0 + 1S + Zn"/>
        <s v="NPK 2-18-16 + 8CaO + 6MgO + 4S + 0.3B2O3 + 0.3Zn"/>
        <s v="NPK 3-20-18 + 6CaO + 7MgO + 4S + 0.5B2O3 + 0.5Zn"/>
        <s v="NPK 6-10-6"/>
        <s v="PK 0-22-16 + 10CaO + 5MGO + 3S + 0.5B2O3"/>
        <s v="NPK 8-32-21"/>
        <s v="NPK 1-5-6"/>
        <s v="Other Nitrogen"/>
        <s v="Other PK Compound"/>
        <s v="NPK 23-10-5 + 6S + 1ZnSO4"/>
        <s v="NPK 7-20-13 + 6CaO + 5S + 5MgO + 0.4B + TE"/>
      </sharedItems>
    </cacheField>
    <cacheField name="Imports from Country in MT" numFmtId="4">
      <sharedItems containsSemiMixedTypes="0" containsString="0" containsNumber="1" minValue="0.01" maxValue="5701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tnine, Hicham" refreshedDate="45110.407800347224" createdVersion="8" refreshedVersion="8" minRefreshableVersion="3" recordCount="78" xr:uid="{A496C7D6-5F5E-492E-B531-4C48B90FFC0A}">
  <cacheSource type="worksheet">
    <worksheetSource ref="A1:H79" sheet="Vente 2021 OCP CIV"/>
  </cacheSource>
  <cacheFields count="8">
    <cacheField name="Années" numFmtId="0">
      <sharedItems containsBlank="1"/>
    </cacheField>
    <cacheField name="Industry key Description" numFmtId="0">
      <sharedItems containsBlank="1"/>
    </cacheField>
    <cacheField name="Customer Name" numFmtId="0">
      <sharedItems containsBlank="1"/>
    </cacheField>
    <cacheField name="Localisation" numFmtId="0">
      <sharedItems containsBlank="1"/>
    </cacheField>
    <cacheField name="Description" numFmtId="0">
      <sharedItems containsBlank="1" count="13">
        <s v="CHLORURE DE POTASSIUM (KCL) SAC 50KG"/>
        <s v="NPK 00 . 23 . 19  + 10CaO + 6S + 5 MgONP"/>
        <m/>
        <s v="DI-AMMONIUM PHOSPHATE (DAP) SAC 50KG"/>
        <s v="NPKSB 14-18-18-6S-1B2O3 SAC 50KG"/>
        <s v="UREE SAC 50KG"/>
        <s v="ROCHE PHOSPHATE BG4 SAC 50KG"/>
        <s v="CHLORURE DE POTASSIUM (KCL) VRAC"/>
        <s v="Kieserite en sacs de 50 Kgs"/>
        <s v="TRIPLE SUPER PHOSPHATE (TSP) VRAC"/>
        <s v="NPK 112221  5S. 1 Zn. 1B203 en sac de 50"/>
        <s v="NPK 15-15-15 VRAC"/>
        <s v="NPKSB 14-18-18-6S-1B2O3 VRAC"/>
      </sharedItems>
    </cacheField>
    <cacheField name="Payment Terms Description" numFmtId="0">
      <sharedItems containsBlank="1"/>
    </cacheField>
    <cacheField name="Somme de OK Quantity in Sale's Unit" numFmtId="181">
      <sharedItems containsSemiMixedTypes="0" containsString="0" containsNumber="1" minValue="1" maxValue="47638.69"/>
    </cacheField>
    <cacheField name="Somme de Total price" numFmtId="182">
      <sharedItems containsSemiMixedTypes="0" containsString="0" containsNumber="1" minValue="255000" maxValue="9269644162.600000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atnine, Hicham" refreshedDate="45110.409323842592" createdVersion="8" refreshedVersion="8" recordCount="201" xr:uid="{9B960F3D-D8E4-4830-8A97-950575AB6A9B}">
  <cacheSource type="worksheet">
    <worksheetSource ref="A1:AV1048576" sheet="Feuil1" r:id="rId1"/>
  </cacheSource>
  <cacheFields count="48">
    <cacheField name="Client" numFmtId="0">
      <sharedItems containsBlank="1" count="32">
        <s v="OCP TANZANIA LIMITED"/>
        <s v="ETG AGRI INPUTS FZE"/>
        <s v="NIGERIA SOVEREIGN INVESTMENT AUTHORITY"/>
        <s v="OCP COTE D’IVOIRE SA"/>
        <s v="OCP SENEGAL S.A."/>
        <s v="SOLEVO SUISSE SA"/>
        <s v="YARA SWITZERLAND LTD"/>
        <s v="AMS Ameropa Marketing and Sales AG"/>
        <s v="AGROMATE INTERNATIONAL PTE LTD"/>
        <s v="Omnia Group International Ltd"/>
        <s v="OCP GHANA LIMITED"/>
        <s v="DA VIDA AO CAMPO, LDA"/>
        <s v="Ethiopian Agricultural Businesses Corporation"/>
        <s v="ADUBOS DEIBA"/>
        <s v="DAVID TRADING LDA"/>
        <s v="NITRON GROUP LLC"/>
        <s v="DESBRO TRADING LIMITED"/>
        <s v="PARTENAIRE AGRICOLE"/>
        <s v="MERIDIAN COMMODITIES LTD"/>
        <s v="RAWFERT OFFSHORE S.A.L."/>
        <s v="AMEROPA AG"/>
        <s v="OLAM INTERNATIONAL LTD"/>
        <s v="DAKAHLIA POULTRY CO"/>
        <s v="ELISEE COTRANE S.A.U"/>
        <s v="DOCOURE PARTENAIRE AGRO INDUSTRIE"/>
        <s v="GAIA RESOURCES"/>
        <s v="AZURA MED W.L.L"/>
        <s v="OCP KENYA"/>
        <s v="Fertagrica SARL"/>
        <s v="TOGUNA AGROINDUSTRIES SA"/>
        <s v="Olam Global Agri Pte Ltd"/>
        <m/>
      </sharedItems>
    </cacheField>
    <cacheField name="Numéro de facture" numFmtId="0">
      <sharedItems containsString="0" containsBlank="1" containsNumber="1" containsInteger="1" minValue="4324" maxValue="35376"/>
    </cacheField>
    <cacheField name="Numéro de commande" numFmtId="0">
      <sharedItems containsString="0" containsBlank="1" containsNumber="1" containsInteger="1" minValue="592" maxValue="38867"/>
    </cacheField>
    <cacheField name="Débloquée par " numFmtId="0">
      <sharedItems containsBlank="1" count="6">
        <s v="OUMAMA.MAZIAN.EXT"/>
        <s v="HALIMA.OUADOUD.EXT"/>
        <s v="BOUGATTAYA.8287"/>
        <s v="ZOUHAIR.MALZOUM.EXT"/>
        <s v="HOUYAM.FANIAR.EXT"/>
        <m/>
      </sharedItems>
    </cacheField>
    <cacheField name="Mode d'expédition" numFmtId="0">
      <sharedItems containsBlank="1" count="3">
        <s v="Vessel"/>
        <s v="Container"/>
        <m/>
      </sharedItems>
    </cacheField>
    <cacheField name="ID OV" numFmtId="0">
      <sharedItems containsBlank="1" containsMixedTypes="1" containsNumber="1" containsInteger="1" minValue="2400" maxValue="6489"/>
    </cacheField>
    <cacheField name="Devise" numFmtId="0">
      <sharedItems containsBlank="1" count="3">
        <s v="USD"/>
        <s v="EUR"/>
        <m/>
      </sharedItems>
    </cacheField>
    <cacheField name="Entité" numFmtId="0">
      <sharedItems containsBlank="1" count="6">
        <s v="JFC2"/>
        <s v="JFC3"/>
        <s v="OCP"/>
        <s v="JFC4"/>
        <s v="JFC5"/>
        <m/>
      </sharedItems>
    </cacheField>
    <cacheField name="Type" numFmtId="0">
      <sharedItems containsBlank="1" count="2">
        <s v="Export"/>
        <m/>
      </sharedItems>
    </cacheField>
    <cacheField name="Navire" numFmtId="0">
      <sharedItems containsBlank="1"/>
    </cacheField>
    <cacheField name="ID Parcel" numFmtId="0">
      <sharedItems containsNonDate="0" containsString="0" containsBlank="1" count="1">
        <m/>
      </sharedItems>
    </cacheField>
    <cacheField name="Date BL" numFmtId="0">
      <sharedItems containsNonDate="0" containsDate="1" containsString="0" containsBlank="1" minDate="2021-01-03T00:00:00" maxDate="2022-02-17T00:00:00" count="86">
        <d v="2021-09-08T00:00:00"/>
        <d v="2021-04-14T00:00:00"/>
        <d v="2021-02-23T00:00:00"/>
        <d v="2021-04-11T00:00:00"/>
        <d v="2021-04-20T00:00:00"/>
        <d v="2021-05-20T00:00:00"/>
        <d v="2021-05-22T00:00:00"/>
        <d v="2021-10-23T00:00:00"/>
        <d v="2021-11-11T00:00:00"/>
        <d v="2021-11-30T00:00:00"/>
        <d v="2021-12-30T00:00:00"/>
        <d v="2022-01-02T00:00:00"/>
        <d v="2021-01-11T00:00:00"/>
        <d v="2021-01-13T00:00:00"/>
        <d v="2021-02-04T00:00:00"/>
        <d v="2021-03-11T00:00:00"/>
        <d v="2021-03-16T00:00:00"/>
        <d v="2021-03-26T00:00:00"/>
        <d v="2021-04-01T00:00:00"/>
        <d v="2021-05-14T00:00:00"/>
        <d v="2021-07-29T00:00:00"/>
        <d v="2021-01-08T00:00:00"/>
        <d v="2021-01-03T00:00:00"/>
        <d v="2021-01-04T00:00:00"/>
        <d v="2021-01-29T00:00:00"/>
        <d v="2021-01-17T00:00:00"/>
        <d v="2021-01-18T00:00:00"/>
        <d v="2021-01-19T00:00:00"/>
        <d v="2021-03-02T00:00:00"/>
        <d v="2021-01-30T00:00:00"/>
        <d v="2021-02-01T00:00:00"/>
        <d v="2021-02-18T00:00:00"/>
        <d v="2021-03-08T00:00:00"/>
        <d v="2021-02-19T00:00:00"/>
        <d v="2021-02-21T00:00:00"/>
        <d v="2021-03-23T00:00:00"/>
        <d v="2021-02-03T00:00:00"/>
        <d v="2021-02-12T00:00:00"/>
        <d v="2021-03-15T00:00:00"/>
        <d v="2021-03-29T00:00:00"/>
        <d v="2021-04-03T00:00:00"/>
        <d v="2021-02-27T00:00:00"/>
        <d v="2021-04-02T00:00:00"/>
        <d v="2021-04-06T00:00:00"/>
        <d v="2021-03-31T00:00:00"/>
        <d v="2021-04-17T00:00:00"/>
        <d v="2021-04-13T00:00:00"/>
        <d v="2021-04-29T00:00:00"/>
        <d v="2021-04-25T00:00:00"/>
        <d v="2021-05-04T00:00:00"/>
        <d v="2021-05-03T00:00:00"/>
        <d v="2021-05-08T00:00:00"/>
        <d v="2021-05-15T00:00:00"/>
        <d v="2021-05-18T00:00:00"/>
        <d v="2021-06-04T00:00:00"/>
        <d v="2021-06-02T00:00:00"/>
        <d v="2021-06-18T00:00:00"/>
        <d v="2021-06-25T00:00:00"/>
        <d v="2021-06-14T00:00:00"/>
        <d v="2021-08-10T00:00:00"/>
        <d v="2021-08-09T00:00:00"/>
        <d v="2021-09-21T00:00:00"/>
        <d v="2021-09-14T00:00:00"/>
        <d v="2021-11-04T00:00:00"/>
        <d v="2021-11-16T00:00:00"/>
        <d v="2021-11-17T00:00:00"/>
        <d v="2021-11-02T00:00:00"/>
        <d v="2021-11-03T00:00:00"/>
        <d v="2021-12-04T00:00:00"/>
        <d v="2021-12-15T00:00:00"/>
        <d v="2021-12-20T00:00:00"/>
        <d v="2021-12-31T00:00:00"/>
        <d v="2022-01-17T00:00:00"/>
        <d v="2021-12-23T00:00:00"/>
        <d v="2021-12-24T00:00:00"/>
        <d v="2022-01-18T00:00:00"/>
        <d v="2022-01-26T00:00:00"/>
        <d v="2022-02-02T00:00:00"/>
        <d v="2022-01-31T00:00:00"/>
        <d v="2022-02-11T00:00:00"/>
        <d v="2022-01-27T00:00:00"/>
        <d v="2021-09-15T00:00:00"/>
        <d v="2021-11-22T00:00:00"/>
        <d v="2022-02-13T00:00:00"/>
        <d v="2022-02-16T00:00:00"/>
        <m/>
      </sharedItems>
    </cacheField>
    <cacheField name="Port de chargement" numFmtId="0">
      <sharedItems containsBlank="1" count="4">
        <s v="Jorf Lasfar"/>
        <s v="Mundra"/>
        <s v="Safi"/>
        <m/>
      </sharedItems>
    </cacheField>
    <cacheField name="Port de déchargement" numFmtId="0">
      <sharedItems containsBlank="1" count="29">
        <s v="DAR ES SALAAM"/>
        <s v="BEIRA, MOZAMBIQUE"/>
        <s v="ONNE - NIGERIA"/>
        <s v="LAGOS"/>
        <s v="ONNE"/>
        <s v="APAPA SEAPORT LAGOS, NIGERIA"/>
        <s v="ABIDJAN, IVORY COAST"/>
        <s v="DAKAR, SENEGAL"/>
        <s v="DOUALA, CAMEROUN"/>
        <s v="SAN PEDRO / COTE D'IVOIRE"/>
        <s v="ABIDJAN"/>
        <s v="BEIRA"/>
        <s v="TEMA"/>
        <s v="LUANDA"/>
        <s v="DJIBOUTI"/>
        <s v="LOBITO"/>
        <s v="COTONOU"/>
        <s v="PORT LOUIS"/>
        <s v="BENIN (Cotonou)"/>
        <s v="COTONOU PORT"/>
        <s v="DAKAR"/>
        <s v="ALEXANDRIA"/>
        <s v="LOME"/>
        <s v="FREETOWN"/>
        <s v="MISURATA"/>
        <s v="MOMBASSA, KENYA"/>
        <s v="SAN PEDRO"/>
        <s v="DOUALA"/>
        <m/>
      </sharedItems>
    </cacheField>
    <cacheField name="Mode de vente" numFmtId="0">
      <sharedItems containsBlank="1" count="5">
        <s v="CFR"/>
        <s v="FOB"/>
        <s v="DAT"/>
        <s v="CIF"/>
        <m/>
      </sharedItems>
    </cacheField>
    <cacheField name="PDT" numFmtId="0">
      <sharedItems containsBlank="1" count="9">
        <s v="NPS"/>
        <s v="MAP"/>
        <s v="DAP"/>
        <s v="NPK"/>
        <s v="TSP"/>
        <s v="Sac"/>
        <s v="DCP"/>
        <s v="BG4"/>
        <m/>
      </sharedItems>
    </cacheField>
    <cacheField name="Produit" numFmtId="0">
      <sharedItems containsBlank="1" count="25">
        <s v="NPSB 18.9N 37.7P2O5 6.95S 0.1B"/>
        <s v="MAP 11 52 Special"/>
        <s v="DAP Special"/>
        <s v="NPK 15 15 15 6S 1B2O3"/>
        <s v="NPK 14 18 18 6S 1B2O3 Afrique"/>
        <s v="TSP"/>
        <s v="NPK 12 24 12"/>
        <s v="NPS 18.9 37.7 6.95S 0.1B  Ethiopie"/>
        <s v="Sacs EABC 50 Kg"/>
        <s v="NPK  14 18 18 6S 1B2O3 Afrique"/>
        <s v="NPK 13 17 17 6S 0.5B2O3 0.7Zn Special"/>
        <s v="NPS 19 38 7S Ethiopie"/>
        <s v="DAP Euro"/>
        <s v="NPK  15 15 15 6S 1B2O3"/>
        <s v="NPK 12 24 12 6S Zambie"/>
        <s v="NPS 17.8N 35.7P2O5 7S 0.1B 2.2Zn"/>
        <s v="DCP"/>
        <s v="NPK 15 15 15"/>
        <s v="NPK 12 20 18 5S 1B2O3 Togo"/>
        <s v="BG4"/>
        <s v="NPK 10 20 10 6S Zambie"/>
        <s v="DAP"/>
        <s v="DAP Special Dark"/>
        <s v="DAP Special Dark Kenya"/>
        <m/>
      </sharedItems>
    </cacheField>
    <cacheField name="Famille du produit" numFmtId="0">
      <sharedItems containsBlank="1" count="5">
        <s v="Engrais"/>
        <s v="Autres"/>
        <s v="Compléments Alimentaires"/>
        <s v="Phosphate"/>
        <m/>
      </sharedItems>
    </cacheField>
    <cacheField name="Quantité chargée" numFmtId="0">
      <sharedItems containsString="0" containsBlank="1" containsNumber="1" minValue="0.54" maxValue="1225845"/>
    </cacheField>
    <cacheField name="Concentration" numFmtId="0">
      <sharedItems containsNonDate="0" containsString="0" containsBlank="1" count="1">
        <m/>
      </sharedItems>
    </cacheField>
    <cacheField name="Humidité" numFmtId="0">
      <sharedItems containsString="0" containsBlank="1" containsNumber="1" containsInteger="1" minValue="0" maxValue="0" count="2">
        <m/>
        <n v="0"/>
      </sharedItems>
    </cacheField>
    <cacheField name="Quantité facturée" numFmtId="0">
      <sharedItems containsString="0" containsBlank="1" containsNumber="1" minValue="0.54" maxValue="1225845"/>
    </cacheField>
    <cacheField name="Quantité facturée réajustée" numFmtId="0">
      <sharedItems containsString="0" containsBlank="1" containsNumber="1" minValue="0.54" maxValue="1225845"/>
    </cacheField>
    <cacheField name="Montant Ex Work" numFmtId="0">
      <sharedItems containsString="0" containsBlank="1" containsNumber="1" minValue="186.84" maxValue="43331310"/>
    </cacheField>
    <cacheField name="Montant mise à FOB" numFmtId="0">
      <sharedItems containsString="0" containsBlank="1" containsNumber="1" minValue="0" maxValue="38589.870000000003" count="8">
        <n v="0"/>
        <n v="38589.870000000003"/>
        <n v="12248.09"/>
        <n v="5664.29"/>
        <n v="29139"/>
        <n v="13247.12"/>
        <n v="3426.26"/>
        <m/>
      </sharedItems>
    </cacheField>
    <cacheField name="Montant FOB" numFmtId="0">
      <sharedItems containsString="0" containsBlank="1" containsNumber="1" minValue="186.84" maxValue="43331310"/>
    </cacheField>
    <cacheField name="Montant AJF" numFmtId="0">
      <sharedItems containsNonDate="0" containsString="0" containsBlank="1" count="1">
        <m/>
      </sharedItems>
    </cacheField>
    <cacheField name="Montant FRET" numFmtId="0">
      <sharedItems containsString="0" containsBlank="1" containsNumber="1" minValue="19.98" maxValue="3031875"/>
    </cacheField>
    <cacheField name=" Montant assurance et stocke" numFmtId="0">
      <sharedItems containsString="0" containsBlank="1" containsNumber="1" minValue="21.06" maxValue="327600"/>
    </cacheField>
    <cacheField name=" Montant CFR LINER OUT" numFmtId="0">
      <sharedItems containsNonDate="0" containsString="0" containsBlank="1" count="1">
        <m/>
      </sharedItems>
    </cacheField>
    <cacheField name="Montant réajustements de qualité" numFmtId="0">
      <sharedItems containsString="0" containsBlank="1" containsNumber="1" containsInteger="1" minValue="0" maxValue="0" count="2">
        <n v="0"/>
        <m/>
      </sharedItems>
    </cacheField>
    <cacheField name="Montant régularisations de prix" numFmtId="0">
      <sharedItems containsString="0" containsBlank="1" containsNumber="1" containsInteger="1" minValue="0" maxValue="0" count="2">
        <n v="0"/>
        <m/>
      </sharedItems>
    </cacheField>
    <cacheField name="Montant global réajustements " numFmtId="0">
      <sharedItems containsString="0" containsBlank="1" containsNumber="1" containsInteger="1" minValue="0" maxValue="0" count="2">
        <n v="0"/>
        <m/>
      </sharedItems>
    </cacheField>
    <cacheField name="CA FOB Net " numFmtId="0">
      <sharedItems containsString="0" containsBlank="1" containsNumber="1" minValue="186.84" maxValue="43331310"/>
    </cacheField>
    <cacheField name="CA TQ Net " numFmtId="0">
      <sharedItems containsString="0" containsBlank="1" containsNumber="1" minValue="227.88" maxValue="43331310"/>
    </cacheField>
    <cacheField name="Nature prix " numFmtId="0">
      <sharedItems containsBlank="1" containsMixedTypes="1" containsNumber="1" minValue="46.5" maxValue="77.32000000000005" count="5">
        <s v="Définitif"/>
        <s v=" "/>
        <m/>
        <n v="46.5"/>
        <n v="77.32000000000005"/>
      </sharedItems>
    </cacheField>
    <cacheField name="Pays du client" numFmtId="0">
      <sharedItems containsBlank="1" count="21">
        <s v="Tanzanie (République unie de)"/>
        <s v="Mozambique"/>
        <s v="Nigéria"/>
        <s v="Côte d'Ivoire"/>
        <s v="Sénégal"/>
        <s v="Cameroun"/>
        <s v="Mali"/>
        <s v="Zambie"/>
        <s v="Ghana"/>
        <s v="Angola"/>
        <s v="Djibouti"/>
        <s v="Bénin"/>
        <s v="Maurice"/>
        <s v="Burkina Faso"/>
        <s v="Egypte"/>
        <s v="Togo"/>
        <s v="Sierra Leone"/>
        <s v="Libyenne, Jamahiriya arabe"/>
        <s v="Kenya"/>
        <s v="Zimbabwe"/>
        <m/>
      </sharedItems>
    </cacheField>
    <cacheField name="Secteur de Vente" numFmtId="0">
      <sharedItems containsBlank="1" count="2">
        <s v="Afrique"/>
        <m/>
      </sharedItems>
    </cacheField>
    <cacheField name="Mode de Paiement" numFmtId="0">
      <sharedItems containsBlank="1" count="9">
        <s v="Telegraphic Transfer"/>
        <s v="LC Irrévocable"/>
        <s v="LC Irrévocable et confirmée"/>
        <s v="TT à vue"/>
        <s v="100 % Prepayment"/>
        <s v="Transfert télégraphique"/>
        <s v="Billet à ordre"/>
        <s v="LC.Irré&amp;Conf-Paiment Dif 120J"/>
        <m/>
      </sharedItems>
    </cacheField>
    <cacheField name="Echéance" numFmtId="0">
      <sharedItems containsNonDate="0" containsDate="1" containsString="0" containsBlank="1" minDate="2021-01-13T00:00:00" maxDate="2022-06-17T00:00:00"/>
    </cacheField>
    <cacheField name="Date de fermeture de la commande" numFmtId="0">
      <sharedItems containsNonDate="0" containsDate="1" containsString="0" containsBlank="1" minDate="2021-01-12T00:00:00" maxDate="2022-02-18T00:00:00"/>
    </cacheField>
    <cacheField name="Date de début de la planche" numFmtId="0">
      <sharedItems containsNonDate="0" containsDate="1" containsString="0" containsBlank="1" minDate="2020-12-10T00:00:00" maxDate="2022-02-17T00:00:00"/>
    </cacheField>
    <cacheField name="Date de fin de la planche" numFmtId="0">
      <sharedItems containsNonDate="0" containsDate="1" containsString="0" containsBlank="1" minDate="2020-12-12T00:00:00" maxDate="2022-04-01T00:00:00"/>
    </cacheField>
    <cacheField name="Date de confirmation d'expédition" numFmtId="0">
      <sharedItems containsNonDate="0" containsDate="1" containsString="0" containsBlank="1" minDate="2021-01-04T00:00:00" maxDate="2022-02-18T00:00:00"/>
    </cacheField>
    <cacheField name="Nom de la banque" numFmtId="0">
      <sharedItems containsBlank="1" count="4">
        <s v="BMCE BANK"/>
        <s v="BCP RESEAU"/>
        <s v="ATTIJARI WAFABANK"/>
        <m/>
      </sharedItems>
    </cacheField>
    <cacheField name="Numéro compte bancaire" numFmtId="0">
      <sharedItems containsBlank="1" count="11">
        <s v="011780008109665000118297."/>
        <s v="190780212117163485405231."/>
        <s v="007780010200900000002469."/>
        <s v="007780010200900000138366."/>
        <s v="007780800200900000138415."/>
        <s v="007780010200500000095027."/>
        <s v="007780800200500000095076."/>
        <s v="190780212111995721400844."/>
        <s v="007780800200200000002456."/>
        <s v="011780000509665006802909."/>
        <m/>
      </sharedItems>
    </cacheField>
    <cacheField name="Client SOLD TO" numFmtId="0">
      <sharedItems containsBlank="1"/>
    </cacheField>
    <cacheField name="Num Client SOLD TO " numFmtId="0">
      <sharedItems containsString="0" containsBlank="1" containsNumber="1" containsInteger="1" minValue="5824" maxValue="2158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tnine, Hicham" refreshedDate="45110.459983217595" createdVersion="8" refreshedVersion="8" minRefreshableVersion="3" recordCount="66" xr:uid="{83DB6255-68C1-4A11-9844-24A1E4A267BD}">
  <cacheSource type="worksheet">
    <worksheetSource ref="A61:P127" sheet="Argus - Consumption per crop"/>
  </cacheSource>
  <cacheFields count="16">
    <cacheField name="Product" numFmtId="0">
      <sharedItems/>
    </cacheField>
    <cacheField name="Classification" numFmtId="0">
      <sharedItems containsBlank="1"/>
    </cacheField>
    <cacheField name="Classification2" numFmtId="0">
      <sharedItems containsBlank="1"/>
    </cacheField>
    <cacheField name="Product_alt" numFmtId="0">
      <sharedItems count="39">
        <s v="15-15-15"/>
        <s v="Urea"/>
        <s v="0-23-19"/>
        <s v="Nitrabor"/>
        <s v="0-18-18"/>
        <s v="TSP"/>
        <s v="MOP"/>
        <s v="10-10-10"/>
        <s v="10.5-0-30"/>
        <s v="Tricalcium phosphate"/>
        <s v="3.5-3.5 -49.5"/>
        <s v="DAP"/>
        <s v="12-24-18"/>
        <s v="16-8.5-23"/>
        <s v="18-9-24"/>
        <s v="Dolomite"/>
        <s v="Phosphate tricalcique"/>
        <s v="MAP"/>
        <s v="Phosphate rocks"/>
        <s v="23-2-3"/>
        <s v="14-32-0"/>
        <s v="21-2-30"/>
        <s v="15-7-15"/>
        <s v="14-10-18"/>
        <s v="0-13-37"/>
        <s v="17-8-9"/>
        <s v="30-10-10"/>
        <s v="20-10-10"/>
        <s v="12-12-17"/>
        <s v="13-11-21"/>
        <s v="12-22-22"/>
        <s v="24-4-20"/>
        <s v="Soluble potash"/>
        <s v="11-5-27"/>
        <s v="Kieserite"/>
        <s v="Calcium nitrate"/>
        <s v="10-18-18"/>
        <s v="Total (Product)"/>
        <s v="Total (P2O5)"/>
      </sharedItems>
    </cacheField>
    <cacheField name="Cotton" numFmtId="0">
      <sharedItems containsString="0" containsBlank="1" containsNumber="1" containsInteger="1" minValue="9825" maxValue="81900"/>
    </cacheField>
    <cacheField name="Cocoa" numFmtId="0">
      <sharedItems containsString="0" containsBlank="1" containsNumber="1" containsInteger="1" minValue="700" maxValue="91400"/>
    </cacheField>
    <cacheField name="Oil Palm" numFmtId="0">
      <sharedItems containsString="0" containsBlank="1" containsNumber="1" containsInteger="1" minValue="100" maxValue="37100"/>
    </cacheField>
    <cacheField name="Maize" numFmtId="0">
      <sharedItems containsString="0" containsBlank="1" containsNumber="1" containsInteger="1" minValue="2600" maxValue="24000"/>
    </cacheField>
    <cacheField name="Rice" numFmtId="0">
      <sharedItems containsString="0" containsBlank="1" containsNumber="1" containsInteger="1" minValue="1557" maxValue="12000"/>
    </cacheField>
    <cacheField name="Sugarecane" numFmtId="0">
      <sharedItems containsString="0" containsBlank="1" containsNumber="1" containsInteger="1" minValue="200" maxValue="18900"/>
    </cacheField>
    <cacheField name="Banana" numFmtId="0">
      <sharedItems containsString="0" containsBlank="1" containsNumber="1" minValue="20" maxValue="17700"/>
    </cacheField>
    <cacheField name="Rubber" numFmtId="0">
      <sharedItems containsString="0" containsBlank="1" containsNumber="1" minValue="20" maxValue="2960"/>
    </cacheField>
    <cacheField name="Legumes" numFmtId="0">
      <sharedItems containsString="0" containsBlank="1" containsNumber="1" containsInteger="1" minValue="200" maxValue="1850"/>
    </cacheField>
    <cacheField name="Pineapple" numFmtId="0">
      <sharedItems containsString="0" containsBlank="1" containsNumber="1" minValue="15" maxValue="1570"/>
    </cacheField>
    <cacheField name="Vegetables" numFmtId="0">
      <sharedItems containsString="0" containsBlank="1" containsNumber="1" containsInteger="1" minValue="40" maxValue="740"/>
    </cacheField>
    <cacheField name="P-content" numFmtId="0">
      <sharedItems containsSemiMixedTypes="0" containsString="0" containsNumber="1" minValue="0" maxValue="29012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0">
  <r>
    <s v="QCL"/>
    <s v="Crops and livestock products"/>
    <n v="384"/>
    <s v="Côte d'Ivoire"/>
    <n v="5312"/>
    <s v="Area harvested"/>
    <n v="1371"/>
    <x v="0"/>
    <n v="2015"/>
    <x v="0"/>
    <s v="ha"/>
    <n v="2941"/>
    <s v="I"/>
    <s v="Imputed value"/>
  </r>
  <r>
    <s v="QCL"/>
    <s v="Crops and livestock products"/>
    <n v="384"/>
    <s v="Côte d'Ivoire"/>
    <n v="5312"/>
    <s v="Area harvested"/>
    <n v="1371"/>
    <x v="0"/>
    <n v="2016"/>
    <x v="1"/>
    <s v="ha"/>
    <n v="2639"/>
    <s v="E"/>
    <s v="Estimated value"/>
  </r>
  <r>
    <s v="QCL"/>
    <s v="Crops and livestock products"/>
    <n v="384"/>
    <s v="Côte d'Ivoire"/>
    <n v="5312"/>
    <s v="Area harvested"/>
    <n v="1371"/>
    <x v="0"/>
    <n v="2017"/>
    <x v="2"/>
    <s v="ha"/>
    <n v="2852"/>
    <s v="I"/>
    <s v="Imputed value"/>
  </r>
  <r>
    <s v="QCL"/>
    <s v="Crops and livestock products"/>
    <n v="384"/>
    <s v="Côte d'Ivoire"/>
    <n v="5312"/>
    <s v="Area harvested"/>
    <n v="1371"/>
    <x v="0"/>
    <n v="2018"/>
    <x v="3"/>
    <s v="ha"/>
    <n v="2811"/>
    <s v="E"/>
    <s v="Estimated value"/>
  </r>
  <r>
    <s v="QCL"/>
    <s v="Crops and livestock products"/>
    <n v="384"/>
    <s v="Côte d'Ivoire"/>
    <n v="5312"/>
    <s v="Area harvested"/>
    <n v="1371"/>
    <x v="0"/>
    <n v="2019"/>
    <x v="4"/>
    <s v="ha"/>
    <n v="2767"/>
    <s v="E"/>
    <s v="Estimated value"/>
  </r>
  <r>
    <s v="QCL"/>
    <s v="Crops and livestock products"/>
    <n v="384"/>
    <s v="Côte d'Ivoire"/>
    <n v="5312"/>
    <s v="Area harvested"/>
    <n v="1371"/>
    <x v="0"/>
    <n v="2020"/>
    <x v="5"/>
    <s v="ha"/>
    <n v="2810"/>
    <s v="E"/>
    <s v="Estimated value"/>
  </r>
  <r>
    <s v="QCL"/>
    <s v="Crops and livestock products"/>
    <n v="384"/>
    <s v="Côte d'Ivoire"/>
    <n v="5312"/>
    <s v="Area harvested"/>
    <n v="1371"/>
    <x v="0"/>
    <n v="2021"/>
    <x v="6"/>
    <s v="ha"/>
    <n v="2796"/>
    <s v="E"/>
    <s v="Estimated value"/>
  </r>
  <r>
    <s v="QCL"/>
    <s v="Crops and livestock products"/>
    <n v="384"/>
    <s v="Côte d'Ivoire"/>
    <n v="5312"/>
    <s v="Area harvested"/>
    <n v="1311"/>
    <x v="1"/>
    <n v="2015"/>
    <x v="0"/>
    <s v="ha"/>
    <n v="5227"/>
    <s v="I"/>
    <s v="Imputed value"/>
  </r>
  <r>
    <s v="QCL"/>
    <s v="Crops and livestock products"/>
    <n v="384"/>
    <s v="Côte d'Ivoire"/>
    <n v="5312"/>
    <s v="Area harvested"/>
    <n v="1311"/>
    <x v="1"/>
    <n v="2016"/>
    <x v="1"/>
    <s v="ha"/>
    <n v="5231"/>
    <s v="I"/>
    <s v="Imputed value"/>
  </r>
  <r>
    <s v="QCL"/>
    <s v="Crops and livestock products"/>
    <n v="384"/>
    <s v="Côte d'Ivoire"/>
    <n v="5312"/>
    <s v="Area harvested"/>
    <n v="1311"/>
    <x v="1"/>
    <n v="2017"/>
    <x v="2"/>
    <s v="ha"/>
    <n v="5225"/>
    <s v="I"/>
    <s v="Imputed value"/>
  </r>
  <r>
    <s v="QCL"/>
    <s v="Crops and livestock products"/>
    <n v="384"/>
    <s v="Côte d'Ivoire"/>
    <n v="5312"/>
    <s v="Area harvested"/>
    <n v="1311"/>
    <x v="1"/>
    <n v="2018"/>
    <x v="3"/>
    <s v="ha"/>
    <n v="5338"/>
    <s v="I"/>
    <s v="Imputed value"/>
  </r>
  <r>
    <s v="QCL"/>
    <s v="Crops and livestock products"/>
    <n v="384"/>
    <s v="Côte d'Ivoire"/>
    <n v="5312"/>
    <s v="Area harvested"/>
    <n v="1311"/>
    <x v="1"/>
    <n v="2019"/>
    <x v="4"/>
    <s v="ha"/>
    <n v="5419"/>
    <s v="I"/>
    <s v="Imputed value"/>
  </r>
  <r>
    <s v="QCL"/>
    <s v="Crops and livestock products"/>
    <n v="384"/>
    <s v="Côte d'Ivoire"/>
    <n v="5312"/>
    <s v="Area harvested"/>
    <n v="1311"/>
    <x v="1"/>
    <n v="2020"/>
    <x v="5"/>
    <s v="ha"/>
    <n v="5457"/>
    <s v="I"/>
    <s v="Imputed value"/>
  </r>
  <r>
    <s v="QCL"/>
    <s v="Crops and livestock products"/>
    <n v="384"/>
    <s v="Côte d'Ivoire"/>
    <n v="5312"/>
    <s v="Area harvested"/>
    <n v="1311"/>
    <x v="1"/>
    <n v="2021"/>
    <x v="6"/>
    <s v="ha"/>
    <n v="5493"/>
    <s v="I"/>
    <s v="Imputed value"/>
  </r>
  <r>
    <s v="QCL"/>
    <s v="Crops and livestock products"/>
    <n v="384"/>
    <s v="Côte d'Ivoire"/>
    <n v="5312"/>
    <s v="Area harvested"/>
    <n v="1312"/>
    <x v="2"/>
    <n v="2015"/>
    <x v="0"/>
    <s v="ha"/>
    <n v="8319"/>
    <s v="I"/>
    <s v="Imputed value"/>
  </r>
  <r>
    <s v="QCL"/>
    <s v="Crops and livestock products"/>
    <n v="384"/>
    <s v="Côte d'Ivoire"/>
    <n v="5312"/>
    <s v="Area harvested"/>
    <n v="1312"/>
    <x v="2"/>
    <n v="2016"/>
    <x v="1"/>
    <s v="ha"/>
    <n v="8924"/>
    <s v="I"/>
    <s v="Imputed value"/>
  </r>
  <r>
    <s v="QCL"/>
    <s v="Crops and livestock products"/>
    <n v="384"/>
    <s v="Côte d'Ivoire"/>
    <n v="5312"/>
    <s v="Area harvested"/>
    <n v="1312"/>
    <x v="2"/>
    <n v="2017"/>
    <x v="2"/>
    <s v="ha"/>
    <n v="9012"/>
    <s v="I"/>
    <s v="Imputed value"/>
  </r>
  <r>
    <s v="QCL"/>
    <s v="Crops and livestock products"/>
    <n v="384"/>
    <s v="Côte d'Ivoire"/>
    <n v="5312"/>
    <s v="Area harvested"/>
    <n v="1312"/>
    <x v="2"/>
    <n v="2018"/>
    <x v="3"/>
    <s v="ha"/>
    <n v="6075"/>
    <s v="I"/>
    <s v="Imputed value"/>
  </r>
  <r>
    <s v="QCL"/>
    <s v="Crops and livestock products"/>
    <n v="384"/>
    <s v="Côte d'Ivoire"/>
    <n v="5312"/>
    <s v="Area harvested"/>
    <n v="1312"/>
    <x v="2"/>
    <n v="2019"/>
    <x v="4"/>
    <s v="ha"/>
    <n v="11278"/>
    <s v="I"/>
    <s v="Imputed value"/>
  </r>
  <r>
    <s v="QCL"/>
    <s v="Crops and livestock products"/>
    <n v="384"/>
    <s v="Côte d'Ivoire"/>
    <n v="5312"/>
    <s v="Area harvested"/>
    <n v="1312"/>
    <x v="2"/>
    <n v="2020"/>
    <x v="5"/>
    <s v="ha"/>
    <n v="14123"/>
    <s v="I"/>
    <s v="Imputed value"/>
  </r>
  <r>
    <s v="QCL"/>
    <s v="Crops and livestock products"/>
    <n v="384"/>
    <s v="Côte d'Ivoire"/>
    <n v="5312"/>
    <s v="Area harvested"/>
    <n v="1312"/>
    <x v="2"/>
    <n v="2021"/>
    <x v="6"/>
    <s v="ha"/>
    <n v="13961"/>
    <s v="I"/>
    <s v="Imputed value"/>
  </r>
  <r>
    <s v="QCL"/>
    <s v="Crops and livestock products"/>
    <n v="384"/>
    <s v="Côte d'Ivoire"/>
    <n v="5312"/>
    <s v="Area harvested"/>
    <n v="1701"/>
    <x v="3"/>
    <n v="2015"/>
    <x v="0"/>
    <s v="ha"/>
    <n v="45548"/>
    <s v="I"/>
    <s v="Imputed value"/>
  </r>
  <r>
    <s v="QCL"/>
    <s v="Crops and livestock products"/>
    <n v="384"/>
    <s v="Côte d'Ivoire"/>
    <n v="5312"/>
    <s v="Area harvested"/>
    <n v="1701"/>
    <x v="3"/>
    <n v="2016"/>
    <x v="1"/>
    <s v="ha"/>
    <n v="43651"/>
    <s v="E"/>
    <s v="Estimated value"/>
  </r>
  <r>
    <s v="QCL"/>
    <s v="Crops and livestock products"/>
    <n v="384"/>
    <s v="Côte d'Ivoire"/>
    <n v="5312"/>
    <s v="Area harvested"/>
    <n v="1701"/>
    <x v="3"/>
    <n v="2017"/>
    <x v="2"/>
    <s v="ha"/>
    <n v="44295"/>
    <s v="I"/>
    <s v="Imputed value"/>
  </r>
  <r>
    <s v="QCL"/>
    <s v="Crops and livestock products"/>
    <n v="384"/>
    <s v="Côte d'Ivoire"/>
    <n v="5312"/>
    <s v="Area harvested"/>
    <n v="1701"/>
    <x v="3"/>
    <n v="2018"/>
    <x v="3"/>
    <s v="ha"/>
    <n v="44498"/>
    <s v="E"/>
    <s v="Estimated value"/>
  </r>
  <r>
    <s v="QCL"/>
    <s v="Crops and livestock products"/>
    <n v="384"/>
    <s v="Côte d'Ivoire"/>
    <n v="5312"/>
    <s v="Area harvested"/>
    <n v="1701"/>
    <x v="3"/>
    <n v="2019"/>
    <x v="4"/>
    <s v="ha"/>
    <n v="44148"/>
    <s v="E"/>
    <s v="Estimated value"/>
  </r>
  <r>
    <s v="QCL"/>
    <s v="Crops and livestock products"/>
    <n v="384"/>
    <s v="Côte d'Ivoire"/>
    <n v="5312"/>
    <s v="Area harvested"/>
    <n v="1701"/>
    <x v="3"/>
    <n v="2020"/>
    <x v="5"/>
    <s v="ha"/>
    <n v="44314"/>
    <s v="E"/>
    <s v="Estimated value"/>
  </r>
  <r>
    <s v="QCL"/>
    <s v="Crops and livestock products"/>
    <n v="384"/>
    <s v="Côte d'Ivoire"/>
    <n v="5312"/>
    <s v="Area harvested"/>
    <n v="1701"/>
    <x v="3"/>
    <n v="2021"/>
    <x v="6"/>
    <s v="ha"/>
    <n v="44320"/>
    <s v="E"/>
    <s v="Estimated value"/>
  </r>
  <r>
    <s v="QCL"/>
    <s v="Crops and livestock products"/>
    <n v="384"/>
    <s v="Côte d'Ivoire"/>
    <n v="5312"/>
    <s v="Area harvested"/>
    <n v="1372"/>
    <x v="4"/>
    <n v="2015"/>
    <x v="0"/>
    <s v="ha"/>
    <n v="1675000"/>
    <s v="E"/>
    <s v="Estimated value"/>
  </r>
  <r>
    <s v="QCL"/>
    <s v="Crops and livestock products"/>
    <n v="384"/>
    <s v="Côte d'Ivoire"/>
    <n v="5312"/>
    <s v="Area harvested"/>
    <n v="1372"/>
    <x v="4"/>
    <n v="2016"/>
    <x v="1"/>
    <s v="ha"/>
    <n v="1530804"/>
    <s v="I"/>
    <s v="Imputed value"/>
  </r>
  <r>
    <s v="QCL"/>
    <s v="Crops and livestock products"/>
    <n v="384"/>
    <s v="Côte d'Ivoire"/>
    <n v="5312"/>
    <s v="Area harvested"/>
    <n v="1372"/>
    <x v="4"/>
    <n v="2017"/>
    <x v="2"/>
    <s v="ha"/>
    <n v="1660327"/>
    <s v="I"/>
    <s v="Imputed value"/>
  </r>
  <r>
    <s v="QCL"/>
    <s v="Crops and livestock products"/>
    <n v="384"/>
    <s v="Côte d'Ivoire"/>
    <n v="5312"/>
    <s v="Area harvested"/>
    <n v="1372"/>
    <x v="4"/>
    <n v="2018"/>
    <x v="3"/>
    <s v="ha"/>
    <n v="1790861"/>
    <s v="I"/>
    <s v="Imputed value"/>
  </r>
  <r>
    <s v="QCL"/>
    <s v="Crops and livestock products"/>
    <n v="384"/>
    <s v="Côte d'Ivoire"/>
    <n v="5312"/>
    <s v="Area harvested"/>
    <n v="1372"/>
    <x v="4"/>
    <n v="2019"/>
    <x v="4"/>
    <s v="ha"/>
    <n v="1517635"/>
    <s v="I"/>
    <s v="Imputed value"/>
  </r>
  <r>
    <s v="QCL"/>
    <s v="Crops and livestock products"/>
    <n v="384"/>
    <s v="Côte d'Ivoire"/>
    <n v="5312"/>
    <s v="Area harvested"/>
    <n v="1372"/>
    <x v="4"/>
    <n v="2020"/>
    <x v="5"/>
    <s v="ha"/>
    <n v="2022567"/>
    <s v="I"/>
    <s v="Imputed value"/>
  </r>
  <r>
    <s v="QCL"/>
    <s v="Crops and livestock products"/>
    <n v="384"/>
    <s v="Côte d'Ivoire"/>
    <n v="5312"/>
    <s v="Area harvested"/>
    <n v="1372"/>
    <x v="4"/>
    <n v="2021"/>
    <x v="6"/>
    <s v="ha"/>
    <n v="1989861"/>
    <s v="I"/>
    <s v="Imputed value"/>
  </r>
  <r>
    <s v="QCL"/>
    <s v="Crops and livestock products"/>
    <n v="384"/>
    <s v="Côte d'Ivoire"/>
    <n v="5312"/>
    <s v="Area harvested"/>
    <s v="01520.01"/>
    <x v="5"/>
    <n v="2015"/>
    <x v="0"/>
    <s v="ha"/>
    <n v="798201"/>
    <s v="I"/>
    <s v="Imputed value"/>
  </r>
  <r>
    <s v="QCL"/>
    <s v="Crops and livestock products"/>
    <n v="384"/>
    <s v="Côte d'Ivoire"/>
    <n v="5312"/>
    <s v="Area harvested"/>
    <s v="01520.01"/>
    <x v="5"/>
    <n v="2016"/>
    <x v="1"/>
    <s v="ha"/>
    <n v="726829"/>
    <s v="I"/>
    <s v="Imputed value"/>
  </r>
  <r>
    <s v="QCL"/>
    <s v="Crops and livestock products"/>
    <n v="384"/>
    <s v="Côte d'Ivoire"/>
    <n v="5312"/>
    <s v="Area harvested"/>
    <s v="01520.01"/>
    <x v="5"/>
    <n v="2017"/>
    <x v="2"/>
    <s v="ha"/>
    <n v="878898"/>
    <s v="I"/>
    <s v="Imputed value"/>
  </r>
  <r>
    <s v="QCL"/>
    <s v="Crops and livestock products"/>
    <n v="384"/>
    <s v="Côte d'Ivoire"/>
    <n v="5312"/>
    <s v="Area harvested"/>
    <s v="01520.01"/>
    <x v="5"/>
    <n v="2018"/>
    <x v="3"/>
    <s v="ha"/>
    <n v="991677"/>
    <s v="I"/>
    <s v="Imputed value"/>
  </r>
  <r>
    <s v="QCL"/>
    <s v="Crops and livestock products"/>
    <n v="384"/>
    <s v="Côte d'Ivoire"/>
    <n v="5312"/>
    <s v="Area harvested"/>
    <s v="01520.01"/>
    <x v="5"/>
    <n v="2019"/>
    <x v="4"/>
    <s v="ha"/>
    <n v="922955"/>
    <s v="E"/>
    <s v="Estimated value"/>
  </r>
  <r>
    <s v="QCL"/>
    <s v="Crops and livestock products"/>
    <n v="384"/>
    <s v="Côte d'Ivoire"/>
    <n v="5312"/>
    <s v="Area harvested"/>
    <s v="01520.01"/>
    <x v="5"/>
    <n v="2020"/>
    <x v="5"/>
    <s v="ha"/>
    <n v="1011891"/>
    <s v="E"/>
    <s v="Estimated value"/>
  </r>
  <r>
    <s v="QCL"/>
    <s v="Crops and livestock products"/>
    <n v="384"/>
    <s v="Côte d'Ivoire"/>
    <n v="5312"/>
    <s v="Area harvested"/>
    <s v="01520.01"/>
    <x v="5"/>
    <n v="2021"/>
    <x v="6"/>
    <s v="ha"/>
    <n v="1093246"/>
    <s v="E"/>
    <s v="Estimated value"/>
  </r>
  <r>
    <s v="QCL"/>
    <s v="Crops and livestock products"/>
    <n v="384"/>
    <s v="Côte d'Ivoire"/>
    <n v="5312"/>
    <s v="Area harvested"/>
    <n v="1652"/>
    <x v="6"/>
    <n v="2015"/>
    <x v="0"/>
    <s v="ha"/>
    <n v="25804"/>
    <s v="I"/>
    <s v="Imputed value"/>
  </r>
  <r>
    <s v="QCL"/>
    <s v="Crops and livestock products"/>
    <n v="384"/>
    <s v="Côte d'Ivoire"/>
    <n v="5312"/>
    <s v="Area harvested"/>
    <n v="1652"/>
    <x v="6"/>
    <n v="2016"/>
    <x v="1"/>
    <s v="ha"/>
    <n v="24741"/>
    <s v="E"/>
    <s v="Estimated value"/>
  </r>
  <r>
    <s v="QCL"/>
    <s v="Crops and livestock products"/>
    <n v="384"/>
    <s v="Côte d'Ivoire"/>
    <n v="5312"/>
    <s v="Area harvested"/>
    <n v="1652"/>
    <x v="6"/>
    <n v="2017"/>
    <x v="2"/>
    <s v="ha"/>
    <n v="25922"/>
    <s v="I"/>
    <s v="Imputed value"/>
  </r>
  <r>
    <s v="QCL"/>
    <s v="Crops and livestock products"/>
    <n v="384"/>
    <s v="Côte d'Ivoire"/>
    <n v="5312"/>
    <s v="Area harvested"/>
    <n v="1652"/>
    <x v="6"/>
    <n v="2018"/>
    <x v="3"/>
    <s v="ha"/>
    <n v="25489"/>
    <s v="E"/>
    <s v="Estimated value"/>
  </r>
  <r>
    <s v="QCL"/>
    <s v="Crops and livestock products"/>
    <n v="384"/>
    <s v="Côte d'Ivoire"/>
    <n v="5312"/>
    <s v="Area harvested"/>
    <n v="1652"/>
    <x v="6"/>
    <n v="2019"/>
    <x v="4"/>
    <s v="ha"/>
    <n v="25384"/>
    <s v="E"/>
    <s v="Estimated value"/>
  </r>
  <r>
    <s v="QCL"/>
    <s v="Crops and livestock products"/>
    <n v="384"/>
    <s v="Côte d'Ivoire"/>
    <n v="5312"/>
    <s v="Area harvested"/>
    <n v="1652"/>
    <x v="6"/>
    <n v="2020"/>
    <x v="5"/>
    <s v="ha"/>
    <n v="25598"/>
    <s v="E"/>
    <s v="Estimated value"/>
  </r>
  <r>
    <s v="QCL"/>
    <s v="Crops and livestock products"/>
    <n v="384"/>
    <s v="Côte d'Ivoire"/>
    <n v="5312"/>
    <s v="Area harvested"/>
    <n v="1652"/>
    <x v="6"/>
    <n v="2021"/>
    <x v="6"/>
    <s v="ha"/>
    <n v="25490"/>
    <s v="E"/>
    <s v="Estimated value"/>
  </r>
  <r>
    <s v="QCL"/>
    <s v="Crops and livestock products"/>
    <n v="384"/>
    <s v="Côte d'Ivoire"/>
    <n v="5312"/>
    <s v="Area harvested"/>
    <n v="1231"/>
    <x v="7"/>
    <n v="2015"/>
    <x v="0"/>
    <s v="ha"/>
    <n v="4057"/>
    <s v="I"/>
    <s v="Imputed value"/>
  </r>
  <r>
    <s v="QCL"/>
    <s v="Crops and livestock products"/>
    <n v="384"/>
    <s v="Côte d'Ivoire"/>
    <n v="5312"/>
    <s v="Area harvested"/>
    <n v="1231"/>
    <x v="7"/>
    <n v="2016"/>
    <x v="1"/>
    <s v="ha"/>
    <n v="4036"/>
    <s v="I"/>
    <s v="Imputed value"/>
  </r>
  <r>
    <s v="QCL"/>
    <s v="Crops and livestock products"/>
    <n v="384"/>
    <s v="Côte d'Ivoire"/>
    <n v="5312"/>
    <s v="Area harvested"/>
    <n v="1231"/>
    <x v="7"/>
    <n v="2017"/>
    <x v="2"/>
    <s v="ha"/>
    <n v="4029"/>
    <s v="I"/>
    <s v="Imputed value"/>
  </r>
  <r>
    <s v="QCL"/>
    <s v="Crops and livestock products"/>
    <n v="384"/>
    <s v="Côte d'Ivoire"/>
    <n v="5312"/>
    <s v="Area harvested"/>
    <n v="1231"/>
    <x v="7"/>
    <n v="2018"/>
    <x v="3"/>
    <s v="ha"/>
    <n v="4065"/>
    <s v="I"/>
    <s v="Imputed value"/>
  </r>
  <r>
    <s v="QCL"/>
    <s v="Crops and livestock products"/>
    <n v="384"/>
    <s v="Côte d'Ivoire"/>
    <n v="5312"/>
    <s v="Area harvested"/>
    <n v="1231"/>
    <x v="7"/>
    <n v="2019"/>
    <x v="4"/>
    <s v="ha"/>
    <n v="4065"/>
    <s v="I"/>
    <s v="Imputed value"/>
  </r>
  <r>
    <s v="QCL"/>
    <s v="Crops and livestock products"/>
    <n v="384"/>
    <s v="Côte d'Ivoire"/>
    <n v="5312"/>
    <s v="Area harvested"/>
    <n v="1231"/>
    <x v="7"/>
    <n v="2020"/>
    <x v="5"/>
    <s v="ha"/>
    <n v="4068"/>
    <s v="I"/>
    <s v="Imputed value"/>
  </r>
  <r>
    <s v="QCL"/>
    <s v="Crops and livestock products"/>
    <n v="384"/>
    <s v="Côte d'Ivoire"/>
    <n v="5312"/>
    <s v="Area harvested"/>
    <n v="1231"/>
    <x v="7"/>
    <n v="2021"/>
    <x v="6"/>
    <s v="ha"/>
    <n v="4070"/>
    <s v="I"/>
    <s v="Imputed value"/>
  </r>
  <r>
    <s v="QCL"/>
    <s v="Crops and livestock products"/>
    <n v="384"/>
    <s v="Côte d'Ivoire"/>
    <n v="5312"/>
    <s v="Area harvested"/>
    <n v="1640"/>
    <x v="8"/>
    <n v="2015"/>
    <x v="0"/>
    <s v="ha"/>
    <n v="3458163"/>
    <s v="I"/>
    <s v="Imputed value"/>
  </r>
  <r>
    <s v="QCL"/>
    <s v="Crops and livestock products"/>
    <n v="384"/>
    <s v="Côte d'Ivoire"/>
    <n v="5312"/>
    <s v="Area harvested"/>
    <n v="1640"/>
    <x v="8"/>
    <n v="2016"/>
    <x v="1"/>
    <s v="ha"/>
    <n v="3168749"/>
    <s v="I"/>
    <s v="Imputed value"/>
  </r>
  <r>
    <s v="QCL"/>
    <s v="Crops and livestock products"/>
    <n v="384"/>
    <s v="Côte d'Ivoire"/>
    <n v="5312"/>
    <s v="Area harvested"/>
    <n v="1640"/>
    <x v="8"/>
    <n v="2017"/>
    <x v="2"/>
    <s v="ha"/>
    <n v="3982695"/>
    <s v="I"/>
    <s v="Imputed value"/>
  </r>
  <r>
    <s v="QCL"/>
    <s v="Crops and livestock products"/>
    <n v="384"/>
    <s v="Côte d'Ivoire"/>
    <n v="5312"/>
    <s v="Area harvested"/>
    <n v="1640"/>
    <x v="8"/>
    <n v="2018"/>
    <x v="3"/>
    <s v="ha"/>
    <n v="4267698"/>
    <s v="E"/>
    <s v="Estimated value"/>
  </r>
  <r>
    <s v="QCL"/>
    <s v="Crops and livestock products"/>
    <n v="384"/>
    <s v="Côte d'Ivoire"/>
    <n v="5312"/>
    <s v="Area harvested"/>
    <n v="1640"/>
    <x v="8"/>
    <n v="2019"/>
    <x v="4"/>
    <s v="ha"/>
    <n v="4732864"/>
    <s v="E"/>
    <s v="Estimated value"/>
  </r>
  <r>
    <s v="QCL"/>
    <s v="Crops and livestock products"/>
    <n v="384"/>
    <s v="Côte d'Ivoire"/>
    <n v="5312"/>
    <s v="Area harvested"/>
    <n v="1640"/>
    <x v="8"/>
    <n v="2020"/>
    <x v="5"/>
    <s v="ha"/>
    <n v="4817367"/>
    <s v="E"/>
    <s v="Estimated value"/>
  </r>
  <r>
    <s v="QCL"/>
    <s v="Crops and livestock products"/>
    <n v="384"/>
    <s v="Côte d'Ivoire"/>
    <n v="5312"/>
    <s v="Area harvested"/>
    <n v="1640"/>
    <x v="8"/>
    <n v="2021"/>
    <x v="6"/>
    <s v="ha"/>
    <n v="4214608"/>
    <s v="E"/>
    <s v="Estimated value"/>
  </r>
  <r>
    <s v="QCL"/>
    <s v="Crops and livestock products"/>
    <n v="384"/>
    <s v="Côte d'Ivoire"/>
    <n v="5312"/>
    <s v="Area harvested"/>
    <n v="1460"/>
    <x v="9"/>
    <n v="2015"/>
    <x v="0"/>
    <s v="ha"/>
    <n v="38000"/>
    <s v="T"/>
    <s v="Unofficial figure"/>
  </r>
  <r>
    <s v="QCL"/>
    <s v="Crops and livestock products"/>
    <n v="384"/>
    <s v="Côte d'Ivoire"/>
    <n v="5312"/>
    <s v="Area harvested"/>
    <n v="1460"/>
    <x v="9"/>
    <n v="2016"/>
    <x v="1"/>
    <s v="ha"/>
    <n v="37000"/>
    <s v="T"/>
    <s v="Unofficial figure"/>
  </r>
  <r>
    <s v="QCL"/>
    <s v="Crops and livestock products"/>
    <n v="384"/>
    <s v="Côte d'Ivoire"/>
    <n v="5312"/>
    <s v="Area harvested"/>
    <n v="1460"/>
    <x v="9"/>
    <n v="2017"/>
    <x v="2"/>
    <s v="ha"/>
    <n v="37000"/>
    <s v="T"/>
    <s v="Unofficial figure"/>
  </r>
  <r>
    <s v="QCL"/>
    <s v="Crops and livestock products"/>
    <n v="384"/>
    <s v="Côte d'Ivoire"/>
    <n v="5312"/>
    <s v="Area harvested"/>
    <n v="1460"/>
    <x v="9"/>
    <n v="2018"/>
    <x v="3"/>
    <s v="ha"/>
    <n v="59000"/>
    <s v="T"/>
    <s v="Unofficial figure"/>
  </r>
  <r>
    <s v="QCL"/>
    <s v="Crops and livestock products"/>
    <n v="384"/>
    <s v="Côte d'Ivoire"/>
    <n v="5312"/>
    <s v="Area harvested"/>
    <n v="1460"/>
    <x v="9"/>
    <n v="2019"/>
    <x v="4"/>
    <s v="ha"/>
    <n v="49672"/>
    <s v="I"/>
    <s v="Imputed value"/>
  </r>
  <r>
    <s v="QCL"/>
    <s v="Crops and livestock products"/>
    <n v="384"/>
    <s v="Côte d'Ivoire"/>
    <n v="5312"/>
    <s v="Area harvested"/>
    <n v="1460"/>
    <x v="9"/>
    <n v="2020"/>
    <x v="5"/>
    <s v="ha"/>
    <n v="38198"/>
    <s v="I"/>
    <s v="Imputed value"/>
  </r>
  <r>
    <s v="QCL"/>
    <s v="Crops and livestock products"/>
    <n v="384"/>
    <s v="Côte d'Ivoire"/>
    <n v="5312"/>
    <s v="Area harvested"/>
    <n v="1460"/>
    <x v="9"/>
    <n v="2021"/>
    <x v="6"/>
    <s v="ha"/>
    <n v="38531"/>
    <s v="I"/>
    <s v="Imputed value"/>
  </r>
  <r>
    <s v="QCL"/>
    <s v="Crops and livestock products"/>
    <n v="384"/>
    <s v="Côte d'Ivoire"/>
    <n v="5312"/>
    <s v="Area harvested"/>
    <n v="1610"/>
    <x v="10"/>
    <n v="2015"/>
    <x v="0"/>
    <s v="ha"/>
    <n v="954793"/>
    <s v="I"/>
    <s v="Imputed value"/>
  </r>
  <r>
    <s v="QCL"/>
    <s v="Crops and livestock products"/>
    <n v="384"/>
    <s v="Côte d'Ivoire"/>
    <n v="5312"/>
    <s v="Area harvested"/>
    <n v="1610"/>
    <x v="10"/>
    <n v="2016"/>
    <x v="1"/>
    <s v="ha"/>
    <n v="830166"/>
    <s v="I"/>
    <s v="Imputed value"/>
  </r>
  <r>
    <s v="QCL"/>
    <s v="Crops and livestock products"/>
    <n v="384"/>
    <s v="Côte d'Ivoire"/>
    <n v="5312"/>
    <s v="Area harvested"/>
    <n v="1610"/>
    <x v="10"/>
    <n v="2017"/>
    <x v="2"/>
    <s v="ha"/>
    <n v="275011"/>
    <s v="E"/>
    <s v="Estimated value"/>
  </r>
  <r>
    <s v="QCL"/>
    <s v="Crops and livestock products"/>
    <n v="384"/>
    <s v="Côte d'Ivoire"/>
    <n v="5312"/>
    <s v="Area harvested"/>
    <n v="1610"/>
    <x v="10"/>
    <n v="2018"/>
    <x v="3"/>
    <s v="ha"/>
    <n v="1096915"/>
    <s v="I"/>
    <s v="Imputed value"/>
  </r>
  <r>
    <s v="QCL"/>
    <s v="Crops and livestock products"/>
    <n v="384"/>
    <s v="Côte d'Ivoire"/>
    <n v="5312"/>
    <s v="Area harvested"/>
    <n v="1610"/>
    <x v="10"/>
    <n v="2019"/>
    <x v="4"/>
    <s v="ha"/>
    <n v="1085615"/>
    <s v="I"/>
    <s v="Imputed value"/>
  </r>
  <r>
    <s v="QCL"/>
    <s v="Crops and livestock products"/>
    <n v="384"/>
    <s v="Côte d'Ivoire"/>
    <n v="5312"/>
    <s v="Area harvested"/>
    <n v="1610"/>
    <x v="10"/>
    <n v="2020"/>
    <x v="5"/>
    <s v="ha"/>
    <n v="1081370"/>
    <s v="I"/>
    <s v="Imputed value"/>
  </r>
  <r>
    <s v="QCL"/>
    <s v="Crops and livestock products"/>
    <n v="384"/>
    <s v="Côte d'Ivoire"/>
    <n v="5312"/>
    <s v="Area harvested"/>
    <n v="1610"/>
    <x v="10"/>
    <n v="2021"/>
    <x v="6"/>
    <s v="ha"/>
    <n v="999938"/>
    <s v="E"/>
    <s v="Estimated value"/>
  </r>
  <r>
    <s v="QCL"/>
    <s v="Crops and livestock products"/>
    <n v="384"/>
    <s v="Côte d'Ivoire"/>
    <n v="5312"/>
    <s v="Area harvested"/>
    <s v="01929.08"/>
    <x v="11"/>
    <n v="2015"/>
    <x v="0"/>
    <s v="ha"/>
    <n v="0"/>
    <s v="M"/>
    <s v="Missing value (data cannot exist, not applicable)"/>
  </r>
  <r>
    <s v="QCL"/>
    <s v="Crops and livestock products"/>
    <n v="384"/>
    <s v="Côte d'Ivoire"/>
    <n v="5312"/>
    <s v="Area harvested"/>
    <s v="01929.08"/>
    <x v="11"/>
    <n v="2016"/>
    <x v="1"/>
    <s v="ha"/>
    <n v="0"/>
    <s v="M"/>
    <s v="Missing value (data cannot exist, not applicable)"/>
  </r>
  <r>
    <s v="QCL"/>
    <s v="Crops and livestock products"/>
    <n v="384"/>
    <s v="Côte d'Ivoire"/>
    <n v="5312"/>
    <s v="Area harvested"/>
    <s v="01929.08"/>
    <x v="11"/>
    <n v="2017"/>
    <x v="2"/>
    <s v="ha"/>
    <n v="0"/>
    <s v="M"/>
    <s v="Missing value (data cannot exist, not applicable)"/>
  </r>
  <r>
    <s v="QCL"/>
    <s v="Crops and livestock products"/>
    <n v="384"/>
    <s v="Côte d'Ivoire"/>
    <n v="5312"/>
    <s v="Area harvested"/>
    <s v="01929.08"/>
    <x v="11"/>
    <n v="2018"/>
    <x v="3"/>
    <s v="ha"/>
    <n v="0"/>
    <s v="M"/>
    <s v="Missing value (data cannot exist, not applicable)"/>
  </r>
  <r>
    <s v="QCL"/>
    <s v="Crops and livestock products"/>
    <n v="384"/>
    <s v="Côte d'Ivoire"/>
    <n v="5312"/>
    <s v="Area harvested"/>
    <s v="01929.08"/>
    <x v="11"/>
    <n v="2019"/>
    <x v="4"/>
    <s v="ha"/>
    <n v="0"/>
    <s v="M"/>
    <s v="Missing value (data cannot exist, not applicable)"/>
  </r>
  <r>
    <s v="QCL"/>
    <s v="Crops and livestock products"/>
    <n v="384"/>
    <s v="Côte d'Ivoire"/>
    <n v="5312"/>
    <s v="Area harvested"/>
    <s v="01929.08"/>
    <x v="11"/>
    <n v="2020"/>
    <x v="5"/>
    <s v="ha"/>
    <n v="0"/>
    <s v="M"/>
    <s v="Missing value (data cannot exist, not applicable)"/>
  </r>
  <r>
    <s v="QCL"/>
    <s v="Crops and livestock products"/>
    <n v="384"/>
    <s v="Côte d'Ivoire"/>
    <n v="5312"/>
    <s v="Area harvested"/>
    <s v="01929.08"/>
    <x v="11"/>
    <n v="2021"/>
    <x v="6"/>
    <s v="ha"/>
    <n v="0"/>
    <s v="M"/>
    <s v="Missing value (data cannot exist, not applicable)"/>
  </r>
  <r>
    <s v="QCL"/>
    <s v="Crops and livestock products"/>
    <n v="384"/>
    <s v="Côte d'Ivoire"/>
    <n v="5312"/>
    <s v="Area harvested"/>
    <n v="1232"/>
    <x v="12"/>
    <n v="2015"/>
    <x v="0"/>
    <s v="ha"/>
    <n v="4531"/>
    <s v="I"/>
    <s v="Imputed value"/>
  </r>
  <r>
    <s v="QCL"/>
    <s v="Crops and livestock products"/>
    <n v="384"/>
    <s v="Côte d'Ivoire"/>
    <n v="5312"/>
    <s v="Area harvested"/>
    <n v="1232"/>
    <x v="12"/>
    <n v="2016"/>
    <x v="1"/>
    <s v="ha"/>
    <n v="4373"/>
    <s v="E"/>
    <s v="Estimated value"/>
  </r>
  <r>
    <s v="QCL"/>
    <s v="Crops and livestock products"/>
    <n v="384"/>
    <s v="Côte d'Ivoire"/>
    <n v="5312"/>
    <s v="Area harvested"/>
    <n v="1232"/>
    <x v="12"/>
    <n v="2017"/>
    <x v="2"/>
    <s v="ha"/>
    <n v="4306"/>
    <s v="I"/>
    <s v="Imputed value"/>
  </r>
  <r>
    <s v="QCL"/>
    <s v="Crops and livestock products"/>
    <n v="384"/>
    <s v="Côte d'Ivoire"/>
    <n v="5312"/>
    <s v="Area harvested"/>
    <n v="1232"/>
    <x v="12"/>
    <n v="2018"/>
    <x v="3"/>
    <s v="ha"/>
    <n v="4416"/>
    <s v="I"/>
    <s v="Imputed value"/>
  </r>
  <r>
    <s v="QCL"/>
    <s v="Crops and livestock products"/>
    <n v="384"/>
    <s v="Côte d'Ivoire"/>
    <n v="5312"/>
    <s v="Area harvested"/>
    <n v="1232"/>
    <x v="12"/>
    <n v="2019"/>
    <x v="4"/>
    <s v="ha"/>
    <n v="4419"/>
    <s v="I"/>
    <s v="Imputed value"/>
  </r>
  <r>
    <s v="QCL"/>
    <s v="Crops and livestock products"/>
    <n v="384"/>
    <s v="Côte d'Ivoire"/>
    <n v="5312"/>
    <s v="Area harvested"/>
    <n v="1232"/>
    <x v="12"/>
    <n v="2020"/>
    <x v="5"/>
    <s v="ha"/>
    <n v="4389"/>
    <s v="I"/>
    <s v="Imputed value"/>
  </r>
  <r>
    <s v="QCL"/>
    <s v="Crops and livestock products"/>
    <n v="384"/>
    <s v="Côte d'Ivoire"/>
    <n v="5312"/>
    <s v="Area harvested"/>
    <n v="1232"/>
    <x v="12"/>
    <n v="2021"/>
    <x v="6"/>
    <s v="ha"/>
    <n v="4358"/>
    <s v="I"/>
    <s v="Imputed value"/>
  </r>
  <r>
    <s v="QCL"/>
    <s v="Crops and livestock products"/>
    <n v="384"/>
    <s v="Côte d'Ivoire"/>
    <n v="5312"/>
    <s v="Area harvested"/>
    <s v="01599.10"/>
    <x v="13"/>
    <n v="2015"/>
    <x v="0"/>
    <s v="ha"/>
    <n v="2894"/>
    <s v="I"/>
    <s v="Imputed value"/>
  </r>
  <r>
    <s v="QCL"/>
    <s v="Crops and livestock products"/>
    <n v="384"/>
    <s v="Côte d'Ivoire"/>
    <n v="5312"/>
    <s v="Area harvested"/>
    <s v="01599.10"/>
    <x v="13"/>
    <n v="2016"/>
    <x v="1"/>
    <s v="ha"/>
    <n v="2723"/>
    <s v="I"/>
    <s v="Imputed value"/>
  </r>
  <r>
    <s v="QCL"/>
    <s v="Crops and livestock products"/>
    <n v="384"/>
    <s v="Côte d'Ivoire"/>
    <n v="5312"/>
    <s v="Area harvested"/>
    <s v="01599.10"/>
    <x v="13"/>
    <n v="2017"/>
    <x v="2"/>
    <s v="ha"/>
    <n v="2563"/>
    <s v="I"/>
    <s v="Imputed value"/>
  </r>
  <r>
    <s v="QCL"/>
    <s v="Crops and livestock products"/>
    <n v="384"/>
    <s v="Côte d'Ivoire"/>
    <n v="5312"/>
    <s v="Area harvested"/>
    <s v="01599.10"/>
    <x v="13"/>
    <n v="2018"/>
    <x v="3"/>
    <s v="ha"/>
    <n v="2477"/>
    <s v="I"/>
    <s v="Imputed value"/>
  </r>
  <r>
    <s v="QCL"/>
    <s v="Crops and livestock products"/>
    <n v="384"/>
    <s v="Côte d'Ivoire"/>
    <n v="5312"/>
    <s v="Area harvested"/>
    <s v="01599.10"/>
    <x v="13"/>
    <n v="2019"/>
    <x v="4"/>
    <s v="ha"/>
    <n v="2400"/>
    <s v="I"/>
    <s v="Imputed value"/>
  </r>
  <r>
    <s v="QCL"/>
    <s v="Crops and livestock products"/>
    <n v="384"/>
    <s v="Côte d'Ivoire"/>
    <n v="5312"/>
    <s v="Area harvested"/>
    <s v="01599.10"/>
    <x v="13"/>
    <n v="2020"/>
    <x v="5"/>
    <s v="ha"/>
    <n v="2331"/>
    <s v="I"/>
    <s v="Imputed value"/>
  </r>
  <r>
    <s v="QCL"/>
    <s v="Crops and livestock products"/>
    <n v="384"/>
    <s v="Côte d'Ivoire"/>
    <n v="5312"/>
    <s v="Area harvested"/>
    <s v="01599.10"/>
    <x v="13"/>
    <n v="2021"/>
    <x v="6"/>
    <s v="ha"/>
    <n v="2381"/>
    <s v="I"/>
    <s v="Imputed value"/>
  </r>
  <r>
    <s v="QCL"/>
    <s v="Crops and livestock products"/>
    <n v="384"/>
    <s v="Côte d'Ivoire"/>
    <n v="5312"/>
    <s v="Area harvested"/>
    <n v="1233"/>
    <x v="14"/>
    <n v="2015"/>
    <x v="0"/>
    <s v="ha"/>
    <n v="16006"/>
    <s v="I"/>
    <s v="Imputed value"/>
  </r>
  <r>
    <s v="QCL"/>
    <s v="Crops and livestock products"/>
    <n v="384"/>
    <s v="Côte d'Ivoire"/>
    <n v="5312"/>
    <s v="Area harvested"/>
    <n v="1233"/>
    <x v="14"/>
    <n v="2016"/>
    <x v="1"/>
    <s v="ha"/>
    <n v="17250"/>
    <s v="I"/>
    <s v="Imputed value"/>
  </r>
  <r>
    <s v="QCL"/>
    <s v="Crops and livestock products"/>
    <n v="384"/>
    <s v="Côte d'Ivoire"/>
    <n v="5312"/>
    <s v="Area harvested"/>
    <n v="1233"/>
    <x v="14"/>
    <n v="2017"/>
    <x v="2"/>
    <s v="ha"/>
    <n v="19102"/>
    <s v="I"/>
    <s v="Imputed value"/>
  </r>
  <r>
    <s v="QCL"/>
    <s v="Crops and livestock products"/>
    <n v="384"/>
    <s v="Côte d'Ivoire"/>
    <n v="5312"/>
    <s v="Area harvested"/>
    <n v="1233"/>
    <x v="14"/>
    <n v="2018"/>
    <x v="3"/>
    <s v="ha"/>
    <n v="20241"/>
    <s v="I"/>
    <s v="Imputed value"/>
  </r>
  <r>
    <s v="QCL"/>
    <s v="Crops and livestock products"/>
    <n v="384"/>
    <s v="Côte d'Ivoire"/>
    <n v="5312"/>
    <s v="Area harvested"/>
    <n v="1233"/>
    <x v="14"/>
    <n v="2019"/>
    <x v="4"/>
    <s v="ha"/>
    <n v="21625"/>
    <s v="I"/>
    <s v="Imputed value"/>
  </r>
  <r>
    <s v="QCL"/>
    <s v="Crops and livestock products"/>
    <n v="384"/>
    <s v="Côte d'Ivoire"/>
    <n v="5312"/>
    <s v="Area harvested"/>
    <n v="1233"/>
    <x v="14"/>
    <n v="2020"/>
    <x v="5"/>
    <s v="ha"/>
    <n v="23190"/>
    <s v="I"/>
    <s v="Imputed value"/>
  </r>
  <r>
    <s v="QCL"/>
    <s v="Crops and livestock products"/>
    <n v="384"/>
    <s v="Côte d'Ivoire"/>
    <n v="5312"/>
    <s v="Area harvested"/>
    <n v="1233"/>
    <x v="14"/>
    <n v="2021"/>
    <x v="6"/>
    <s v="ha"/>
    <n v="24532"/>
    <s v="I"/>
    <s v="Imputed value"/>
  </r>
  <r>
    <s v="QCL"/>
    <s v="Crops and livestock products"/>
    <n v="384"/>
    <s v="Côte d'Ivoire"/>
    <n v="5312"/>
    <s v="Area harvested"/>
    <n v="1193"/>
    <x v="15"/>
    <n v="2015"/>
    <x v="0"/>
    <s v="ha"/>
    <n v="14436"/>
    <s v="I"/>
    <s v="Imputed value"/>
  </r>
  <r>
    <s v="QCL"/>
    <s v="Crops and livestock products"/>
    <n v="384"/>
    <s v="Côte d'Ivoire"/>
    <n v="5312"/>
    <s v="Area harvested"/>
    <n v="1193"/>
    <x v="15"/>
    <n v="2016"/>
    <x v="1"/>
    <s v="ha"/>
    <n v="14532"/>
    <s v="I"/>
    <s v="Imputed value"/>
  </r>
  <r>
    <s v="QCL"/>
    <s v="Crops and livestock products"/>
    <n v="384"/>
    <s v="Côte d'Ivoire"/>
    <n v="5312"/>
    <s v="Area harvested"/>
    <n v="1193"/>
    <x v="15"/>
    <n v="2017"/>
    <x v="2"/>
    <s v="ha"/>
    <n v="14999"/>
    <s v="I"/>
    <s v="Imputed value"/>
  </r>
  <r>
    <s v="QCL"/>
    <s v="Crops and livestock products"/>
    <n v="384"/>
    <s v="Côte d'Ivoire"/>
    <n v="5312"/>
    <s v="Area harvested"/>
    <n v="1193"/>
    <x v="15"/>
    <n v="2018"/>
    <x v="3"/>
    <s v="ha"/>
    <n v="16463"/>
    <s v="I"/>
    <s v="Imputed value"/>
  </r>
  <r>
    <s v="QCL"/>
    <s v="Crops and livestock products"/>
    <n v="384"/>
    <s v="Côte d'Ivoire"/>
    <n v="5312"/>
    <s v="Area harvested"/>
    <n v="1193"/>
    <x v="15"/>
    <n v="2019"/>
    <x v="4"/>
    <s v="ha"/>
    <n v="13245"/>
    <s v="I"/>
    <s v="Imputed value"/>
  </r>
  <r>
    <s v="QCL"/>
    <s v="Crops and livestock products"/>
    <n v="384"/>
    <s v="Côte d'Ivoire"/>
    <n v="5312"/>
    <s v="Area harvested"/>
    <n v="1193"/>
    <x v="15"/>
    <n v="2020"/>
    <x v="5"/>
    <s v="ha"/>
    <n v="13234"/>
    <s v="I"/>
    <s v="Imputed value"/>
  </r>
  <r>
    <s v="QCL"/>
    <s v="Crops and livestock products"/>
    <n v="384"/>
    <s v="Côte d'Ivoire"/>
    <n v="5312"/>
    <s v="Area harvested"/>
    <n v="1193"/>
    <x v="15"/>
    <n v="2021"/>
    <x v="6"/>
    <s v="ha"/>
    <n v="13677"/>
    <s v="I"/>
    <s v="Imputed value"/>
  </r>
  <r>
    <s v="QCL"/>
    <s v="Crops and livestock products"/>
    <n v="384"/>
    <s v="Côte d'Ivoire"/>
    <n v="5312"/>
    <s v="Area harvested"/>
    <n v="1657"/>
    <x v="16"/>
    <n v="2015"/>
    <x v="0"/>
    <s v="ha"/>
    <n v="531"/>
    <s v="I"/>
    <s v="Imputed value"/>
  </r>
  <r>
    <s v="QCL"/>
    <s v="Crops and livestock products"/>
    <n v="384"/>
    <s v="Côte d'Ivoire"/>
    <n v="5312"/>
    <s v="Area harvested"/>
    <n v="1657"/>
    <x v="16"/>
    <n v="2016"/>
    <x v="1"/>
    <s v="ha"/>
    <n v="542"/>
    <s v="I"/>
    <s v="Imputed value"/>
  </r>
  <r>
    <s v="QCL"/>
    <s v="Crops and livestock products"/>
    <n v="384"/>
    <s v="Côte d'Ivoire"/>
    <n v="5312"/>
    <s v="Area harvested"/>
    <n v="1657"/>
    <x v="16"/>
    <n v="2017"/>
    <x v="2"/>
    <s v="ha"/>
    <n v="531"/>
    <s v="I"/>
    <s v="Imputed value"/>
  </r>
  <r>
    <s v="QCL"/>
    <s v="Crops and livestock products"/>
    <n v="384"/>
    <s v="Côte d'Ivoire"/>
    <n v="5312"/>
    <s v="Area harvested"/>
    <n v="1657"/>
    <x v="16"/>
    <n v="2018"/>
    <x v="3"/>
    <s v="ha"/>
    <n v="536"/>
    <s v="I"/>
    <s v="Imputed value"/>
  </r>
  <r>
    <s v="QCL"/>
    <s v="Crops and livestock products"/>
    <n v="384"/>
    <s v="Côte d'Ivoire"/>
    <n v="5312"/>
    <s v="Area harvested"/>
    <n v="1657"/>
    <x v="16"/>
    <n v="2019"/>
    <x v="4"/>
    <s v="ha"/>
    <n v="529"/>
    <s v="I"/>
    <s v="Imputed value"/>
  </r>
  <r>
    <s v="QCL"/>
    <s v="Crops and livestock products"/>
    <n v="384"/>
    <s v="Côte d'Ivoire"/>
    <n v="5312"/>
    <s v="Area harvested"/>
    <n v="1657"/>
    <x v="16"/>
    <n v="2020"/>
    <x v="5"/>
    <s v="ha"/>
    <n v="527"/>
    <s v="I"/>
    <s v="Imputed value"/>
  </r>
  <r>
    <s v="QCL"/>
    <s v="Crops and livestock products"/>
    <n v="384"/>
    <s v="Côte d'Ivoire"/>
    <n v="5312"/>
    <s v="Area harvested"/>
    <n v="1657"/>
    <x v="16"/>
    <n v="2021"/>
    <x v="6"/>
    <s v="ha"/>
    <n v="525"/>
    <s v="I"/>
    <s v="Imputed value"/>
  </r>
  <r>
    <s v="QCL"/>
    <s v="Crops and livestock products"/>
    <n v="384"/>
    <s v="Côte d'Ivoire"/>
    <n v="5312"/>
    <s v="Area harvested"/>
    <s v="01290.01"/>
    <x v="17"/>
    <n v="2015"/>
    <x v="0"/>
    <s v="ha"/>
    <n v="74493"/>
    <s v="I"/>
    <s v="Imputed value"/>
  </r>
  <r>
    <s v="QCL"/>
    <s v="Crops and livestock products"/>
    <n v="384"/>
    <s v="Côte d'Ivoire"/>
    <n v="5312"/>
    <s v="Area harvested"/>
    <s v="01290.01"/>
    <x v="17"/>
    <n v="2016"/>
    <x v="1"/>
    <s v="ha"/>
    <n v="74896"/>
    <s v="I"/>
    <s v="Imputed value"/>
  </r>
  <r>
    <s v="QCL"/>
    <s v="Crops and livestock products"/>
    <n v="384"/>
    <s v="Côte d'Ivoire"/>
    <n v="5312"/>
    <s v="Area harvested"/>
    <s v="01290.01"/>
    <x v="17"/>
    <n v="2017"/>
    <x v="2"/>
    <s v="ha"/>
    <n v="74717"/>
    <s v="I"/>
    <s v="Imputed value"/>
  </r>
  <r>
    <s v="QCL"/>
    <s v="Crops and livestock products"/>
    <n v="384"/>
    <s v="Côte d'Ivoire"/>
    <n v="5312"/>
    <s v="Area harvested"/>
    <s v="01290.01"/>
    <x v="17"/>
    <n v="2018"/>
    <x v="3"/>
    <s v="ha"/>
    <n v="74406"/>
    <s v="I"/>
    <s v="Imputed value"/>
  </r>
  <r>
    <s v="QCL"/>
    <s v="Crops and livestock products"/>
    <n v="384"/>
    <s v="Côte d'Ivoire"/>
    <n v="5312"/>
    <s v="Area harvested"/>
    <s v="01290.01"/>
    <x v="17"/>
    <n v="2019"/>
    <x v="4"/>
    <s v="ha"/>
    <n v="73770"/>
    <s v="I"/>
    <s v="Imputed value"/>
  </r>
  <r>
    <s v="QCL"/>
    <s v="Crops and livestock products"/>
    <n v="384"/>
    <s v="Côte d'Ivoire"/>
    <n v="5312"/>
    <s v="Area harvested"/>
    <s v="01290.01"/>
    <x v="17"/>
    <n v="2020"/>
    <x v="5"/>
    <s v="ha"/>
    <n v="73636"/>
    <s v="I"/>
    <s v="Imputed value"/>
  </r>
  <r>
    <s v="QCL"/>
    <s v="Crops and livestock products"/>
    <n v="384"/>
    <s v="Côte d'Ivoire"/>
    <n v="5312"/>
    <s v="Area harvested"/>
    <s v="01290.01"/>
    <x v="17"/>
    <n v="2021"/>
    <x v="6"/>
    <s v="ha"/>
    <n v="73478"/>
    <s v="I"/>
    <s v="Imputed value"/>
  </r>
  <r>
    <s v="QCL"/>
    <s v="Crops and livestock products"/>
    <n v="384"/>
    <s v="Côte d'Ivoire"/>
    <n v="5312"/>
    <s v="Area harvested"/>
    <n v="142"/>
    <x v="18"/>
    <n v="2015"/>
    <x v="0"/>
    <s v="ha"/>
    <n v="120263"/>
    <s v="I"/>
    <s v="Imputed value"/>
  </r>
  <r>
    <s v="QCL"/>
    <s v="Crops and livestock products"/>
    <n v="384"/>
    <s v="Côte d'Ivoire"/>
    <n v="5312"/>
    <s v="Area harvested"/>
    <n v="142"/>
    <x v="18"/>
    <n v="2016"/>
    <x v="1"/>
    <s v="ha"/>
    <n v="130629"/>
    <s v="I"/>
    <s v="Imputed value"/>
  </r>
  <r>
    <s v="QCL"/>
    <s v="Crops and livestock products"/>
    <n v="384"/>
    <s v="Côte d'Ivoire"/>
    <n v="5312"/>
    <s v="Area harvested"/>
    <n v="142"/>
    <x v="18"/>
    <n v="2017"/>
    <x v="2"/>
    <s v="ha"/>
    <n v="137728"/>
    <s v="I"/>
    <s v="Imputed value"/>
  </r>
  <r>
    <s v="QCL"/>
    <s v="Crops and livestock products"/>
    <n v="384"/>
    <s v="Côte d'Ivoire"/>
    <n v="5312"/>
    <s v="Area harvested"/>
    <n v="142"/>
    <x v="18"/>
    <n v="2018"/>
    <x v="3"/>
    <s v="ha"/>
    <n v="136549"/>
    <s v="I"/>
    <s v="Imputed value"/>
  </r>
  <r>
    <s v="QCL"/>
    <s v="Crops and livestock products"/>
    <n v="384"/>
    <s v="Côte d'Ivoire"/>
    <n v="5312"/>
    <s v="Area harvested"/>
    <n v="142"/>
    <x v="18"/>
    <n v="2019"/>
    <x v="4"/>
    <s v="ha"/>
    <n v="136848"/>
    <s v="I"/>
    <s v="Imputed value"/>
  </r>
  <r>
    <s v="QCL"/>
    <s v="Crops and livestock products"/>
    <n v="384"/>
    <s v="Côte d'Ivoire"/>
    <n v="5312"/>
    <s v="Area harvested"/>
    <n v="142"/>
    <x v="18"/>
    <n v="2020"/>
    <x v="5"/>
    <s v="ha"/>
    <n v="139303"/>
    <s v="I"/>
    <s v="Imputed value"/>
  </r>
  <r>
    <s v="QCL"/>
    <s v="Crops and livestock products"/>
    <n v="384"/>
    <s v="Côte d'Ivoire"/>
    <n v="5312"/>
    <s v="Area harvested"/>
    <n v="142"/>
    <x v="18"/>
    <n v="2021"/>
    <x v="6"/>
    <s v="ha"/>
    <n v="125209"/>
    <s v="I"/>
    <s v="Imputed value"/>
  </r>
  <r>
    <s v="QCL"/>
    <s v="Crops and livestock products"/>
    <n v="384"/>
    <s v="Côte d'Ivoire"/>
    <n v="5312"/>
    <s v="Area harvested"/>
    <s v="01922.01"/>
    <x v="19"/>
    <n v="2015"/>
    <x v="0"/>
    <s v="ha"/>
    <n v="0"/>
    <s v="M"/>
    <s v="Missing value (data cannot exist, not applicable)"/>
  </r>
  <r>
    <s v="QCL"/>
    <s v="Crops and livestock products"/>
    <n v="384"/>
    <s v="Côte d'Ivoire"/>
    <n v="5312"/>
    <s v="Area harvested"/>
    <s v="01922.01"/>
    <x v="19"/>
    <n v="2016"/>
    <x v="1"/>
    <s v="ha"/>
    <n v="0"/>
    <s v="M"/>
    <s v="Missing value (data cannot exist, not applicable)"/>
  </r>
  <r>
    <s v="QCL"/>
    <s v="Crops and livestock products"/>
    <n v="384"/>
    <s v="Côte d'Ivoire"/>
    <n v="5312"/>
    <s v="Area harvested"/>
    <s v="01922.01"/>
    <x v="19"/>
    <n v="2017"/>
    <x v="2"/>
    <s v="ha"/>
    <n v="0"/>
    <s v="M"/>
    <s v="Missing value (data cannot exist, not applicable)"/>
  </r>
  <r>
    <s v="QCL"/>
    <s v="Crops and livestock products"/>
    <n v="384"/>
    <s v="Côte d'Ivoire"/>
    <n v="5312"/>
    <s v="Area harvested"/>
    <s v="01922.01"/>
    <x v="19"/>
    <n v="2018"/>
    <x v="3"/>
    <s v="ha"/>
    <n v="0"/>
    <s v="M"/>
    <s v="Missing value (data cannot exist, not applicable)"/>
  </r>
  <r>
    <s v="QCL"/>
    <s v="Crops and livestock products"/>
    <n v="384"/>
    <s v="Côte d'Ivoire"/>
    <n v="5312"/>
    <s v="Area harvested"/>
    <s v="01922.01"/>
    <x v="19"/>
    <n v="2019"/>
    <x v="4"/>
    <s v="ha"/>
    <n v="0"/>
    <s v="M"/>
    <s v="Missing value (data cannot exist, not applicable)"/>
  </r>
  <r>
    <s v="QCL"/>
    <s v="Crops and livestock products"/>
    <n v="384"/>
    <s v="Côte d'Ivoire"/>
    <n v="5312"/>
    <s v="Area harvested"/>
    <s v="01922.01"/>
    <x v="19"/>
    <n v="2020"/>
    <x v="5"/>
    <s v="ha"/>
    <n v="0"/>
    <s v="M"/>
    <s v="Missing value (data cannot exist, not applicable)"/>
  </r>
  <r>
    <s v="QCL"/>
    <s v="Crops and livestock products"/>
    <n v="384"/>
    <s v="Côte d'Ivoire"/>
    <n v="5312"/>
    <s v="Area harvested"/>
    <s v="01922.01"/>
    <x v="19"/>
    <n v="2021"/>
    <x v="6"/>
    <s v="ha"/>
    <n v="0"/>
    <s v="M"/>
    <s v="Missing value (data cannot exist, not applicable)"/>
  </r>
  <r>
    <s v="QCL"/>
    <s v="Crops and livestock products"/>
    <n v="384"/>
    <s v="Côte d'Ivoire"/>
    <n v="5312"/>
    <s v="Area harvested"/>
    <s v="01499.01"/>
    <x v="20"/>
    <n v="2015"/>
    <x v="0"/>
    <s v="ha"/>
    <n v="24161"/>
    <s v="I"/>
    <s v="Imputed value"/>
  </r>
  <r>
    <s v="QCL"/>
    <s v="Crops and livestock products"/>
    <n v="384"/>
    <s v="Côte d'Ivoire"/>
    <n v="5312"/>
    <s v="Area harvested"/>
    <s v="01499.01"/>
    <x v="20"/>
    <n v="2016"/>
    <x v="1"/>
    <s v="ha"/>
    <n v="23442"/>
    <s v="E"/>
    <s v="Estimated value"/>
  </r>
  <r>
    <s v="QCL"/>
    <s v="Crops and livestock products"/>
    <n v="384"/>
    <s v="Côte d'Ivoire"/>
    <n v="5312"/>
    <s v="Area harvested"/>
    <s v="01499.01"/>
    <x v="20"/>
    <n v="2017"/>
    <x v="2"/>
    <s v="ha"/>
    <n v="23756"/>
    <s v="E"/>
    <s v="Estimated value"/>
  </r>
  <r>
    <s v="QCL"/>
    <s v="Crops and livestock products"/>
    <n v="384"/>
    <s v="Côte d'Ivoire"/>
    <n v="5312"/>
    <s v="Area harvested"/>
    <s v="01499.01"/>
    <x v="20"/>
    <n v="2018"/>
    <x v="3"/>
    <s v="ha"/>
    <n v="23787"/>
    <s v="E"/>
    <s v="Estimated value"/>
  </r>
  <r>
    <s v="QCL"/>
    <s v="Crops and livestock products"/>
    <n v="384"/>
    <s v="Côte d'Ivoire"/>
    <n v="5312"/>
    <s v="Area harvested"/>
    <s v="01499.01"/>
    <x v="20"/>
    <n v="2019"/>
    <x v="4"/>
    <s v="ha"/>
    <n v="23662"/>
    <s v="E"/>
    <s v="Estimated value"/>
  </r>
  <r>
    <s v="QCL"/>
    <s v="Crops and livestock products"/>
    <n v="384"/>
    <s v="Côte d'Ivoire"/>
    <n v="5312"/>
    <s v="Area harvested"/>
    <s v="01499.01"/>
    <x v="20"/>
    <n v="2020"/>
    <x v="5"/>
    <s v="ha"/>
    <n v="23735"/>
    <s v="E"/>
    <s v="Estimated value"/>
  </r>
  <r>
    <s v="QCL"/>
    <s v="Crops and livestock products"/>
    <n v="384"/>
    <s v="Côte d'Ivoire"/>
    <n v="5312"/>
    <s v="Area harvested"/>
    <s v="01499.01"/>
    <x v="20"/>
    <n v="2021"/>
    <x v="6"/>
    <s v="ha"/>
    <n v="23728"/>
    <s v="E"/>
    <s v="Estimated value"/>
  </r>
  <r>
    <s v="QCL"/>
    <s v="Crops and livestock products"/>
    <n v="384"/>
    <s v="Côte d'Ivoire"/>
    <n v="5312"/>
    <s v="Area harvested"/>
    <s v="01379.02"/>
    <x v="21"/>
    <n v="2015"/>
    <x v="0"/>
    <s v="ha"/>
    <n v="90101"/>
    <s v="I"/>
    <s v="Imputed value"/>
  </r>
  <r>
    <s v="QCL"/>
    <s v="Crops and livestock products"/>
    <n v="384"/>
    <s v="Côte d'Ivoire"/>
    <n v="5312"/>
    <s v="Area harvested"/>
    <s v="01379.02"/>
    <x v="21"/>
    <n v="2016"/>
    <x v="1"/>
    <s v="ha"/>
    <n v="84982"/>
    <s v="E"/>
    <s v="Estimated value"/>
  </r>
  <r>
    <s v="QCL"/>
    <s v="Crops and livestock products"/>
    <n v="384"/>
    <s v="Côte d'Ivoire"/>
    <n v="5312"/>
    <s v="Area harvested"/>
    <s v="01379.02"/>
    <x v="21"/>
    <n v="2017"/>
    <x v="2"/>
    <s v="ha"/>
    <n v="83622"/>
    <s v="I"/>
    <s v="Imputed value"/>
  </r>
  <r>
    <s v="QCL"/>
    <s v="Crops and livestock products"/>
    <n v="384"/>
    <s v="Côte d'Ivoire"/>
    <n v="5312"/>
    <s v="Area harvested"/>
    <s v="01379.02"/>
    <x v="21"/>
    <n v="2018"/>
    <x v="3"/>
    <s v="ha"/>
    <n v="85677"/>
    <s v="I"/>
    <s v="Imputed value"/>
  </r>
  <r>
    <s v="QCL"/>
    <s v="Crops and livestock products"/>
    <n v="384"/>
    <s v="Côte d'Ivoire"/>
    <n v="5312"/>
    <s v="Area harvested"/>
    <s v="01379.02"/>
    <x v="21"/>
    <n v="2019"/>
    <x v="4"/>
    <s v="ha"/>
    <n v="83955"/>
    <s v="I"/>
    <s v="Imputed value"/>
  </r>
  <r>
    <s v="QCL"/>
    <s v="Crops and livestock products"/>
    <n v="384"/>
    <s v="Côte d'Ivoire"/>
    <n v="5312"/>
    <s v="Area harvested"/>
    <s v="01379.02"/>
    <x v="21"/>
    <n v="2020"/>
    <x v="5"/>
    <s v="ha"/>
    <n v="83028"/>
    <s v="I"/>
    <s v="Imputed value"/>
  </r>
  <r>
    <s v="QCL"/>
    <s v="Crops and livestock products"/>
    <n v="384"/>
    <s v="Côte d'Ivoire"/>
    <n v="5312"/>
    <s v="Area harvested"/>
    <s v="01379.02"/>
    <x v="21"/>
    <n v="2021"/>
    <x v="6"/>
    <s v="ha"/>
    <n v="82193"/>
    <s v="I"/>
    <s v="Imputed value"/>
  </r>
  <r>
    <s v="QCL"/>
    <s v="Crops and livestock products"/>
    <n v="384"/>
    <s v="Côte d'Ivoire"/>
    <n v="5312"/>
    <s v="Area harvested"/>
    <n v="112"/>
    <x v="22"/>
    <n v="2015"/>
    <x v="0"/>
    <s v="ha"/>
    <n v="497864"/>
    <s v="I"/>
    <s v="Imputed value"/>
  </r>
  <r>
    <s v="QCL"/>
    <s v="Crops and livestock products"/>
    <n v="384"/>
    <s v="Côte d'Ivoire"/>
    <n v="5312"/>
    <s v="Area harvested"/>
    <n v="112"/>
    <x v="22"/>
    <n v="2016"/>
    <x v="1"/>
    <s v="ha"/>
    <n v="472032"/>
    <s v="I"/>
    <s v="Imputed value"/>
  </r>
  <r>
    <s v="QCL"/>
    <s v="Crops and livestock products"/>
    <n v="384"/>
    <s v="Côte d'Ivoire"/>
    <n v="5312"/>
    <s v="Area harvested"/>
    <n v="112"/>
    <x v="22"/>
    <n v="2017"/>
    <x v="2"/>
    <s v="ha"/>
    <n v="493661"/>
    <s v="I"/>
    <s v="Imputed value"/>
  </r>
  <r>
    <s v="QCL"/>
    <s v="Crops and livestock products"/>
    <n v="384"/>
    <s v="Côte d'Ivoire"/>
    <n v="5312"/>
    <s v="Area harvested"/>
    <n v="112"/>
    <x v="22"/>
    <n v="2018"/>
    <x v="3"/>
    <s v="ha"/>
    <n v="489900"/>
    <s v="I"/>
    <s v="Imputed value"/>
  </r>
  <r>
    <s v="QCL"/>
    <s v="Crops and livestock products"/>
    <n v="384"/>
    <s v="Côte d'Ivoire"/>
    <n v="5312"/>
    <s v="Area harvested"/>
    <n v="112"/>
    <x v="22"/>
    <n v="2019"/>
    <x v="4"/>
    <s v="ha"/>
    <n v="509440"/>
    <s v="I"/>
    <s v="Imputed value"/>
  </r>
  <r>
    <s v="QCL"/>
    <s v="Crops and livestock products"/>
    <n v="384"/>
    <s v="Côte d'Ivoire"/>
    <n v="5312"/>
    <s v="Area harvested"/>
    <n v="112"/>
    <x v="22"/>
    <n v="2020"/>
    <x v="5"/>
    <s v="ha"/>
    <n v="539144"/>
    <s v="I"/>
    <s v="Imputed value"/>
  </r>
  <r>
    <s v="QCL"/>
    <s v="Crops and livestock products"/>
    <n v="384"/>
    <s v="Côte d'Ivoire"/>
    <n v="5312"/>
    <s v="Area harvested"/>
    <n v="112"/>
    <x v="22"/>
    <n v="2021"/>
    <x v="6"/>
    <s v="ha"/>
    <n v="518794"/>
    <s v="I"/>
    <s v="Imputed value"/>
  </r>
  <r>
    <s v="QCL"/>
    <s v="Crops and livestock products"/>
    <n v="384"/>
    <s v="Côte d'Ivoire"/>
    <n v="5312"/>
    <s v="Area harvested"/>
    <n v="1316"/>
    <x v="23"/>
    <n v="2015"/>
    <x v="0"/>
    <s v="ha"/>
    <n v="141599"/>
    <s v="I"/>
    <s v="Imputed value"/>
  </r>
  <r>
    <s v="QCL"/>
    <s v="Crops and livestock products"/>
    <n v="384"/>
    <s v="Côte d'Ivoire"/>
    <n v="5312"/>
    <s v="Area harvested"/>
    <n v="1316"/>
    <x v="23"/>
    <n v="2016"/>
    <x v="1"/>
    <s v="ha"/>
    <n v="178479"/>
    <s v="I"/>
    <s v="Imputed value"/>
  </r>
  <r>
    <s v="QCL"/>
    <s v="Crops and livestock products"/>
    <n v="384"/>
    <s v="Côte d'Ivoire"/>
    <n v="5312"/>
    <s v="Area harvested"/>
    <n v="1316"/>
    <x v="23"/>
    <n v="2017"/>
    <x v="2"/>
    <s v="ha"/>
    <n v="179259"/>
    <s v="I"/>
    <s v="Imputed value"/>
  </r>
  <r>
    <s v="QCL"/>
    <s v="Crops and livestock products"/>
    <n v="384"/>
    <s v="Côte d'Ivoire"/>
    <n v="5312"/>
    <s v="Area harvested"/>
    <n v="1316"/>
    <x v="23"/>
    <n v="2018"/>
    <x v="3"/>
    <s v="ha"/>
    <n v="179430"/>
    <s v="I"/>
    <s v="Imputed value"/>
  </r>
  <r>
    <s v="QCL"/>
    <s v="Crops and livestock products"/>
    <n v="384"/>
    <s v="Côte d'Ivoire"/>
    <n v="5312"/>
    <s v="Area harvested"/>
    <n v="1316"/>
    <x v="23"/>
    <n v="2019"/>
    <x v="4"/>
    <s v="ha"/>
    <n v="179512"/>
    <s v="I"/>
    <s v="Imputed value"/>
  </r>
  <r>
    <s v="QCL"/>
    <s v="Crops and livestock products"/>
    <n v="384"/>
    <s v="Côte d'Ivoire"/>
    <n v="5312"/>
    <s v="Area harvested"/>
    <n v="1316"/>
    <x v="23"/>
    <n v="2020"/>
    <x v="5"/>
    <s v="ha"/>
    <n v="330000"/>
    <s v="E"/>
    <s v="Estimated value"/>
  </r>
  <r>
    <s v="QCL"/>
    <s v="Crops and livestock products"/>
    <n v="384"/>
    <s v="Côte d'Ivoire"/>
    <n v="5312"/>
    <s v="Area harvested"/>
    <n v="1316"/>
    <x v="23"/>
    <n v="2021"/>
    <x v="6"/>
    <s v="ha"/>
    <n v="322254"/>
    <s v="I"/>
    <s v="Imputed value"/>
  </r>
  <r>
    <s v="QCL"/>
    <s v="Crops and livestock products"/>
    <n v="384"/>
    <s v="Côte d'Ivoire"/>
    <n v="5312"/>
    <s v="Area harvested"/>
    <n v="118"/>
    <x v="24"/>
    <n v="2015"/>
    <x v="0"/>
    <s v="ha"/>
    <n v="67148"/>
    <s v="I"/>
    <s v="Imputed value"/>
  </r>
  <r>
    <s v="QCL"/>
    <s v="Crops and livestock products"/>
    <n v="384"/>
    <s v="Côte d'Ivoire"/>
    <n v="5312"/>
    <s v="Area harvested"/>
    <n v="118"/>
    <x v="24"/>
    <n v="2016"/>
    <x v="1"/>
    <s v="ha"/>
    <n v="70259"/>
    <s v="I"/>
    <s v="Imputed value"/>
  </r>
  <r>
    <s v="QCL"/>
    <s v="Crops and livestock products"/>
    <n v="384"/>
    <s v="Côte d'Ivoire"/>
    <n v="5312"/>
    <s v="Area harvested"/>
    <n v="118"/>
    <x v="24"/>
    <n v="2017"/>
    <x v="2"/>
    <s v="ha"/>
    <n v="73313"/>
    <s v="I"/>
    <s v="Imputed value"/>
  </r>
  <r>
    <s v="QCL"/>
    <s v="Crops and livestock products"/>
    <n v="384"/>
    <s v="Côte d'Ivoire"/>
    <n v="5312"/>
    <s v="Area harvested"/>
    <n v="118"/>
    <x v="24"/>
    <n v="2018"/>
    <x v="3"/>
    <s v="ha"/>
    <n v="73901"/>
    <s v="I"/>
    <s v="Imputed value"/>
  </r>
  <r>
    <s v="QCL"/>
    <s v="Crops and livestock products"/>
    <n v="384"/>
    <s v="Côte d'Ivoire"/>
    <n v="5312"/>
    <s v="Area harvested"/>
    <n v="118"/>
    <x v="24"/>
    <n v="2019"/>
    <x v="4"/>
    <s v="ha"/>
    <n v="77001"/>
    <s v="I"/>
    <s v="Imputed value"/>
  </r>
  <r>
    <s v="QCL"/>
    <s v="Crops and livestock products"/>
    <n v="384"/>
    <s v="Côte d'Ivoire"/>
    <n v="5312"/>
    <s v="Area harvested"/>
    <n v="118"/>
    <x v="24"/>
    <n v="2020"/>
    <x v="5"/>
    <s v="ha"/>
    <n v="79974"/>
    <s v="I"/>
    <s v="Imputed value"/>
  </r>
  <r>
    <s v="QCL"/>
    <s v="Crops and livestock products"/>
    <n v="384"/>
    <s v="Côte d'Ivoire"/>
    <n v="5312"/>
    <s v="Area harvested"/>
    <n v="118"/>
    <x v="24"/>
    <n v="2021"/>
    <x v="6"/>
    <s v="ha"/>
    <n v="76411"/>
    <s v="I"/>
    <s v="Imputed value"/>
  </r>
  <r>
    <s v="QCL"/>
    <s v="Crops and livestock products"/>
    <n v="384"/>
    <s v="Côte d'Ivoire"/>
    <n v="5312"/>
    <s v="Area harvested"/>
    <s v="01950.01"/>
    <x v="25"/>
    <n v="2015"/>
    <x v="0"/>
    <s v="ha"/>
    <n v="215583"/>
    <s v="I"/>
    <s v="Imputed value"/>
  </r>
  <r>
    <s v="QCL"/>
    <s v="Crops and livestock products"/>
    <n v="384"/>
    <s v="Côte d'Ivoire"/>
    <n v="5312"/>
    <s v="Area harvested"/>
    <s v="01950.01"/>
    <x v="25"/>
    <n v="2016"/>
    <x v="1"/>
    <s v="ha"/>
    <n v="280018"/>
    <s v="I"/>
    <s v="Imputed value"/>
  </r>
  <r>
    <s v="QCL"/>
    <s v="Crops and livestock products"/>
    <n v="384"/>
    <s v="Côte d'Ivoire"/>
    <n v="5312"/>
    <s v="Area harvested"/>
    <s v="01950.01"/>
    <x v="25"/>
    <n v="2017"/>
    <x v="2"/>
    <s v="ha"/>
    <n v="358609"/>
    <s v="I"/>
    <s v="Imputed value"/>
  </r>
  <r>
    <s v="QCL"/>
    <s v="Crops and livestock products"/>
    <n v="384"/>
    <s v="Côte d'Ivoire"/>
    <n v="5312"/>
    <s v="Area harvested"/>
    <s v="01950.01"/>
    <x v="25"/>
    <n v="2018"/>
    <x v="3"/>
    <s v="ha"/>
    <n v="385060"/>
    <s v="I"/>
    <s v="Imputed value"/>
  </r>
  <r>
    <s v="QCL"/>
    <s v="Crops and livestock products"/>
    <n v="384"/>
    <s v="Côte d'Ivoire"/>
    <n v="5312"/>
    <s v="Area harvested"/>
    <s v="01950.01"/>
    <x v="25"/>
    <n v="2019"/>
    <x v="4"/>
    <s v="ha"/>
    <n v="480401"/>
    <s v="I"/>
    <s v="Imputed value"/>
  </r>
  <r>
    <s v="QCL"/>
    <s v="Crops and livestock products"/>
    <n v="384"/>
    <s v="Côte d'Ivoire"/>
    <n v="5312"/>
    <s v="Area harvested"/>
    <s v="01950.01"/>
    <x v="25"/>
    <n v="2020"/>
    <x v="5"/>
    <s v="ha"/>
    <n v="577580"/>
    <s v="I"/>
    <s v="Imputed value"/>
  </r>
  <r>
    <s v="QCL"/>
    <s v="Crops and livestock products"/>
    <n v="384"/>
    <s v="Côte d'Ivoire"/>
    <n v="5312"/>
    <s v="Area harvested"/>
    <s v="01950.01"/>
    <x v="25"/>
    <n v="2021"/>
    <x v="6"/>
    <s v="ha"/>
    <n v="451333"/>
    <s v="E"/>
    <s v="Estimated value"/>
  </r>
  <r>
    <s v="QCL"/>
    <s v="Crops and livestock products"/>
    <n v="384"/>
    <s v="Côte d'Ivoire"/>
    <n v="5312"/>
    <s v="Area harvested"/>
    <s v="01491.01"/>
    <x v="26"/>
    <n v="2015"/>
    <x v="0"/>
    <s v="ha"/>
    <n v="274000"/>
    <s v="T"/>
    <s v="Unofficial figure"/>
  </r>
  <r>
    <s v="QCL"/>
    <s v="Crops and livestock products"/>
    <n v="384"/>
    <s v="Côte d'Ivoire"/>
    <n v="5312"/>
    <s v="Area harvested"/>
    <s v="01491.01"/>
    <x v="26"/>
    <n v="2016"/>
    <x v="1"/>
    <s v="ha"/>
    <n v="314294"/>
    <s v="I"/>
    <s v="Imputed value"/>
  </r>
  <r>
    <s v="QCL"/>
    <s v="Crops and livestock products"/>
    <n v="384"/>
    <s v="Côte d'Ivoire"/>
    <n v="5312"/>
    <s v="Area harvested"/>
    <s v="01491.01"/>
    <x v="26"/>
    <n v="2017"/>
    <x v="2"/>
    <s v="ha"/>
    <n v="354898"/>
    <s v="I"/>
    <s v="Imputed value"/>
  </r>
  <r>
    <s v="QCL"/>
    <s v="Crops and livestock products"/>
    <n v="384"/>
    <s v="Côte d'Ivoire"/>
    <n v="5312"/>
    <s v="Area harvested"/>
    <s v="01491.01"/>
    <x v="26"/>
    <n v="2018"/>
    <x v="3"/>
    <s v="ha"/>
    <n v="336777"/>
    <s v="I"/>
    <s v="Imputed value"/>
  </r>
  <r>
    <s v="QCL"/>
    <s v="Crops and livestock products"/>
    <n v="384"/>
    <s v="Côte d'Ivoire"/>
    <n v="5312"/>
    <s v="Area harvested"/>
    <s v="01491.01"/>
    <x v="26"/>
    <n v="2019"/>
    <x v="4"/>
    <s v="ha"/>
    <n v="386707"/>
    <s v="I"/>
    <s v="Imputed value"/>
  </r>
  <r>
    <s v="QCL"/>
    <s v="Crops and livestock products"/>
    <n v="384"/>
    <s v="Côte d'Ivoire"/>
    <n v="5312"/>
    <s v="Area harvested"/>
    <s v="01491.01"/>
    <x v="26"/>
    <n v="2020"/>
    <x v="5"/>
    <s v="ha"/>
    <n v="364771"/>
    <s v="I"/>
    <s v="Imputed value"/>
  </r>
  <r>
    <s v="QCL"/>
    <s v="Crops and livestock products"/>
    <n v="384"/>
    <s v="Côte d'Ivoire"/>
    <n v="5312"/>
    <s v="Area harvested"/>
    <s v="01491.01"/>
    <x v="26"/>
    <n v="2021"/>
    <x v="6"/>
    <s v="ha"/>
    <n v="362704"/>
    <s v="I"/>
    <s v="Imputed value"/>
  </r>
  <r>
    <s v="QCL"/>
    <s v="Crops and livestock products"/>
    <n v="384"/>
    <s v="Côte d'Ivoire"/>
    <n v="5312"/>
    <s v="Area harvested"/>
    <s v="01239.01"/>
    <x v="27"/>
    <n v="2015"/>
    <x v="0"/>
    <s v="ha"/>
    <n v="54037"/>
    <s v="I"/>
    <s v="Imputed value"/>
  </r>
  <r>
    <s v="QCL"/>
    <s v="Crops and livestock products"/>
    <n v="384"/>
    <s v="Côte d'Ivoire"/>
    <n v="5312"/>
    <s v="Area harvested"/>
    <s v="01239.01"/>
    <x v="27"/>
    <n v="2016"/>
    <x v="1"/>
    <s v="ha"/>
    <n v="56111"/>
    <s v="I"/>
    <s v="Imputed value"/>
  </r>
  <r>
    <s v="QCL"/>
    <s v="Crops and livestock products"/>
    <n v="384"/>
    <s v="Côte d'Ivoire"/>
    <n v="5312"/>
    <s v="Area harvested"/>
    <s v="01239.01"/>
    <x v="27"/>
    <n v="2017"/>
    <x v="2"/>
    <s v="ha"/>
    <n v="57652"/>
    <s v="I"/>
    <s v="Imputed value"/>
  </r>
  <r>
    <s v="QCL"/>
    <s v="Crops and livestock products"/>
    <n v="384"/>
    <s v="Côte d'Ivoire"/>
    <n v="5312"/>
    <s v="Area harvested"/>
    <s v="01239.01"/>
    <x v="27"/>
    <n v="2018"/>
    <x v="3"/>
    <s v="ha"/>
    <n v="63721"/>
    <s v="I"/>
    <s v="Imputed value"/>
  </r>
  <r>
    <s v="QCL"/>
    <s v="Crops and livestock products"/>
    <n v="384"/>
    <s v="Côte d'Ivoire"/>
    <n v="5312"/>
    <s v="Area harvested"/>
    <s v="01239.01"/>
    <x v="27"/>
    <n v="2019"/>
    <x v="4"/>
    <s v="ha"/>
    <n v="65219"/>
    <s v="I"/>
    <s v="Imputed value"/>
  </r>
  <r>
    <s v="QCL"/>
    <s v="Crops and livestock products"/>
    <n v="384"/>
    <s v="Côte d'Ivoire"/>
    <n v="5312"/>
    <s v="Area harvested"/>
    <s v="01239.01"/>
    <x v="27"/>
    <n v="2020"/>
    <x v="5"/>
    <s v="ha"/>
    <n v="67501"/>
    <s v="I"/>
    <s v="Imputed value"/>
  </r>
  <r>
    <s v="QCL"/>
    <s v="Crops and livestock products"/>
    <n v="384"/>
    <s v="Côte d'Ivoire"/>
    <n v="5312"/>
    <s v="Area harvested"/>
    <s v="01239.01"/>
    <x v="27"/>
    <n v="2021"/>
    <x v="6"/>
    <s v="ha"/>
    <n v="68713"/>
    <s v="I"/>
    <s v="Imputed value"/>
  </r>
  <r>
    <s v="QCL"/>
    <s v="Crops and livestock products"/>
    <n v="384"/>
    <s v="Côte d'Ivoire"/>
    <n v="5312"/>
    <s v="Area harvested"/>
    <s v="01253.01"/>
    <x v="28"/>
    <n v="2015"/>
    <x v="0"/>
    <s v="ha"/>
    <n v="840"/>
    <s v="I"/>
    <s v="Imputed value"/>
  </r>
  <r>
    <s v="QCL"/>
    <s v="Crops and livestock products"/>
    <n v="384"/>
    <s v="Côte d'Ivoire"/>
    <n v="5312"/>
    <s v="Area harvested"/>
    <s v="01253.01"/>
    <x v="28"/>
    <n v="2016"/>
    <x v="1"/>
    <s v="ha"/>
    <n v="838"/>
    <s v="I"/>
    <s v="Imputed value"/>
  </r>
  <r>
    <s v="QCL"/>
    <s v="Crops and livestock products"/>
    <n v="384"/>
    <s v="Côte d'Ivoire"/>
    <n v="5312"/>
    <s v="Area harvested"/>
    <s v="01253.01"/>
    <x v="28"/>
    <n v="2017"/>
    <x v="2"/>
    <s v="ha"/>
    <n v="851"/>
    <s v="I"/>
    <s v="Imputed value"/>
  </r>
  <r>
    <s v="QCL"/>
    <s v="Crops and livestock products"/>
    <n v="384"/>
    <s v="Côte d'Ivoire"/>
    <n v="5312"/>
    <s v="Area harvested"/>
    <s v="01253.01"/>
    <x v="28"/>
    <n v="2018"/>
    <x v="3"/>
    <s v="ha"/>
    <n v="861"/>
    <s v="I"/>
    <s v="Imputed value"/>
  </r>
  <r>
    <s v="QCL"/>
    <s v="Crops and livestock products"/>
    <n v="384"/>
    <s v="Côte d'Ivoire"/>
    <n v="5312"/>
    <s v="Area harvested"/>
    <s v="01253.01"/>
    <x v="28"/>
    <n v="2019"/>
    <x v="4"/>
    <s v="ha"/>
    <n v="847"/>
    <s v="I"/>
    <s v="Imputed value"/>
  </r>
  <r>
    <s v="QCL"/>
    <s v="Crops and livestock products"/>
    <n v="384"/>
    <s v="Côte d'Ivoire"/>
    <n v="5312"/>
    <s v="Area harvested"/>
    <s v="01253.01"/>
    <x v="28"/>
    <n v="2020"/>
    <x v="5"/>
    <s v="ha"/>
    <n v="847"/>
    <s v="I"/>
    <s v="Imputed value"/>
  </r>
  <r>
    <s v="QCL"/>
    <s v="Crops and livestock products"/>
    <n v="384"/>
    <s v="Côte d'Ivoire"/>
    <n v="5312"/>
    <s v="Area harvested"/>
    <s v="01253.01"/>
    <x v="28"/>
    <n v="2021"/>
    <x v="6"/>
    <s v="ha"/>
    <n v="847"/>
    <s v="I"/>
    <s v="Imputed value"/>
  </r>
  <r>
    <s v="QCL"/>
    <s v="Crops and livestock products"/>
    <n v="384"/>
    <s v="Côte d'Ivoire"/>
    <n v="5312"/>
    <s v="Area harvested"/>
    <n v="1323"/>
    <x v="29"/>
    <n v="2015"/>
    <x v="0"/>
    <s v="ha"/>
    <n v="3149"/>
    <s v="I"/>
    <s v="Imputed value"/>
  </r>
  <r>
    <s v="QCL"/>
    <s v="Crops and livestock products"/>
    <n v="384"/>
    <s v="Côte d'Ivoire"/>
    <n v="5312"/>
    <s v="Area harvested"/>
    <n v="1323"/>
    <x v="29"/>
    <n v="2016"/>
    <x v="1"/>
    <s v="ha"/>
    <n v="3194"/>
    <s v="I"/>
    <s v="Imputed value"/>
  </r>
  <r>
    <s v="QCL"/>
    <s v="Crops and livestock products"/>
    <n v="384"/>
    <s v="Côte d'Ivoire"/>
    <n v="5312"/>
    <s v="Area harvested"/>
    <n v="1323"/>
    <x v="29"/>
    <n v="2017"/>
    <x v="2"/>
    <s v="ha"/>
    <n v="3141"/>
    <s v="I"/>
    <s v="Imputed value"/>
  </r>
  <r>
    <s v="QCL"/>
    <s v="Crops and livestock products"/>
    <n v="384"/>
    <s v="Côte d'Ivoire"/>
    <n v="5312"/>
    <s v="Area harvested"/>
    <n v="1323"/>
    <x v="29"/>
    <n v="2018"/>
    <x v="3"/>
    <s v="ha"/>
    <n v="3170"/>
    <s v="I"/>
    <s v="Imputed value"/>
  </r>
  <r>
    <s v="QCL"/>
    <s v="Crops and livestock products"/>
    <n v="384"/>
    <s v="Côte d'Ivoire"/>
    <n v="5312"/>
    <s v="Area harvested"/>
    <n v="1323"/>
    <x v="29"/>
    <n v="2019"/>
    <x v="4"/>
    <s v="ha"/>
    <n v="3197"/>
    <s v="I"/>
    <s v="Imputed value"/>
  </r>
  <r>
    <s v="QCL"/>
    <s v="Crops and livestock products"/>
    <n v="384"/>
    <s v="Côte d'Ivoire"/>
    <n v="5312"/>
    <s v="Area harvested"/>
    <n v="1323"/>
    <x v="29"/>
    <n v="2020"/>
    <x v="5"/>
    <s v="ha"/>
    <n v="3221"/>
    <s v="I"/>
    <s v="Imputed value"/>
  </r>
  <r>
    <s v="QCL"/>
    <s v="Crops and livestock products"/>
    <n v="384"/>
    <s v="Côte d'Ivoire"/>
    <n v="5312"/>
    <s v="Area harvested"/>
    <n v="1323"/>
    <x v="29"/>
    <n v="2021"/>
    <x v="6"/>
    <s v="ha"/>
    <n v="3244"/>
    <s v="I"/>
    <s v="Imputed value"/>
  </r>
  <r>
    <s v="QCL"/>
    <s v="Crops and livestock products"/>
    <n v="384"/>
    <s v="Côte d'Ivoire"/>
    <n v="5312"/>
    <s v="Area harvested"/>
    <s v="01241.90"/>
    <x v="30"/>
    <n v="2015"/>
    <x v="0"/>
    <s v="ha"/>
    <n v="1624"/>
    <s v="I"/>
    <s v="Imputed value"/>
  </r>
  <r>
    <s v="QCL"/>
    <s v="Crops and livestock products"/>
    <n v="384"/>
    <s v="Côte d'Ivoire"/>
    <n v="5312"/>
    <s v="Area harvested"/>
    <s v="01241.90"/>
    <x v="30"/>
    <n v="2016"/>
    <x v="1"/>
    <s v="ha"/>
    <n v="1634"/>
    <s v="I"/>
    <s v="Imputed value"/>
  </r>
  <r>
    <s v="QCL"/>
    <s v="Crops and livestock products"/>
    <n v="384"/>
    <s v="Côte d'Ivoire"/>
    <n v="5312"/>
    <s v="Area harvested"/>
    <s v="01241.90"/>
    <x v="30"/>
    <n v="2017"/>
    <x v="2"/>
    <s v="ha"/>
    <n v="1662"/>
    <s v="I"/>
    <s v="Imputed value"/>
  </r>
  <r>
    <s v="QCL"/>
    <s v="Crops and livestock products"/>
    <n v="384"/>
    <s v="Côte d'Ivoire"/>
    <n v="5312"/>
    <s v="Area harvested"/>
    <s v="01241.90"/>
    <x v="30"/>
    <n v="2018"/>
    <x v="3"/>
    <s v="ha"/>
    <n v="1702"/>
    <s v="I"/>
    <s v="Imputed value"/>
  </r>
  <r>
    <s v="QCL"/>
    <s v="Crops and livestock products"/>
    <n v="384"/>
    <s v="Côte d'Ivoire"/>
    <n v="5312"/>
    <s v="Area harvested"/>
    <s v="01241.90"/>
    <x v="30"/>
    <n v="2019"/>
    <x v="4"/>
    <s v="ha"/>
    <n v="1666"/>
    <s v="E"/>
    <s v="Estimated value"/>
  </r>
  <r>
    <s v="QCL"/>
    <s v="Crops and livestock products"/>
    <n v="384"/>
    <s v="Côte d'Ivoire"/>
    <n v="5312"/>
    <s v="Area harvested"/>
    <s v="01241.90"/>
    <x v="30"/>
    <n v="2020"/>
    <x v="5"/>
    <s v="ha"/>
    <n v="1677"/>
    <s v="E"/>
    <s v="Estimated value"/>
  </r>
  <r>
    <s v="QCL"/>
    <s v="Crops and livestock products"/>
    <n v="384"/>
    <s v="Côte d'Ivoire"/>
    <n v="5312"/>
    <s v="Area harvested"/>
    <s v="01241.90"/>
    <x v="30"/>
    <n v="2021"/>
    <x v="6"/>
    <s v="ha"/>
    <n v="1682"/>
    <s v="E"/>
    <s v="Estimated value"/>
  </r>
  <r>
    <s v="QCL"/>
    <s v="Crops and livestock products"/>
    <n v="384"/>
    <s v="Côte d'Ivoire"/>
    <n v="5312"/>
    <s v="Area harvested"/>
    <n v="1329"/>
    <x v="31"/>
    <n v="2015"/>
    <x v="0"/>
    <s v="ha"/>
    <n v="3351"/>
    <s v="I"/>
    <s v="Imputed value"/>
  </r>
  <r>
    <s v="QCL"/>
    <s v="Crops and livestock products"/>
    <n v="384"/>
    <s v="Côte d'Ivoire"/>
    <n v="5312"/>
    <s v="Area harvested"/>
    <n v="1329"/>
    <x v="31"/>
    <n v="2016"/>
    <x v="1"/>
    <s v="ha"/>
    <n v="3389"/>
    <s v="I"/>
    <s v="Imputed value"/>
  </r>
  <r>
    <s v="QCL"/>
    <s v="Crops and livestock products"/>
    <n v="384"/>
    <s v="Côte d'Ivoire"/>
    <n v="5312"/>
    <s v="Area harvested"/>
    <n v="1329"/>
    <x v="31"/>
    <n v="2017"/>
    <x v="2"/>
    <s v="ha"/>
    <n v="3433"/>
    <s v="I"/>
    <s v="Imputed value"/>
  </r>
  <r>
    <s v="QCL"/>
    <s v="Crops and livestock products"/>
    <n v="384"/>
    <s v="Côte d'Ivoire"/>
    <n v="5312"/>
    <s v="Area harvested"/>
    <n v="1329"/>
    <x v="31"/>
    <n v="2018"/>
    <x v="3"/>
    <s v="ha"/>
    <n v="3493"/>
    <s v="I"/>
    <s v="Imputed value"/>
  </r>
  <r>
    <s v="QCL"/>
    <s v="Crops and livestock products"/>
    <n v="384"/>
    <s v="Côte d'Ivoire"/>
    <n v="5312"/>
    <s v="Area harvested"/>
    <n v="1329"/>
    <x v="31"/>
    <n v="2019"/>
    <x v="4"/>
    <s v="ha"/>
    <n v="3438"/>
    <s v="E"/>
    <s v="Estimated value"/>
  </r>
  <r>
    <s v="QCL"/>
    <s v="Crops and livestock products"/>
    <n v="384"/>
    <s v="Côte d'Ivoire"/>
    <n v="5312"/>
    <s v="Area harvested"/>
    <n v="1329"/>
    <x v="31"/>
    <n v="2020"/>
    <x v="5"/>
    <s v="ha"/>
    <n v="3455"/>
    <s v="E"/>
    <s v="Estimated value"/>
  </r>
  <r>
    <s v="QCL"/>
    <s v="Crops and livestock products"/>
    <n v="384"/>
    <s v="Côte d'Ivoire"/>
    <n v="5312"/>
    <s v="Area harvested"/>
    <n v="1329"/>
    <x v="31"/>
    <n v="2021"/>
    <x v="6"/>
    <s v="ha"/>
    <n v="3462"/>
    <s v="E"/>
    <s v="Estimated value"/>
  </r>
  <r>
    <s v="QCL"/>
    <s v="Crops and livestock products"/>
    <n v="384"/>
    <s v="Côte d'Ivoire"/>
    <n v="5312"/>
    <s v="Area harvested"/>
    <s v="01359.90"/>
    <x v="32"/>
    <n v="2015"/>
    <x v="0"/>
    <s v="ha"/>
    <n v="4132"/>
    <s v="I"/>
    <s v="Imputed value"/>
  </r>
  <r>
    <s v="QCL"/>
    <s v="Crops and livestock products"/>
    <n v="384"/>
    <s v="Côte d'Ivoire"/>
    <n v="5312"/>
    <s v="Area harvested"/>
    <s v="01359.90"/>
    <x v="32"/>
    <n v="2016"/>
    <x v="1"/>
    <s v="ha"/>
    <n v="3912"/>
    <s v="E"/>
    <s v="Estimated value"/>
  </r>
  <r>
    <s v="QCL"/>
    <s v="Crops and livestock products"/>
    <n v="384"/>
    <s v="Côte d'Ivoire"/>
    <n v="5312"/>
    <s v="Area harvested"/>
    <s v="01359.90"/>
    <x v="32"/>
    <n v="2017"/>
    <x v="2"/>
    <s v="ha"/>
    <n v="4096"/>
    <s v="I"/>
    <s v="Imputed value"/>
  </r>
  <r>
    <s v="QCL"/>
    <s v="Crops and livestock products"/>
    <n v="384"/>
    <s v="Côte d'Ivoire"/>
    <n v="5312"/>
    <s v="Area harvested"/>
    <s v="01359.90"/>
    <x v="32"/>
    <n v="2018"/>
    <x v="3"/>
    <s v="ha"/>
    <n v="4046"/>
    <s v="E"/>
    <s v="Estimated value"/>
  </r>
  <r>
    <s v="QCL"/>
    <s v="Crops and livestock products"/>
    <n v="384"/>
    <s v="Côte d'Ivoire"/>
    <n v="5312"/>
    <s v="Area harvested"/>
    <s v="01359.90"/>
    <x v="32"/>
    <n v="2019"/>
    <x v="4"/>
    <s v="ha"/>
    <n v="4018"/>
    <s v="E"/>
    <s v="Estimated value"/>
  </r>
  <r>
    <s v="QCL"/>
    <s v="Crops and livestock products"/>
    <n v="384"/>
    <s v="Côte d'Ivoire"/>
    <n v="5312"/>
    <s v="Area harvested"/>
    <s v="01359.90"/>
    <x v="32"/>
    <n v="2020"/>
    <x v="5"/>
    <s v="ha"/>
    <n v="4053"/>
    <s v="E"/>
    <s v="Estimated value"/>
  </r>
  <r>
    <s v="QCL"/>
    <s v="Crops and livestock products"/>
    <n v="384"/>
    <s v="Côte d'Ivoire"/>
    <n v="5312"/>
    <s v="Area harvested"/>
    <s v="01359.90"/>
    <x v="32"/>
    <n v="2021"/>
    <x v="6"/>
    <s v="ha"/>
    <n v="4039"/>
    <s v="E"/>
    <s v="Estimated value"/>
  </r>
  <r>
    <s v="QCL"/>
    <s v="Crops and livestock products"/>
    <n v="384"/>
    <s v="Côte d'Ivoire"/>
    <n v="5312"/>
    <s v="Area harvested"/>
    <s v="01379.90"/>
    <x v="33"/>
    <n v="2015"/>
    <x v="0"/>
    <s v="ha"/>
    <n v="8466"/>
    <s v="I"/>
    <s v="Imputed value"/>
  </r>
  <r>
    <s v="QCL"/>
    <s v="Crops and livestock products"/>
    <n v="384"/>
    <s v="Côte d'Ivoire"/>
    <n v="5312"/>
    <s v="Area harvested"/>
    <s v="01379.90"/>
    <x v="33"/>
    <n v="2016"/>
    <x v="1"/>
    <s v="ha"/>
    <n v="8106"/>
    <s v="E"/>
    <s v="Estimated value"/>
  </r>
  <r>
    <s v="QCL"/>
    <s v="Crops and livestock products"/>
    <n v="384"/>
    <s v="Côte d'Ivoire"/>
    <n v="5312"/>
    <s v="Area harvested"/>
    <s v="01379.90"/>
    <x v="33"/>
    <n v="2017"/>
    <x v="2"/>
    <s v="ha"/>
    <n v="8090"/>
    <s v="I"/>
    <s v="Imputed value"/>
  </r>
  <r>
    <s v="QCL"/>
    <s v="Crops and livestock products"/>
    <n v="384"/>
    <s v="Côte d'Ivoire"/>
    <n v="5312"/>
    <s v="Area harvested"/>
    <s v="01379.90"/>
    <x v="33"/>
    <n v="2018"/>
    <x v="3"/>
    <s v="ha"/>
    <n v="8189"/>
    <s v="I"/>
    <s v="Imputed value"/>
  </r>
  <r>
    <s v="QCL"/>
    <s v="Crops and livestock products"/>
    <n v="384"/>
    <s v="Côte d'Ivoire"/>
    <n v="5312"/>
    <s v="Area harvested"/>
    <s v="01379.90"/>
    <x v="33"/>
    <n v="2019"/>
    <x v="4"/>
    <s v="ha"/>
    <n v="8155"/>
    <s v="I"/>
    <s v="Imputed value"/>
  </r>
  <r>
    <s v="QCL"/>
    <s v="Crops and livestock products"/>
    <n v="384"/>
    <s v="Côte d'Ivoire"/>
    <n v="5312"/>
    <s v="Area harvested"/>
    <s v="01379.90"/>
    <x v="33"/>
    <n v="2020"/>
    <x v="5"/>
    <s v="ha"/>
    <n v="8168"/>
    <s v="I"/>
    <s v="Imputed value"/>
  </r>
  <r>
    <s v="QCL"/>
    <s v="Crops and livestock products"/>
    <n v="384"/>
    <s v="Côte d'Ivoire"/>
    <n v="5312"/>
    <s v="Area harvested"/>
    <s v="01379.90"/>
    <x v="33"/>
    <n v="2021"/>
    <x v="6"/>
    <s v="ha"/>
    <n v="8181"/>
    <s v="I"/>
    <s v="Imputed value"/>
  </r>
  <r>
    <s v="QCL"/>
    <s v="Crops and livestock products"/>
    <n v="384"/>
    <s v="Côte d'Ivoire"/>
    <n v="5312"/>
    <s v="Area harvested"/>
    <s v="01449.90"/>
    <x v="34"/>
    <n v="2015"/>
    <x v="0"/>
    <s v="ha"/>
    <n v="38343"/>
    <s v="I"/>
    <s v="Imputed value"/>
  </r>
  <r>
    <s v="QCL"/>
    <s v="Crops and livestock products"/>
    <n v="384"/>
    <s v="Côte d'Ivoire"/>
    <n v="5312"/>
    <s v="Area harvested"/>
    <s v="01449.90"/>
    <x v="34"/>
    <n v="2016"/>
    <x v="1"/>
    <s v="ha"/>
    <n v="44183"/>
    <s v="I"/>
    <s v="Imputed value"/>
  </r>
  <r>
    <s v="QCL"/>
    <s v="Crops and livestock products"/>
    <n v="384"/>
    <s v="Côte d'Ivoire"/>
    <n v="5312"/>
    <s v="Area harvested"/>
    <s v="01449.90"/>
    <x v="34"/>
    <n v="2017"/>
    <x v="2"/>
    <s v="ha"/>
    <n v="43695"/>
    <s v="I"/>
    <s v="Imputed value"/>
  </r>
  <r>
    <s v="QCL"/>
    <s v="Crops and livestock products"/>
    <n v="384"/>
    <s v="Côte d'Ivoire"/>
    <n v="5312"/>
    <s v="Area harvested"/>
    <s v="01449.90"/>
    <x v="34"/>
    <n v="2018"/>
    <x v="3"/>
    <s v="ha"/>
    <n v="43362"/>
    <s v="I"/>
    <s v="Imputed value"/>
  </r>
  <r>
    <s v="QCL"/>
    <s v="Crops and livestock products"/>
    <n v="384"/>
    <s v="Côte d'Ivoire"/>
    <n v="5312"/>
    <s v="Area harvested"/>
    <s v="01449.90"/>
    <x v="34"/>
    <n v="2019"/>
    <x v="4"/>
    <s v="ha"/>
    <n v="41852"/>
    <s v="I"/>
    <s v="Imputed value"/>
  </r>
  <r>
    <s v="QCL"/>
    <s v="Crops and livestock products"/>
    <n v="384"/>
    <s v="Côte d'Ivoire"/>
    <n v="5312"/>
    <s v="Area harvested"/>
    <s v="01449.90"/>
    <x v="34"/>
    <n v="2020"/>
    <x v="5"/>
    <s v="ha"/>
    <n v="49636"/>
    <s v="I"/>
    <s v="Imputed value"/>
  </r>
  <r>
    <s v="QCL"/>
    <s v="Crops and livestock products"/>
    <n v="384"/>
    <s v="Côte d'Ivoire"/>
    <n v="5312"/>
    <s v="Area harvested"/>
    <s v="01449.90"/>
    <x v="34"/>
    <n v="2021"/>
    <x v="6"/>
    <s v="ha"/>
    <n v="53857"/>
    <s v="I"/>
    <s v="Imputed value"/>
  </r>
  <r>
    <s v="QCL"/>
    <s v="Crops and livestock products"/>
    <n v="384"/>
    <s v="Côte d'Ivoire"/>
    <n v="5312"/>
    <s v="Area harvested"/>
    <s v="01709.90"/>
    <x v="35"/>
    <n v="2015"/>
    <x v="0"/>
    <s v="ha"/>
    <n v="20900"/>
    <s v="I"/>
    <s v="Imputed value"/>
  </r>
  <r>
    <s v="QCL"/>
    <s v="Crops and livestock products"/>
    <n v="384"/>
    <s v="Côte d'Ivoire"/>
    <n v="5312"/>
    <s v="Area harvested"/>
    <s v="01709.90"/>
    <x v="35"/>
    <n v="2016"/>
    <x v="1"/>
    <s v="ha"/>
    <n v="19999"/>
    <s v="E"/>
    <s v="Estimated value"/>
  </r>
  <r>
    <s v="QCL"/>
    <s v="Crops and livestock products"/>
    <n v="384"/>
    <s v="Côte d'Ivoire"/>
    <n v="5312"/>
    <s v="Area harvested"/>
    <s v="01709.90"/>
    <x v="35"/>
    <n v="2017"/>
    <x v="2"/>
    <s v="ha"/>
    <n v="20214"/>
    <s v="I"/>
    <s v="Imputed value"/>
  </r>
  <r>
    <s v="QCL"/>
    <s v="Crops and livestock products"/>
    <n v="384"/>
    <s v="Côte d'Ivoire"/>
    <n v="5312"/>
    <s v="Area harvested"/>
    <s v="01709.90"/>
    <x v="35"/>
    <n v="2018"/>
    <x v="3"/>
    <s v="ha"/>
    <n v="20371"/>
    <s v="E"/>
    <s v="Estimated value"/>
  </r>
  <r>
    <s v="QCL"/>
    <s v="Crops and livestock products"/>
    <n v="384"/>
    <s v="Côte d'Ivoire"/>
    <n v="5312"/>
    <s v="Area harvested"/>
    <s v="01709.90"/>
    <x v="35"/>
    <n v="2019"/>
    <x v="4"/>
    <s v="ha"/>
    <n v="20194"/>
    <s v="E"/>
    <s v="Estimated value"/>
  </r>
  <r>
    <s v="QCL"/>
    <s v="Crops and livestock products"/>
    <n v="384"/>
    <s v="Côte d'Ivoire"/>
    <n v="5312"/>
    <s v="Area harvested"/>
    <s v="01709.90"/>
    <x v="35"/>
    <n v="2020"/>
    <x v="5"/>
    <s v="ha"/>
    <n v="20260"/>
    <s v="E"/>
    <s v="Estimated value"/>
  </r>
  <r>
    <s v="QCL"/>
    <s v="Crops and livestock products"/>
    <n v="384"/>
    <s v="Côte d'Ivoire"/>
    <n v="5312"/>
    <s v="Area harvested"/>
    <s v="01709.90"/>
    <x v="35"/>
    <n v="2021"/>
    <x v="6"/>
    <s v="ha"/>
    <n v="20275"/>
    <s v="E"/>
    <s v="Estimated value"/>
  </r>
  <r>
    <s v="QCL"/>
    <s v="Crops and livestock products"/>
    <n v="384"/>
    <s v="Côte d'Ivoire"/>
    <n v="5312"/>
    <s v="Area harvested"/>
    <n v="1699"/>
    <x v="36"/>
    <n v="2015"/>
    <x v="0"/>
    <s v="ha"/>
    <n v="1141"/>
    <s v="I"/>
    <s v="Imputed value"/>
  </r>
  <r>
    <s v="QCL"/>
    <s v="Crops and livestock products"/>
    <n v="384"/>
    <s v="Côte d'Ivoire"/>
    <n v="5312"/>
    <s v="Area harvested"/>
    <n v="1699"/>
    <x v="36"/>
    <n v="2016"/>
    <x v="1"/>
    <s v="ha"/>
    <n v="1143"/>
    <s v="I"/>
    <s v="Imputed value"/>
  </r>
  <r>
    <s v="QCL"/>
    <s v="Crops and livestock products"/>
    <n v="384"/>
    <s v="Côte d'Ivoire"/>
    <n v="5312"/>
    <s v="Area harvested"/>
    <n v="1699"/>
    <x v="36"/>
    <n v="2017"/>
    <x v="2"/>
    <s v="ha"/>
    <n v="1142"/>
    <s v="I"/>
    <s v="Imputed value"/>
  </r>
  <r>
    <s v="QCL"/>
    <s v="Crops and livestock products"/>
    <n v="384"/>
    <s v="Côte d'Ivoire"/>
    <n v="5312"/>
    <s v="Area harvested"/>
    <n v="1699"/>
    <x v="36"/>
    <n v="2018"/>
    <x v="3"/>
    <s v="ha"/>
    <n v="1135"/>
    <s v="I"/>
    <s v="Imputed value"/>
  </r>
  <r>
    <s v="QCL"/>
    <s v="Crops and livestock products"/>
    <n v="384"/>
    <s v="Côte d'Ivoire"/>
    <n v="5312"/>
    <s v="Area harvested"/>
    <n v="1699"/>
    <x v="36"/>
    <n v="2019"/>
    <x v="4"/>
    <s v="ha"/>
    <n v="1128"/>
    <s v="I"/>
    <s v="Imputed value"/>
  </r>
  <r>
    <s v="QCL"/>
    <s v="Crops and livestock products"/>
    <n v="384"/>
    <s v="Côte d'Ivoire"/>
    <n v="5312"/>
    <s v="Area harvested"/>
    <n v="1699"/>
    <x v="36"/>
    <n v="2020"/>
    <x v="5"/>
    <s v="ha"/>
    <n v="1126"/>
    <s v="I"/>
    <s v="Imputed value"/>
  </r>
  <r>
    <s v="QCL"/>
    <s v="Crops and livestock products"/>
    <n v="384"/>
    <s v="Côte d'Ivoire"/>
    <n v="5312"/>
    <s v="Area harvested"/>
    <n v="1699"/>
    <x v="36"/>
    <n v="2021"/>
    <x v="6"/>
    <s v="ha"/>
    <n v="1125"/>
    <s v="I"/>
    <s v="Imputed value"/>
  </r>
  <r>
    <s v="QCL"/>
    <s v="Crops and livestock products"/>
    <n v="384"/>
    <s v="Côte d'Ivoire"/>
    <n v="5312"/>
    <s v="Area harvested"/>
    <n v="1319"/>
    <x v="37"/>
    <n v="2015"/>
    <x v="0"/>
    <s v="ha"/>
    <n v="38774"/>
    <s v="I"/>
    <s v="Imputed value"/>
  </r>
  <r>
    <s v="QCL"/>
    <s v="Crops and livestock products"/>
    <n v="384"/>
    <s v="Côte d'Ivoire"/>
    <n v="5312"/>
    <s v="Area harvested"/>
    <n v="1319"/>
    <x v="37"/>
    <n v="2016"/>
    <x v="1"/>
    <s v="ha"/>
    <n v="39368"/>
    <s v="I"/>
    <s v="Imputed value"/>
  </r>
  <r>
    <s v="QCL"/>
    <s v="Crops and livestock products"/>
    <n v="384"/>
    <s v="Côte d'Ivoire"/>
    <n v="5312"/>
    <s v="Area harvested"/>
    <n v="1319"/>
    <x v="37"/>
    <n v="2017"/>
    <x v="2"/>
    <s v="ha"/>
    <n v="39951"/>
    <s v="I"/>
    <s v="Imputed value"/>
  </r>
  <r>
    <s v="QCL"/>
    <s v="Crops and livestock products"/>
    <n v="384"/>
    <s v="Côte d'Ivoire"/>
    <n v="5312"/>
    <s v="Area harvested"/>
    <n v="1319"/>
    <x v="37"/>
    <n v="2018"/>
    <x v="3"/>
    <s v="ha"/>
    <n v="40559"/>
    <s v="I"/>
    <s v="Imputed value"/>
  </r>
  <r>
    <s v="QCL"/>
    <s v="Crops and livestock products"/>
    <n v="384"/>
    <s v="Côte d'Ivoire"/>
    <n v="5312"/>
    <s v="Area harvested"/>
    <n v="1319"/>
    <x v="37"/>
    <n v="2019"/>
    <x v="4"/>
    <s v="ha"/>
    <n v="39960"/>
    <s v="E"/>
    <s v="Estimated value"/>
  </r>
  <r>
    <s v="QCL"/>
    <s v="Crops and livestock products"/>
    <n v="384"/>
    <s v="Côte d'Ivoire"/>
    <n v="5312"/>
    <s v="Area harvested"/>
    <n v="1319"/>
    <x v="37"/>
    <n v="2020"/>
    <x v="5"/>
    <s v="ha"/>
    <n v="40157"/>
    <s v="E"/>
    <s v="Estimated value"/>
  </r>
  <r>
    <s v="QCL"/>
    <s v="Crops and livestock products"/>
    <n v="384"/>
    <s v="Côte d'Ivoire"/>
    <n v="5312"/>
    <s v="Area harvested"/>
    <n v="1319"/>
    <x v="37"/>
    <n v="2021"/>
    <x v="6"/>
    <s v="ha"/>
    <n v="40225"/>
    <s v="E"/>
    <s v="Estimated value"/>
  </r>
  <r>
    <s v="QCL"/>
    <s v="Crops and livestock products"/>
    <n v="384"/>
    <s v="Côte d'Ivoire"/>
    <n v="5312"/>
    <s v="Area harvested"/>
    <s v="01290.90"/>
    <x v="38"/>
    <n v="2015"/>
    <x v="0"/>
    <s v="ha"/>
    <n v="17536"/>
    <s v="I"/>
    <s v="Imputed value"/>
  </r>
  <r>
    <s v="QCL"/>
    <s v="Crops and livestock products"/>
    <n v="384"/>
    <s v="Côte d'Ivoire"/>
    <n v="5312"/>
    <s v="Area harvested"/>
    <s v="01290.90"/>
    <x v="38"/>
    <n v="2016"/>
    <x v="1"/>
    <s v="ha"/>
    <n v="17882"/>
    <s v="I"/>
    <s v="Imputed value"/>
  </r>
  <r>
    <s v="QCL"/>
    <s v="Crops and livestock products"/>
    <n v="384"/>
    <s v="Côte d'Ivoire"/>
    <n v="5312"/>
    <s v="Area harvested"/>
    <s v="01290.90"/>
    <x v="38"/>
    <n v="2017"/>
    <x v="2"/>
    <s v="ha"/>
    <n v="18163"/>
    <s v="I"/>
    <s v="Imputed value"/>
  </r>
  <r>
    <s v="QCL"/>
    <s v="Crops and livestock products"/>
    <n v="384"/>
    <s v="Côte d'Ivoire"/>
    <n v="5312"/>
    <s v="Area harvested"/>
    <s v="01290.90"/>
    <x v="38"/>
    <n v="2018"/>
    <x v="3"/>
    <s v="ha"/>
    <n v="18219"/>
    <s v="I"/>
    <s v="Imputed value"/>
  </r>
  <r>
    <s v="QCL"/>
    <s v="Crops and livestock products"/>
    <n v="384"/>
    <s v="Côte d'Ivoire"/>
    <n v="5312"/>
    <s v="Area harvested"/>
    <s v="01290.90"/>
    <x v="38"/>
    <n v="2019"/>
    <x v="4"/>
    <s v="ha"/>
    <n v="18088"/>
    <s v="E"/>
    <s v="Estimated value"/>
  </r>
  <r>
    <s v="QCL"/>
    <s v="Crops and livestock products"/>
    <n v="384"/>
    <s v="Côte d'Ivoire"/>
    <n v="5312"/>
    <s v="Area harvested"/>
    <s v="01290.90"/>
    <x v="38"/>
    <n v="2020"/>
    <x v="5"/>
    <s v="ha"/>
    <n v="18157"/>
    <s v="E"/>
    <s v="Estimated value"/>
  </r>
  <r>
    <s v="QCL"/>
    <s v="Crops and livestock products"/>
    <n v="384"/>
    <s v="Côte d'Ivoire"/>
    <n v="5312"/>
    <s v="Area harvested"/>
    <s v="01290.90"/>
    <x v="38"/>
    <n v="2021"/>
    <x v="6"/>
    <s v="ha"/>
    <n v="18155"/>
    <s v="E"/>
    <s v="Estimated value"/>
  </r>
  <r>
    <s v="QCL"/>
    <s v="Crops and livestock products"/>
    <n v="384"/>
    <s v="Côte d'Ivoire"/>
    <n v="5312"/>
    <s v="Area harvested"/>
    <n v="1317"/>
    <x v="39"/>
    <n v="2015"/>
    <x v="0"/>
    <s v="ha"/>
    <n v="5942"/>
    <s v="I"/>
    <s v="Imputed value"/>
  </r>
  <r>
    <s v="QCL"/>
    <s v="Crops and livestock products"/>
    <n v="384"/>
    <s v="Côte d'Ivoire"/>
    <n v="5312"/>
    <s v="Area harvested"/>
    <n v="1317"/>
    <x v="39"/>
    <n v="2016"/>
    <x v="1"/>
    <s v="ha"/>
    <n v="5549"/>
    <s v="E"/>
    <s v="Estimated value"/>
  </r>
  <r>
    <s v="QCL"/>
    <s v="Crops and livestock products"/>
    <n v="384"/>
    <s v="Côte d'Ivoire"/>
    <n v="5312"/>
    <s v="Area harvested"/>
    <n v="1317"/>
    <x v="39"/>
    <n v="2017"/>
    <x v="2"/>
    <s v="ha"/>
    <n v="5737"/>
    <s v="I"/>
    <s v="Imputed value"/>
  </r>
  <r>
    <s v="QCL"/>
    <s v="Crops and livestock products"/>
    <n v="384"/>
    <s v="Côte d'Ivoire"/>
    <n v="5312"/>
    <s v="Area harvested"/>
    <n v="1317"/>
    <x v="39"/>
    <n v="2018"/>
    <x v="3"/>
    <s v="ha"/>
    <n v="5742"/>
    <s v="E"/>
    <s v="Estimated value"/>
  </r>
  <r>
    <s v="QCL"/>
    <s v="Crops and livestock products"/>
    <n v="384"/>
    <s v="Côte d'Ivoire"/>
    <n v="5312"/>
    <s v="Area harvested"/>
    <n v="1317"/>
    <x v="39"/>
    <n v="2019"/>
    <x v="4"/>
    <s v="ha"/>
    <n v="5676"/>
    <s v="E"/>
    <s v="Estimated value"/>
  </r>
  <r>
    <s v="QCL"/>
    <s v="Crops and livestock products"/>
    <n v="384"/>
    <s v="Côte d'Ivoire"/>
    <n v="5312"/>
    <s v="Area harvested"/>
    <n v="1317"/>
    <x v="39"/>
    <n v="2020"/>
    <x v="5"/>
    <s v="ha"/>
    <n v="5718"/>
    <s v="E"/>
    <s v="Estimated value"/>
  </r>
  <r>
    <s v="QCL"/>
    <s v="Crops and livestock products"/>
    <n v="384"/>
    <s v="Côte d'Ivoire"/>
    <n v="5312"/>
    <s v="Area harvested"/>
    <n v="1317"/>
    <x v="39"/>
    <n v="2021"/>
    <x v="6"/>
    <s v="ha"/>
    <n v="5712"/>
    <s v="E"/>
    <s v="Estimated value"/>
  </r>
  <r>
    <s v="QCL"/>
    <s v="Crops and livestock products"/>
    <n v="384"/>
    <s v="Côte d'Ivoire"/>
    <n v="5312"/>
    <s v="Area harvested"/>
    <n v="1651"/>
    <x v="40"/>
    <n v="2015"/>
    <x v="0"/>
    <s v="ha"/>
    <n v="426"/>
    <s v="I"/>
    <s v="Imputed value"/>
  </r>
  <r>
    <s v="QCL"/>
    <s v="Crops and livestock products"/>
    <n v="384"/>
    <s v="Côte d'Ivoire"/>
    <n v="5312"/>
    <s v="Area harvested"/>
    <n v="1651"/>
    <x v="40"/>
    <n v="2016"/>
    <x v="1"/>
    <s v="ha"/>
    <n v="385"/>
    <s v="E"/>
    <s v="Estimated value"/>
  </r>
  <r>
    <s v="QCL"/>
    <s v="Crops and livestock products"/>
    <n v="384"/>
    <s v="Côte d'Ivoire"/>
    <n v="5312"/>
    <s v="Area harvested"/>
    <n v="1651"/>
    <x v="40"/>
    <n v="2017"/>
    <x v="2"/>
    <s v="ha"/>
    <n v="415"/>
    <s v="E"/>
    <s v="Estimated value"/>
  </r>
  <r>
    <s v="QCL"/>
    <s v="Crops and livestock products"/>
    <n v="384"/>
    <s v="Côte d'Ivoire"/>
    <n v="5312"/>
    <s v="Area harvested"/>
    <n v="1651"/>
    <x v="40"/>
    <n v="2018"/>
    <x v="3"/>
    <s v="ha"/>
    <n v="311"/>
    <s v="I"/>
    <s v="Imputed value"/>
  </r>
  <r>
    <s v="QCL"/>
    <s v="Crops and livestock products"/>
    <n v="384"/>
    <s v="Côte d'Ivoire"/>
    <n v="5312"/>
    <s v="Area harvested"/>
    <n v="1651"/>
    <x v="40"/>
    <n v="2019"/>
    <x v="4"/>
    <s v="ha"/>
    <n v="163"/>
    <s v="I"/>
    <s v="Imputed value"/>
  </r>
  <r>
    <s v="QCL"/>
    <s v="Crops and livestock products"/>
    <n v="384"/>
    <s v="Côte d'Ivoire"/>
    <n v="5312"/>
    <s v="Area harvested"/>
    <n v="1651"/>
    <x v="40"/>
    <n v="2020"/>
    <x v="5"/>
    <s v="ha"/>
    <n v="112"/>
    <s v="I"/>
    <s v="Imputed value"/>
  </r>
  <r>
    <s v="QCL"/>
    <s v="Crops and livestock products"/>
    <n v="384"/>
    <s v="Côte d'Ivoire"/>
    <n v="5312"/>
    <s v="Area harvested"/>
    <n v="1651"/>
    <x v="40"/>
    <n v="2021"/>
    <x v="6"/>
    <s v="ha"/>
    <n v="92"/>
    <s v="I"/>
    <s v="Imputed value"/>
  </r>
  <r>
    <s v="QCL"/>
    <s v="Crops and livestock products"/>
    <n v="384"/>
    <s v="Côte d'Ivoire"/>
    <n v="5312"/>
    <s v="Area harvested"/>
    <n v="1318"/>
    <x v="41"/>
    <n v="2015"/>
    <x v="0"/>
    <s v="ha"/>
    <n v="887"/>
    <s v="I"/>
    <s v="Imputed value"/>
  </r>
  <r>
    <s v="QCL"/>
    <s v="Crops and livestock products"/>
    <n v="384"/>
    <s v="Côte d'Ivoire"/>
    <n v="5312"/>
    <s v="Area harvested"/>
    <n v="1318"/>
    <x v="41"/>
    <n v="2016"/>
    <x v="1"/>
    <s v="ha"/>
    <n v="672"/>
    <s v="I"/>
    <s v="Imputed value"/>
  </r>
  <r>
    <s v="QCL"/>
    <s v="Crops and livestock products"/>
    <n v="384"/>
    <s v="Côte d'Ivoire"/>
    <n v="5312"/>
    <s v="Area harvested"/>
    <n v="1318"/>
    <x v="41"/>
    <n v="2017"/>
    <x v="2"/>
    <s v="ha"/>
    <n v="826"/>
    <s v="I"/>
    <s v="Imputed value"/>
  </r>
  <r>
    <s v="QCL"/>
    <s v="Crops and livestock products"/>
    <n v="384"/>
    <s v="Côte d'Ivoire"/>
    <n v="5312"/>
    <s v="Area harvested"/>
    <n v="1318"/>
    <x v="41"/>
    <n v="2018"/>
    <x v="3"/>
    <s v="ha"/>
    <n v="541"/>
    <s v="I"/>
    <s v="Imputed value"/>
  </r>
  <r>
    <s v="QCL"/>
    <s v="Crops and livestock products"/>
    <n v="384"/>
    <s v="Côte d'Ivoire"/>
    <n v="5312"/>
    <s v="Area harvested"/>
    <n v="1318"/>
    <x v="41"/>
    <n v="2019"/>
    <x v="4"/>
    <s v="ha"/>
    <n v="798"/>
    <s v="I"/>
    <s v="Imputed value"/>
  </r>
  <r>
    <s v="QCL"/>
    <s v="Crops and livestock products"/>
    <n v="384"/>
    <s v="Côte d'Ivoire"/>
    <n v="5312"/>
    <s v="Area harvested"/>
    <n v="1318"/>
    <x v="41"/>
    <n v="2020"/>
    <x v="5"/>
    <s v="ha"/>
    <n v="479"/>
    <s v="I"/>
    <s v="Imputed value"/>
  </r>
  <r>
    <s v="QCL"/>
    <s v="Crops and livestock products"/>
    <n v="384"/>
    <s v="Côte d'Ivoire"/>
    <n v="5312"/>
    <s v="Area harvested"/>
    <n v="1318"/>
    <x v="41"/>
    <n v="2021"/>
    <x v="6"/>
    <s v="ha"/>
    <n v="375"/>
    <s v="I"/>
    <s v="Imputed value"/>
  </r>
  <r>
    <s v="QCL"/>
    <s v="Crops and livestock products"/>
    <n v="384"/>
    <s v="Côte d'Ivoire"/>
    <n v="5312"/>
    <s v="Area harvested"/>
    <n v="1375"/>
    <x v="42"/>
    <n v="2015"/>
    <x v="0"/>
    <s v="ha"/>
    <n v="0"/>
    <s v="M"/>
    <s v="Missing value (data cannot exist, not applicable)"/>
  </r>
  <r>
    <s v="QCL"/>
    <s v="Crops and livestock products"/>
    <n v="384"/>
    <s v="Côte d'Ivoire"/>
    <n v="5312"/>
    <s v="Area harvested"/>
    <n v="1375"/>
    <x v="42"/>
    <n v="2016"/>
    <x v="1"/>
    <s v="ha"/>
    <n v="0"/>
    <s v="M"/>
    <s v="Missing value (data cannot exist, not applicable)"/>
  </r>
  <r>
    <s v="QCL"/>
    <s v="Crops and livestock products"/>
    <n v="384"/>
    <s v="Côte d'Ivoire"/>
    <n v="5312"/>
    <s v="Area harvested"/>
    <n v="1375"/>
    <x v="42"/>
    <n v="2017"/>
    <x v="2"/>
    <s v="ha"/>
    <n v="0"/>
    <s v="M"/>
    <s v="Missing value (data cannot exist, not applicable)"/>
  </r>
  <r>
    <s v="QCL"/>
    <s v="Crops and livestock products"/>
    <n v="384"/>
    <s v="Côte d'Ivoire"/>
    <n v="5312"/>
    <s v="Area harvested"/>
    <n v="1375"/>
    <x v="42"/>
    <n v="2018"/>
    <x v="3"/>
    <s v="ha"/>
    <n v="0"/>
    <s v="M"/>
    <s v="Missing value (data cannot exist, not applicable)"/>
  </r>
  <r>
    <s v="QCL"/>
    <s v="Crops and livestock products"/>
    <n v="384"/>
    <s v="Côte d'Ivoire"/>
    <n v="5312"/>
    <s v="Area harvested"/>
    <n v="1375"/>
    <x v="42"/>
    <n v="2019"/>
    <x v="4"/>
    <s v="ha"/>
    <n v="0"/>
    <s v="M"/>
    <s v="Missing value (data cannot exist, not applicable)"/>
  </r>
  <r>
    <s v="QCL"/>
    <s v="Crops and livestock products"/>
    <n v="384"/>
    <s v="Côte d'Ivoire"/>
    <n v="5312"/>
    <s v="Area harvested"/>
    <n v="1375"/>
    <x v="42"/>
    <n v="2020"/>
    <x v="5"/>
    <s v="ha"/>
    <n v="0"/>
    <s v="M"/>
    <s v="Missing value (data cannot exist, not applicable)"/>
  </r>
  <r>
    <s v="QCL"/>
    <s v="Crops and livestock products"/>
    <n v="384"/>
    <s v="Côte d'Ivoire"/>
    <n v="5312"/>
    <s v="Area harvested"/>
    <n v="1375"/>
    <x v="42"/>
    <n v="2021"/>
    <x v="6"/>
    <s v="ha"/>
    <n v="0"/>
    <s v="M"/>
    <s v="Missing value (data cannot exist, not applicable)"/>
  </r>
  <r>
    <s v="QCL"/>
    <s v="Crops and livestock products"/>
    <n v="384"/>
    <s v="Côte d'Ivoire"/>
    <n v="5312"/>
    <s v="Area harvested"/>
    <n v="1313"/>
    <x v="43"/>
    <n v="2015"/>
    <x v="0"/>
    <s v="ha"/>
    <n v="453217"/>
    <s v="I"/>
    <s v="Imputed value"/>
  </r>
  <r>
    <s v="QCL"/>
    <s v="Crops and livestock products"/>
    <n v="384"/>
    <s v="Côte d'Ivoire"/>
    <n v="5312"/>
    <s v="Area harvested"/>
    <n v="1313"/>
    <x v="43"/>
    <n v="2016"/>
    <x v="1"/>
    <s v="ha"/>
    <n v="469746"/>
    <s v="I"/>
    <s v="Imputed value"/>
  </r>
  <r>
    <s v="QCL"/>
    <s v="Crops and livestock products"/>
    <n v="384"/>
    <s v="Côte d'Ivoire"/>
    <n v="5312"/>
    <s v="Area harvested"/>
    <n v="1313"/>
    <x v="43"/>
    <n v="2017"/>
    <x v="2"/>
    <s v="ha"/>
    <n v="482543"/>
    <s v="I"/>
    <s v="Imputed value"/>
  </r>
  <r>
    <s v="QCL"/>
    <s v="Crops and livestock products"/>
    <n v="384"/>
    <s v="Côte d'Ivoire"/>
    <n v="5312"/>
    <s v="Area harvested"/>
    <n v="1313"/>
    <x v="43"/>
    <n v="2018"/>
    <x v="3"/>
    <s v="ha"/>
    <n v="507519"/>
    <s v="I"/>
    <s v="Imputed value"/>
  </r>
  <r>
    <s v="QCL"/>
    <s v="Crops and livestock products"/>
    <n v="384"/>
    <s v="Côte d'Ivoire"/>
    <n v="5312"/>
    <s v="Area harvested"/>
    <n v="1313"/>
    <x v="43"/>
    <n v="2019"/>
    <x v="4"/>
    <s v="ha"/>
    <n v="529264"/>
    <s v="I"/>
    <s v="Imputed value"/>
  </r>
  <r>
    <s v="QCL"/>
    <s v="Crops and livestock products"/>
    <n v="384"/>
    <s v="Côte d'Ivoire"/>
    <n v="5312"/>
    <s v="Area harvested"/>
    <n v="1313"/>
    <x v="43"/>
    <n v="2020"/>
    <x v="5"/>
    <s v="ha"/>
    <n v="543163"/>
    <s v="I"/>
    <s v="Imputed value"/>
  </r>
  <r>
    <s v="QCL"/>
    <s v="Crops and livestock products"/>
    <n v="384"/>
    <s v="Côte d'Ivoire"/>
    <n v="5312"/>
    <s v="Area harvested"/>
    <n v="1313"/>
    <x v="43"/>
    <n v="2021"/>
    <x v="6"/>
    <s v="ha"/>
    <n v="554604"/>
    <s v="I"/>
    <s v="Imputed value"/>
  </r>
  <r>
    <s v="QCL"/>
    <s v="Crops and livestock products"/>
    <n v="384"/>
    <s v="Côte d'Ivoire"/>
    <n v="5312"/>
    <s v="Area harvested"/>
    <n v="1321"/>
    <x v="44"/>
    <n v="2015"/>
    <x v="0"/>
    <s v="ha"/>
    <n v="4255"/>
    <s v="I"/>
    <s v="Imputed value"/>
  </r>
  <r>
    <s v="QCL"/>
    <s v="Crops and livestock products"/>
    <n v="384"/>
    <s v="Côte d'Ivoire"/>
    <n v="5312"/>
    <s v="Area harvested"/>
    <n v="1321"/>
    <x v="44"/>
    <n v="2016"/>
    <x v="1"/>
    <s v="ha"/>
    <n v="4343"/>
    <s v="I"/>
    <s v="Imputed value"/>
  </r>
  <r>
    <s v="QCL"/>
    <s v="Crops and livestock products"/>
    <n v="384"/>
    <s v="Côte d'Ivoire"/>
    <n v="5312"/>
    <s v="Area harvested"/>
    <n v="1321"/>
    <x v="44"/>
    <n v="2017"/>
    <x v="2"/>
    <s v="ha"/>
    <n v="4444"/>
    <s v="I"/>
    <s v="Imputed value"/>
  </r>
  <r>
    <s v="QCL"/>
    <s v="Crops and livestock products"/>
    <n v="384"/>
    <s v="Côte d'Ivoire"/>
    <n v="5312"/>
    <s v="Area harvested"/>
    <n v="1321"/>
    <x v="44"/>
    <n v="2018"/>
    <x v="3"/>
    <s v="ha"/>
    <n v="4347"/>
    <s v="E"/>
    <s v="Estimated value"/>
  </r>
  <r>
    <s v="QCL"/>
    <s v="Crops and livestock products"/>
    <n v="384"/>
    <s v="Côte d'Ivoire"/>
    <n v="5312"/>
    <s v="Area harvested"/>
    <n v="1321"/>
    <x v="44"/>
    <n v="2019"/>
    <x v="4"/>
    <s v="ha"/>
    <n v="4378"/>
    <s v="E"/>
    <s v="Estimated value"/>
  </r>
  <r>
    <s v="QCL"/>
    <s v="Crops and livestock products"/>
    <n v="384"/>
    <s v="Côte d'Ivoire"/>
    <n v="5312"/>
    <s v="Area harvested"/>
    <n v="1321"/>
    <x v="44"/>
    <n v="2020"/>
    <x v="5"/>
    <s v="ha"/>
    <n v="4390"/>
    <s v="E"/>
    <s v="Estimated value"/>
  </r>
  <r>
    <s v="QCL"/>
    <s v="Crops and livestock products"/>
    <n v="384"/>
    <s v="Côte d'Ivoire"/>
    <n v="5312"/>
    <s v="Area harvested"/>
    <n v="1321"/>
    <x v="44"/>
    <n v="2021"/>
    <x v="6"/>
    <s v="ha"/>
    <n v="4371"/>
    <s v="E"/>
    <s v="Estimated value"/>
  </r>
  <r>
    <s v="QCL"/>
    <s v="Crops and livestock products"/>
    <n v="384"/>
    <s v="Côte d'Ivoire"/>
    <n v="5312"/>
    <s v="Area harvested"/>
    <n v="1510"/>
    <x v="45"/>
    <n v="2015"/>
    <x v="0"/>
    <s v="ha"/>
    <n v="0"/>
    <s v="M"/>
    <s v="Missing value (data cannot exist, not applicable)"/>
  </r>
  <r>
    <s v="QCL"/>
    <s v="Crops and livestock products"/>
    <n v="384"/>
    <s v="Côte d'Ivoire"/>
    <n v="5312"/>
    <s v="Area harvested"/>
    <n v="1510"/>
    <x v="45"/>
    <n v="2016"/>
    <x v="1"/>
    <s v="ha"/>
    <n v="0"/>
    <s v="M"/>
    <s v="Missing value (data cannot exist, not applicable)"/>
  </r>
  <r>
    <s v="QCL"/>
    <s v="Crops and livestock products"/>
    <n v="384"/>
    <s v="Côte d'Ivoire"/>
    <n v="5312"/>
    <s v="Area harvested"/>
    <n v="1510"/>
    <x v="45"/>
    <n v="2017"/>
    <x v="2"/>
    <s v="ha"/>
    <n v="0"/>
    <s v="M"/>
    <s v="Missing value (data cannot exist, not applicable)"/>
  </r>
  <r>
    <s v="QCL"/>
    <s v="Crops and livestock products"/>
    <n v="384"/>
    <s v="Côte d'Ivoire"/>
    <n v="5312"/>
    <s v="Area harvested"/>
    <n v="1510"/>
    <x v="45"/>
    <n v="2018"/>
    <x v="3"/>
    <s v="ha"/>
    <n v="0"/>
    <s v="M"/>
    <s v="Missing value (data cannot exist, not applicable)"/>
  </r>
  <r>
    <s v="QCL"/>
    <s v="Crops and livestock products"/>
    <n v="384"/>
    <s v="Côte d'Ivoire"/>
    <n v="5312"/>
    <s v="Area harvested"/>
    <n v="1510"/>
    <x v="45"/>
    <n v="2019"/>
    <x v="4"/>
    <s v="ha"/>
    <n v="0"/>
    <s v="M"/>
    <s v="Missing value (data cannot exist, not applicable)"/>
  </r>
  <r>
    <s v="QCL"/>
    <s v="Crops and livestock products"/>
    <n v="384"/>
    <s v="Côte d'Ivoire"/>
    <n v="5312"/>
    <s v="Area harvested"/>
    <n v="1510"/>
    <x v="45"/>
    <n v="2020"/>
    <x v="5"/>
    <s v="ha"/>
    <n v="0"/>
    <s v="M"/>
    <s v="Missing value (data cannot exist, not applicable)"/>
  </r>
  <r>
    <s v="QCL"/>
    <s v="Crops and livestock products"/>
    <n v="384"/>
    <s v="Côte d'Ivoire"/>
    <n v="5312"/>
    <s v="Area harvested"/>
    <n v="1510"/>
    <x v="45"/>
    <n v="2021"/>
    <x v="6"/>
    <s v="ha"/>
    <n v="0"/>
    <s v="M"/>
    <s v="Missing value (data cannot exist, not applicable)"/>
  </r>
  <r>
    <s v="QCL"/>
    <s v="Crops and livestock products"/>
    <n v="384"/>
    <s v="Côte d'Ivoire"/>
    <n v="5312"/>
    <s v="Area harvested"/>
    <n v="1235"/>
    <x v="46"/>
    <n v="2015"/>
    <x v="0"/>
    <s v="ha"/>
    <n v="1993"/>
    <s v="I"/>
    <s v="Imputed value"/>
  </r>
  <r>
    <s v="QCL"/>
    <s v="Crops and livestock products"/>
    <n v="384"/>
    <s v="Côte d'Ivoire"/>
    <n v="5312"/>
    <s v="Area harvested"/>
    <n v="1235"/>
    <x v="46"/>
    <n v="2016"/>
    <x v="1"/>
    <s v="ha"/>
    <n v="1989"/>
    <s v="I"/>
    <s v="Imputed value"/>
  </r>
  <r>
    <s v="QCL"/>
    <s v="Crops and livestock products"/>
    <n v="384"/>
    <s v="Côte d'Ivoire"/>
    <n v="5312"/>
    <s v="Area harvested"/>
    <n v="1235"/>
    <x v="46"/>
    <n v="2017"/>
    <x v="2"/>
    <s v="ha"/>
    <n v="1991"/>
    <s v="I"/>
    <s v="Imputed value"/>
  </r>
  <r>
    <s v="QCL"/>
    <s v="Crops and livestock products"/>
    <n v="384"/>
    <s v="Côte d'Ivoire"/>
    <n v="5312"/>
    <s v="Area harvested"/>
    <n v="1235"/>
    <x v="46"/>
    <n v="2018"/>
    <x v="3"/>
    <s v="ha"/>
    <n v="1992"/>
    <s v="I"/>
    <s v="Imputed value"/>
  </r>
  <r>
    <s v="QCL"/>
    <s v="Crops and livestock products"/>
    <n v="384"/>
    <s v="Côte d'Ivoire"/>
    <n v="5312"/>
    <s v="Area harvested"/>
    <n v="1235"/>
    <x v="46"/>
    <n v="2019"/>
    <x v="4"/>
    <s v="ha"/>
    <n v="1997"/>
    <s v="I"/>
    <s v="Imputed value"/>
  </r>
  <r>
    <s v="QCL"/>
    <s v="Crops and livestock products"/>
    <n v="384"/>
    <s v="Côte d'Ivoire"/>
    <n v="5312"/>
    <s v="Area harvested"/>
    <n v="1235"/>
    <x v="46"/>
    <n v="2020"/>
    <x v="5"/>
    <s v="ha"/>
    <n v="1995"/>
    <s v="I"/>
    <s v="Imputed value"/>
  </r>
  <r>
    <s v="QCL"/>
    <s v="Crops and livestock products"/>
    <n v="384"/>
    <s v="Côte d'Ivoire"/>
    <n v="5312"/>
    <s v="Area harvested"/>
    <n v="1235"/>
    <x v="46"/>
    <n v="2021"/>
    <x v="6"/>
    <s v="ha"/>
    <n v="1992"/>
    <s v="I"/>
    <s v="Imputed value"/>
  </r>
  <r>
    <s v="QCL"/>
    <s v="Crops and livestock products"/>
    <n v="384"/>
    <s v="Côte d'Ivoire"/>
    <n v="5312"/>
    <s v="Area harvested"/>
    <n v="113"/>
    <x v="47"/>
    <n v="2015"/>
    <x v="0"/>
    <s v="ha"/>
    <n v="844023"/>
    <s v="I"/>
    <s v="Imputed value"/>
  </r>
  <r>
    <s v="QCL"/>
    <s v="Crops and livestock products"/>
    <n v="384"/>
    <s v="Côte d'Ivoire"/>
    <n v="5312"/>
    <s v="Area harvested"/>
    <n v="113"/>
    <x v="47"/>
    <n v="2016"/>
    <x v="1"/>
    <s v="ha"/>
    <n v="780575"/>
    <s v="I"/>
    <s v="Imputed value"/>
  </r>
  <r>
    <s v="QCL"/>
    <s v="Crops and livestock products"/>
    <n v="384"/>
    <s v="Côte d'Ivoire"/>
    <n v="5312"/>
    <s v="Area harvested"/>
    <n v="113"/>
    <x v="47"/>
    <n v="2017"/>
    <x v="2"/>
    <s v="ha"/>
    <n v="790539"/>
    <s v="I"/>
    <s v="Imputed value"/>
  </r>
  <r>
    <s v="QCL"/>
    <s v="Crops and livestock products"/>
    <n v="384"/>
    <s v="Côte d'Ivoire"/>
    <n v="5312"/>
    <s v="Area harvested"/>
    <n v="113"/>
    <x v="47"/>
    <n v="2018"/>
    <x v="3"/>
    <s v="ha"/>
    <n v="729793"/>
    <s v="I"/>
    <s v="Imputed value"/>
  </r>
  <r>
    <s v="QCL"/>
    <s v="Crops and livestock products"/>
    <n v="384"/>
    <s v="Côte d'Ivoire"/>
    <n v="5312"/>
    <s v="Area harvested"/>
    <n v="113"/>
    <x v="47"/>
    <n v="2019"/>
    <x v="4"/>
    <s v="ha"/>
    <n v="684027"/>
    <s v="I"/>
    <s v="Imputed value"/>
  </r>
  <r>
    <s v="QCL"/>
    <s v="Crops and livestock products"/>
    <n v="384"/>
    <s v="Côte d'Ivoire"/>
    <n v="5312"/>
    <s v="Area harvested"/>
    <n v="113"/>
    <x v="47"/>
    <n v="2020"/>
    <x v="5"/>
    <s v="ha"/>
    <n v="528548"/>
    <s v="I"/>
    <s v="Imputed value"/>
  </r>
  <r>
    <s v="QCL"/>
    <s v="Crops and livestock products"/>
    <n v="384"/>
    <s v="Côte d'Ivoire"/>
    <n v="5312"/>
    <s v="Area harvested"/>
    <n v="113"/>
    <x v="47"/>
    <n v="2021"/>
    <x v="6"/>
    <s v="ha"/>
    <n v="581756"/>
    <s v="I"/>
    <s v="Imputed value"/>
  </r>
  <r>
    <s v="QCL"/>
    <s v="Crops and livestock products"/>
    <n v="384"/>
    <s v="Côte d'Ivoire"/>
    <n v="5312"/>
    <s v="Area harvested"/>
    <s v="01921.01"/>
    <x v="48"/>
    <n v="2015"/>
    <x v="0"/>
    <s v="ha"/>
    <n v="402000"/>
    <s v="T"/>
    <s v="Unofficial figure"/>
  </r>
  <r>
    <s v="QCL"/>
    <s v="Crops and livestock products"/>
    <n v="384"/>
    <s v="Côte d'Ivoire"/>
    <n v="5312"/>
    <s v="Area harvested"/>
    <s v="01921.01"/>
    <x v="48"/>
    <n v="2016"/>
    <x v="1"/>
    <s v="ha"/>
    <n v="345000"/>
    <s v="T"/>
    <s v="Unofficial figure"/>
  </r>
  <r>
    <s v="QCL"/>
    <s v="Crops and livestock products"/>
    <n v="384"/>
    <s v="Côte d'Ivoire"/>
    <n v="5312"/>
    <s v="Area harvested"/>
    <s v="01921.01"/>
    <x v="48"/>
    <n v="2017"/>
    <x v="2"/>
    <s v="ha"/>
    <n v="360000"/>
    <s v="T"/>
    <s v="Unofficial figure"/>
  </r>
  <r>
    <s v="QCL"/>
    <s v="Crops and livestock products"/>
    <n v="384"/>
    <s v="Côte d'Ivoire"/>
    <n v="5312"/>
    <s v="Area harvested"/>
    <s v="01921.01"/>
    <x v="48"/>
    <n v="2018"/>
    <x v="3"/>
    <s v="ha"/>
    <n v="370000"/>
    <s v="T"/>
    <s v="Unofficial figure"/>
  </r>
  <r>
    <s v="QCL"/>
    <s v="Crops and livestock products"/>
    <n v="384"/>
    <s v="Côte d'Ivoire"/>
    <n v="5312"/>
    <s v="Area harvested"/>
    <s v="01921.01"/>
    <x v="48"/>
    <n v="2019"/>
    <x v="4"/>
    <s v="ha"/>
    <n v="410000"/>
    <s v="T"/>
    <s v="Unofficial figure"/>
  </r>
  <r>
    <s v="QCL"/>
    <s v="Crops and livestock products"/>
    <n v="384"/>
    <s v="Côte d'Ivoire"/>
    <n v="5312"/>
    <s v="Area harvested"/>
    <s v="01921.01"/>
    <x v="48"/>
    <n v="2020"/>
    <x v="5"/>
    <s v="ha"/>
    <n v="440000"/>
    <s v="T"/>
    <s v="Unofficial figure"/>
  </r>
  <r>
    <s v="QCL"/>
    <s v="Crops and livestock products"/>
    <n v="384"/>
    <s v="Côte d'Ivoire"/>
    <n v="5312"/>
    <s v="Area harvested"/>
    <s v="01921.01"/>
    <x v="48"/>
    <n v="2021"/>
    <x v="6"/>
    <s v="ha"/>
    <n v="460000"/>
    <s v="T"/>
    <s v="Unofficial figure"/>
  </r>
  <r>
    <s v="QCL"/>
    <s v="Crops and livestock products"/>
    <n v="384"/>
    <s v="Côte d'Ivoire"/>
    <n v="5312"/>
    <s v="Area harvested"/>
    <n v="1444"/>
    <x v="49"/>
    <n v="2015"/>
    <x v="0"/>
    <s v="ha"/>
    <n v="14770"/>
    <s v="I"/>
    <s v="Imputed value"/>
  </r>
  <r>
    <s v="QCL"/>
    <s v="Crops and livestock products"/>
    <n v="384"/>
    <s v="Côte d'Ivoire"/>
    <n v="5312"/>
    <s v="Area harvested"/>
    <n v="1444"/>
    <x v="49"/>
    <n v="2016"/>
    <x v="1"/>
    <s v="ha"/>
    <n v="14764"/>
    <s v="I"/>
    <s v="Imputed value"/>
  </r>
  <r>
    <s v="QCL"/>
    <s v="Crops and livestock products"/>
    <n v="384"/>
    <s v="Côte d'Ivoire"/>
    <n v="5312"/>
    <s v="Area harvested"/>
    <n v="1444"/>
    <x v="49"/>
    <n v="2017"/>
    <x v="2"/>
    <s v="ha"/>
    <n v="14803"/>
    <s v="I"/>
    <s v="Imputed value"/>
  </r>
  <r>
    <s v="QCL"/>
    <s v="Crops and livestock products"/>
    <n v="384"/>
    <s v="Côte d'Ivoire"/>
    <n v="5312"/>
    <s v="Area harvested"/>
    <n v="1444"/>
    <x v="49"/>
    <n v="2018"/>
    <x v="3"/>
    <s v="ha"/>
    <n v="14541"/>
    <s v="I"/>
    <s v="Imputed value"/>
  </r>
  <r>
    <s v="QCL"/>
    <s v="Crops and livestock products"/>
    <n v="384"/>
    <s v="Côte d'Ivoire"/>
    <n v="5312"/>
    <s v="Area harvested"/>
    <n v="1444"/>
    <x v="49"/>
    <n v="2019"/>
    <x v="4"/>
    <s v="ha"/>
    <n v="14484"/>
    <s v="I"/>
    <s v="Imputed value"/>
  </r>
  <r>
    <s v="QCL"/>
    <s v="Crops and livestock products"/>
    <n v="384"/>
    <s v="Côte d'Ivoire"/>
    <n v="5312"/>
    <s v="Area harvested"/>
    <n v="1444"/>
    <x v="49"/>
    <n v="2020"/>
    <x v="5"/>
    <s v="ha"/>
    <n v="14396"/>
    <s v="I"/>
    <s v="Imputed value"/>
  </r>
  <r>
    <s v="QCL"/>
    <s v="Crops and livestock products"/>
    <n v="384"/>
    <s v="Côte d'Ivoire"/>
    <n v="5312"/>
    <s v="Area harvested"/>
    <n v="1444"/>
    <x v="49"/>
    <n v="2021"/>
    <x v="6"/>
    <s v="ha"/>
    <n v="14352"/>
    <s v="I"/>
    <s v="Imputed value"/>
  </r>
  <r>
    <s v="QCL"/>
    <s v="Crops and livestock products"/>
    <n v="384"/>
    <s v="Côte d'Ivoire"/>
    <n v="5312"/>
    <s v="Area harvested"/>
    <n v="114"/>
    <x v="50"/>
    <n v="2015"/>
    <x v="0"/>
    <s v="ha"/>
    <n v="80264"/>
    <s v="I"/>
    <s v="Imputed value"/>
  </r>
  <r>
    <s v="QCL"/>
    <s v="Crops and livestock products"/>
    <n v="384"/>
    <s v="Côte d'Ivoire"/>
    <n v="5312"/>
    <s v="Area harvested"/>
    <n v="114"/>
    <x v="50"/>
    <n v="2016"/>
    <x v="1"/>
    <s v="ha"/>
    <n v="85796"/>
    <s v="I"/>
    <s v="Imputed value"/>
  </r>
  <r>
    <s v="QCL"/>
    <s v="Crops and livestock products"/>
    <n v="384"/>
    <s v="Côte d'Ivoire"/>
    <n v="5312"/>
    <s v="Area harvested"/>
    <n v="114"/>
    <x v="50"/>
    <n v="2017"/>
    <x v="2"/>
    <s v="ha"/>
    <n v="91578"/>
    <s v="I"/>
    <s v="Imputed value"/>
  </r>
  <r>
    <s v="QCL"/>
    <s v="Crops and livestock products"/>
    <n v="384"/>
    <s v="Côte d'Ivoire"/>
    <n v="5312"/>
    <s v="Area harvested"/>
    <n v="114"/>
    <x v="50"/>
    <n v="2018"/>
    <x v="3"/>
    <s v="ha"/>
    <n v="93835"/>
    <s v="I"/>
    <s v="Imputed value"/>
  </r>
  <r>
    <s v="QCL"/>
    <s v="Crops and livestock products"/>
    <n v="384"/>
    <s v="Côte d'Ivoire"/>
    <n v="5312"/>
    <s v="Area harvested"/>
    <n v="114"/>
    <x v="50"/>
    <n v="2019"/>
    <x v="4"/>
    <s v="ha"/>
    <n v="96458"/>
    <s v="I"/>
    <s v="Imputed value"/>
  </r>
  <r>
    <s v="QCL"/>
    <s v="Crops and livestock products"/>
    <n v="384"/>
    <s v="Côte d'Ivoire"/>
    <n v="5312"/>
    <s v="Area harvested"/>
    <n v="114"/>
    <x v="50"/>
    <n v="2020"/>
    <x v="5"/>
    <s v="ha"/>
    <n v="101464"/>
    <s v="I"/>
    <s v="Imputed value"/>
  </r>
  <r>
    <s v="QCL"/>
    <s v="Crops and livestock products"/>
    <n v="384"/>
    <s v="Côte d'Ivoire"/>
    <n v="5312"/>
    <s v="Area harvested"/>
    <n v="114"/>
    <x v="50"/>
    <n v="2021"/>
    <x v="6"/>
    <s v="ha"/>
    <n v="97691"/>
    <s v="I"/>
    <s v="Imputed value"/>
  </r>
  <r>
    <s v="QCL"/>
    <s v="Crops and livestock products"/>
    <n v="384"/>
    <s v="Côte d'Ivoire"/>
    <n v="5312"/>
    <s v="Area harvested"/>
    <n v="141"/>
    <x v="51"/>
    <n v="2015"/>
    <x v="0"/>
    <s v="ha"/>
    <n v="330"/>
    <s v="E"/>
    <s v="Estimated value"/>
  </r>
  <r>
    <s v="QCL"/>
    <s v="Crops and livestock products"/>
    <n v="384"/>
    <s v="Côte d'Ivoire"/>
    <n v="5312"/>
    <s v="Area harvested"/>
    <n v="141"/>
    <x v="51"/>
    <n v="2016"/>
    <x v="1"/>
    <s v="ha"/>
    <n v="460"/>
    <s v="E"/>
    <s v="Estimated value"/>
  </r>
  <r>
    <s v="QCL"/>
    <s v="Crops and livestock products"/>
    <n v="384"/>
    <s v="Côte d'Ivoire"/>
    <n v="5312"/>
    <s v="Area harvested"/>
    <n v="141"/>
    <x v="51"/>
    <n v="2017"/>
    <x v="2"/>
    <s v="ha"/>
    <n v="364"/>
    <s v="E"/>
    <s v="Estimated value"/>
  </r>
  <r>
    <s v="QCL"/>
    <s v="Crops and livestock products"/>
    <n v="384"/>
    <s v="Côte d'Ivoire"/>
    <n v="5312"/>
    <s v="Area harvested"/>
    <n v="141"/>
    <x v="51"/>
    <n v="2018"/>
    <x v="3"/>
    <s v="ha"/>
    <n v="385"/>
    <s v="E"/>
    <s v="Estimated value"/>
  </r>
  <r>
    <s v="QCL"/>
    <s v="Crops and livestock products"/>
    <n v="384"/>
    <s v="Côte d'Ivoire"/>
    <n v="5312"/>
    <s v="Area harvested"/>
    <n v="141"/>
    <x v="51"/>
    <n v="2019"/>
    <x v="4"/>
    <s v="ha"/>
    <n v="403"/>
    <s v="E"/>
    <s v="Estimated value"/>
  </r>
  <r>
    <s v="QCL"/>
    <s v="Crops and livestock products"/>
    <n v="384"/>
    <s v="Côte d'Ivoire"/>
    <n v="5312"/>
    <s v="Area harvested"/>
    <n v="141"/>
    <x v="51"/>
    <n v="2020"/>
    <x v="5"/>
    <s v="ha"/>
    <n v="384"/>
    <s v="E"/>
    <s v="Estimated value"/>
  </r>
  <r>
    <s v="QCL"/>
    <s v="Crops and livestock products"/>
    <n v="384"/>
    <s v="Côte d'Ivoire"/>
    <n v="5312"/>
    <s v="Area harvested"/>
    <n v="141"/>
    <x v="51"/>
    <n v="2021"/>
    <x v="6"/>
    <s v="ha"/>
    <n v="391"/>
    <s v="E"/>
    <s v="Estimated value"/>
  </r>
  <r>
    <s v="QCL"/>
    <s v="Crops and livestock products"/>
    <n v="384"/>
    <s v="Côte d'Ivoire"/>
    <n v="5312"/>
    <s v="Area harvested"/>
    <s v="01241.01"/>
    <x v="52"/>
    <n v="2015"/>
    <x v="0"/>
    <s v="ha"/>
    <n v="1446"/>
    <s v="I"/>
    <s v="Imputed value"/>
  </r>
  <r>
    <s v="QCL"/>
    <s v="Crops and livestock products"/>
    <n v="384"/>
    <s v="Côte d'Ivoire"/>
    <n v="5312"/>
    <s v="Area harvested"/>
    <s v="01241.01"/>
    <x v="52"/>
    <n v="2016"/>
    <x v="1"/>
    <s v="ha"/>
    <n v="1439"/>
    <s v="I"/>
    <s v="Imputed value"/>
  </r>
  <r>
    <s v="QCL"/>
    <s v="Crops and livestock products"/>
    <n v="384"/>
    <s v="Côte d'Ivoire"/>
    <n v="5312"/>
    <s v="Area harvested"/>
    <s v="01241.01"/>
    <x v="52"/>
    <n v="2017"/>
    <x v="2"/>
    <s v="ha"/>
    <n v="1456"/>
    <s v="I"/>
    <s v="Imputed value"/>
  </r>
  <r>
    <s v="QCL"/>
    <s v="Crops and livestock products"/>
    <n v="384"/>
    <s v="Côte d'Ivoire"/>
    <n v="5312"/>
    <s v="Area harvested"/>
    <s v="01241.01"/>
    <x v="52"/>
    <n v="2018"/>
    <x v="3"/>
    <s v="ha"/>
    <n v="1485"/>
    <s v="I"/>
    <s v="Imputed value"/>
  </r>
  <r>
    <s v="QCL"/>
    <s v="Crops and livestock products"/>
    <n v="384"/>
    <s v="Côte d'Ivoire"/>
    <n v="5312"/>
    <s v="Area harvested"/>
    <s v="01241.01"/>
    <x v="52"/>
    <n v="2019"/>
    <x v="4"/>
    <s v="ha"/>
    <n v="1487"/>
    <s v="I"/>
    <s v="Imputed value"/>
  </r>
  <r>
    <s v="QCL"/>
    <s v="Crops and livestock products"/>
    <n v="384"/>
    <s v="Côte d'Ivoire"/>
    <n v="5312"/>
    <s v="Area harvested"/>
    <s v="01241.01"/>
    <x v="52"/>
    <n v="2020"/>
    <x v="5"/>
    <s v="ha"/>
    <n v="1501"/>
    <s v="I"/>
    <s v="Imputed value"/>
  </r>
  <r>
    <s v="QCL"/>
    <s v="Crops and livestock products"/>
    <n v="384"/>
    <s v="Côte d'Ivoire"/>
    <n v="5312"/>
    <s v="Area harvested"/>
    <s v="01241.01"/>
    <x v="52"/>
    <n v="2021"/>
    <x v="6"/>
    <s v="ha"/>
    <n v="1514"/>
    <s v="I"/>
    <s v="Imputed value"/>
  </r>
  <r>
    <s v="QCL"/>
    <s v="Crops and livestock products"/>
    <n v="384"/>
    <s v="Côte d'Ivoire"/>
    <n v="5312"/>
    <s v="Area harvested"/>
    <n v="1802"/>
    <x v="53"/>
    <n v="2015"/>
    <x v="0"/>
    <s v="ha"/>
    <n v="25804"/>
    <s v="I"/>
    <s v="Imputed value"/>
  </r>
  <r>
    <s v="QCL"/>
    <s v="Crops and livestock products"/>
    <n v="384"/>
    <s v="Côte d'Ivoire"/>
    <n v="5312"/>
    <s v="Area harvested"/>
    <n v="1802"/>
    <x v="53"/>
    <n v="2016"/>
    <x v="1"/>
    <s v="ha"/>
    <n v="23542"/>
    <s v="I"/>
    <s v="Imputed value"/>
  </r>
  <r>
    <s v="QCL"/>
    <s v="Crops and livestock products"/>
    <n v="384"/>
    <s v="Côte d'Ivoire"/>
    <n v="5312"/>
    <s v="Area harvested"/>
    <n v="1802"/>
    <x v="53"/>
    <n v="2017"/>
    <x v="2"/>
    <s v="ha"/>
    <n v="24198"/>
    <s v="I"/>
    <s v="Imputed value"/>
  </r>
  <r>
    <s v="QCL"/>
    <s v="Crops and livestock products"/>
    <n v="384"/>
    <s v="Côte d'Ivoire"/>
    <n v="5312"/>
    <s v="Area harvested"/>
    <n v="1802"/>
    <x v="53"/>
    <n v="2018"/>
    <x v="3"/>
    <s v="ha"/>
    <n v="25388"/>
    <s v="I"/>
    <s v="Imputed value"/>
  </r>
  <r>
    <s v="QCL"/>
    <s v="Crops and livestock products"/>
    <n v="384"/>
    <s v="Côte d'Ivoire"/>
    <n v="5312"/>
    <s v="Area harvested"/>
    <n v="1802"/>
    <x v="53"/>
    <n v="2019"/>
    <x v="4"/>
    <s v="ha"/>
    <n v="25906"/>
    <s v="I"/>
    <s v="Imputed value"/>
  </r>
  <r>
    <s v="QCL"/>
    <s v="Crops and livestock products"/>
    <n v="384"/>
    <s v="Côte d'Ivoire"/>
    <n v="5312"/>
    <s v="Area harvested"/>
    <n v="1802"/>
    <x v="53"/>
    <n v="2020"/>
    <x v="5"/>
    <s v="ha"/>
    <n v="25621"/>
    <s v="I"/>
    <s v="Imputed value"/>
  </r>
  <r>
    <s v="QCL"/>
    <s v="Crops and livestock products"/>
    <n v="384"/>
    <s v="Côte d'Ivoire"/>
    <n v="5312"/>
    <s v="Area harvested"/>
    <n v="1802"/>
    <x v="53"/>
    <n v="2021"/>
    <x v="6"/>
    <s v="ha"/>
    <n v="25370"/>
    <s v="I"/>
    <s v="Imputed value"/>
  </r>
  <r>
    <s v="QCL"/>
    <s v="Crops and livestock products"/>
    <n v="384"/>
    <s v="Côte d'Ivoire"/>
    <n v="5312"/>
    <s v="Area harvested"/>
    <n v="1530"/>
    <x v="54"/>
    <n v="2015"/>
    <x v="0"/>
    <s v="ha"/>
    <n v="27022"/>
    <s v="I"/>
    <s v="Imputed value"/>
  </r>
  <r>
    <s v="QCL"/>
    <s v="Crops and livestock products"/>
    <n v="384"/>
    <s v="Côte d'Ivoire"/>
    <n v="5312"/>
    <s v="Area harvested"/>
    <n v="1530"/>
    <x v="54"/>
    <n v="2016"/>
    <x v="1"/>
    <s v="ha"/>
    <n v="28164"/>
    <s v="I"/>
    <s v="Imputed value"/>
  </r>
  <r>
    <s v="QCL"/>
    <s v="Crops and livestock products"/>
    <n v="384"/>
    <s v="Côte d'Ivoire"/>
    <n v="5312"/>
    <s v="Area harvested"/>
    <n v="1530"/>
    <x v="54"/>
    <n v="2017"/>
    <x v="2"/>
    <s v="ha"/>
    <n v="29466"/>
    <s v="I"/>
    <s v="Imputed value"/>
  </r>
  <r>
    <s v="QCL"/>
    <s v="Crops and livestock products"/>
    <n v="384"/>
    <s v="Côte d'Ivoire"/>
    <n v="5312"/>
    <s v="Area harvested"/>
    <n v="1530"/>
    <x v="54"/>
    <n v="2018"/>
    <x v="3"/>
    <s v="ha"/>
    <n v="30382"/>
    <s v="I"/>
    <s v="Imputed value"/>
  </r>
  <r>
    <s v="QCL"/>
    <s v="Crops and livestock products"/>
    <n v="384"/>
    <s v="Côte d'Ivoire"/>
    <n v="5312"/>
    <s v="Area harvested"/>
    <n v="1530"/>
    <x v="54"/>
    <n v="2019"/>
    <x v="4"/>
    <s v="ha"/>
    <n v="31710"/>
    <s v="I"/>
    <s v="Imputed value"/>
  </r>
  <r>
    <s v="QCL"/>
    <s v="Crops and livestock products"/>
    <n v="384"/>
    <s v="Côte d'Ivoire"/>
    <n v="5312"/>
    <s v="Area harvested"/>
    <n v="1530"/>
    <x v="54"/>
    <n v="2020"/>
    <x v="5"/>
    <s v="ha"/>
    <n v="32427"/>
    <s v="I"/>
    <s v="Imputed value"/>
  </r>
  <r>
    <s v="QCL"/>
    <s v="Crops and livestock products"/>
    <n v="384"/>
    <s v="Côte d'Ivoire"/>
    <n v="5312"/>
    <s v="Area harvested"/>
    <n v="1530"/>
    <x v="54"/>
    <n v="2021"/>
    <x v="6"/>
    <s v="ha"/>
    <n v="33040"/>
    <s v="I"/>
    <s v="Imputed value"/>
  </r>
  <r>
    <s v="QCL"/>
    <s v="Crops and livestock products"/>
    <n v="384"/>
    <s v="Côte d'Ivoire"/>
    <n v="5312"/>
    <s v="Area harvested"/>
    <n v="1550"/>
    <x v="55"/>
    <n v="2015"/>
    <x v="0"/>
    <s v="ha"/>
    <n v="64221"/>
    <s v="I"/>
    <s v="Imputed value"/>
  </r>
  <r>
    <s v="QCL"/>
    <s v="Crops and livestock products"/>
    <n v="384"/>
    <s v="Côte d'Ivoire"/>
    <n v="5312"/>
    <s v="Area harvested"/>
    <n v="1550"/>
    <x v="55"/>
    <n v="2016"/>
    <x v="1"/>
    <s v="ha"/>
    <n v="67821"/>
    <s v="I"/>
    <s v="Imputed value"/>
  </r>
  <r>
    <s v="QCL"/>
    <s v="Crops and livestock products"/>
    <n v="384"/>
    <s v="Côte d'Ivoire"/>
    <n v="5312"/>
    <s v="Area harvested"/>
    <n v="1550"/>
    <x v="55"/>
    <n v="2017"/>
    <x v="2"/>
    <s v="ha"/>
    <n v="71044"/>
    <s v="I"/>
    <s v="Imputed value"/>
  </r>
  <r>
    <s v="QCL"/>
    <s v="Crops and livestock products"/>
    <n v="384"/>
    <s v="Côte d'Ivoire"/>
    <n v="5312"/>
    <s v="Area harvested"/>
    <n v="1550"/>
    <x v="55"/>
    <n v="2018"/>
    <x v="3"/>
    <s v="ha"/>
    <n v="68892"/>
    <s v="I"/>
    <s v="Imputed value"/>
  </r>
  <r>
    <s v="QCL"/>
    <s v="Crops and livestock products"/>
    <n v="384"/>
    <s v="Côte d'Ivoire"/>
    <n v="5312"/>
    <s v="Area harvested"/>
    <n v="1550"/>
    <x v="55"/>
    <n v="2019"/>
    <x v="4"/>
    <s v="ha"/>
    <n v="71797"/>
    <s v="I"/>
    <s v="Imputed value"/>
  </r>
  <r>
    <s v="QCL"/>
    <s v="Crops and livestock products"/>
    <n v="384"/>
    <s v="Côte d'Ivoire"/>
    <n v="5312"/>
    <s v="Area harvested"/>
    <n v="1550"/>
    <x v="55"/>
    <n v="2020"/>
    <x v="5"/>
    <s v="ha"/>
    <n v="72865"/>
    <s v="I"/>
    <s v="Imputed value"/>
  </r>
  <r>
    <s v="QCL"/>
    <s v="Crops and livestock products"/>
    <n v="384"/>
    <s v="Côte d'Ivoire"/>
    <n v="5312"/>
    <s v="Area harvested"/>
    <n v="1550"/>
    <x v="55"/>
    <n v="2021"/>
    <x v="6"/>
    <s v="ha"/>
    <n v="73146"/>
    <s v="I"/>
    <s v="Imputed value"/>
  </r>
  <r>
    <s v="QCL"/>
    <s v="Crops and livestock products"/>
    <n v="384"/>
    <s v="Côte d'Ivoire"/>
    <n v="5312"/>
    <s v="Area harvested"/>
    <n v="1234"/>
    <x v="56"/>
    <n v="2015"/>
    <x v="0"/>
    <s v="ha"/>
    <n v="3578"/>
    <s v="I"/>
    <s v="Imputed value"/>
  </r>
  <r>
    <s v="QCL"/>
    <s v="Crops and livestock products"/>
    <n v="384"/>
    <s v="Côte d'Ivoire"/>
    <n v="5312"/>
    <s v="Area harvested"/>
    <n v="1234"/>
    <x v="56"/>
    <n v="2016"/>
    <x v="1"/>
    <s v="ha"/>
    <n v="3708"/>
    <s v="I"/>
    <s v="Imputed value"/>
  </r>
  <r>
    <s v="QCL"/>
    <s v="Crops and livestock products"/>
    <n v="384"/>
    <s v="Côte d'Ivoire"/>
    <n v="5312"/>
    <s v="Area harvested"/>
    <n v="1234"/>
    <x v="56"/>
    <n v="2017"/>
    <x v="2"/>
    <s v="ha"/>
    <n v="3827"/>
    <s v="I"/>
    <s v="Imputed value"/>
  </r>
  <r>
    <s v="QCL"/>
    <s v="Crops and livestock products"/>
    <n v="384"/>
    <s v="Côte d'Ivoire"/>
    <n v="5312"/>
    <s v="Area harvested"/>
    <n v="1234"/>
    <x v="56"/>
    <n v="2018"/>
    <x v="3"/>
    <s v="ha"/>
    <n v="4264"/>
    <s v="I"/>
    <s v="Imputed value"/>
  </r>
  <r>
    <s v="QCL"/>
    <s v="Crops and livestock products"/>
    <n v="384"/>
    <s v="Côte d'Ivoire"/>
    <n v="5312"/>
    <s v="Area harvested"/>
    <n v="1234"/>
    <x v="56"/>
    <n v="2019"/>
    <x v="4"/>
    <s v="ha"/>
    <n v="4382"/>
    <s v="I"/>
    <s v="Imputed value"/>
  </r>
  <r>
    <s v="QCL"/>
    <s v="Crops and livestock products"/>
    <n v="384"/>
    <s v="Côte d'Ivoire"/>
    <n v="5312"/>
    <s v="Area harvested"/>
    <n v="1234"/>
    <x v="56"/>
    <n v="2020"/>
    <x v="5"/>
    <s v="ha"/>
    <n v="4555"/>
    <s v="I"/>
    <s v="Imputed value"/>
  </r>
  <r>
    <s v="QCL"/>
    <s v="Crops and livestock products"/>
    <n v="384"/>
    <s v="Côte d'Ivoire"/>
    <n v="5312"/>
    <s v="Area harvested"/>
    <n v="1234"/>
    <x v="56"/>
    <n v="2021"/>
    <x v="6"/>
    <s v="ha"/>
    <n v="4692"/>
    <s v="I"/>
    <s v="Imputed value"/>
  </r>
  <r>
    <s v="QCL"/>
    <s v="Crops and livestock products"/>
    <n v="384"/>
    <s v="Côte d'Ivoire"/>
    <n v="5312"/>
    <s v="Area harvested"/>
    <n v="1970"/>
    <x v="57"/>
    <n v="2015"/>
    <x v="0"/>
    <s v="ha"/>
    <n v="14042"/>
    <s v="I"/>
    <s v="Imputed value"/>
  </r>
  <r>
    <s v="QCL"/>
    <s v="Crops and livestock products"/>
    <n v="384"/>
    <s v="Côte d'Ivoire"/>
    <n v="5312"/>
    <s v="Area harvested"/>
    <n v="1970"/>
    <x v="57"/>
    <n v="2016"/>
    <x v="1"/>
    <s v="ha"/>
    <n v="16360"/>
    <s v="E"/>
    <s v="Estimated value"/>
  </r>
  <r>
    <s v="QCL"/>
    <s v="Crops and livestock products"/>
    <n v="384"/>
    <s v="Côte d'Ivoire"/>
    <n v="5312"/>
    <s v="Area harvested"/>
    <n v="1970"/>
    <x v="57"/>
    <n v="2017"/>
    <x v="2"/>
    <s v="ha"/>
    <n v="16528"/>
    <s v="I"/>
    <s v="Imputed value"/>
  </r>
  <r>
    <s v="QCL"/>
    <s v="Crops and livestock products"/>
    <n v="384"/>
    <s v="Côte d'Ivoire"/>
    <n v="5312"/>
    <s v="Area harvested"/>
    <n v="1970"/>
    <x v="57"/>
    <n v="2018"/>
    <x v="3"/>
    <s v="ha"/>
    <n v="15643"/>
    <s v="E"/>
    <s v="Estimated value"/>
  </r>
  <r>
    <s v="QCL"/>
    <s v="Crops and livestock products"/>
    <n v="384"/>
    <s v="Côte d'Ivoire"/>
    <n v="5312"/>
    <s v="Area harvested"/>
    <n v="1970"/>
    <x v="57"/>
    <n v="2019"/>
    <x v="4"/>
    <s v="ha"/>
    <n v="16177"/>
    <s v="E"/>
    <s v="Estimated value"/>
  </r>
  <r>
    <s v="QCL"/>
    <s v="Crops and livestock products"/>
    <n v="384"/>
    <s v="Côte d'Ivoire"/>
    <n v="5312"/>
    <s v="Area harvested"/>
    <n v="1970"/>
    <x v="57"/>
    <n v="2020"/>
    <x v="5"/>
    <s v="ha"/>
    <n v="16116"/>
    <s v="E"/>
    <s v="Estimated value"/>
  </r>
  <r>
    <s v="QCL"/>
    <s v="Crops and livestock products"/>
    <n v="384"/>
    <s v="Côte d'Ivoire"/>
    <n v="5312"/>
    <s v="Area harvested"/>
    <n v="1970"/>
    <x v="57"/>
    <n v="2021"/>
    <x v="6"/>
    <s v="ha"/>
    <n v="15979"/>
    <s v="E"/>
    <s v="Estimated value"/>
  </r>
  <r>
    <s v="QCL"/>
    <s v="Crops and livestock products"/>
    <n v="384"/>
    <s v="Côte d'Ivoire"/>
    <n v="5312"/>
    <s v="Area harvested"/>
    <n v="1540"/>
    <x v="58"/>
    <n v="2015"/>
    <x v="0"/>
    <s v="ha"/>
    <n v="1072438"/>
    <s v="I"/>
    <s v="Imputed value"/>
  </r>
  <r>
    <s v="QCL"/>
    <s v="Crops and livestock products"/>
    <n v="384"/>
    <s v="Côte d'Ivoire"/>
    <n v="5312"/>
    <s v="Area harvested"/>
    <n v="1540"/>
    <x v="58"/>
    <n v="2016"/>
    <x v="1"/>
    <s v="ha"/>
    <n v="1154820"/>
    <s v="I"/>
    <s v="Imputed value"/>
  </r>
  <r>
    <s v="QCL"/>
    <s v="Crops and livestock products"/>
    <n v="384"/>
    <s v="Côte d'Ivoire"/>
    <n v="5312"/>
    <s v="Area harvested"/>
    <n v="1540"/>
    <x v="58"/>
    <n v="2017"/>
    <x v="2"/>
    <s v="ha"/>
    <n v="1237151"/>
    <s v="I"/>
    <s v="Imputed value"/>
  </r>
  <r>
    <s v="QCL"/>
    <s v="Crops and livestock products"/>
    <n v="384"/>
    <s v="Côte d'Ivoire"/>
    <n v="5312"/>
    <s v="Area harvested"/>
    <n v="1540"/>
    <x v="58"/>
    <n v="2018"/>
    <x v="3"/>
    <s v="ha"/>
    <n v="1274515"/>
    <s v="I"/>
    <s v="Imputed value"/>
  </r>
  <r>
    <s v="QCL"/>
    <s v="Crops and livestock products"/>
    <n v="384"/>
    <s v="Côte d'Ivoire"/>
    <n v="5312"/>
    <s v="Area harvested"/>
    <n v="1540"/>
    <x v="58"/>
    <n v="2019"/>
    <x v="4"/>
    <s v="ha"/>
    <n v="1312029"/>
    <s v="I"/>
    <s v="Imputed value"/>
  </r>
  <r>
    <s v="QCL"/>
    <s v="Crops and livestock products"/>
    <n v="384"/>
    <s v="Côte d'Ivoire"/>
    <n v="5312"/>
    <s v="Area harvested"/>
    <n v="1540"/>
    <x v="58"/>
    <n v="2020"/>
    <x v="5"/>
    <s v="ha"/>
    <n v="1374367"/>
    <s v="I"/>
    <s v="Imputed value"/>
  </r>
  <r>
    <s v="QCL"/>
    <s v="Crops and livestock products"/>
    <n v="384"/>
    <s v="Côte d'Ivoire"/>
    <n v="5312"/>
    <s v="Area harvested"/>
    <n v="1540"/>
    <x v="58"/>
    <n v="2021"/>
    <x v="6"/>
    <s v="ha"/>
    <n v="1438153"/>
    <s v="I"/>
    <s v="Imputed value"/>
  </r>
  <r>
    <m/>
    <m/>
    <m/>
    <m/>
    <m/>
    <m/>
    <m/>
    <x v="59"/>
    <m/>
    <x v="7"/>
    <m/>
    <m/>
    <m/>
    <m/>
  </r>
  <r>
    <m/>
    <m/>
    <m/>
    <m/>
    <m/>
    <m/>
    <m/>
    <x v="59"/>
    <m/>
    <x v="7"/>
    <m/>
    <m/>
    <m/>
    <m/>
  </r>
  <r>
    <m/>
    <m/>
    <m/>
    <m/>
    <m/>
    <m/>
    <m/>
    <x v="59"/>
    <m/>
    <x v="7"/>
    <m/>
    <m/>
    <m/>
    <m/>
  </r>
  <r>
    <m/>
    <m/>
    <m/>
    <m/>
    <m/>
    <m/>
    <m/>
    <x v="59"/>
    <m/>
    <x v="7"/>
    <m/>
    <m/>
    <m/>
    <m/>
  </r>
  <r>
    <m/>
    <m/>
    <m/>
    <m/>
    <m/>
    <m/>
    <m/>
    <x v="59"/>
    <m/>
    <x v="7"/>
    <m/>
    <m/>
    <m/>
    <m/>
  </r>
  <r>
    <m/>
    <m/>
    <m/>
    <m/>
    <m/>
    <m/>
    <m/>
    <x v="59"/>
    <m/>
    <x v="7"/>
    <m/>
    <m/>
    <m/>
    <m/>
  </r>
  <r>
    <m/>
    <m/>
    <m/>
    <m/>
    <m/>
    <m/>
    <m/>
    <x v="59"/>
    <m/>
    <x v="7"/>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x v="0"/>
    <x v="0"/>
    <n v="0.5"/>
  </r>
  <r>
    <x v="0"/>
    <x v="0"/>
    <x v="1"/>
    <n v="2.8"/>
  </r>
  <r>
    <x v="0"/>
    <x v="1"/>
    <x v="2"/>
    <n v="0.28999999999999998"/>
  </r>
  <r>
    <x v="0"/>
    <x v="2"/>
    <x v="3"/>
    <n v="23100"/>
  </r>
  <r>
    <x v="0"/>
    <x v="2"/>
    <x v="4"/>
    <n v="10969"/>
  </r>
  <r>
    <x v="0"/>
    <x v="2"/>
    <x v="5"/>
    <n v="24"/>
  </r>
  <r>
    <x v="0"/>
    <x v="2"/>
    <x v="0"/>
    <n v="105"/>
  </r>
  <r>
    <x v="0"/>
    <x v="2"/>
    <x v="2"/>
    <n v="3071"/>
  </r>
  <r>
    <x v="0"/>
    <x v="2"/>
    <x v="6"/>
    <n v="1080"/>
  </r>
  <r>
    <x v="0"/>
    <x v="2"/>
    <x v="7"/>
    <n v="27"/>
  </r>
  <r>
    <x v="0"/>
    <x v="2"/>
    <x v="8"/>
    <n v="10800"/>
  </r>
  <r>
    <x v="0"/>
    <x v="2"/>
    <x v="9"/>
    <n v="4.17"/>
  </r>
  <r>
    <x v="0"/>
    <x v="2"/>
    <x v="10"/>
    <n v="19540"/>
  </r>
  <r>
    <x v="0"/>
    <x v="2"/>
    <x v="11"/>
    <n v="14332"/>
  </r>
  <r>
    <x v="0"/>
    <x v="2"/>
    <x v="12"/>
    <n v="75.5"/>
  </r>
  <r>
    <x v="0"/>
    <x v="2"/>
    <x v="13"/>
    <n v="1178"/>
  </r>
  <r>
    <x v="0"/>
    <x v="2"/>
    <x v="14"/>
    <n v="67.5"/>
  </r>
  <r>
    <x v="0"/>
    <x v="3"/>
    <x v="15"/>
    <n v="7.0000000000000007E-2"/>
  </r>
  <r>
    <x v="0"/>
    <x v="3"/>
    <x v="2"/>
    <n v="4500"/>
  </r>
  <r>
    <x v="0"/>
    <x v="4"/>
    <x v="13"/>
    <n v="243"/>
  </r>
  <r>
    <x v="0"/>
    <x v="4"/>
    <x v="16"/>
    <n v="27"/>
  </r>
  <r>
    <x v="0"/>
    <x v="5"/>
    <x v="3"/>
    <n v="52143"/>
  </r>
  <r>
    <x v="0"/>
    <x v="5"/>
    <x v="0"/>
    <n v="2.86"/>
  </r>
  <r>
    <x v="0"/>
    <x v="5"/>
    <x v="17"/>
    <n v="4781"/>
  </r>
  <r>
    <x v="0"/>
    <x v="5"/>
    <x v="18"/>
    <n v="48.16"/>
  </r>
  <r>
    <x v="0"/>
    <x v="5"/>
    <x v="19"/>
    <n v="26.97"/>
  </r>
  <r>
    <x v="0"/>
    <x v="5"/>
    <x v="1"/>
    <n v="3.8"/>
  </r>
  <r>
    <x v="0"/>
    <x v="5"/>
    <x v="16"/>
    <n v="137.19999999999999"/>
  </r>
  <r>
    <x v="0"/>
    <x v="5"/>
    <x v="20"/>
    <n v="500"/>
  </r>
  <r>
    <x v="0"/>
    <x v="6"/>
    <x v="21"/>
    <n v="1394"/>
  </r>
  <r>
    <x v="0"/>
    <x v="7"/>
    <x v="15"/>
    <n v="11.48"/>
  </r>
  <r>
    <x v="0"/>
    <x v="7"/>
    <x v="22"/>
    <n v="2.0699999999999998"/>
  </r>
  <r>
    <x v="0"/>
    <x v="7"/>
    <x v="1"/>
    <n v="5.49"/>
  </r>
  <r>
    <x v="0"/>
    <x v="8"/>
    <x v="0"/>
    <n v="3500"/>
  </r>
  <r>
    <x v="0"/>
    <x v="8"/>
    <x v="23"/>
    <n v="2.02"/>
  </r>
  <r>
    <x v="0"/>
    <x v="8"/>
    <x v="1"/>
    <n v="21.42"/>
  </r>
  <r>
    <x v="0"/>
    <x v="8"/>
    <x v="20"/>
    <n v="48"/>
  </r>
  <r>
    <x v="0"/>
    <x v="9"/>
    <x v="0"/>
    <n v="5.34"/>
  </r>
  <r>
    <x v="0"/>
    <x v="9"/>
    <x v="24"/>
    <n v="0.25"/>
  </r>
  <r>
    <x v="0"/>
    <x v="9"/>
    <x v="19"/>
    <n v="2.17"/>
  </r>
  <r>
    <x v="0"/>
    <x v="9"/>
    <x v="1"/>
    <n v="60.8"/>
  </r>
  <r>
    <x v="0"/>
    <x v="9"/>
    <x v="25"/>
    <n v="0.25"/>
  </r>
  <r>
    <x v="0"/>
    <x v="9"/>
    <x v="20"/>
    <n v="0.02"/>
  </r>
  <r>
    <x v="0"/>
    <x v="9"/>
    <x v="14"/>
    <n v="2.96"/>
  </r>
  <r>
    <x v="0"/>
    <x v="10"/>
    <x v="1"/>
    <n v="0.11"/>
  </r>
  <r>
    <x v="0"/>
    <x v="11"/>
    <x v="26"/>
    <n v="51.6"/>
  </r>
  <r>
    <x v="0"/>
    <x v="11"/>
    <x v="9"/>
    <n v="0.25"/>
  </r>
  <r>
    <x v="0"/>
    <x v="11"/>
    <x v="27"/>
    <n v="0.03"/>
  </r>
  <r>
    <x v="0"/>
    <x v="11"/>
    <x v="28"/>
    <n v="12.22"/>
  </r>
  <r>
    <x v="0"/>
    <x v="11"/>
    <x v="29"/>
    <n v="0.73"/>
  </r>
  <r>
    <x v="0"/>
    <x v="11"/>
    <x v="30"/>
    <n v="12.22"/>
  </r>
  <r>
    <x v="0"/>
    <x v="11"/>
    <x v="16"/>
    <n v="166.1"/>
  </r>
  <r>
    <x v="0"/>
    <x v="12"/>
    <x v="0"/>
    <n v="0.04"/>
  </r>
  <r>
    <x v="0"/>
    <x v="12"/>
    <x v="1"/>
    <n v="0.04"/>
  </r>
  <r>
    <x v="0"/>
    <x v="12"/>
    <x v="31"/>
    <n v="0.04"/>
  </r>
  <r>
    <x v="0"/>
    <x v="13"/>
    <x v="15"/>
    <n v="0.3"/>
  </r>
  <r>
    <x v="0"/>
    <x v="13"/>
    <x v="0"/>
    <n v="52"/>
  </r>
  <r>
    <x v="0"/>
    <x v="13"/>
    <x v="32"/>
    <n v="12"/>
  </r>
  <r>
    <x v="0"/>
    <x v="13"/>
    <x v="33"/>
    <n v="900"/>
  </r>
  <r>
    <x v="0"/>
    <x v="14"/>
    <x v="0"/>
    <n v="0.04"/>
  </r>
  <r>
    <x v="0"/>
    <x v="14"/>
    <x v="34"/>
    <n v="8"/>
  </r>
  <r>
    <x v="0"/>
    <x v="14"/>
    <x v="26"/>
    <n v="9"/>
  </r>
  <r>
    <x v="0"/>
    <x v="14"/>
    <x v="9"/>
    <n v="25"/>
  </r>
  <r>
    <x v="0"/>
    <x v="14"/>
    <x v="35"/>
    <n v="7"/>
  </r>
  <r>
    <x v="0"/>
    <x v="14"/>
    <x v="16"/>
    <n v="25"/>
  </r>
  <r>
    <x v="0"/>
    <x v="15"/>
    <x v="1"/>
    <n v="0.87"/>
  </r>
  <r>
    <x v="0"/>
    <x v="16"/>
    <x v="36"/>
    <n v="2164"/>
  </r>
  <r>
    <x v="0"/>
    <x v="16"/>
    <x v="13"/>
    <n v="1294"/>
  </r>
  <r>
    <x v="0"/>
    <x v="17"/>
    <x v="33"/>
    <n v="2000"/>
  </r>
  <r>
    <x v="0"/>
    <x v="18"/>
    <x v="18"/>
    <n v="30674"/>
  </r>
  <r>
    <x v="0"/>
    <x v="18"/>
    <x v="37"/>
    <n v="7"/>
  </r>
  <r>
    <x v="0"/>
    <x v="18"/>
    <x v="38"/>
    <n v="10"/>
  </r>
  <r>
    <x v="0"/>
    <x v="18"/>
    <x v="7"/>
    <n v="27500"/>
  </r>
  <r>
    <x v="0"/>
    <x v="18"/>
    <x v="33"/>
    <n v="19000"/>
  </r>
  <r>
    <x v="0"/>
    <x v="19"/>
    <x v="3"/>
    <n v="545"/>
  </r>
  <r>
    <x v="0"/>
    <x v="19"/>
    <x v="5"/>
    <n v="144"/>
  </r>
  <r>
    <x v="0"/>
    <x v="19"/>
    <x v="0"/>
    <n v="72"/>
  </r>
  <r>
    <x v="0"/>
    <x v="19"/>
    <x v="39"/>
    <n v="12"/>
  </r>
  <r>
    <x v="0"/>
    <x v="19"/>
    <x v="40"/>
    <n v="0.01"/>
  </r>
  <r>
    <x v="0"/>
    <x v="19"/>
    <x v="41"/>
    <n v="0.01"/>
  </r>
  <r>
    <x v="0"/>
    <x v="19"/>
    <x v="42"/>
    <n v="0.01"/>
  </r>
  <r>
    <x v="0"/>
    <x v="19"/>
    <x v="43"/>
    <n v="7.2"/>
  </r>
  <r>
    <x v="0"/>
    <x v="19"/>
    <x v="44"/>
    <n v="4.8"/>
  </r>
  <r>
    <x v="0"/>
    <x v="19"/>
    <x v="1"/>
    <n v="666"/>
  </r>
  <r>
    <x v="0"/>
    <x v="19"/>
    <x v="20"/>
    <n v="56"/>
  </r>
  <r>
    <x v="0"/>
    <x v="20"/>
    <x v="14"/>
    <n v="36"/>
  </r>
  <r>
    <x v="0"/>
    <x v="21"/>
    <x v="14"/>
    <n v="15000"/>
  </r>
  <r>
    <x v="0"/>
    <x v="22"/>
    <x v="0"/>
    <n v="0.5"/>
  </r>
  <r>
    <x v="0"/>
    <x v="22"/>
    <x v="1"/>
    <n v="37.409999999999997"/>
  </r>
  <r>
    <x v="0"/>
    <x v="22"/>
    <x v="14"/>
    <n v="598.6"/>
  </r>
  <r>
    <x v="0"/>
    <x v="23"/>
    <x v="5"/>
    <n v="796.9"/>
  </r>
  <r>
    <x v="0"/>
    <x v="23"/>
    <x v="11"/>
    <n v="57014"/>
  </r>
  <r>
    <x v="0"/>
    <x v="24"/>
    <x v="0"/>
    <n v="28"/>
  </r>
  <r>
    <x v="0"/>
    <x v="25"/>
    <x v="3"/>
    <n v="1949"/>
  </r>
  <r>
    <x v="0"/>
    <x v="26"/>
    <x v="0"/>
    <n v="48.92"/>
  </r>
  <r>
    <x v="0"/>
    <x v="26"/>
    <x v="45"/>
    <n v="0.01"/>
  </r>
  <r>
    <x v="0"/>
    <x v="26"/>
    <x v="46"/>
    <n v="126"/>
  </r>
  <r>
    <x v="0"/>
    <x v="26"/>
    <x v="19"/>
    <n v="0.01"/>
  </r>
  <r>
    <x v="0"/>
    <x v="26"/>
    <x v="1"/>
    <n v="450.8"/>
  </r>
  <r>
    <x v="0"/>
    <x v="27"/>
    <x v="7"/>
    <n v="7820"/>
  </r>
  <r>
    <x v="0"/>
    <x v="27"/>
    <x v="47"/>
    <n v="7078"/>
  </r>
  <r>
    <x v="0"/>
    <x v="27"/>
    <x v="48"/>
    <n v="5465"/>
  </r>
  <r>
    <x v="0"/>
    <x v="27"/>
    <x v="11"/>
    <n v="13000"/>
  </r>
  <r>
    <x v="0"/>
    <x v="27"/>
    <x v="14"/>
    <n v="8800"/>
  </r>
  <r>
    <x v="0"/>
    <x v="28"/>
    <x v="25"/>
    <n v="3.8"/>
  </r>
  <r>
    <x v="0"/>
    <x v="29"/>
    <x v="15"/>
    <n v="0.72"/>
  </r>
  <r>
    <x v="0"/>
    <x v="29"/>
    <x v="0"/>
    <n v="351.8"/>
  </r>
  <r>
    <x v="0"/>
    <x v="29"/>
    <x v="2"/>
    <n v="3370"/>
  </r>
  <r>
    <x v="0"/>
    <x v="29"/>
    <x v="49"/>
    <n v="0.65"/>
  </r>
  <r>
    <x v="0"/>
    <x v="29"/>
    <x v="50"/>
    <n v="3.56"/>
  </r>
  <r>
    <x v="0"/>
    <x v="29"/>
    <x v="7"/>
    <n v="25"/>
  </r>
  <r>
    <x v="0"/>
    <x v="29"/>
    <x v="51"/>
    <n v="0.37"/>
  </r>
  <r>
    <x v="0"/>
    <x v="29"/>
    <x v="48"/>
    <n v="1972"/>
  </r>
  <r>
    <x v="0"/>
    <x v="29"/>
    <x v="52"/>
    <n v="34689"/>
  </r>
  <r>
    <x v="0"/>
    <x v="29"/>
    <x v="19"/>
    <n v="53"/>
  </r>
  <r>
    <x v="0"/>
    <x v="29"/>
    <x v="1"/>
    <n v="13.6"/>
  </r>
  <r>
    <x v="0"/>
    <x v="29"/>
    <x v="31"/>
    <n v="338.5"/>
  </r>
  <r>
    <x v="0"/>
    <x v="30"/>
    <x v="53"/>
    <n v="982.8"/>
  </r>
  <r>
    <x v="0"/>
    <x v="30"/>
    <x v="4"/>
    <n v="4000"/>
  </r>
  <r>
    <x v="0"/>
    <x v="30"/>
    <x v="7"/>
    <n v="7875"/>
  </r>
  <r>
    <x v="0"/>
    <x v="31"/>
    <x v="0"/>
    <n v="0.1"/>
  </r>
  <r>
    <x v="0"/>
    <x v="31"/>
    <x v="54"/>
    <n v="149.4"/>
  </r>
  <r>
    <x v="0"/>
    <x v="31"/>
    <x v="55"/>
    <n v="1606"/>
  </r>
  <r>
    <x v="0"/>
    <x v="31"/>
    <x v="56"/>
    <n v="903.5"/>
  </r>
  <r>
    <x v="0"/>
    <x v="31"/>
    <x v="57"/>
    <n v="0.6"/>
  </r>
  <r>
    <x v="0"/>
    <x v="31"/>
    <x v="58"/>
    <n v="17500"/>
  </r>
  <r>
    <x v="0"/>
    <x v="32"/>
    <x v="53"/>
    <n v="0.39"/>
  </r>
  <r>
    <x v="0"/>
    <x v="32"/>
    <x v="19"/>
    <n v="0.18"/>
  </r>
  <r>
    <x v="0"/>
    <x v="33"/>
    <x v="0"/>
    <n v="118.2"/>
  </r>
  <r>
    <x v="0"/>
    <x v="33"/>
    <x v="24"/>
    <n v="11.36"/>
  </r>
  <r>
    <x v="0"/>
    <x v="33"/>
    <x v="59"/>
    <n v="3.55"/>
  </r>
  <r>
    <x v="0"/>
    <x v="33"/>
    <x v="19"/>
    <n v="2.72"/>
  </r>
  <r>
    <x v="0"/>
    <x v="33"/>
    <x v="1"/>
    <n v="35.31"/>
  </r>
  <r>
    <x v="0"/>
    <x v="33"/>
    <x v="14"/>
    <n v="0.08"/>
  </r>
  <r>
    <x v="0"/>
    <x v="34"/>
    <x v="0"/>
    <n v="69.290000000000006"/>
  </r>
  <r>
    <x v="0"/>
    <x v="34"/>
    <x v="60"/>
    <n v="0.02"/>
  </r>
  <r>
    <x v="0"/>
    <x v="34"/>
    <x v="55"/>
    <n v="18466"/>
  </r>
  <r>
    <x v="0"/>
    <x v="34"/>
    <x v="24"/>
    <n v="144.69999999999999"/>
  </r>
  <r>
    <x v="0"/>
    <x v="34"/>
    <x v="56"/>
    <n v="6624"/>
  </r>
  <r>
    <x v="0"/>
    <x v="34"/>
    <x v="1"/>
    <n v="578.20000000000005"/>
  </r>
  <r>
    <x v="0"/>
    <x v="34"/>
    <x v="61"/>
    <n v="1.26"/>
  </r>
  <r>
    <x v="0"/>
    <x v="34"/>
    <x v="62"/>
    <n v="0.1"/>
  </r>
  <r>
    <x v="0"/>
    <x v="35"/>
    <x v="63"/>
    <n v="17791"/>
  </r>
  <r>
    <x v="0"/>
    <x v="35"/>
    <x v="64"/>
    <n v="371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s v="2021"/>
    <s v="Agrodealer"/>
    <s v="AD PHYTO"/>
    <s v="Duekoue"/>
    <x v="0"/>
    <s v="Prepayment"/>
    <n v="100"/>
    <n v="25000000"/>
  </r>
  <r>
    <m/>
    <m/>
    <s v="APSD"/>
    <s v="Duekoue"/>
    <x v="1"/>
    <s v="60 jours: Date de la facture"/>
    <n v="210"/>
    <n v="64575000"/>
  </r>
  <r>
    <m/>
    <m/>
    <m/>
    <m/>
    <x v="2"/>
    <s v="Prepayment"/>
    <n v="209.7"/>
    <n v="51450000"/>
  </r>
  <r>
    <m/>
    <m/>
    <s v="BARRO DJAKARIDJA"/>
    <s v="Duekoue"/>
    <x v="1"/>
    <s v="60 jours: Date de la facture"/>
    <n v="160"/>
    <n v="55400000"/>
  </r>
  <r>
    <m/>
    <m/>
    <s v="BEIDARI SOULEY"/>
    <s v="Duekoue"/>
    <x v="1"/>
    <s v="60 jours: Date de la facture"/>
    <n v="100"/>
    <n v="37000000"/>
  </r>
  <r>
    <m/>
    <m/>
    <s v="CIPAM SA"/>
    <s v="Abidjan"/>
    <x v="3"/>
    <s v="Prepayment"/>
    <n v="100"/>
    <n v="38200000"/>
  </r>
  <r>
    <m/>
    <m/>
    <s v="Client Occasionnel"/>
    <s v="Abidjan"/>
    <x v="0"/>
    <s v="Prepayment"/>
    <n v="1"/>
    <n v="255000"/>
  </r>
  <r>
    <m/>
    <m/>
    <m/>
    <m/>
    <x v="4"/>
    <s v="Prepayment"/>
    <n v="4.05"/>
    <n v="1064027.6000000001"/>
  </r>
  <r>
    <m/>
    <m/>
    <m/>
    <m/>
    <x v="5"/>
    <s v="Prepayment"/>
    <n v="1"/>
    <n v="305000"/>
  </r>
  <r>
    <m/>
    <m/>
    <s v="CROP DOCTOR COTE D'IVOIRE"/>
    <s v="Abidjan"/>
    <x v="1"/>
    <s v="Prepayment"/>
    <n v="400"/>
    <n v="95430000"/>
  </r>
  <r>
    <m/>
    <m/>
    <s v="DABRE HASSAN"/>
    <s v="Sassandra"/>
    <x v="1"/>
    <s v="Prepayment"/>
    <n v="50"/>
    <n v="17050000"/>
  </r>
  <r>
    <m/>
    <m/>
    <m/>
    <m/>
    <x v="5"/>
    <s v="Prepayment"/>
    <n v="10"/>
    <n v="2800000"/>
  </r>
  <r>
    <m/>
    <m/>
    <s v="DEMBA ALIOU"/>
    <s v="Duekoue"/>
    <x v="1"/>
    <s v="60 jours: Date de la facture"/>
    <n v="150"/>
    <n v="47150000"/>
  </r>
  <r>
    <m/>
    <m/>
    <s v="ETS KEITA SILAMAKAN"/>
    <s v="Abidjan"/>
    <x v="0"/>
    <s v="Prepayment"/>
    <n v="140"/>
    <n v="34500000"/>
  </r>
  <r>
    <m/>
    <m/>
    <m/>
    <m/>
    <x v="1"/>
    <s v="Prepayment"/>
    <n v="8"/>
    <n v="2400000"/>
  </r>
  <r>
    <m/>
    <m/>
    <m/>
    <m/>
    <x v="4"/>
    <s v="Prepayment"/>
    <n v="245.55"/>
    <n v="65865000"/>
  </r>
  <r>
    <m/>
    <m/>
    <m/>
    <m/>
    <x v="6"/>
    <s v="Prepayment"/>
    <n v="10"/>
    <n v="1040000"/>
  </r>
  <r>
    <m/>
    <m/>
    <s v="GROUPE DOUBARE"/>
    <s v="Abidjan"/>
    <x v="4"/>
    <s v="Prepayment"/>
    <n v="15"/>
    <n v="4625000"/>
  </r>
  <r>
    <m/>
    <m/>
    <s v="K-INVEST SARL"/>
    <s v="Abidjan"/>
    <x v="1"/>
    <s v="Prepayment"/>
    <n v="180"/>
    <n v="50900000"/>
  </r>
  <r>
    <m/>
    <m/>
    <s v="KOMBELE PHYTO SARL U"/>
    <s v="Abidjan"/>
    <x v="4"/>
    <s v="Prepayment"/>
    <n v="15"/>
    <n v="4575000"/>
  </r>
  <r>
    <m/>
    <m/>
    <s v="LA MAISON DU PLANTEUR"/>
    <s v="San-Pedro"/>
    <x v="1"/>
    <s v="30 jours: Date de la facture"/>
    <n v="35"/>
    <n v="9625000"/>
  </r>
  <r>
    <m/>
    <m/>
    <s v="MONDIAL CYCLES NOUVELLE"/>
    <s v="Abidjan"/>
    <x v="1"/>
    <s v="60 jours: Date de la facture"/>
    <n v="232.15"/>
    <n v="62426750"/>
  </r>
  <r>
    <m/>
    <m/>
    <s v="MOUSSA MOCTAR"/>
    <s v="Soubre"/>
    <x v="1"/>
    <s v="60 jours: Date de la facture"/>
    <n v="145"/>
    <n v="36725000"/>
  </r>
  <r>
    <m/>
    <m/>
    <m/>
    <m/>
    <x v="2"/>
    <s v="Prepayment"/>
    <n v="105"/>
    <n v="25725000"/>
  </r>
  <r>
    <m/>
    <m/>
    <m/>
    <m/>
    <x v="4"/>
    <s v="Prepayment"/>
    <n v="40"/>
    <n v="12200000"/>
  </r>
  <r>
    <m/>
    <m/>
    <s v="NARE SOUMAILA"/>
    <s v="Bonoua"/>
    <x v="4"/>
    <s v="Prepayment"/>
    <n v="10"/>
    <n v="3075000"/>
  </r>
  <r>
    <m/>
    <m/>
    <m/>
    <m/>
    <x v="5"/>
    <s v="Prepayment"/>
    <n v="5"/>
    <n v="1225000"/>
  </r>
  <r>
    <m/>
    <m/>
    <s v="PHYTO-CHIM"/>
    <s v="Soubre"/>
    <x v="1"/>
    <s v="60 jours: Date de la facture"/>
    <n v="35"/>
    <n v="13125000"/>
  </r>
  <r>
    <m/>
    <m/>
    <s v="RIFI DISTRIBUTION"/>
    <s v="San-Pedro"/>
    <x v="1"/>
    <s v="60 jours: Date de la facture"/>
    <n v="305"/>
    <n v="95925000"/>
  </r>
  <r>
    <m/>
    <m/>
    <m/>
    <m/>
    <x v="2"/>
    <s v="Prepayment"/>
    <n v="194.98"/>
    <n v="47820100"/>
  </r>
  <r>
    <m/>
    <m/>
    <s v="SABA HAMIDOU"/>
    <s v="Abidjan"/>
    <x v="1"/>
    <s v="60 jours: Date de la facture"/>
    <n v="170"/>
    <n v="52900000"/>
  </r>
  <r>
    <m/>
    <m/>
    <m/>
    <m/>
    <x v="2"/>
    <s v="Prepayment"/>
    <n v="257.89999999999998"/>
    <n v="62696000"/>
  </r>
  <r>
    <m/>
    <m/>
    <m/>
    <m/>
    <x v="5"/>
    <s v="Prepayment"/>
    <n v="160"/>
    <n v="36800000"/>
  </r>
  <r>
    <m/>
    <m/>
    <s v="SADOU AROUNA"/>
    <s v="Lakota"/>
    <x v="1"/>
    <s v="60 jours: Date de la facture"/>
    <n v="105"/>
    <n v="26775000"/>
  </r>
  <r>
    <m/>
    <m/>
    <m/>
    <m/>
    <x v="2"/>
    <s v="Prepayment"/>
    <n v="179.84"/>
    <n v="44185000"/>
  </r>
  <r>
    <m/>
    <m/>
    <s v="SICA"/>
    <s v="Korhogo"/>
    <x v="4"/>
    <s v="Prepayment"/>
    <n v="20"/>
    <n v="5900000"/>
  </r>
  <r>
    <m/>
    <m/>
    <m/>
    <m/>
    <x v="5"/>
    <s v="30 jours: Date de la facture"/>
    <n v="140"/>
    <n v="38500000"/>
  </r>
  <r>
    <m/>
    <m/>
    <m/>
    <m/>
    <x v="2"/>
    <s v="Prepayment"/>
    <n v="170"/>
    <n v="51500000"/>
  </r>
  <r>
    <m/>
    <m/>
    <s v="SODIPHYTO"/>
    <s v="Lakota"/>
    <x v="1"/>
    <s v="Prepayment"/>
    <n v="40"/>
    <n v="9800000"/>
  </r>
  <r>
    <m/>
    <m/>
    <s v="SODP"/>
    <s v="Lakota"/>
    <x v="1"/>
    <s v="60 jours: Date de la facture"/>
    <n v="35"/>
    <n v="9625000"/>
  </r>
  <r>
    <m/>
    <m/>
    <s v="YAMEOGO SARL"/>
    <s v="Abidjan"/>
    <x v="4"/>
    <s v="Prepayment"/>
    <n v="5"/>
    <n v="1550000"/>
  </r>
  <r>
    <m/>
    <m/>
    <s v="ZOUMA KARIM"/>
    <s v="Soubre"/>
    <x v="1"/>
    <s v="60 jours: Date de la facture"/>
    <n v="155"/>
    <n v="52975000"/>
  </r>
  <r>
    <m/>
    <m/>
    <m/>
    <m/>
    <x v="2"/>
    <s v="Prepayment"/>
    <n v="124.9"/>
    <n v="30625000"/>
  </r>
  <r>
    <m/>
    <s v="Total Agrodealer"/>
    <m/>
    <m/>
    <x v="2"/>
    <m/>
    <n v="4779.07"/>
    <n v="1331286877.5999999"/>
  </r>
  <r>
    <m/>
    <s v="Coopérative"/>
    <s v="ADVANS CÔTE D'IVOIRE"/>
    <s v="Abidjan"/>
    <x v="1"/>
    <s v="90% Prep 10% 30j année proch"/>
    <n v="1204.4000000000001"/>
    <n v="286647200"/>
  </r>
  <r>
    <m/>
    <m/>
    <s v="SCOOPS BARAKA"/>
    <s v="Abidjan"/>
    <x v="5"/>
    <s v="Prepayment"/>
    <n v="80"/>
    <n v="24400000"/>
  </r>
  <r>
    <m/>
    <m/>
    <s v="SCOOPS PAGO"/>
    <s v="Abidjan"/>
    <x v="1"/>
    <s v="Prepayment"/>
    <n v="51"/>
    <n v="17680000"/>
  </r>
  <r>
    <m/>
    <m/>
    <m/>
    <m/>
    <x v="4"/>
    <s v="Prepayment"/>
    <n v="3.5"/>
    <n v="1050000"/>
  </r>
  <r>
    <m/>
    <m/>
    <m/>
    <m/>
    <x v="6"/>
    <s v="Prepayment"/>
    <n v="20"/>
    <n v="2100000"/>
  </r>
  <r>
    <m/>
    <m/>
    <s v="SOCIETE CAFE-CACAO DE GUIBEROUA"/>
    <s v="Gagnoa"/>
    <x v="1"/>
    <s v="Prepayment"/>
    <n v="420"/>
    <n v="100800000"/>
  </r>
  <r>
    <m/>
    <m/>
    <s v="SOCIETE COOPERATIVE DES PRODUCTEURS"/>
    <s v="Burkina Faso"/>
    <x v="1"/>
    <s v="Prepayment"/>
    <n v="386.4"/>
    <n v="94688000"/>
  </r>
  <r>
    <m/>
    <s v="Total Coopérative"/>
    <m/>
    <m/>
    <x v="2"/>
    <m/>
    <n v="2165.3000000000002"/>
    <n v="527365200"/>
  </r>
  <r>
    <m/>
    <s v="Importateur"/>
    <s v="AGRIIS"/>
    <s v="Abidjan"/>
    <x v="7"/>
    <s v="Prepayment"/>
    <n v="1208.75"/>
    <n v="283236800"/>
  </r>
  <r>
    <m/>
    <m/>
    <m/>
    <m/>
    <x v="8"/>
    <s v="Prepayment"/>
    <n v="250"/>
    <n v="41250000"/>
  </r>
  <r>
    <m/>
    <m/>
    <m/>
    <m/>
    <x v="4"/>
    <s v="Prepayment"/>
    <n v="1622"/>
    <n v="403380000"/>
  </r>
  <r>
    <m/>
    <m/>
    <m/>
    <m/>
    <x v="6"/>
    <s v="Prepayment"/>
    <n v="1999.95"/>
    <n v="195995160"/>
  </r>
  <r>
    <m/>
    <m/>
    <m/>
    <m/>
    <x v="9"/>
    <s v="Prepayment"/>
    <n v="3001.7"/>
    <n v="885450000"/>
  </r>
  <r>
    <m/>
    <m/>
    <m/>
    <m/>
    <x v="5"/>
    <s v="Prepayment"/>
    <n v="191"/>
    <n v="39919000"/>
  </r>
  <r>
    <m/>
    <m/>
    <s v="BIOFERTIL"/>
    <s v="Abidjan"/>
    <x v="6"/>
    <s v="Prepayment"/>
    <n v="30"/>
    <n v="3120000"/>
  </r>
  <r>
    <m/>
    <m/>
    <s v="CAP SIKAN SA"/>
    <s v="Abidjan"/>
    <x v="6"/>
    <s v="Prepayment"/>
    <n v="5"/>
    <n v="520000"/>
  </r>
  <r>
    <m/>
    <m/>
    <m/>
    <m/>
    <x v="5"/>
    <s v="Prepayment"/>
    <n v="2.5"/>
    <n v="700000"/>
  </r>
  <r>
    <m/>
    <m/>
    <s v="COMPAGNIE GENERALE AFRICAINE"/>
    <s v="Abidjan"/>
    <x v="1"/>
    <s v="Prepayment"/>
    <n v="299.60000000000002"/>
    <n v="86088000"/>
  </r>
  <r>
    <m/>
    <m/>
    <m/>
    <m/>
    <x v="10"/>
    <s v="Prepayment"/>
    <n v="50.9"/>
    <n v="14252000"/>
  </r>
  <r>
    <m/>
    <m/>
    <m/>
    <m/>
    <x v="4"/>
    <s v="Prepayment"/>
    <n v="240"/>
    <n v="69000000"/>
  </r>
  <r>
    <m/>
    <m/>
    <s v="DPA INDUSTRIES"/>
    <s v="Mali"/>
    <x v="11"/>
    <m/>
    <n v="20506.02"/>
    <n v="3127168050"/>
  </r>
  <r>
    <m/>
    <m/>
    <m/>
    <m/>
    <x v="12"/>
    <m/>
    <n v="6517.4"/>
    <n v="1085147100"/>
  </r>
  <r>
    <m/>
    <m/>
    <s v="OLAM IVOIRE SA"/>
    <s v="Abidjan"/>
    <x v="5"/>
    <s v="Prepayment"/>
    <n v="2500"/>
    <n v="640000000"/>
  </r>
  <r>
    <m/>
    <s v="Total Importateur"/>
    <m/>
    <m/>
    <x v="2"/>
    <m/>
    <n v="38424.82"/>
    <n v="6875226110"/>
  </r>
  <r>
    <m/>
    <s v="Plantation"/>
    <s v="PALMCI"/>
    <s v="Abidjan"/>
    <x v="8"/>
    <s v="90 jours: Date de la facture"/>
    <n v="1466"/>
    <n v="349256600"/>
  </r>
  <r>
    <m/>
    <m/>
    <s v="SCB"/>
    <s v="Abidjan"/>
    <x v="6"/>
    <s v="90 jours: Date de la facture"/>
    <n v="50"/>
    <n v="4525000"/>
  </r>
  <r>
    <m/>
    <m/>
    <m/>
    <m/>
    <x v="5"/>
    <s v="90 jours: Date de la facture"/>
    <n v="193.5"/>
    <n v="39909375"/>
  </r>
  <r>
    <m/>
    <s v="Total Plantation"/>
    <m/>
    <m/>
    <x v="2"/>
    <m/>
    <n v="1709.5"/>
    <n v="393690975"/>
  </r>
  <r>
    <m/>
    <s v="Projet"/>
    <s v="MINISTERE PROMOTION RIZICULTURE"/>
    <s v="Abidjan"/>
    <x v="4"/>
    <s v="Prepayment"/>
    <n v="285"/>
    <n v="69825000"/>
  </r>
  <r>
    <m/>
    <m/>
    <m/>
    <m/>
    <x v="5"/>
    <s v="Prepayment"/>
    <n v="150"/>
    <n v="32250000"/>
  </r>
  <r>
    <m/>
    <m/>
    <s v="SOCOMCI"/>
    <s v="Abidjan"/>
    <x v="4"/>
    <s v="180 jours: Date de la facture"/>
    <n v="75"/>
    <n v="22500000"/>
  </r>
  <r>
    <m/>
    <m/>
    <m/>
    <m/>
    <x v="5"/>
    <s v="180 jours: Date de la facture"/>
    <n v="50"/>
    <n v="17500000"/>
  </r>
  <r>
    <m/>
    <s v="Total Projet"/>
    <m/>
    <m/>
    <x v="2"/>
    <m/>
    <n v="560"/>
    <n v="142075000"/>
  </r>
  <r>
    <s v="Total 2021"/>
    <m/>
    <m/>
    <m/>
    <x v="2"/>
    <m/>
    <n v="47638.69"/>
    <n v="9269644162.600000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s v="NPK 15-15-15"/>
    <s v="T15"/>
    <s v="T15"/>
    <x v="0"/>
    <n v="65500"/>
    <m/>
    <n v="1100"/>
    <m/>
    <n v="3500"/>
    <m/>
    <m/>
    <m/>
    <m/>
    <m/>
    <m/>
    <n v="0.15"/>
  </r>
  <r>
    <s v="Urea"/>
    <s v="Urea"/>
    <s v="Urea"/>
    <x v="1"/>
    <n v="16400"/>
    <m/>
    <n v="200"/>
    <m/>
    <n v="4200"/>
    <m/>
    <m/>
    <n v="20"/>
    <m/>
    <m/>
    <m/>
    <n v="0"/>
  </r>
  <r>
    <s v="NPK 0-23-19"/>
    <s v="High-P"/>
    <s v="High-P"/>
    <x v="2"/>
    <m/>
    <n v="84000"/>
    <m/>
    <m/>
    <m/>
    <m/>
    <m/>
    <m/>
    <m/>
    <m/>
    <m/>
    <n v="0.23"/>
  </r>
  <r>
    <s v="Nitrabor"/>
    <s v="High-N"/>
    <s v="High-N"/>
    <x v="3"/>
    <m/>
    <n v="1700"/>
    <m/>
    <m/>
    <m/>
    <m/>
    <m/>
    <m/>
    <m/>
    <m/>
    <m/>
    <n v="0"/>
  </r>
  <r>
    <s v="NPK 0-18-18"/>
    <s v="High-P"/>
    <s v="High-P"/>
    <x v="4"/>
    <m/>
    <n v="5000"/>
    <m/>
    <m/>
    <m/>
    <m/>
    <m/>
    <m/>
    <m/>
    <m/>
    <m/>
    <n v="0.18"/>
  </r>
  <r>
    <s v="TSP"/>
    <s v="TSP"/>
    <s v="TSP"/>
    <x v="5"/>
    <m/>
    <n v="700"/>
    <m/>
    <m/>
    <m/>
    <m/>
    <m/>
    <m/>
    <m/>
    <m/>
    <m/>
    <n v="0.46"/>
  </r>
  <r>
    <s v="MOP"/>
    <s v="MOP"/>
    <s v="MOP"/>
    <x v="6"/>
    <m/>
    <m/>
    <n v="15900"/>
    <m/>
    <m/>
    <m/>
    <m/>
    <m/>
    <m/>
    <m/>
    <m/>
    <n v="0"/>
  </r>
  <r>
    <s v="NPK 10-10-30"/>
    <s v="High-K"/>
    <s v="High-K"/>
    <x v="7"/>
    <m/>
    <m/>
    <n v="7200"/>
    <m/>
    <m/>
    <m/>
    <m/>
    <m/>
    <m/>
    <m/>
    <m/>
    <n v="0.1"/>
  </r>
  <r>
    <s v="NPK 10.5-0-30"/>
    <s v="High-K"/>
    <s v="High-K"/>
    <x v="8"/>
    <m/>
    <m/>
    <n v="5800"/>
    <m/>
    <m/>
    <m/>
    <m/>
    <m/>
    <m/>
    <m/>
    <m/>
    <n v="0"/>
  </r>
  <r>
    <s v="Tricalcium phosphate"/>
    <s v="High-P"/>
    <s v="High-P"/>
    <x v="9"/>
    <m/>
    <m/>
    <n v="4000"/>
    <m/>
    <m/>
    <m/>
    <m/>
    <m/>
    <m/>
    <m/>
    <m/>
    <n v="0.46"/>
  </r>
  <r>
    <s v="NPK 3.5 - 3.5 - 49.5"/>
    <s v="High-K"/>
    <s v="High-K"/>
    <x v="10"/>
    <m/>
    <m/>
    <n v="2800"/>
    <m/>
    <m/>
    <m/>
    <m/>
    <m/>
    <m/>
    <m/>
    <m/>
    <n v="3.5000000000000003E-2"/>
  </r>
  <r>
    <s v="NPK 15-15-15 + 4MgO + 0.78"/>
    <s v="T15"/>
    <s v="T15"/>
    <x v="0"/>
    <m/>
    <m/>
    <m/>
    <m/>
    <m/>
    <m/>
    <m/>
    <m/>
    <m/>
    <m/>
    <m/>
    <n v="0.15"/>
  </r>
  <r>
    <s v="Urea"/>
    <s v="Urea"/>
    <s v="Urea"/>
    <x v="1"/>
    <m/>
    <m/>
    <m/>
    <m/>
    <m/>
    <m/>
    <m/>
    <m/>
    <m/>
    <m/>
    <m/>
    <n v="0"/>
  </r>
  <r>
    <s v="DAP"/>
    <s v="DAP"/>
    <s v="High-P"/>
    <x v="11"/>
    <m/>
    <m/>
    <n v="100"/>
    <m/>
    <m/>
    <m/>
    <m/>
    <n v="1600"/>
    <m/>
    <m/>
    <m/>
    <n v="0.46"/>
  </r>
  <r>
    <s v="NPK 15-15-15+65+1B"/>
    <s v="T15"/>
    <s v="T15"/>
    <x v="0"/>
    <m/>
    <m/>
    <m/>
    <n v="15100"/>
    <m/>
    <m/>
    <m/>
    <m/>
    <m/>
    <m/>
    <m/>
    <n v="0.15"/>
  </r>
  <r>
    <s v="Urea"/>
    <s v="Urea"/>
    <s v="Urea"/>
    <x v="1"/>
    <m/>
    <m/>
    <m/>
    <n v="6300"/>
    <m/>
    <m/>
    <m/>
    <m/>
    <m/>
    <m/>
    <m/>
    <n v="0"/>
  </r>
  <r>
    <s v="NPK 12-24-18"/>
    <s v="High-P"/>
    <s v="High-P"/>
    <x v="12"/>
    <m/>
    <m/>
    <m/>
    <n v="2600"/>
    <m/>
    <m/>
    <m/>
    <m/>
    <m/>
    <m/>
    <m/>
    <n v="0.24"/>
  </r>
  <r>
    <s v="NPK 15-15-15+65+1B"/>
    <s v="T15"/>
    <s v="T15"/>
    <x v="0"/>
    <m/>
    <m/>
    <m/>
    <m/>
    <m/>
    <m/>
    <m/>
    <m/>
    <m/>
    <m/>
    <m/>
    <n v="0.15"/>
  </r>
  <r>
    <s v="Urea"/>
    <s v="Urea"/>
    <s v="Urea"/>
    <x v="1"/>
    <m/>
    <m/>
    <m/>
    <m/>
    <m/>
    <m/>
    <m/>
    <m/>
    <m/>
    <m/>
    <m/>
    <n v="0"/>
  </r>
  <r>
    <s v="NPK 12-24-18"/>
    <s v="High-P"/>
    <s v="High-P"/>
    <x v="12"/>
    <m/>
    <m/>
    <m/>
    <m/>
    <n v="4300"/>
    <m/>
    <m/>
    <m/>
    <m/>
    <m/>
    <m/>
    <n v="0.24"/>
  </r>
  <r>
    <s v="NPK 16-8.5-23+2.5S+4MgO"/>
    <s v="High-K"/>
    <s v="High-K"/>
    <x v="13"/>
    <m/>
    <m/>
    <m/>
    <m/>
    <m/>
    <n v="5000"/>
    <m/>
    <m/>
    <m/>
    <m/>
    <m/>
    <n v="8.5000000000000006E-2"/>
  </r>
  <r>
    <s v="NPK 18.5-9-24 + 2.5S+2MgO"/>
    <s v="High-K"/>
    <s v="High-K"/>
    <x v="14"/>
    <m/>
    <m/>
    <m/>
    <m/>
    <m/>
    <n v="4100"/>
    <m/>
    <m/>
    <m/>
    <m/>
    <m/>
    <n v="0.09"/>
  </r>
  <r>
    <s v="NPK 18.5-9-24 + 2.5S+4CaO"/>
    <s v="High-K"/>
    <s v="High-K"/>
    <x v="14"/>
    <m/>
    <m/>
    <m/>
    <m/>
    <m/>
    <n v="3400"/>
    <m/>
    <m/>
    <m/>
    <m/>
    <m/>
    <n v="0.09"/>
  </r>
  <r>
    <s v="Urea"/>
    <s v="Urea"/>
    <s v="Urea"/>
    <x v="1"/>
    <m/>
    <m/>
    <m/>
    <m/>
    <m/>
    <n v="2100"/>
    <m/>
    <m/>
    <m/>
    <m/>
    <m/>
    <n v="0"/>
  </r>
  <r>
    <s v="MOP"/>
    <s v="MOP"/>
    <s v="MOP"/>
    <x v="6"/>
    <m/>
    <m/>
    <m/>
    <m/>
    <m/>
    <n v="1100"/>
    <m/>
    <m/>
    <m/>
    <m/>
    <m/>
    <n v="0"/>
  </r>
  <r>
    <s v="Dolomite"/>
    <s v="Other"/>
    <s v="Other"/>
    <x v="15"/>
    <m/>
    <m/>
    <m/>
    <m/>
    <m/>
    <n v="1800"/>
    <m/>
    <m/>
    <m/>
    <m/>
    <m/>
    <n v="0"/>
  </r>
  <r>
    <s v="Phosphate tricalcique"/>
    <s v="High-P"/>
    <s v="High-P"/>
    <x v="16"/>
    <m/>
    <m/>
    <m/>
    <m/>
    <m/>
    <n v="600"/>
    <m/>
    <m/>
    <m/>
    <m/>
    <m/>
    <n v="0.46"/>
  </r>
  <r>
    <s v="MAP"/>
    <s v="MAP"/>
    <s v="High-P"/>
    <x v="17"/>
    <m/>
    <m/>
    <m/>
    <m/>
    <m/>
    <n v="300"/>
    <m/>
    <m/>
    <m/>
    <m/>
    <m/>
    <n v="0.5"/>
  </r>
  <r>
    <s v="DAP"/>
    <s v="DAP"/>
    <s v="High-P"/>
    <x v="11"/>
    <m/>
    <m/>
    <m/>
    <m/>
    <m/>
    <n v="300"/>
    <m/>
    <m/>
    <m/>
    <m/>
    <m/>
    <n v="0.46"/>
  </r>
  <r>
    <s v="TSP"/>
    <s v="TSP"/>
    <s v="TSP"/>
    <x v="5"/>
    <m/>
    <m/>
    <m/>
    <m/>
    <m/>
    <n v="200"/>
    <m/>
    <m/>
    <m/>
    <m/>
    <m/>
    <n v="0.46"/>
  </r>
  <r>
    <s v="Phosphate rocks"/>
    <s v="Phosphate rocks"/>
    <s v="Phosphate rocks"/>
    <x v="18"/>
    <m/>
    <m/>
    <m/>
    <m/>
    <m/>
    <m/>
    <n v="7000"/>
    <m/>
    <m/>
    <m/>
    <m/>
    <n v="0.33"/>
  </r>
  <r>
    <s v="NPK 23.2-2-2.8-27.2"/>
    <s v="High-N"/>
    <s v="High-N"/>
    <x v="19"/>
    <m/>
    <m/>
    <m/>
    <m/>
    <m/>
    <m/>
    <n v="4800"/>
    <m/>
    <m/>
    <m/>
    <m/>
    <n v="0.02"/>
  </r>
  <r>
    <s v="NPK 14.4-32"/>
    <s v="High-P"/>
    <s v="High-P"/>
    <x v="20"/>
    <m/>
    <m/>
    <m/>
    <m/>
    <m/>
    <m/>
    <n v="3000"/>
    <m/>
    <m/>
    <m/>
    <m/>
    <n v="0.32"/>
  </r>
  <r>
    <s v="MOP"/>
    <s v="MOP"/>
    <s v="MOP"/>
    <x v="6"/>
    <m/>
    <m/>
    <m/>
    <m/>
    <m/>
    <m/>
    <n v="1420"/>
    <m/>
    <m/>
    <m/>
    <m/>
    <n v="0"/>
  </r>
  <r>
    <s v="Urea"/>
    <s v="Urea"/>
    <s v="Urea"/>
    <x v="1"/>
    <m/>
    <m/>
    <m/>
    <m/>
    <m/>
    <m/>
    <n v="1200"/>
    <m/>
    <m/>
    <m/>
    <m/>
    <n v="0"/>
  </r>
  <r>
    <s v="NPK-20.8-2.3-30"/>
    <s v="High-K"/>
    <s v="High-K"/>
    <x v="21"/>
    <m/>
    <m/>
    <m/>
    <m/>
    <m/>
    <m/>
    <n v="180"/>
    <m/>
    <m/>
    <m/>
    <m/>
    <n v="2.3E-2"/>
  </r>
  <r>
    <s v="MAP"/>
    <s v="MAP"/>
    <s v="High-P"/>
    <x v="17"/>
    <m/>
    <m/>
    <m/>
    <m/>
    <m/>
    <m/>
    <n v="80"/>
    <m/>
    <m/>
    <m/>
    <m/>
    <n v="0.5"/>
  </r>
  <r>
    <s v="Dolomite"/>
    <s v="Other"/>
    <s v="Other"/>
    <x v="15"/>
    <m/>
    <m/>
    <m/>
    <m/>
    <m/>
    <m/>
    <n v="20"/>
    <m/>
    <m/>
    <m/>
    <m/>
    <n v="0"/>
  </r>
  <r>
    <s v="DAP"/>
    <s v="DAP"/>
    <s v="High-P"/>
    <x v="11"/>
    <m/>
    <m/>
    <m/>
    <m/>
    <m/>
    <m/>
    <m/>
    <m/>
    <m/>
    <m/>
    <m/>
    <n v="0.46"/>
  </r>
  <r>
    <s v="NPK 15-7-15"/>
    <s v="High-N"/>
    <s v="High-N"/>
    <x v="22"/>
    <m/>
    <m/>
    <m/>
    <m/>
    <m/>
    <m/>
    <m/>
    <n v="800"/>
    <m/>
    <m/>
    <m/>
    <n v="7.0000000000000007E-2"/>
  </r>
  <r>
    <s v="NPK 14-10-18"/>
    <s v="High-K"/>
    <s v="High-K"/>
    <x v="23"/>
    <m/>
    <m/>
    <m/>
    <m/>
    <m/>
    <m/>
    <m/>
    <n v="390"/>
    <m/>
    <m/>
    <m/>
    <n v="0.1"/>
  </r>
  <r>
    <s v="NPK 0-13-37"/>
    <s v="High-K"/>
    <s v="High-K"/>
    <x v="24"/>
    <m/>
    <m/>
    <m/>
    <m/>
    <m/>
    <m/>
    <m/>
    <n v="70"/>
    <m/>
    <m/>
    <m/>
    <n v="0.13"/>
  </r>
  <r>
    <s v="NPK 10-10-10+7MgO+18CaO"/>
    <s v="T10"/>
    <s v="T10"/>
    <x v="7"/>
    <m/>
    <m/>
    <m/>
    <m/>
    <m/>
    <m/>
    <m/>
    <n v="20"/>
    <m/>
    <m/>
    <m/>
    <n v="0.1"/>
  </r>
  <r>
    <s v="NPK 17-8-9+3MgO"/>
    <s v="High-N"/>
    <s v="High-N"/>
    <x v="25"/>
    <m/>
    <m/>
    <m/>
    <m/>
    <m/>
    <m/>
    <m/>
    <n v="20"/>
    <m/>
    <m/>
    <m/>
    <n v="8.8999999999999996E-2"/>
  </r>
  <r>
    <s v="Urea"/>
    <s v="Urea"/>
    <s v="Urea"/>
    <x v="1"/>
    <m/>
    <m/>
    <m/>
    <m/>
    <m/>
    <m/>
    <m/>
    <m/>
    <m/>
    <m/>
    <m/>
    <n v="0"/>
  </r>
  <r>
    <s v="NPK 30-10-10"/>
    <s v="High-N"/>
    <s v="High-N"/>
    <x v="26"/>
    <m/>
    <m/>
    <m/>
    <m/>
    <m/>
    <m/>
    <m/>
    <n v="20"/>
    <m/>
    <m/>
    <m/>
    <n v="0.1"/>
  </r>
  <r>
    <s v="NPK 20-10-10+2.3MoG+10CaO"/>
    <s v="High-N"/>
    <s v="High-N"/>
    <x v="27"/>
    <m/>
    <m/>
    <m/>
    <m/>
    <m/>
    <m/>
    <m/>
    <n v="20"/>
    <m/>
    <m/>
    <m/>
    <n v="0.1"/>
  </r>
  <r>
    <s v="NPK 12-12-17"/>
    <s v="High-K"/>
    <s v="High-K"/>
    <x v="28"/>
    <m/>
    <m/>
    <m/>
    <m/>
    <m/>
    <m/>
    <m/>
    <m/>
    <m/>
    <m/>
    <m/>
    <n v="0.12"/>
  </r>
  <r>
    <s v="NPK 13-11-21"/>
    <s v="High-K"/>
    <s v="High-K"/>
    <x v="29"/>
    <m/>
    <m/>
    <m/>
    <m/>
    <m/>
    <m/>
    <m/>
    <m/>
    <m/>
    <m/>
    <m/>
    <n v="0.11"/>
  </r>
  <r>
    <s v="TSP"/>
    <s v="TSP"/>
    <s v="TSP"/>
    <x v="5"/>
    <m/>
    <m/>
    <m/>
    <m/>
    <m/>
    <m/>
    <m/>
    <m/>
    <m/>
    <m/>
    <m/>
    <n v="0.46"/>
  </r>
  <r>
    <s v="NPK 15-15-15+6S+1B"/>
    <s v="T15"/>
    <s v="T15"/>
    <x v="0"/>
    <m/>
    <m/>
    <m/>
    <m/>
    <m/>
    <m/>
    <m/>
    <m/>
    <n v="1300"/>
    <m/>
    <m/>
    <n v="0.15"/>
  </r>
  <r>
    <s v="Urea"/>
    <s v="Urea"/>
    <s v="Urea"/>
    <x v="1"/>
    <m/>
    <m/>
    <m/>
    <m/>
    <m/>
    <m/>
    <m/>
    <m/>
    <n v="350"/>
    <m/>
    <m/>
    <n v="0"/>
  </r>
  <r>
    <s v="NPK 12-22-22"/>
    <s v="High-P"/>
    <s v="High-P"/>
    <x v="30"/>
    <m/>
    <m/>
    <m/>
    <m/>
    <m/>
    <m/>
    <m/>
    <m/>
    <n v="200"/>
    <m/>
    <m/>
    <n v="0.22"/>
  </r>
  <r>
    <s v="Urea"/>
    <s v="Urea"/>
    <s v="Urea"/>
    <x v="1"/>
    <m/>
    <m/>
    <m/>
    <m/>
    <m/>
    <m/>
    <m/>
    <m/>
    <m/>
    <n v="500"/>
    <m/>
    <n v="0"/>
  </r>
  <r>
    <s v="NPK 24.4-4-20"/>
    <s v="High-N"/>
    <s v="High-N"/>
    <x v="31"/>
    <m/>
    <m/>
    <m/>
    <m/>
    <m/>
    <m/>
    <m/>
    <m/>
    <m/>
    <n v="400"/>
    <m/>
    <n v="0.04"/>
  </r>
  <r>
    <s v="Soluble potash"/>
    <s v="High-K"/>
    <s v="High-K"/>
    <x v="32"/>
    <m/>
    <m/>
    <m/>
    <m/>
    <m/>
    <m/>
    <m/>
    <m/>
    <m/>
    <n v="320"/>
    <m/>
    <n v="0"/>
  </r>
  <r>
    <s v="MOP"/>
    <s v="MOP"/>
    <s v="MOP"/>
    <x v="6"/>
    <m/>
    <m/>
    <m/>
    <m/>
    <m/>
    <m/>
    <m/>
    <m/>
    <m/>
    <n v="140"/>
    <m/>
    <n v="0"/>
  </r>
  <r>
    <s v="NPK 11-5-27"/>
    <s v="High-K"/>
    <s v="High-K"/>
    <x v="33"/>
    <m/>
    <m/>
    <m/>
    <m/>
    <m/>
    <m/>
    <m/>
    <m/>
    <m/>
    <n v="91"/>
    <m/>
    <n v="0.05"/>
  </r>
  <r>
    <s v="Kieserite"/>
    <s v="Other"/>
    <s v="Other"/>
    <x v="34"/>
    <m/>
    <m/>
    <m/>
    <m/>
    <m/>
    <m/>
    <m/>
    <m/>
    <m/>
    <n v="70"/>
    <m/>
    <n v="0"/>
  </r>
  <r>
    <s v="MAP"/>
    <s v="MAP"/>
    <s v="High-P"/>
    <x v="17"/>
    <m/>
    <m/>
    <m/>
    <m/>
    <m/>
    <m/>
    <m/>
    <m/>
    <m/>
    <n v="34"/>
    <m/>
    <n v="0.5"/>
  </r>
  <r>
    <s v="Calcium nitrate"/>
    <s v="Other"/>
    <s v="Other"/>
    <x v="35"/>
    <m/>
    <m/>
    <m/>
    <m/>
    <m/>
    <m/>
    <m/>
    <m/>
    <m/>
    <n v="15"/>
    <m/>
    <n v="0"/>
  </r>
  <r>
    <s v="NPL 10-18-18"/>
    <s v="High-P"/>
    <s v="High-P"/>
    <x v="36"/>
    <m/>
    <m/>
    <m/>
    <m/>
    <m/>
    <m/>
    <m/>
    <m/>
    <m/>
    <m/>
    <n v="500"/>
    <n v="0.18"/>
  </r>
  <r>
    <s v="Urea"/>
    <s v="Urea"/>
    <s v="Urea"/>
    <x v="1"/>
    <m/>
    <m/>
    <m/>
    <m/>
    <m/>
    <m/>
    <m/>
    <m/>
    <m/>
    <m/>
    <n v="200"/>
    <n v="0"/>
  </r>
  <r>
    <s v="MOP"/>
    <s v="MOP"/>
    <s v="MOP"/>
    <x v="6"/>
    <m/>
    <m/>
    <m/>
    <m/>
    <m/>
    <m/>
    <m/>
    <m/>
    <m/>
    <m/>
    <n v="40"/>
    <n v="0"/>
  </r>
  <r>
    <s v="Total (Product)"/>
    <m/>
    <m/>
    <x v="37"/>
    <n v="81900"/>
    <n v="91400"/>
    <n v="37100"/>
    <n v="24000"/>
    <n v="12000"/>
    <n v="18900"/>
    <n v="17700"/>
    <n v="2960"/>
    <n v="1850"/>
    <n v="1570"/>
    <n v="740"/>
    <n v="290120"/>
  </r>
  <r>
    <s v="Total (P2O5)"/>
    <m/>
    <m/>
    <x v="38"/>
    <n v="9825"/>
    <n v="20542"/>
    <n v="2869"/>
    <n v="2889"/>
    <n v="1557"/>
    <n v="1756"/>
    <n v="3410.14"/>
    <n v="847.88"/>
    <n v="239"/>
    <n v="37.549999999999997"/>
    <n v="90"/>
    <n v="44062.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D72695-64D8-4DE8-89BE-42D49249CCDB}" name="PivotTable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7:B178" firstHeaderRow="1" firstDataRow="1" firstDataCol="1" rowPageCount="1" colPageCount="1"/>
  <pivotFields count="4">
    <pivotField showAll="0"/>
    <pivotField axis="axisPage" showAll="0"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axis="axisRow" multipleItemSelectionAllowed="1" showAll="0" sortType="descending">
      <items count="66">
        <item h="1" x="53"/>
        <item h="1" x="3"/>
        <item h="1" x="15"/>
        <item h="1" x="4"/>
        <item h="1" x="5"/>
        <item h="1" x="0"/>
        <item h="1" x="17"/>
        <item x="18"/>
        <item h="1" x="2"/>
        <item h="1" x="22"/>
        <item x="54"/>
        <item x="49"/>
        <item x="45"/>
        <item x="50"/>
        <item x="39"/>
        <item x="32"/>
        <item x="37"/>
        <item x="34"/>
        <item x="23"/>
        <item x="6"/>
        <item x="38"/>
        <item x="7"/>
        <item x="47"/>
        <item x="60"/>
        <item x="51"/>
        <item x="40"/>
        <item x="41"/>
        <item x="42"/>
        <item x="43"/>
        <item x="26"/>
        <item x="48"/>
        <item x="8"/>
        <item x="24"/>
        <item x="9"/>
        <item x="27"/>
        <item x="55"/>
        <item x="10"/>
        <item x="11"/>
        <item x="63"/>
        <item x="12"/>
        <item x="44"/>
        <item x="28"/>
        <item x="35"/>
        <item x="56"/>
        <item x="46"/>
        <item x="36"/>
        <item x="52"/>
        <item x="13"/>
        <item x="57"/>
        <item x="64"/>
        <item x="29"/>
        <item x="59"/>
        <item x="30"/>
        <item x="19"/>
        <item h="1" x="1"/>
        <item h="1" x="61"/>
        <item x="25"/>
        <item x="62"/>
        <item h="1" x="31"/>
        <item h="1" x="21"/>
        <item x="58"/>
        <item x="16"/>
        <item h="1" x="20"/>
        <item x="33"/>
        <item h="1" x="14"/>
        <item t="default"/>
      </items>
      <autoSortScope>
        <pivotArea dataOnly="0" outline="0" fieldPosition="0">
          <references count="1">
            <reference field="4294967294" count="1" selected="0">
              <x v="0"/>
            </reference>
          </references>
        </pivotArea>
      </autoSortScope>
    </pivotField>
    <pivotField dataField="1" numFmtId="4" showAll="0"/>
  </pivotFields>
  <rowFields count="1">
    <field x="2"/>
  </rowFields>
  <rowItems count="51">
    <i>
      <x v="37"/>
    </i>
    <i>
      <x v="21"/>
    </i>
    <i>
      <x v="46"/>
    </i>
    <i>
      <x v="7"/>
    </i>
    <i>
      <x v="63"/>
    </i>
    <i>
      <x v="35"/>
    </i>
    <i>
      <x v="36"/>
    </i>
    <i>
      <x v="38"/>
    </i>
    <i>
      <x v="60"/>
    </i>
    <i>
      <x v="31"/>
    </i>
    <i>
      <x v="43"/>
    </i>
    <i>
      <x v="30"/>
    </i>
    <i>
      <x v="22"/>
    </i>
    <i>
      <x v="49"/>
    </i>
    <i>
      <x v="47"/>
    </i>
    <i>
      <x v="45"/>
    </i>
    <i>
      <x v="19"/>
    </i>
    <i>
      <x v="61"/>
    </i>
    <i>
      <x v="32"/>
    </i>
    <i>
      <x v="10"/>
    </i>
    <i>
      <x v="44"/>
    </i>
    <i>
      <x v="53"/>
    </i>
    <i>
      <x v="39"/>
    </i>
    <i>
      <x v="29"/>
    </i>
    <i>
      <x v="33"/>
    </i>
    <i>
      <x v="52"/>
    </i>
    <i>
      <x v="41"/>
    </i>
    <i>
      <x v="15"/>
    </i>
    <i>
      <x v="14"/>
    </i>
    <i>
      <x v="20"/>
    </i>
    <i>
      <x v="17"/>
    </i>
    <i>
      <x v="28"/>
    </i>
    <i>
      <x v="16"/>
    </i>
    <i>
      <x v="42"/>
    </i>
    <i>
      <x v="40"/>
    </i>
    <i>
      <x v="56"/>
    </i>
    <i>
      <x v="13"/>
    </i>
    <i>
      <x v="51"/>
    </i>
    <i>
      <x v="18"/>
    </i>
    <i>
      <x v="50"/>
    </i>
    <i>
      <x v="11"/>
    </i>
    <i>
      <x v="48"/>
    </i>
    <i>
      <x v="24"/>
    </i>
    <i>
      <x v="57"/>
    </i>
    <i>
      <x v="34"/>
    </i>
    <i>
      <x v="23"/>
    </i>
    <i>
      <x v="12"/>
    </i>
    <i>
      <x v="25"/>
    </i>
    <i>
      <x v="26"/>
    </i>
    <i>
      <x v="27"/>
    </i>
    <i t="grand">
      <x/>
    </i>
  </rowItems>
  <colItems count="1">
    <i/>
  </colItems>
  <pageFields count="1">
    <pageField fld="1" hier="-1"/>
  </pageFields>
  <dataFields count="1">
    <dataField name="Sum of Imports from Country in MT" fld="3" baseField="0" baseItem="0" numFmtId="178"/>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A88177-92CB-4927-9D8E-7912937F385B}"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1:M221" firstHeaderRow="0" firstDataRow="1" firstDataCol="1"/>
  <pivotFields count="16">
    <pivotField showAll="0"/>
    <pivotField showAll="0"/>
    <pivotField showAll="0"/>
    <pivotField axis="axisRow" showAll="0">
      <items count="40">
        <item x="24"/>
        <item x="4"/>
        <item x="2"/>
        <item x="8"/>
        <item x="7"/>
        <item x="36"/>
        <item x="33"/>
        <item x="28"/>
        <item x="30"/>
        <item x="12"/>
        <item x="29"/>
        <item x="23"/>
        <item x="20"/>
        <item x="0"/>
        <item x="22"/>
        <item x="13"/>
        <item x="25"/>
        <item x="14"/>
        <item x="27"/>
        <item x="21"/>
        <item x="19"/>
        <item x="31"/>
        <item x="10"/>
        <item x="26"/>
        <item x="35"/>
        <item x="11"/>
        <item x="15"/>
        <item x="34"/>
        <item x="17"/>
        <item x="6"/>
        <item x="3"/>
        <item x="18"/>
        <item x="16"/>
        <item x="32"/>
        <item x="38"/>
        <item x="37"/>
        <item x="9"/>
        <item x="5"/>
        <item x="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s>
  <rowFields count="1">
    <field x="3"/>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11">
    <i>
      <x/>
    </i>
    <i i="1">
      <x v="1"/>
    </i>
    <i i="2">
      <x v="2"/>
    </i>
    <i i="3">
      <x v="3"/>
    </i>
    <i i="4">
      <x v="4"/>
    </i>
    <i i="5">
      <x v="5"/>
    </i>
    <i i="6">
      <x v="6"/>
    </i>
    <i i="7">
      <x v="7"/>
    </i>
    <i i="8">
      <x v="8"/>
    </i>
    <i i="9">
      <x v="9"/>
    </i>
    <i i="10">
      <x v="10"/>
    </i>
  </colItems>
  <dataFields count="11">
    <dataField name="Sum of Cotton" fld="4" baseField="0" baseItem="0"/>
    <dataField name="Sum of Cocoa" fld="5" baseField="0" baseItem="0"/>
    <dataField name="Sum of Oil Palm" fld="6" baseField="0" baseItem="0"/>
    <dataField name="Sum of Maize" fld="7" baseField="0" baseItem="0"/>
    <dataField name="Sum of Rice" fld="8" baseField="0" baseItem="0"/>
    <dataField name="Sum of Sugarecane" fld="9" baseField="0" baseItem="0"/>
    <dataField name="Sum of Banana" fld="10" baseField="0" baseItem="0"/>
    <dataField name="Sum of Rubber" fld="11" baseField="0" baseItem="0"/>
    <dataField name="Sum of Legumes" fld="12" baseField="0" baseItem="0"/>
    <dataField name="Sum of Pineapple" fld="13" baseField="0" baseItem="0"/>
    <dataField name="Sum of Vegetab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A8397C-4BA8-4C6E-B53C-6A348F4C8E96}"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M25" firstHeaderRow="1" firstDataRow="2" firstDataCol="1"/>
  <pivotFields count="14">
    <pivotField showAll="0"/>
    <pivotField showAll="0"/>
    <pivotField showAll="0"/>
    <pivotField showAll="0"/>
    <pivotField showAll="0"/>
    <pivotField showAll="0"/>
    <pivotField showAll="0"/>
    <pivotField axis="axisRow" showAll="0" sortType="descending">
      <items count="102">
        <item h="1" x="3"/>
        <item h="1" m="1" x="74"/>
        <item h="1" m="1" x="81"/>
        <item h="1" m="1" x="70"/>
        <item x="5"/>
        <item h="1" m="1" x="72"/>
        <item h="1" x="6"/>
        <item h="1" x="7"/>
        <item h="1" m="1" x="62"/>
        <item h="1" x="12"/>
        <item h="1" m="1" x="98"/>
        <item h="1" m="1" x="97"/>
        <item x="18"/>
        <item h="1" m="1" x="60"/>
        <item h="1" m="1" x="78"/>
        <item x="22"/>
        <item x="23"/>
        <item h="1" x="24"/>
        <item h="1" x="27"/>
        <item h="1" m="1" x="99"/>
        <item h="1" x="30"/>
        <item h="1" x="32"/>
        <item h="1" x="34"/>
        <item h="1" x="35"/>
        <item h="1" x="36"/>
        <item h="1" x="38"/>
        <item h="1" m="1" x="84"/>
        <item h="1" x="40"/>
        <item h="1" x="45"/>
        <item x="47"/>
        <item x="48"/>
        <item h="1" x="49"/>
        <item x="50"/>
        <item x="53"/>
        <item h="1" x="54"/>
        <item h="1" x="56"/>
        <item h="1" x="57"/>
        <item h="1" m="1" x="87"/>
        <item h="1" m="1" x="86"/>
        <item h="1" m="1" x="71"/>
        <item h="1" m="1" x="94"/>
        <item h="1" m="1" x="100"/>
        <item h="1" m="1" x="91"/>
        <item h="1" m="1" x="82"/>
        <item h="1" x="1"/>
        <item h="1" x="2"/>
        <item h="1" m="1" x="61"/>
        <item x="4"/>
        <item h="1" m="1" x="65"/>
        <item h="1" m="1" x="79"/>
        <item h="1" m="1" x="63"/>
        <item h="1" m="1" x="96"/>
        <item h="1" x="9"/>
        <item x="10"/>
        <item h="1" x="13"/>
        <item h="1" x="16"/>
        <item h="1" m="1" x="88"/>
        <item h="1" m="1" x="75"/>
        <item h="1" m="1" x="66"/>
        <item h="1" m="1" x="90"/>
        <item h="1" m="1" x="89"/>
        <item h="1" x="29"/>
        <item h="1" m="1" x="76"/>
        <item h="1" x="31"/>
        <item h="1" x="33"/>
        <item h="1" x="37"/>
        <item h="1" x="39"/>
        <item h="1" m="1" x="69"/>
        <item h="1" m="1" x="73"/>
        <item h="1" m="1" x="93"/>
        <item x="41"/>
        <item x="43"/>
        <item h="1" m="1" x="80"/>
        <item h="1" x="44"/>
        <item h="1" m="1" x="68"/>
        <item h="1" m="1" x="77"/>
        <item h="1" x="51"/>
        <item h="1" m="1" x="64"/>
        <item h="1" m="1" x="83"/>
        <item h="1" m="1" x="95"/>
        <item h="1" m="1" x="67"/>
        <item h="1" m="1" x="85"/>
        <item h="1" m="1" x="92"/>
        <item h="1" x="58"/>
        <item h="1" x="0"/>
        <item x="8"/>
        <item h="1" x="11"/>
        <item h="1" x="14"/>
        <item h="1" x="15"/>
        <item h="1" x="17"/>
        <item h="1" x="19"/>
        <item h="1" x="20"/>
        <item h="1" x="21"/>
        <item x="25"/>
        <item x="26"/>
        <item h="1" x="28"/>
        <item h="1" x="42"/>
        <item h="1" x="46"/>
        <item h="1" x="52"/>
        <item h="1" x="55"/>
        <item h="1" x="59"/>
        <item t="default"/>
      </items>
      <autoSortScope>
        <pivotArea dataOnly="0" outline="0" fieldPosition="0">
          <references count="2">
            <reference field="4294967294" count="1" selected="0">
              <x v="0"/>
            </reference>
            <reference field="9" count="1" selected="0">
              <x v="4"/>
            </reference>
          </references>
        </pivotArea>
      </autoSortScope>
    </pivotField>
    <pivotField showAll="0"/>
    <pivotField axis="axisCol" showAll="0" sortType="ascending">
      <items count="9">
        <item x="0"/>
        <item x="1"/>
        <item x="2"/>
        <item x="3"/>
        <item x="4"/>
        <item x="5"/>
        <item x="6"/>
        <item x="7"/>
        <item t="default"/>
      </items>
    </pivotField>
    <pivotField showAll="0"/>
    <pivotField dataField="1" numFmtId="173" showAll="0"/>
    <pivotField showAll="0"/>
    <pivotField showAll="0"/>
  </pivotFields>
  <rowFields count="1">
    <field x="7"/>
  </rowFields>
  <rowItems count="16">
    <i>
      <x v="85"/>
    </i>
    <i>
      <x v="47"/>
    </i>
    <i>
      <x v="53"/>
    </i>
    <i>
      <x v="4"/>
    </i>
    <i>
      <x v="29"/>
    </i>
    <i>
      <x v="71"/>
    </i>
    <i>
      <x v="15"/>
    </i>
    <i>
      <x v="93"/>
    </i>
    <i>
      <x v="30"/>
    </i>
    <i>
      <x v="94"/>
    </i>
    <i>
      <x v="16"/>
    </i>
    <i>
      <x v="12"/>
    </i>
    <i>
      <x v="32"/>
    </i>
    <i>
      <x v="33"/>
    </i>
    <i>
      <x v="70"/>
    </i>
    <i t="grand">
      <x/>
    </i>
  </rowItems>
  <colFields count="1">
    <field x="9"/>
  </colFields>
  <colItems count="8">
    <i>
      <x/>
    </i>
    <i>
      <x v="1"/>
    </i>
    <i>
      <x v="2"/>
    </i>
    <i>
      <x v="3"/>
    </i>
    <i>
      <x v="4"/>
    </i>
    <i>
      <x v="5"/>
    </i>
    <i>
      <x v="6"/>
    </i>
    <i t="grand">
      <x/>
    </i>
  </colItems>
  <dataFields count="1">
    <dataField name="Sum of Value" fld="11" baseField="0" baseItem="0" numFmtId="3"/>
  </dataFields>
  <formats count="17">
    <format dxfId="29">
      <pivotArea outline="0" collapsedLevelsAreSubtotals="1" fieldPosition="0"/>
    </format>
    <format dxfId="28">
      <pivotArea dataOnly="0" labelOnly="1" fieldPosition="0">
        <references count="1">
          <reference field="7" count="3">
            <x v="8"/>
            <x v="17"/>
            <x v="32"/>
          </reference>
        </references>
      </pivotArea>
    </format>
    <format dxfId="27">
      <pivotArea dataOnly="0" labelOnly="1" fieldPosition="0">
        <references count="1">
          <reference field="7" count="1">
            <x v="12"/>
          </reference>
        </references>
      </pivotArea>
    </format>
    <format dxfId="26">
      <pivotArea dataOnly="0" labelOnly="1" fieldPosition="0">
        <references count="1">
          <reference field="7" count="1">
            <x v="31"/>
          </reference>
        </references>
      </pivotArea>
    </format>
    <format dxfId="25">
      <pivotArea dataOnly="0" labelOnly="1" fieldPosition="0">
        <references count="1">
          <reference field="7" count="1">
            <x v="19"/>
          </reference>
        </references>
      </pivotArea>
    </format>
    <format dxfId="24">
      <pivotArea dataOnly="0" labelOnly="1" fieldPosition="0">
        <references count="1">
          <reference field="7" count="1">
            <x v="2"/>
          </reference>
        </references>
      </pivotArea>
    </format>
    <format dxfId="23">
      <pivotArea dataOnly="0" labelOnly="1" fieldPosition="0">
        <references count="1">
          <reference field="7" count="1">
            <x v="35"/>
          </reference>
        </references>
      </pivotArea>
    </format>
    <format dxfId="22">
      <pivotArea dataOnly="0" labelOnly="1" fieldPosition="0">
        <references count="1">
          <reference field="7" count="1">
            <x v="14"/>
          </reference>
        </references>
      </pivotArea>
    </format>
    <format dxfId="21">
      <pivotArea dataOnly="0" labelOnly="1" fieldPosition="0">
        <references count="1">
          <reference field="7" count="1">
            <x v="29"/>
          </reference>
        </references>
      </pivotArea>
    </format>
    <format dxfId="20">
      <pivotArea dataOnly="0" labelOnly="1" fieldPosition="0">
        <references count="1">
          <reference field="7" count="1">
            <x v="15"/>
          </reference>
        </references>
      </pivotArea>
    </format>
    <format dxfId="19">
      <pivotArea dataOnly="0" labelOnly="1" fieldPosition="0">
        <references count="1">
          <reference field="7" count="1">
            <x v="28"/>
          </reference>
        </references>
      </pivotArea>
    </format>
    <format dxfId="18">
      <pivotArea dataOnly="0" labelOnly="1" fieldPosition="0">
        <references count="1">
          <reference field="7" count="1">
            <x v="34"/>
          </reference>
        </references>
      </pivotArea>
    </format>
    <format dxfId="17">
      <pivotArea dataOnly="0" labelOnly="1" fieldPosition="0">
        <references count="1">
          <reference field="7" count="1">
            <x v="1"/>
          </reference>
        </references>
      </pivotArea>
    </format>
    <format dxfId="16">
      <pivotArea dataOnly="0" fieldPosition="0">
        <references count="1">
          <reference field="7" count="1">
            <x v="7"/>
          </reference>
        </references>
      </pivotArea>
    </format>
    <format dxfId="15">
      <pivotArea dataOnly="0" labelOnly="1" fieldPosition="0">
        <references count="1">
          <reference field="7" count="1">
            <x v="25"/>
          </reference>
        </references>
      </pivotArea>
    </format>
    <format dxfId="14">
      <pivotArea collapsedLevelsAreSubtotals="1" fieldPosition="0">
        <references count="1">
          <reference field="7" count="1">
            <x v="7"/>
          </reference>
        </references>
      </pivotArea>
    </format>
    <format dxfId="13">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2FF5A6-C93A-4159-8B3A-114F9E13C0F5}" name="PivotTable1"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6:R20" firstHeaderRow="1" firstDataRow="1" firstDataCol="1"/>
  <pivotFields count="8">
    <pivotField showAll="0"/>
    <pivotField showAll="0"/>
    <pivotField showAll="0"/>
    <pivotField showAll="0"/>
    <pivotField axis="axisRow" showAll="0">
      <items count="14">
        <item x="0"/>
        <item x="7"/>
        <item x="3"/>
        <item x="8"/>
        <item x="1"/>
        <item x="10"/>
        <item x="11"/>
        <item x="4"/>
        <item x="12"/>
        <item x="6"/>
        <item x="9"/>
        <item x="5"/>
        <item x="2"/>
        <item t="default"/>
      </items>
    </pivotField>
    <pivotField showAll="0"/>
    <pivotField dataField="1" numFmtId="181" showAll="0"/>
    <pivotField numFmtId="182" showAll="0"/>
  </pivotFields>
  <rowFields count="1">
    <field x="4"/>
  </rowFields>
  <rowItems count="14">
    <i>
      <x/>
    </i>
    <i>
      <x v="1"/>
    </i>
    <i>
      <x v="2"/>
    </i>
    <i>
      <x v="3"/>
    </i>
    <i>
      <x v="4"/>
    </i>
    <i>
      <x v="5"/>
    </i>
    <i>
      <x v="6"/>
    </i>
    <i>
      <x v="7"/>
    </i>
    <i>
      <x v="8"/>
    </i>
    <i>
      <x v="9"/>
    </i>
    <i>
      <x v="10"/>
    </i>
    <i>
      <x v="11"/>
    </i>
    <i>
      <x v="12"/>
    </i>
    <i t="grand">
      <x/>
    </i>
  </rowItems>
  <colItems count="1">
    <i/>
  </colItems>
  <dataFields count="1">
    <dataField name="Sum of Somme de OK Quantity in Sale's Uni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757FBC-A9E2-4B11-8BCB-7CD512C624BA}" name="PivotTable2" cacheId="32" applyNumberFormats="0" applyBorderFormats="0" applyFontFormats="0" applyPatternFormats="0" applyAlignmentFormats="0" applyWidthHeightFormats="1" dataCaption="Values" updatedVersion="8" minRefreshableVersion="3" useAutoFormatting="1" itemPrintTitles="1" createdVersion="8" indent="0" compact="0" compactData="0">
  <location ref="B5:C11" firstHeaderRow="1" firstDataRow="1" firstDataCol="1" rowPageCount="3" colPageCount="1"/>
  <pivotFields count="48">
    <pivotField axis="axisPage" compact="0" multipleItemSelectionAllowed="1" showAll="0" includeNewItemsInFilter="1">
      <items count="33">
        <item x="13"/>
        <item x="8"/>
        <item x="20"/>
        <item x="7"/>
        <item x="26"/>
        <item x="11"/>
        <item x="22"/>
        <item x="14"/>
        <item x="16"/>
        <item x="24"/>
        <item x="23"/>
        <item x="1"/>
        <item x="12"/>
        <item x="28"/>
        <item x="25"/>
        <item x="18"/>
        <item x="2"/>
        <item x="15"/>
        <item h="1" x="3"/>
        <item h="1" x="10"/>
        <item h="1" x="27"/>
        <item h="1" x="4"/>
        <item h="1" x="0"/>
        <item x="30"/>
        <item x="21"/>
        <item x="9"/>
        <item x="17"/>
        <item x="19"/>
        <item x="5"/>
        <item x="29"/>
        <item x="6"/>
        <item x="31"/>
        <item t="default"/>
      </items>
    </pivotField>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axis="axisPage" compact="0" multipleItemSelectionAllowed="1" showAll="0" includeNewItemsInFilter="1">
      <items count="87">
        <item x="22"/>
        <item x="23"/>
        <item x="21"/>
        <item x="12"/>
        <item x="13"/>
        <item x="25"/>
        <item x="26"/>
        <item x="27"/>
        <item x="24"/>
        <item x="29"/>
        <item x="30"/>
        <item x="36"/>
        <item x="14"/>
        <item x="37"/>
        <item x="31"/>
        <item x="33"/>
        <item x="34"/>
        <item x="2"/>
        <item x="41"/>
        <item x="28"/>
        <item x="32"/>
        <item x="15"/>
        <item x="38"/>
        <item x="16"/>
        <item x="35"/>
        <item x="17"/>
        <item x="39"/>
        <item x="44"/>
        <item x="18"/>
        <item x="42"/>
        <item x="40"/>
        <item x="43"/>
        <item x="3"/>
        <item x="46"/>
        <item x="1"/>
        <item x="45"/>
        <item x="4"/>
        <item x="48"/>
        <item x="47"/>
        <item x="50"/>
        <item x="49"/>
        <item x="51"/>
        <item x="19"/>
        <item x="52"/>
        <item x="53"/>
        <item x="5"/>
        <item x="6"/>
        <item x="55"/>
        <item x="54"/>
        <item x="58"/>
        <item x="56"/>
        <item x="57"/>
        <item x="20"/>
        <item x="60"/>
        <item x="59"/>
        <item x="0"/>
        <item x="62"/>
        <item x="81"/>
        <item x="61"/>
        <item x="7"/>
        <item x="66"/>
        <item x="67"/>
        <item x="63"/>
        <item x="8"/>
        <item x="64"/>
        <item x="65"/>
        <item x="82"/>
        <item x="9"/>
        <item x="68"/>
        <item x="69"/>
        <item x="70"/>
        <item x="73"/>
        <item x="74"/>
        <item x="10"/>
        <item x="71"/>
        <item h="1" x="11"/>
        <item h="1" x="72"/>
        <item h="1" x="75"/>
        <item h="1" x="76"/>
        <item h="1" x="80"/>
        <item h="1" x="78"/>
        <item h="1" x="77"/>
        <item h="1" x="79"/>
        <item h="1" x="83"/>
        <item h="1" x="84"/>
        <item x="85"/>
        <item t="default"/>
      </items>
    </pivotField>
    <pivotField compact="0" showAll="0" includeNewItemsInFilter="1"/>
    <pivotField compact="0" showAll="0" includeNewItemsInFilter="1"/>
    <pivotField compact="0" showAll="0" includeNewItemsInFilter="1"/>
    <pivotField compact="0" showAll="0" includeNewItemsInFilter="1">
      <items count="10">
        <item x="7"/>
        <item x="2"/>
        <item x="6"/>
        <item x="1"/>
        <item x="3"/>
        <item x="0"/>
        <item h="1" x="5"/>
        <item x="4"/>
        <item x="8"/>
        <item t="default"/>
      </items>
    </pivotField>
    <pivotField axis="axisRow" compact="0" showAll="0" includeNewItemsInFilter="1">
      <items count="26">
        <item x="19"/>
        <item x="21"/>
        <item x="12"/>
        <item x="2"/>
        <item x="22"/>
        <item x="23"/>
        <item x="16"/>
        <item x="1"/>
        <item x="9"/>
        <item x="13"/>
        <item x="20"/>
        <item x="18"/>
        <item x="6"/>
        <item x="14"/>
        <item x="10"/>
        <item x="4"/>
        <item x="17"/>
        <item x="3"/>
        <item x="15"/>
        <item x="7"/>
        <item x="11"/>
        <item x="0"/>
        <item x="8"/>
        <item x="5"/>
        <item x="24"/>
        <item t="default"/>
      </items>
    </pivotField>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dataField="1"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axis="axisPage" compact="0" showAll="0" includeNewItemsInFilter="1">
      <items count="22">
        <item x="9"/>
        <item x="11"/>
        <item x="13"/>
        <item x="5"/>
        <item x="3"/>
        <item x="10"/>
        <item x="14"/>
        <item x="8"/>
        <item x="18"/>
        <item x="17"/>
        <item x="6"/>
        <item x="12"/>
        <item x="1"/>
        <item x="2"/>
        <item x="4"/>
        <item x="16"/>
        <item x="0"/>
        <item x="15"/>
        <item x="7"/>
        <item x="19"/>
        <item x="20"/>
        <item t="default"/>
      </items>
    </pivotField>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 compact="0" showAll="0" includeNewItemsInFilter="1"/>
  </pivotFields>
  <rowFields count="1">
    <field x="16"/>
  </rowFields>
  <rowItems count="6">
    <i>
      <x/>
    </i>
    <i>
      <x v="3"/>
    </i>
    <i>
      <x v="8"/>
    </i>
    <i>
      <x v="9"/>
    </i>
    <i>
      <x v="23"/>
    </i>
    <i t="grand">
      <x/>
    </i>
  </rowItems>
  <colItems count="1">
    <i/>
  </colItems>
  <pageFields count="3">
    <pageField fld="11" hier="-1"/>
    <pageField fld="36" item="4" hier="-1"/>
    <pageField fld="0" hier="-1"/>
  </pageFields>
  <dataFields count="1">
    <dataField name="Sum of Quantité facturée réajustée" fld="22" baseField="3" baseItem="1048828" numFmtId="178"/>
  </dataFields>
  <formats count="1">
    <format dxfId="0">
      <pivotArea outline="0" collapsedLevelsAreSubtotals="1"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8B4E38-22D4-4DB7-A7AA-2152415D4652}" name="Table3" displayName="Table3" ref="A1:AV5" totalsRowShown="0">
  <autoFilter ref="A1:AV5" xr:uid="{BA8B4E38-22D4-4DB7-A7AA-2152415D4652}"/>
  <tableColumns count="48">
    <tableColumn id="1" xr3:uid="{78A1F364-7C88-4F75-A147-8F1433EF60C5}" name="Client"/>
    <tableColumn id="2" xr3:uid="{75893303-D559-4C0F-93C1-8F14543CBDB2}" name="Numéro de facture"/>
    <tableColumn id="3" xr3:uid="{4EC78773-08E9-4976-9D24-B97506BAC1E0}" name="Numéro de commande"/>
    <tableColumn id="4" xr3:uid="{45B88475-DD33-48D8-8E71-19B5B7A9832D}" name="Débloquée par "/>
    <tableColumn id="5" xr3:uid="{27EFB6EA-F5B3-4ACB-B00C-87B7955CC917}" name="Mode d'expédition"/>
    <tableColumn id="6" xr3:uid="{7484BC2D-5A70-4B50-AFA6-0C43AE53E23D}" name="ID OV"/>
    <tableColumn id="7" xr3:uid="{8A631A82-E737-4820-9343-917F0695E996}" name="Devise"/>
    <tableColumn id="8" xr3:uid="{45B76D47-C90F-470B-9421-891F6A254715}" name="Entité"/>
    <tableColumn id="9" xr3:uid="{F7238B17-C22C-4E1C-9E11-88B8B995E245}" name="Type"/>
    <tableColumn id="10" xr3:uid="{47EF4C1F-6E01-4B0C-89C7-05819A34AAF2}" name="Navire"/>
    <tableColumn id="11" xr3:uid="{ED3301E8-5BFA-4B74-A8C3-ED4989814141}" name="ID Parcel"/>
    <tableColumn id="12" xr3:uid="{08EDAFB8-DD63-4B16-BD0D-8CABC763EAC5}" name="Date BL" dataDxfId="12"/>
    <tableColumn id="13" xr3:uid="{10FA29A3-2EF2-4F8C-83C9-316410DFF0FF}" name="Port de chargement"/>
    <tableColumn id="14" xr3:uid="{6F7E8D2E-89C0-4787-BFBB-AA50344BCFC3}" name="Port de déchargement"/>
    <tableColumn id="15" xr3:uid="{ECE35627-67DE-4F48-AF55-301E932136DD}" name="Mode de vente"/>
    <tableColumn id="16" xr3:uid="{5391CF3E-CE2D-4EF2-9CF6-4E49C335131E}" name="PDT"/>
    <tableColumn id="17" xr3:uid="{981C1787-DCF5-44CF-9F84-DE8EFC845870}" name="Produit"/>
    <tableColumn id="18" xr3:uid="{92E33654-CF6A-4CDF-9A55-A373F7E1050A}" name="Famille du produit"/>
    <tableColumn id="19" xr3:uid="{46413E74-5019-4A28-95B6-304D10EAF3FE}" name="Quantité chargée"/>
    <tableColumn id="20" xr3:uid="{FE59211A-C79F-4805-97CF-E90451FCCAF4}" name="Concentration"/>
    <tableColumn id="21" xr3:uid="{3A034E35-9BD1-4773-A2CA-F97BAE2F37D0}" name="Humidité"/>
    <tableColumn id="22" xr3:uid="{9D574BAD-5C8B-4282-A072-5CA262C804AB}" name="Quantité facturée"/>
    <tableColumn id="23" xr3:uid="{D708DBED-50F8-4A8E-B516-FC2F096B63E1}" name="Quantité facturée réajustée"/>
    <tableColumn id="24" xr3:uid="{EBF9C3C6-6A40-4263-AA55-5B292630E0A4}" name="Montant Ex Work"/>
    <tableColumn id="25" xr3:uid="{0D027AC6-A3C0-4375-B6E1-0E7F3A3561C5}" name="Montant mise à FOB"/>
    <tableColumn id="26" xr3:uid="{0FDD6EF1-DDD5-4DDF-B046-E11D65EB69DC}" name="Montant FOB"/>
    <tableColumn id="27" xr3:uid="{A50E2899-2C92-4DCE-8A9D-D120B5440B6D}" name="Montant AJF"/>
    <tableColumn id="28" xr3:uid="{7DDD6145-48F1-4060-BFCA-A65BE5945F50}" name="Montant FRET"/>
    <tableColumn id="29" xr3:uid="{BF789389-3D10-4DB9-A06A-F4FE79139240}" name=" Montant assurance et stocke"/>
    <tableColumn id="30" xr3:uid="{2BA47B8E-3F7A-47F9-8BC0-037E6D26E0ED}" name=" Montant CFR LINER OUT"/>
    <tableColumn id="31" xr3:uid="{26A27482-4E64-4A95-8F3F-90201FCD22FC}" name="Montant réajustements de qualité"/>
    <tableColumn id="32" xr3:uid="{EE396306-3BFB-4163-AF11-4A598DE58253}" name="Montant régularisations de prix"/>
    <tableColumn id="33" xr3:uid="{64FD9EC0-6821-499C-B83F-7FC3B5CDB1C1}" name="Montant global réajustements "/>
    <tableColumn id="34" xr3:uid="{23A3D888-7D72-4B54-9F21-8C14F42E630D}" name="CA FOB Net "/>
    <tableColumn id="35" xr3:uid="{F6C20459-CC75-42C7-9D62-3339FC223D45}" name="CA TQ Net "/>
    <tableColumn id="36" xr3:uid="{EFAE237B-61E5-4B1B-A631-7A193D880B3F}" name="Nature prix "/>
    <tableColumn id="37" xr3:uid="{0260AFEB-7D60-4777-B7AC-C6C6D0437305}" name="Pays du client"/>
    <tableColumn id="38" xr3:uid="{7D74CFA3-04EE-42CB-B008-58D6F5437043}" name="Secteur de Vente"/>
    <tableColumn id="39" xr3:uid="{84A2D3C1-7C70-444F-8054-A27DAF9AA38A}" name="Mode de Paiement"/>
    <tableColumn id="40" xr3:uid="{74543816-72C3-4F7E-BC3F-7520BCD4E661}" name="Echéance" dataDxfId="11"/>
    <tableColumn id="41" xr3:uid="{A0A3D4A7-0F49-4018-A1A1-996F89117931}" name="Date de fermeture de la commande" dataDxfId="10"/>
    <tableColumn id="42" xr3:uid="{DED12142-6E3D-4461-B228-12BD82F5B1F5}" name="Date de début de la planche" dataDxfId="9"/>
    <tableColumn id="43" xr3:uid="{C1F0A52C-CDC9-4BE8-991F-D0A59FDB5702}" name="Date de fin de la planche" dataDxfId="8"/>
    <tableColumn id="44" xr3:uid="{304339AB-0477-45B4-8BAE-4D04867AE71D}" name="Date de confirmation d'expédition" dataDxfId="7"/>
    <tableColumn id="45" xr3:uid="{E24EDA72-2A3C-42DB-912A-EA75890B7F53}" name="Nom de la banque"/>
    <tableColumn id="46" xr3:uid="{E7A96B3A-E03E-40E3-A6D8-FD6378EA9AB2}" name="Numéro compte bancaire"/>
    <tableColumn id="47" xr3:uid="{3E6DBC7B-081B-41BB-BB43-992C4DE211AE}" name="Client SOLD TO"/>
    <tableColumn id="48" xr3:uid="{697ED355-D69B-4BAF-87A7-7E57BE5B3AD8}" name="Num Client SOLD TO "/>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0B99B0-4420-4B9F-B298-AF166B1B7C1F}" name="Table4" displayName="Table4" ref="A1:AV9" totalsRowShown="0">
  <autoFilter ref="A1:AV9" xr:uid="{D10B99B0-4420-4B9F-B298-AF166B1B7C1F}"/>
  <tableColumns count="48">
    <tableColumn id="1" xr3:uid="{5FEC9524-63AD-4D8D-A3C3-017A3ED1E4B1}" name="Client"/>
    <tableColumn id="2" xr3:uid="{4F7FDDBD-75CA-4FC5-A8A0-6D41BE562AF5}" name="Numéro de facture"/>
    <tableColumn id="3" xr3:uid="{53BDF5C4-DD8E-491D-8786-8918FB670A8D}" name="Numéro de commande"/>
    <tableColumn id="4" xr3:uid="{DBD3B9DE-B277-49D6-B7A3-05DC9CC1FD7A}" name="Débloquée par "/>
    <tableColumn id="5" xr3:uid="{334797E9-F71E-41E9-A12F-787AEAB6DAE3}" name="Mode d'expédition"/>
    <tableColumn id="6" xr3:uid="{0DBFA7D6-0CF1-4E2F-81E9-D997E6004494}" name="ID OV"/>
    <tableColumn id="7" xr3:uid="{49EA4808-BFD3-4D86-8A50-F40EAD566176}" name="Devise"/>
    <tableColumn id="8" xr3:uid="{E77E5BB2-2B93-49B8-AEDC-9B3D7EB513E6}" name="Entité"/>
    <tableColumn id="9" xr3:uid="{A0D8B333-3E9E-43E3-B162-9D17CB972194}" name="Type"/>
    <tableColumn id="10" xr3:uid="{A42E8F04-B3EA-4E21-8A93-759961B6009A}" name="Navire"/>
    <tableColumn id="11" xr3:uid="{664FBAAB-B083-41C5-A15B-6863FAE67320}" name="ID Parcel"/>
    <tableColumn id="12" xr3:uid="{F9D24B6E-EEB9-444B-B73E-43EBA308424E}" name="Date BL" dataDxfId="6"/>
    <tableColumn id="13" xr3:uid="{4161DC05-519B-4477-A32D-E0F838C1F291}" name="Port de chargement"/>
    <tableColumn id="14" xr3:uid="{818C38D3-5D1C-48ED-AE61-F689992EB595}" name="Port de déchargement"/>
    <tableColumn id="15" xr3:uid="{02710972-21FE-4392-9BC8-D7D2B5D8F03B}" name="Mode de vente"/>
    <tableColumn id="16" xr3:uid="{D31730C0-9663-410A-A64E-2E7D2E6B7A7C}" name="PDT"/>
    <tableColumn id="17" xr3:uid="{49263402-A806-4921-9D66-4D6BACF5BAD1}" name="Produit"/>
    <tableColumn id="18" xr3:uid="{EFDF5884-C7B6-4E79-B60D-1354539F5F52}" name="Famille du produit"/>
    <tableColumn id="19" xr3:uid="{1044083F-A676-4B76-AC59-E813A9DE761D}" name="Quantité chargée"/>
    <tableColumn id="20" xr3:uid="{DE191EC0-63A6-4BFB-ACA2-3CC7277B18CD}" name="Concentration"/>
    <tableColumn id="21" xr3:uid="{4B2FEC7F-E0B9-4209-ABAC-4ADC722BC808}" name="Humidité"/>
    <tableColumn id="22" xr3:uid="{6072F01A-8901-4F23-AC1F-CA50021FA19E}" name="Quantité facturée"/>
    <tableColumn id="23" xr3:uid="{3D345E9E-1CCC-489E-A8D6-ADDA658B276C}" name="Quantité facturée réajustée"/>
    <tableColumn id="24" xr3:uid="{90E74FB0-2FBB-4305-BE8C-B80E46808FA3}" name="Montant Ex Work"/>
    <tableColumn id="25" xr3:uid="{1845CB40-870D-4FFD-A4E3-ABE16B1CC6CD}" name="Montant mise à FOB"/>
    <tableColumn id="26" xr3:uid="{A7C78BF3-D22E-4D45-A5F8-D7273C157072}" name="Montant FOB"/>
    <tableColumn id="27" xr3:uid="{9DFA0976-516C-46F3-A202-057A0B5B01D9}" name="Montant AJF"/>
    <tableColumn id="28" xr3:uid="{D1687D53-A05F-4A56-898A-45A5B002F4E2}" name="Montant FRET"/>
    <tableColumn id="29" xr3:uid="{F0C9B6CF-CAE8-4827-9E17-32FCCB2E443C}" name=" Montant assurance et stocke"/>
    <tableColumn id="30" xr3:uid="{C023E01C-7AC9-42FE-A32E-BB689FD1512D}" name=" Montant CFR LINER OUT"/>
    <tableColumn id="31" xr3:uid="{E8DE386B-D827-4062-A8DA-818360CA061D}" name="Montant réajustements de qualité"/>
    <tableColumn id="32" xr3:uid="{8C1359C0-D2B1-4B07-B5D0-4FBB6A5F1BBA}" name="Montant régularisations de prix"/>
    <tableColumn id="33" xr3:uid="{5AC31BF3-4B5C-4986-AF17-A9A9BFCD915D}" name="Montant global réajustements "/>
    <tableColumn id="34" xr3:uid="{AD3D05AE-94E3-44D4-9833-2375E8E685CC}" name="CA FOB Net "/>
    <tableColumn id="35" xr3:uid="{4209AB76-4430-4747-9C78-0E74CF794891}" name="CA TQ Net "/>
    <tableColumn id="36" xr3:uid="{AA648B1B-2981-4D0F-8009-384F6D3CC4DD}" name="Nature prix "/>
    <tableColumn id="37" xr3:uid="{D8500A57-DC42-41FE-87FE-EDB6DA7107D6}" name="Pays du client"/>
    <tableColumn id="38" xr3:uid="{945CE234-3DB8-4FBC-9C59-BF1493D2FBFE}" name="Secteur de Vente"/>
    <tableColumn id="39" xr3:uid="{97AC1040-957D-432E-884E-BCFF8B70985E}" name="Mode de Paiement"/>
    <tableColumn id="40" xr3:uid="{218352E3-B1DE-4019-A268-3826F3449BFD}" name="Echéance" dataDxfId="5"/>
    <tableColumn id="41" xr3:uid="{4E3DF170-C882-4AE3-9B48-EB5260506DB8}" name="Date de fermeture de la commande" dataDxfId="4"/>
    <tableColumn id="42" xr3:uid="{34255934-208F-4D7C-AA7C-90A5EFF628F7}" name="Date de début de la planche" dataDxfId="3"/>
    <tableColumn id="43" xr3:uid="{23C13DD3-00A3-4F46-B10A-10F80A1BBAD5}" name="Date de fin de la planche" dataDxfId="2"/>
    <tableColumn id="44" xr3:uid="{8D01E533-BAA4-47E9-8845-6E3026C9481C}" name="Date de confirmation d'expédition" dataDxfId="1"/>
    <tableColumn id="45" xr3:uid="{F209CAA9-3C03-4D6A-A8EF-E439A6332FEB}" name="Nom de la banque"/>
    <tableColumn id="46" xr3:uid="{D8892953-BA73-4665-8ECC-9BBF8DA21710}" name="Numéro compte bancaire"/>
    <tableColumn id="47" xr3:uid="{55C69C10-6227-49BD-B31E-0C83D271CA71}" name="Client SOLD TO"/>
    <tableColumn id="48" xr3:uid="{AB1CC9FC-B3D4-4AFB-BFF6-BD57EDE90826}" name="Num Client SOLD TO "/>
  </tableColumns>
  <tableStyleInfo name="TableStyleMedium9" showFirstColumn="0" showLastColumn="0" showRowStripes="1" showColumnStripes="0"/>
</table>
</file>

<file path=xl/theme/theme1.xml><?xml version="1.0" encoding="utf-8"?>
<a:theme xmlns:a="http://schemas.openxmlformats.org/drawingml/2006/main" name="202207_Thème Office BCG">
  <a:themeElements>
    <a:clrScheme name="The Boston Consulting Group">
      <a:dk1>
        <a:srgbClr val="575757"/>
      </a:dk1>
      <a:lt1>
        <a:sysClr val="window" lastClr="FFFFFF"/>
      </a:lt1>
      <a:dk2>
        <a:srgbClr val="29BA74"/>
      </a:dk2>
      <a:lt2>
        <a:srgbClr val="F2F2F2"/>
      </a:lt2>
      <a:accent1>
        <a:srgbClr val="03522D"/>
      </a:accent1>
      <a:accent2>
        <a:srgbClr val="197A56"/>
      </a:accent2>
      <a:accent3>
        <a:srgbClr val="D4DF33"/>
      </a:accent3>
      <a:accent4>
        <a:srgbClr val="3EAD92"/>
      </a:accent4>
      <a:accent5>
        <a:srgbClr val="6E6F73"/>
      </a:accent5>
      <a:accent6>
        <a:srgbClr val="295E7E"/>
      </a:accent6>
      <a:hlink>
        <a:srgbClr val="2E3558"/>
      </a:hlink>
      <a:folHlink>
        <a:srgbClr val="2E3558"/>
      </a:folHlink>
    </a:clrScheme>
    <a:fontScheme name="BCG Trebuchet">
      <a:majorFont>
        <a:latin typeface="Trebuchet MS"/>
        <a:ea typeface=""/>
        <a:cs typeface=""/>
      </a:majorFont>
      <a:minorFont>
        <a:latin typeface="Trebuchet MS"/>
        <a:ea typeface=""/>
        <a:cs typeface=""/>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29BA74"/>
        </a:solidFill>
        <a:ln w="9525" cap="rnd" cmpd="sng" algn="ctr">
          <a:solidFill>
            <a:srgbClr val="29BA74"/>
          </a:solidFill>
          <a:prstDash val="solid"/>
          <a:round/>
          <a:headEnd type="none" w="med" len="med"/>
          <a:tailEnd type="none" w="med" len="med"/>
        </a:ln>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algn="ctr">
          <a:defRPr sz="1200" dirty="0" smtClean="0">
            <a:solidFill>
              <a:srgbClr val="FFFFFF"/>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9525" cap="rnd">
          <a:solidFill>
            <a:schemeClr val="tx1">
              <a:lumMod val="60000"/>
              <a:lumOff val="40000"/>
            </a:schemeClr>
          </a:solidFill>
          <a:prstDash val="solid"/>
          <a:round/>
        </a:ln>
      </a:spPr>
      <a:bodyPr/>
      <a:lstStyle/>
      <a:style>
        <a:lnRef idx="1">
          <a:schemeClr val="accent1"/>
        </a:lnRef>
        <a:fillRef idx="0">
          <a:schemeClr val="accent1"/>
        </a:fillRef>
        <a:effectRef idx="0">
          <a:schemeClr val="accent1"/>
        </a:effectRef>
        <a:fontRef idx="minor">
          <a:schemeClr val="tx1"/>
        </a:fontRef>
      </a:style>
    </a:lnDef>
    <a:txDef>
      <a:spPr>
        <a:noFill/>
        <a:ln w="9525" cap="rnd">
          <a:noFill/>
          <a:prstDash val="solid"/>
          <a:round/>
        </a:ln>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algn="ctr">
          <a:defRPr dirty="0" err="1" smtClean="0">
            <a:solidFill>
              <a:srgbClr val="575757"/>
            </a:solidFill>
          </a:defRPr>
        </a:defPPr>
      </a:lstStyle>
      <a:style>
        <a:lnRef idx="2">
          <a:schemeClr val="accent1">
            <a:shade val="50000"/>
          </a:schemeClr>
        </a:lnRef>
        <a:fillRef idx="1">
          <a:schemeClr val="accent1"/>
        </a:fillRef>
        <a:effectRef idx="0">
          <a:schemeClr val="accent1"/>
        </a:effectRef>
        <a:fontRef idx="minor">
          <a:schemeClr val="lt1"/>
        </a:fontRef>
      </a: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202207_Thème Office BCG" id="{C38D97F7-B6FF-4155-B383-6558208F276D}" vid="{525C28D3-6468-4332-BFB5-D18BAB716765}"/>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4.bin"/><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6.bin"/><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ivotTable" Target="../pivotTables/pivotTable4.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4A21B-CFFE-4761-B911-984A979CE85F}">
  <sheetPr>
    <tabColor rgb="FF0070C0"/>
  </sheetPr>
  <dimension ref="A1:S183"/>
  <sheetViews>
    <sheetView showGridLines="0" topLeftCell="A83" zoomScale="120" zoomScaleNormal="145" workbookViewId="0">
      <selection activeCell="J242" sqref="A242:XFD242"/>
    </sheetView>
  </sheetViews>
  <sheetFormatPr defaultColWidth="9.26953125" defaultRowHeight="13.5" customHeight="1" x14ac:dyDescent="0.25"/>
  <cols>
    <col min="1" max="1" width="1.7265625" style="2" customWidth="1"/>
    <col min="2" max="2" width="2.7265625" style="2" customWidth="1"/>
    <col min="3" max="3" width="2" style="2" customWidth="1"/>
    <col min="4" max="4" width="53.7265625" style="2" bestFit="1" customWidth="1"/>
    <col min="5" max="5" width="19.26953125" style="2" customWidth="1"/>
    <col min="6" max="6" width="26.26953125" style="2" customWidth="1"/>
    <col min="7" max="16" width="14.26953125" style="2" customWidth="1"/>
    <col min="17" max="17" width="9.26953125" style="2"/>
    <col min="18" max="18" width="22.54296875" style="2" bestFit="1" customWidth="1"/>
    <col min="19" max="19" width="22.26953125" style="2" bestFit="1" customWidth="1"/>
    <col min="20" max="20" width="42" style="2" bestFit="1" customWidth="1"/>
    <col min="21" max="21" width="29.453125" style="2" bestFit="1" customWidth="1"/>
    <col min="22" max="22" width="11.7265625" style="2" customWidth="1"/>
    <col min="23" max="16384" width="9.26953125" style="2"/>
  </cols>
  <sheetData>
    <row r="1" spans="1:8" s="7" customFormat="1" ht="13.5" customHeight="1" x14ac:dyDescent="0.25">
      <c r="A1" s="5"/>
      <c r="B1" s="5"/>
      <c r="C1" s="5"/>
      <c r="D1" s="6" t="s">
        <v>80</v>
      </c>
      <c r="E1" s="25"/>
    </row>
    <row r="2" spans="1:8" s="7" customFormat="1" ht="13.5" customHeight="1" x14ac:dyDescent="0.25">
      <c r="A2" s="5"/>
      <c r="B2" s="5"/>
      <c r="C2" s="5"/>
      <c r="D2" s="6"/>
      <c r="E2" s="26" t="str">
        <f>Title</f>
        <v>OCP Africa - CIV P205</v>
      </c>
    </row>
    <row r="3" spans="1:8" s="7" customFormat="1" ht="13.5" customHeight="1" x14ac:dyDescent="0.25">
      <c r="A3" s="5"/>
      <c r="B3" s="5"/>
      <c r="C3" s="5"/>
      <c r="D3" s="6"/>
      <c r="E3" s="27" t="str">
        <f ca="1">MID(CELL("filename",E3),FIND("]",CELL("filename",E3))+1,256)</f>
        <v>OCPLevers &amp; MS- P2O5</v>
      </c>
    </row>
    <row r="4" spans="1:8" s="7" customFormat="1" ht="13.5" customHeight="1" x14ac:dyDescent="0.25">
      <c r="A4" s="5"/>
      <c r="B4" s="5"/>
      <c r="C4" s="5"/>
      <c r="D4" s="6"/>
      <c r="E4" s="25"/>
    </row>
    <row r="5" spans="1:8" s="11" customFormat="1" ht="13.15" customHeight="1" x14ac:dyDescent="0.3">
      <c r="A5" s="8"/>
      <c r="B5" s="8"/>
      <c r="C5" s="8"/>
      <c r="D5" s="9"/>
      <c r="E5" s="10"/>
    </row>
    <row r="6" spans="1:8" s="184" customFormat="1" ht="13.15" customHeight="1" x14ac:dyDescent="0.3">
      <c r="A6" s="181"/>
      <c r="B6" s="181"/>
      <c r="C6" s="181"/>
      <c r="D6" s="182"/>
      <c r="E6" s="183"/>
    </row>
    <row r="7" spans="1:8" ht="13.5" customHeight="1" x14ac:dyDescent="0.35">
      <c r="B7" s="29">
        <v>0</v>
      </c>
      <c r="D7" s="28" t="s">
        <v>805</v>
      </c>
    </row>
    <row r="9" spans="1:8" ht="13.5" customHeight="1" x14ac:dyDescent="0.3">
      <c r="D9" s="32" t="s">
        <v>81</v>
      </c>
    </row>
    <row r="10" spans="1:8" ht="13.5" customHeight="1" x14ac:dyDescent="0.3">
      <c r="D10" s="33" t="s">
        <v>82</v>
      </c>
    </row>
    <row r="11" spans="1:8" s="188" customFormat="1" ht="13.5" customHeight="1" x14ac:dyDescent="0.3">
      <c r="A11" s="187"/>
      <c r="B11" s="187"/>
      <c r="C11" s="187"/>
      <c r="D11" s="30" t="s">
        <v>15</v>
      </c>
      <c r="E11" s="120">
        <v>2022</v>
      </c>
      <c r="F11" s="120">
        <v>2023</v>
      </c>
      <c r="G11" s="120">
        <v>2024</v>
      </c>
      <c r="H11" s="120">
        <v>2025</v>
      </c>
    </row>
    <row r="12" spans="1:8" s="188" customFormat="1" ht="13.5" customHeight="1" x14ac:dyDescent="0.25">
      <c r="A12" s="187"/>
      <c r="B12" s="187"/>
      <c r="C12" s="187"/>
      <c r="D12" s="1" t="s">
        <v>385</v>
      </c>
      <c r="E12" s="1">
        <f>E77</f>
        <v>20.132982641750331</v>
      </c>
      <c r="F12" s="477">
        <f t="shared" ref="F12:H12" si="0">F77</f>
        <v>31.793525521753775</v>
      </c>
      <c r="G12" s="477">
        <f t="shared" si="0"/>
        <v>40.657246883821188</v>
      </c>
      <c r="H12" s="477">
        <f t="shared" si="0"/>
        <v>50.76150442068807</v>
      </c>
    </row>
    <row r="13" spans="1:8" s="188" customFormat="1" ht="13.5" customHeight="1" x14ac:dyDescent="0.25">
      <c r="A13" s="187"/>
      <c r="B13" s="187"/>
      <c r="C13" s="187"/>
      <c r="D13" s="1" t="s">
        <v>386</v>
      </c>
      <c r="E13" s="1">
        <f>E110</f>
        <v>13.50426999428031</v>
      </c>
      <c r="F13" s="477">
        <f t="shared" ref="F13:H13" si="1">F110</f>
        <v>17.032067907012923</v>
      </c>
      <c r="G13" s="477">
        <f t="shared" si="1"/>
        <v>18.000691259228955</v>
      </c>
      <c r="H13" s="477">
        <f t="shared" si="1"/>
        <v>18.935649768040207</v>
      </c>
    </row>
    <row r="14" spans="1:8" s="188" customFormat="1" ht="13.5" customHeight="1" x14ac:dyDescent="0.25">
      <c r="A14" s="187"/>
      <c r="B14" s="187"/>
      <c r="C14" s="187"/>
      <c r="D14" s="1" t="s">
        <v>387</v>
      </c>
      <c r="E14" s="1">
        <f>E149</f>
        <v>0</v>
      </c>
      <c r="F14" s="477">
        <f t="shared" ref="F14:H14" si="2">F149</f>
        <v>1.7585670295238425</v>
      </c>
      <c r="G14" s="477">
        <f t="shared" si="2"/>
        <v>3.9039759183845253</v>
      </c>
      <c r="H14" s="477">
        <f t="shared" si="2"/>
        <v>6.5080766176450675</v>
      </c>
    </row>
    <row r="15" spans="1:8" s="188" customFormat="1" ht="13.5" customHeight="1" thickBot="1" x14ac:dyDescent="0.3">
      <c r="A15" s="187"/>
      <c r="B15" s="187"/>
      <c r="C15" s="187"/>
      <c r="D15" s="1" t="s">
        <v>388</v>
      </c>
      <c r="E15" s="1">
        <f>E174</f>
        <v>0.13729656041773095</v>
      </c>
      <c r="F15" s="477">
        <f t="shared" ref="F15:H15" si="3">F174</f>
        <v>0.30563085466360945</v>
      </c>
      <c r="G15" s="477">
        <f t="shared" si="3"/>
        <v>0.49030102397179237</v>
      </c>
      <c r="H15" s="477">
        <f t="shared" si="3"/>
        <v>0.72234527837792029</v>
      </c>
    </row>
    <row r="16" spans="1:8" s="188" customFormat="1" ht="13.5" customHeight="1" thickTop="1" thickBot="1" x14ac:dyDescent="0.3">
      <c r="A16" s="187"/>
      <c r="B16" s="187"/>
      <c r="C16" s="187"/>
      <c r="D16" s="281" t="s">
        <v>797</v>
      </c>
      <c r="E16" s="283">
        <f>SUM(E12:E15)</f>
        <v>33.774549196448369</v>
      </c>
      <c r="F16" s="127">
        <f t="shared" ref="F16:H16" si="4">SUM(F12:F15)</f>
        <v>50.889791312954152</v>
      </c>
      <c r="G16" s="127">
        <f t="shared" si="4"/>
        <v>63.052215085406466</v>
      </c>
      <c r="H16" s="127">
        <f t="shared" si="4"/>
        <v>76.927576084751266</v>
      </c>
    </row>
    <row r="17" spans="1:8" s="1" customFormat="1" ht="13.5" customHeight="1" thickTop="1" x14ac:dyDescent="0.3">
      <c r="D17" s="186" t="s">
        <v>84</v>
      </c>
      <c r="E17" s="89">
        <f>E16/ProjectedP205_Consumption!J27</f>
        <v>0.46782842457770912</v>
      </c>
      <c r="F17" s="89">
        <f>F16/ProjectedP205_Consumption!K27</f>
        <v>0.54336536361319931</v>
      </c>
      <c r="G17" s="89">
        <f>G16/ProjectedP205_Consumption!L27</f>
        <v>0.61685121832605838</v>
      </c>
      <c r="H17" s="89">
        <f>H16/ProjectedP205_Consumption!M27</f>
        <v>0.68889056150189176</v>
      </c>
    </row>
    <row r="19" spans="1:8" ht="13.5" customHeight="1" x14ac:dyDescent="0.3">
      <c r="D19" s="32" t="s">
        <v>81</v>
      </c>
    </row>
    <row r="20" spans="1:8" ht="13.5" customHeight="1" x14ac:dyDescent="0.3">
      <c r="D20" s="33" t="s">
        <v>82</v>
      </c>
    </row>
    <row r="21" spans="1:8" s="188" customFormat="1" ht="13.5" customHeight="1" x14ac:dyDescent="0.3">
      <c r="A21" s="187"/>
      <c r="B21" s="187"/>
      <c r="C21" s="187"/>
      <c r="D21" s="30" t="s">
        <v>389</v>
      </c>
      <c r="E21" s="120">
        <v>2022</v>
      </c>
      <c r="F21" s="120">
        <v>2023</v>
      </c>
      <c r="G21" s="120">
        <v>2024</v>
      </c>
      <c r="H21" s="120">
        <v>2025</v>
      </c>
    </row>
    <row r="22" spans="1:8" s="188" customFormat="1" ht="13.5" customHeight="1" x14ac:dyDescent="0.25">
      <c r="A22" s="187"/>
      <c r="B22" s="187"/>
      <c r="C22" s="187"/>
      <c r="D22" s="1" t="s">
        <v>385</v>
      </c>
      <c r="E22" s="1">
        <f>E85</f>
        <v>20.132982641750331</v>
      </c>
      <c r="F22" s="477">
        <f t="shared" ref="F22:H22" si="5">F85</f>
        <v>31.793525521753775</v>
      </c>
      <c r="G22" s="477">
        <f t="shared" si="5"/>
        <v>69.652094560077245</v>
      </c>
      <c r="H22" s="477">
        <f t="shared" si="5"/>
        <v>120.97370767104003</v>
      </c>
    </row>
    <row r="23" spans="1:8" s="188" customFormat="1" ht="13.5" customHeight="1" x14ac:dyDescent="0.25">
      <c r="A23" s="187"/>
      <c r="B23" s="187"/>
      <c r="C23" s="187"/>
      <c r="D23" s="1" t="s">
        <v>386</v>
      </c>
      <c r="E23" s="1">
        <f>E131</f>
        <v>13.50426999428031</v>
      </c>
      <c r="F23" s="477">
        <f t="shared" ref="F23:H23" si="6">F131</f>
        <v>17.032067907012923</v>
      </c>
      <c r="G23" s="477">
        <f t="shared" si="6"/>
        <v>20.520997412731678</v>
      </c>
      <c r="H23" s="477">
        <f t="shared" si="6"/>
        <v>23.871092074788113</v>
      </c>
    </row>
    <row r="24" spans="1:8" s="188" customFormat="1" ht="13.5" customHeight="1" x14ac:dyDescent="0.25">
      <c r="A24" s="187"/>
      <c r="B24" s="187"/>
      <c r="C24" s="187"/>
      <c r="D24" s="1" t="s">
        <v>387</v>
      </c>
      <c r="E24" s="1">
        <f>E163</f>
        <v>0</v>
      </c>
      <c r="F24" s="477">
        <f t="shared" ref="F24:H24" si="7">F163</f>
        <v>1.7585670295238425</v>
      </c>
      <c r="G24" s="477">
        <f t="shared" si="7"/>
        <v>5.3549044302142583</v>
      </c>
      <c r="H24" s="477">
        <f t="shared" si="7"/>
        <v>11.066081088522527</v>
      </c>
    </row>
    <row r="25" spans="1:8" s="188" customFormat="1" ht="13.5" customHeight="1" thickBot="1" x14ac:dyDescent="0.3">
      <c r="A25" s="187"/>
      <c r="B25" s="187"/>
      <c r="C25" s="187"/>
      <c r="D25" s="1" t="s">
        <v>388</v>
      </c>
      <c r="E25" s="1">
        <f>E182</f>
        <v>0.13729656041773095</v>
      </c>
      <c r="F25" s="477">
        <f t="shared" ref="F25:H25" si="8">F182</f>
        <v>0.30563085466360945</v>
      </c>
      <c r="G25" s="477">
        <f t="shared" si="8"/>
        <v>1.5424093010509992</v>
      </c>
      <c r="H25" s="477">
        <f t="shared" si="8"/>
        <v>3.2679146719806615</v>
      </c>
    </row>
    <row r="26" spans="1:8" s="188" customFormat="1" ht="13.5" customHeight="1" thickTop="1" thickBot="1" x14ac:dyDescent="0.3">
      <c r="A26" s="187"/>
      <c r="B26" s="187"/>
      <c r="C26" s="187"/>
      <c r="D26" s="104" t="s">
        <v>83</v>
      </c>
      <c r="E26" s="283">
        <f>SUM(E22:E25)</f>
        <v>33.774549196448369</v>
      </c>
      <c r="F26" s="127">
        <f t="shared" ref="F26" si="9">SUM(F22:F25)</f>
        <v>50.889791312954152</v>
      </c>
      <c r="G26" s="127">
        <f t="shared" ref="G26" si="10">SUM(G22:G25)</f>
        <v>97.070405704074176</v>
      </c>
      <c r="H26" s="127">
        <f t="shared" ref="H26" si="11">SUM(H22:H25)</f>
        <v>159.17879550633134</v>
      </c>
    </row>
    <row r="27" spans="1:8" s="1" customFormat="1" ht="13.5" customHeight="1" thickTop="1" x14ac:dyDescent="0.3">
      <c r="D27" s="186" t="s">
        <v>84</v>
      </c>
      <c r="F27" s="189"/>
      <c r="G27" s="189"/>
      <c r="H27" s="189"/>
    </row>
    <row r="29" spans="1:8" ht="13.5" customHeight="1" x14ac:dyDescent="0.35">
      <c r="B29" s="29">
        <v>0</v>
      </c>
      <c r="D29" s="28" t="s">
        <v>804</v>
      </c>
    </row>
    <row r="30" spans="1:8" ht="13.5" customHeight="1" x14ac:dyDescent="0.35">
      <c r="B30" s="51"/>
      <c r="D30" s="28"/>
    </row>
    <row r="31" spans="1:8" ht="13.5" customHeight="1" x14ac:dyDescent="0.35">
      <c r="B31" s="51"/>
      <c r="D31" s="32" t="s">
        <v>81</v>
      </c>
    </row>
    <row r="32" spans="1:8" ht="13.5" customHeight="1" x14ac:dyDescent="0.35">
      <c r="B32" s="51"/>
      <c r="D32" s="33" t="s">
        <v>82</v>
      </c>
    </row>
    <row r="33" spans="4:8" ht="13.5" customHeight="1" x14ac:dyDescent="0.3">
      <c r="D33" s="30" t="s">
        <v>15</v>
      </c>
      <c r="E33" s="120">
        <v>2022</v>
      </c>
      <c r="F33" s="120">
        <v>2023</v>
      </c>
      <c r="G33" s="120">
        <v>2024</v>
      </c>
      <c r="H33" s="120">
        <v>2025</v>
      </c>
    </row>
    <row r="34" spans="4:8" ht="13.5" customHeight="1" x14ac:dyDescent="0.25">
      <c r="D34" s="481" t="s">
        <v>167</v>
      </c>
      <c r="E34" s="482">
        <f>E75*E76</f>
        <v>20.132982641750331</v>
      </c>
      <c r="F34" s="482">
        <f t="shared" ref="F34:H34" si="12">F75*F76</f>
        <v>31.793525521753775</v>
      </c>
      <c r="G34" s="482">
        <f t="shared" si="12"/>
        <v>40.657246883821188</v>
      </c>
      <c r="H34" s="482">
        <f t="shared" si="12"/>
        <v>50.76150442068807</v>
      </c>
    </row>
    <row r="35" spans="4:8" ht="13.5" customHeight="1" x14ac:dyDescent="0.25">
      <c r="D35" s="2" t="s">
        <v>136</v>
      </c>
      <c r="E35" s="1">
        <f>E96*E103</f>
        <v>3.5859239699034463E-2</v>
      </c>
      <c r="F35" s="1">
        <f t="shared" ref="F35:H35" si="13">F96*F103</f>
        <v>3.9692327142380898E-2</v>
      </c>
      <c r="G35" s="1">
        <f t="shared" si="13"/>
        <v>3.4067005163230454E-2</v>
      </c>
      <c r="H35" s="1">
        <f t="shared" si="13"/>
        <v>2.364240924933882E-2</v>
      </c>
    </row>
    <row r="36" spans="4:8" ht="13.5" customHeight="1" x14ac:dyDescent="0.25">
      <c r="D36" s="2" t="s">
        <v>124</v>
      </c>
      <c r="E36" s="2">
        <f t="shared" ref="E36:H41" si="14">E97*E104</f>
        <v>1.5569643801294915E-2</v>
      </c>
      <c r="F36" s="2">
        <f t="shared" si="14"/>
        <v>1.6045118408706482E-2</v>
      </c>
      <c r="G36" s="2">
        <f t="shared" si="14"/>
        <v>1.2688606018587904E-2</v>
      </c>
      <c r="H36" s="2">
        <f t="shared" si="14"/>
        <v>8.1136314984110412E-3</v>
      </c>
    </row>
    <row r="37" spans="4:8" ht="13.5" customHeight="1" x14ac:dyDescent="0.25">
      <c r="D37" s="2" t="s">
        <v>113</v>
      </c>
      <c r="E37" s="2">
        <f t="shared" si="14"/>
        <v>2.4481280635791465</v>
      </c>
      <c r="F37" s="2">
        <f t="shared" si="14"/>
        <v>2.4650933424605181</v>
      </c>
      <c r="G37" s="2">
        <f t="shared" si="14"/>
        <v>1.9073121857607345</v>
      </c>
      <c r="H37" s="2">
        <f t="shared" si="14"/>
        <v>1.1932750999937514</v>
      </c>
    </row>
    <row r="38" spans="4:8" ht="13.5" customHeight="1" x14ac:dyDescent="0.25">
      <c r="D38" s="2" t="s">
        <v>158</v>
      </c>
      <c r="E38" s="2">
        <f t="shared" si="14"/>
        <v>10.997814010561383</v>
      </c>
      <c r="F38" s="2">
        <f t="shared" si="14"/>
        <v>14.50393284873131</v>
      </c>
      <c r="G38" s="2">
        <f t="shared" si="14"/>
        <v>16.040670161925341</v>
      </c>
      <c r="H38" s="2">
        <f t="shared" si="14"/>
        <v>17.706694222144989</v>
      </c>
    </row>
    <row r="39" spans="4:8" ht="13.5" customHeight="1" x14ac:dyDescent="0.25">
      <c r="D39" s="2" t="s">
        <v>125</v>
      </c>
      <c r="E39" s="2">
        <f t="shared" si="14"/>
        <v>2.9083424595168668E-3</v>
      </c>
      <c r="F39" s="2">
        <f t="shared" si="14"/>
        <v>3.129249884922736E-3</v>
      </c>
      <c r="G39" s="2">
        <f t="shared" si="14"/>
        <v>2.5930880184176813E-3</v>
      </c>
      <c r="H39" s="2">
        <f t="shared" si="14"/>
        <v>1.7374993555482597E-3</v>
      </c>
    </row>
    <row r="40" spans="4:8" ht="13.5" customHeight="1" x14ac:dyDescent="0.25">
      <c r="D40" s="2" t="s">
        <v>144</v>
      </c>
      <c r="E40" s="2">
        <f t="shared" si="14"/>
        <v>2.4118854705242631E-3</v>
      </c>
      <c r="F40" s="2">
        <f t="shared" si="14"/>
        <v>2.5343200002426571E-3</v>
      </c>
      <c r="G40" s="2">
        <f t="shared" si="14"/>
        <v>2.0521301272098838E-3</v>
      </c>
      <c r="H40" s="2">
        <f t="shared" si="14"/>
        <v>1.3436269981476189E-3</v>
      </c>
    </row>
    <row r="41" spans="4:8" ht="13.5" customHeight="1" x14ac:dyDescent="0.25">
      <c r="D41" s="482" t="s">
        <v>68</v>
      </c>
      <c r="E41" s="482">
        <f t="shared" si="14"/>
        <v>1.5788087094109685E-3</v>
      </c>
      <c r="F41" s="482">
        <f t="shared" si="14"/>
        <v>1.6407003848426685E-3</v>
      </c>
      <c r="G41" s="482">
        <f t="shared" si="14"/>
        <v>1.3080822154312444E-3</v>
      </c>
      <c r="H41" s="482">
        <f t="shared" si="14"/>
        <v>8.4327880002200138E-4</v>
      </c>
    </row>
    <row r="42" spans="4:8" ht="13.5" customHeight="1" x14ac:dyDescent="0.25">
      <c r="D42" s="2" t="s">
        <v>156</v>
      </c>
      <c r="E42" s="2">
        <f>E141*E145</f>
        <v>0</v>
      </c>
      <c r="F42" s="2">
        <f t="shared" ref="F42:H42" si="15">F141*F145</f>
        <v>0.38999788087228765</v>
      </c>
      <c r="G42" s="2">
        <f t="shared" si="15"/>
        <v>0.87850891845815715</v>
      </c>
      <c r="H42" s="2">
        <f t="shared" si="15"/>
        <v>1.4841963719475719</v>
      </c>
    </row>
    <row r="43" spans="4:8" ht="13.5" customHeight="1" x14ac:dyDescent="0.25">
      <c r="D43" s="2" t="s">
        <v>182</v>
      </c>
      <c r="E43" s="2">
        <f>E142*E146</f>
        <v>0</v>
      </c>
      <c r="F43" s="2">
        <f t="shared" ref="F43:H43" si="16">F142*F146</f>
        <v>7.932454488830315E-2</v>
      </c>
      <c r="G43" s="2">
        <f t="shared" si="16"/>
        <v>0.1616844765819021</v>
      </c>
      <c r="H43" s="2">
        <f t="shared" si="16"/>
        <v>0.24716690783767503</v>
      </c>
    </row>
    <row r="44" spans="4:8" ht="13.5" customHeight="1" x14ac:dyDescent="0.25">
      <c r="D44" s="2" t="s">
        <v>184</v>
      </c>
      <c r="E44" s="2">
        <f>E143*E147</f>
        <v>0</v>
      </c>
      <c r="F44" s="2">
        <f t="shared" ref="F44:H44" si="17">F143*F147</f>
        <v>0.35654835468558638</v>
      </c>
      <c r="G44" s="2">
        <f t="shared" si="17"/>
        <v>0.83646901738228585</v>
      </c>
      <c r="H44" s="2">
        <f t="shared" si="17"/>
        <v>1.4717788089167103</v>
      </c>
    </row>
    <row r="45" spans="4:8" ht="13.5" customHeight="1" x14ac:dyDescent="0.25">
      <c r="D45" s="482" t="s">
        <v>119</v>
      </c>
      <c r="E45" s="482">
        <f>E144*E148</f>
        <v>0</v>
      </c>
      <c r="F45" s="482">
        <f t="shared" ref="F45:H45" si="18">F144*F148</f>
        <v>0.93269624907766535</v>
      </c>
      <c r="G45" s="482">
        <f t="shared" si="18"/>
        <v>2.0273135059621801</v>
      </c>
      <c r="H45" s="482">
        <f t="shared" si="18"/>
        <v>3.30493452894311</v>
      </c>
    </row>
    <row r="46" spans="4:8" ht="13.5" customHeight="1" thickBot="1" x14ac:dyDescent="0.3">
      <c r="D46" s="483" t="s">
        <v>73</v>
      </c>
      <c r="E46" s="484">
        <f>E172*E173</f>
        <v>0.13729656041773095</v>
      </c>
      <c r="F46" s="484">
        <f t="shared" ref="F46:H46" si="19">F172*F173</f>
        <v>0.30563085466360945</v>
      </c>
      <c r="G46" s="484">
        <f t="shared" si="19"/>
        <v>0.49030102397179237</v>
      </c>
      <c r="H46" s="484">
        <f t="shared" si="19"/>
        <v>0.72234527837792029</v>
      </c>
    </row>
    <row r="47" spans="4:8" ht="13.5" customHeight="1" thickTop="1" thickBot="1" x14ac:dyDescent="0.3">
      <c r="D47" s="104" t="s">
        <v>83</v>
      </c>
      <c r="E47" s="283">
        <f>SUM(E34:E46)</f>
        <v>33.774549196448376</v>
      </c>
      <c r="F47" s="127">
        <f t="shared" ref="F47:H47" si="20">SUM(F34:F46)</f>
        <v>50.889791312954145</v>
      </c>
      <c r="G47" s="127">
        <f t="shared" si="20"/>
        <v>63.052215085406459</v>
      </c>
      <c r="H47" s="127">
        <f t="shared" si="20"/>
        <v>76.927576084751266</v>
      </c>
    </row>
    <row r="48" spans="4:8" ht="13.5" customHeight="1" thickTop="1" x14ac:dyDescent="0.25"/>
    <row r="50" spans="4:8" ht="13.5" customHeight="1" x14ac:dyDescent="0.3">
      <c r="D50" s="32" t="s">
        <v>81</v>
      </c>
    </row>
    <row r="51" spans="4:8" ht="13.5" customHeight="1" x14ac:dyDescent="0.3">
      <c r="D51" s="33" t="s">
        <v>82</v>
      </c>
    </row>
    <row r="52" spans="4:8" ht="13.5" customHeight="1" x14ac:dyDescent="0.3">
      <c r="D52" s="30" t="s">
        <v>800</v>
      </c>
      <c r="E52" s="120">
        <v>2022</v>
      </c>
      <c r="F52" s="120">
        <v>2023</v>
      </c>
      <c r="G52" s="120">
        <v>2024</v>
      </c>
      <c r="H52" s="120">
        <v>2025</v>
      </c>
    </row>
    <row r="53" spans="4:8" ht="13.5" customHeight="1" x14ac:dyDescent="0.25">
      <c r="D53" s="481" t="s">
        <v>167</v>
      </c>
      <c r="E53" s="482">
        <f>E83*E84</f>
        <v>20.132982641750331</v>
      </c>
      <c r="F53" s="482">
        <f t="shared" ref="F53:H53" si="21">F83*F84</f>
        <v>31.793525521753775</v>
      </c>
      <c r="G53" s="482">
        <f t="shared" si="21"/>
        <v>69.652094560077245</v>
      </c>
      <c r="H53" s="482">
        <f t="shared" si="21"/>
        <v>120.97370767104003</v>
      </c>
    </row>
    <row r="54" spans="4:8" ht="13.5" customHeight="1" x14ac:dyDescent="0.25">
      <c r="D54" s="2" t="s">
        <v>136</v>
      </c>
      <c r="E54" s="1">
        <f>E117*E124</f>
        <v>3.5859239699034463E-2</v>
      </c>
      <c r="F54" s="1">
        <f t="shared" ref="F54:H54" si="22">F117*F124</f>
        <v>3.9692327142380898E-2</v>
      </c>
      <c r="G54" s="1">
        <f t="shared" si="22"/>
        <v>0.23139786059998921</v>
      </c>
      <c r="H54" s="1">
        <f t="shared" si="22"/>
        <v>0.25621493517850785</v>
      </c>
    </row>
    <row r="55" spans="4:8" ht="13.5" customHeight="1" x14ac:dyDescent="0.25">
      <c r="D55" s="2" t="s">
        <v>124</v>
      </c>
      <c r="E55" s="2">
        <f t="shared" ref="E55" si="23">E118*E125</f>
        <v>1.5569643801294915E-2</v>
      </c>
      <c r="F55" s="2">
        <f t="shared" ref="F55:H55" si="24">F118*F125</f>
        <v>1.6045118408706482E-2</v>
      </c>
      <c r="G55" s="2">
        <f t="shared" si="24"/>
        <v>9.1888289286534808E-2</v>
      </c>
      <c r="H55" s="2">
        <f t="shared" si="24"/>
        <v>0.10044492244017821</v>
      </c>
    </row>
    <row r="56" spans="4:8" ht="13.5" customHeight="1" x14ac:dyDescent="0.25">
      <c r="D56" s="2" t="s">
        <v>113</v>
      </c>
      <c r="E56" s="2">
        <f t="shared" ref="E56" si="25">E119*E126</f>
        <v>2.4481280635791465</v>
      </c>
      <c r="F56" s="2">
        <f t="shared" ref="F56:H56" si="26">F119*F126</f>
        <v>2.4650933424605181</v>
      </c>
      <c r="G56" s="2">
        <f t="shared" si="26"/>
        <v>1.9073121857607345</v>
      </c>
      <c r="H56" s="2">
        <f t="shared" si="26"/>
        <v>1.1932750999937514</v>
      </c>
    </row>
    <row r="57" spans="4:8" ht="13.5" customHeight="1" x14ac:dyDescent="0.25">
      <c r="D57" s="2" t="s">
        <v>158</v>
      </c>
      <c r="E57" s="2">
        <f t="shared" ref="E57" si="27">E120*E127</f>
        <v>10.997814010561383</v>
      </c>
      <c r="F57" s="2">
        <f t="shared" ref="F57:H57" si="28">F120*F127</f>
        <v>14.50393284873131</v>
      </c>
      <c r="G57" s="2">
        <f t="shared" si="28"/>
        <v>18.228978099500502</v>
      </c>
      <c r="H57" s="2">
        <f t="shared" si="28"/>
        <v>22.251823367718348</v>
      </c>
    </row>
    <row r="58" spans="4:8" ht="13.5" customHeight="1" x14ac:dyDescent="0.25">
      <c r="D58" s="2" t="s">
        <v>125</v>
      </c>
      <c r="E58" s="2">
        <f t="shared" ref="E58" si="29">E121*E128</f>
        <v>2.9083424595168668E-3</v>
      </c>
      <c r="F58" s="2">
        <f t="shared" ref="F58:H58" si="30">F121*F128</f>
        <v>3.129249884922736E-3</v>
      </c>
      <c r="G58" s="2">
        <f t="shared" si="30"/>
        <v>2.7647449593819449E-2</v>
      </c>
      <c r="H58" s="2">
        <f t="shared" si="30"/>
        <v>3.1625244439238566E-2</v>
      </c>
    </row>
    <row r="59" spans="4:8" ht="13.5" customHeight="1" x14ac:dyDescent="0.25">
      <c r="D59" s="2" t="s">
        <v>144</v>
      </c>
      <c r="E59" s="2">
        <f t="shared" ref="E59" si="31">E122*E129</f>
        <v>2.4118854705242631E-3</v>
      </c>
      <c r="F59" s="2">
        <f t="shared" ref="F59:H59" si="32">F122*F129</f>
        <v>2.5343200002426571E-3</v>
      </c>
      <c r="G59" s="2">
        <f t="shared" si="32"/>
        <v>1.950921543229004E-2</v>
      </c>
      <c r="H59" s="2">
        <f t="shared" si="32"/>
        <v>2.1610436216805317E-2</v>
      </c>
    </row>
    <row r="60" spans="4:8" ht="13.5" customHeight="1" x14ac:dyDescent="0.25">
      <c r="D60" s="482" t="s">
        <v>68</v>
      </c>
      <c r="E60" s="482">
        <f t="shared" ref="E60" si="33">E123*E130</f>
        <v>1.5788087094109685E-3</v>
      </c>
      <c r="F60" s="482">
        <f t="shared" ref="F60:H60" si="34">F123*F130</f>
        <v>1.6407003848426685E-3</v>
      </c>
      <c r="G60" s="482">
        <f t="shared" si="34"/>
        <v>1.4264312557809987E-2</v>
      </c>
      <c r="H60" s="482">
        <f t="shared" si="34"/>
        <v>1.6098068801289087E-2</v>
      </c>
    </row>
    <row r="61" spans="4:8" ht="13.5" customHeight="1" x14ac:dyDescent="0.25">
      <c r="D61" s="2" t="s">
        <v>156</v>
      </c>
      <c r="E61" s="2">
        <f>E155*E159</f>
        <v>0</v>
      </c>
      <c r="F61" s="2">
        <f t="shared" ref="F61:H61" si="35">F155*F159</f>
        <v>0.38999788087228765</v>
      </c>
      <c r="G61" s="2">
        <f t="shared" si="35"/>
        <v>1.7474943679959025</v>
      </c>
      <c r="H61" s="2">
        <f t="shared" si="35"/>
        <v>4.2146892682020018</v>
      </c>
    </row>
    <row r="62" spans="4:8" ht="13.5" customHeight="1" x14ac:dyDescent="0.25">
      <c r="D62" s="2" t="s">
        <v>182</v>
      </c>
      <c r="E62" s="2">
        <f t="shared" ref="E62:H64" si="36">E156*E160</f>
        <v>0</v>
      </c>
      <c r="F62" s="2">
        <f t="shared" si="36"/>
        <v>7.932454488830315E-2</v>
      </c>
      <c r="G62" s="2">
        <f t="shared" si="36"/>
        <v>0.72697143982724965</v>
      </c>
      <c r="H62" s="2">
        <f t="shared" si="36"/>
        <v>2.0275941032377736</v>
      </c>
    </row>
    <row r="63" spans="4:8" ht="13.5" customHeight="1" x14ac:dyDescent="0.25">
      <c r="D63" s="2" t="s">
        <v>184</v>
      </c>
      <c r="E63" s="2">
        <f t="shared" si="36"/>
        <v>0</v>
      </c>
      <c r="F63" s="2">
        <f t="shared" si="36"/>
        <v>0.35654835468558638</v>
      </c>
      <c r="G63" s="2">
        <f t="shared" si="36"/>
        <v>0.85312511642892563</v>
      </c>
      <c r="H63" s="2">
        <f t="shared" si="36"/>
        <v>1.5188631881396415</v>
      </c>
    </row>
    <row r="64" spans="4:8" ht="13.5" customHeight="1" x14ac:dyDescent="0.25">
      <c r="D64" s="482" t="s">
        <v>119</v>
      </c>
      <c r="E64" s="482">
        <f t="shared" si="36"/>
        <v>0</v>
      </c>
      <c r="F64" s="482">
        <f t="shared" si="36"/>
        <v>0.93269624907766535</v>
      </c>
      <c r="G64" s="482">
        <f t="shared" si="36"/>
        <v>2.0273135059621801</v>
      </c>
      <c r="H64" s="482">
        <f t="shared" si="36"/>
        <v>3.30493452894311</v>
      </c>
    </row>
    <row r="65" spans="2:19" ht="13.5" customHeight="1" thickBot="1" x14ac:dyDescent="0.3">
      <c r="D65" s="483" t="s">
        <v>73</v>
      </c>
      <c r="E65" s="484">
        <f>E180*E181</f>
        <v>0.13729656041773095</v>
      </c>
      <c r="F65" s="484">
        <f t="shared" ref="F65:H65" si="37">F180*F181</f>
        <v>0.30563085466360945</v>
      </c>
      <c r="G65" s="484">
        <f t="shared" si="37"/>
        <v>1.5424093010509992</v>
      </c>
      <c r="H65" s="484">
        <f t="shared" si="37"/>
        <v>3.2679146719806615</v>
      </c>
    </row>
    <row r="66" spans="2:19" ht="13.5" customHeight="1" thickTop="1" thickBot="1" x14ac:dyDescent="0.3">
      <c r="D66" s="104" t="s">
        <v>83</v>
      </c>
      <c r="E66" s="283">
        <f>SUM(E53:E65)</f>
        <v>33.774549196448376</v>
      </c>
      <c r="F66" s="127">
        <f t="shared" ref="F66" si="38">SUM(F53:F65)</f>
        <v>50.889791312954145</v>
      </c>
      <c r="G66" s="127">
        <f t="shared" ref="G66" si="39">SUM(G53:G65)</f>
        <v>97.070405704074162</v>
      </c>
      <c r="H66" s="127">
        <f t="shared" ref="H66" si="40">SUM(H53:H65)</f>
        <v>159.17879550633131</v>
      </c>
    </row>
    <row r="67" spans="2:19" ht="13.5" customHeight="1" thickTop="1" x14ac:dyDescent="0.25"/>
    <row r="69" spans="2:19" ht="13.5" customHeight="1" x14ac:dyDescent="0.35">
      <c r="B69" s="29">
        <v>1</v>
      </c>
      <c r="D69" s="28" t="s">
        <v>794</v>
      </c>
    </row>
    <row r="72" spans="2:19" ht="13.5" customHeight="1" x14ac:dyDescent="0.3">
      <c r="D72" s="32" t="s">
        <v>81</v>
      </c>
    </row>
    <row r="73" spans="2:19" ht="13.5" customHeight="1" thickBot="1" x14ac:dyDescent="0.35">
      <c r="D73" s="33" t="s">
        <v>82</v>
      </c>
      <c r="O73" s="177">
        <f>O76/(O77/1000)</f>
        <v>1.3019622430949502</v>
      </c>
      <c r="P73" s="177">
        <f t="shared" ref="P73:S73" si="41">P76/(P77/1000)</f>
        <v>0.66666666666666663</v>
      </c>
      <c r="Q73" s="177">
        <f t="shared" si="41"/>
        <v>0.68260929108038704</v>
      </c>
      <c r="R73" s="177">
        <f t="shared" si="41"/>
        <v>0</v>
      </c>
      <c r="S73" s="177">
        <f t="shared" si="41"/>
        <v>9.2060309731797629E-2</v>
      </c>
    </row>
    <row r="74" spans="2:19" ht="13.5" customHeight="1" x14ac:dyDescent="0.3">
      <c r="D74" s="30" t="s">
        <v>15</v>
      </c>
      <c r="E74" s="120">
        <v>2022</v>
      </c>
      <c r="F74" s="120">
        <v>2023</v>
      </c>
      <c r="G74" s="120">
        <v>2024</v>
      </c>
      <c r="H74" s="120">
        <v>2025</v>
      </c>
      <c r="O74" s="460" t="s">
        <v>407</v>
      </c>
      <c r="P74" s="454" t="s">
        <v>753</v>
      </c>
      <c r="Q74" s="454" t="s">
        <v>784</v>
      </c>
      <c r="R74" s="454" t="s">
        <v>229</v>
      </c>
      <c r="S74" s="454" t="s">
        <v>220</v>
      </c>
    </row>
    <row r="75" spans="2:19" ht="13.5" customHeight="1" x14ac:dyDescent="0.25">
      <c r="D75" s="1" t="s">
        <v>167</v>
      </c>
      <c r="E75" s="1">
        <f>'Proejction Market product mix'!J15</f>
        <v>33.554971069583885</v>
      </c>
      <c r="F75" s="1">
        <f>ProjectedP205_Consumption!K13</f>
        <v>43.354807529664242</v>
      </c>
      <c r="G75" s="1">
        <f>ProjectedP205_Consumption!L13</f>
        <v>46.912207942870602</v>
      </c>
      <c r="H75" s="1">
        <f>ProjectedP205_Consumption!M13</f>
        <v>50.76150442068807</v>
      </c>
      <c r="N75" s="1" t="s">
        <v>822</v>
      </c>
      <c r="O75" s="1">
        <f>'Proejction Market product mix'!E126</f>
        <v>28.778299524721898</v>
      </c>
      <c r="P75" s="1">
        <f>'Proejction Market product mix'!F101</f>
        <v>0.84558527095351399</v>
      </c>
      <c r="Q75" s="1">
        <f>'Proejction Market product mix'!G126</f>
        <v>13.928827505246625</v>
      </c>
      <c r="R75" s="1">
        <f>'Proejction Market product mix'!H126</f>
        <v>0</v>
      </c>
      <c r="S75" s="1">
        <f>'Proejction Market product mix'!I126</f>
        <v>53.116458141766486</v>
      </c>
    </row>
    <row r="76" spans="2:19" ht="14.5" customHeight="1" thickBot="1" x14ac:dyDescent="0.35">
      <c r="D76" s="478" t="s">
        <v>798</v>
      </c>
      <c r="E76" s="480">
        <v>0.6</v>
      </c>
      <c r="F76" s="189">
        <f>($H$76-$E$76)/3+E76</f>
        <v>0.73333333333333328</v>
      </c>
      <c r="G76" s="189">
        <f t="shared" ref="G76" si="42">($H$76-$E$76)/3+F76</f>
        <v>0.86666666666666659</v>
      </c>
      <c r="H76" s="479">
        <v>1</v>
      </c>
      <c r="N76" s="1" t="s">
        <v>823</v>
      </c>
      <c r="O76" s="2">
        <f>'Proejction Market product mix'!E127</f>
        <v>70</v>
      </c>
      <c r="P76" s="2">
        <f>'Proejction Market product mix'!F127</f>
        <v>4</v>
      </c>
      <c r="Q76" s="2">
        <f>'Proejction Market product mix'!G127</f>
        <v>32</v>
      </c>
      <c r="R76" s="2">
        <f>'Proejction Market product mix'!H127</f>
        <v>0</v>
      </c>
      <c r="S76" s="2">
        <f>'Proejction Market product mix'!I127</f>
        <v>9</v>
      </c>
    </row>
    <row r="77" spans="2:19" ht="13.5" customHeight="1" thickTop="1" thickBot="1" x14ac:dyDescent="0.3">
      <c r="D77" s="281" t="s">
        <v>799</v>
      </c>
      <c r="E77" s="127">
        <f>E76*E75</f>
        <v>20.132982641750331</v>
      </c>
      <c r="F77" s="127">
        <f>F76*F75</f>
        <v>31.793525521753775</v>
      </c>
      <c r="G77" s="127">
        <f>G76*G75</f>
        <v>40.657246883821188</v>
      </c>
      <c r="H77" s="127">
        <f>H76*H75</f>
        <v>50.76150442068807</v>
      </c>
      <c r="N77" s="1" t="s">
        <v>824</v>
      </c>
      <c r="O77" s="2">
        <f>'VIFAA - Consumption per product'!C352</f>
        <v>53765</v>
      </c>
      <c r="P77" s="2">
        <f>'VIFAA - Consumption per product'!C351</f>
        <v>6000</v>
      </c>
      <c r="Q77" s="2">
        <f>'VIFAA - Consumption per product'!C347+'VIFAA - Consumption per product'!C348+'VIFAA - Consumption per product'!C349</f>
        <v>46878.94</v>
      </c>
      <c r="R77" s="2">
        <f>'VIFAA - Consumption per product'!C350</f>
        <v>15710</v>
      </c>
      <c r="S77" s="2">
        <f>'VIFAA - Consumption per product'!C346</f>
        <v>97762</v>
      </c>
    </row>
    <row r="78" spans="2:19" ht="13.5" customHeight="1" thickTop="1" x14ac:dyDescent="0.25">
      <c r="N78" s="1" t="s">
        <v>825</v>
      </c>
      <c r="O78" s="2">
        <f>'Proejction Market product mix'!E54</f>
        <v>55.352183785809849</v>
      </c>
      <c r="P78" s="2">
        <f>'Proejction Market product mix'!F54</f>
        <v>6.127429499663144</v>
      </c>
      <c r="Q78" s="2">
        <f>'Proejction Market product mix'!G54</f>
        <v>45.729853213289054</v>
      </c>
      <c r="R78" s="2">
        <f>'Proejction Market product mix'!H54</f>
        <v>15.034652293957389</v>
      </c>
      <c r="S78" s="2">
        <f>'Proejction Market product mix'!I54</f>
        <v>93.907244484949246</v>
      </c>
    </row>
    <row r="80" spans="2:19" ht="13.5" customHeight="1" x14ac:dyDescent="0.3">
      <c r="D80" s="32" t="s">
        <v>81</v>
      </c>
      <c r="M80" s="30" t="s">
        <v>371</v>
      </c>
      <c r="N80" s="30" t="s">
        <v>237</v>
      </c>
      <c r="O80" s="30" t="s">
        <v>407</v>
      </c>
      <c r="P80" s="34" t="s">
        <v>753</v>
      </c>
      <c r="Q80" s="34" t="s">
        <v>784</v>
      </c>
      <c r="R80" s="34" t="s">
        <v>229</v>
      </c>
      <c r="S80" s="34" t="s">
        <v>220</v>
      </c>
    </row>
    <row r="81" spans="2:19" ht="13.5" customHeight="1" x14ac:dyDescent="0.3">
      <c r="D81" s="33" t="s">
        <v>82</v>
      </c>
      <c r="M81" s="86" t="s">
        <v>158</v>
      </c>
      <c r="N81" s="86" t="s">
        <v>203</v>
      </c>
      <c r="O81" s="451">
        <v>0.25</v>
      </c>
      <c r="P81" s="451">
        <v>0</v>
      </c>
      <c r="Q81" s="451">
        <v>0.25</v>
      </c>
      <c r="R81" s="451">
        <v>0</v>
      </c>
      <c r="S81" s="451">
        <v>0.5</v>
      </c>
    </row>
    <row r="82" spans="2:19" ht="13.5" customHeight="1" x14ac:dyDescent="0.3">
      <c r="D82" s="30" t="s">
        <v>389</v>
      </c>
      <c r="E82" s="120">
        <v>2022</v>
      </c>
      <c r="F82" s="120">
        <v>2023</v>
      </c>
      <c r="G82" s="120">
        <v>2024</v>
      </c>
      <c r="H82" s="120">
        <v>2025</v>
      </c>
      <c r="M82" s="86" t="s">
        <v>167</v>
      </c>
      <c r="N82" s="86" t="s">
        <v>204</v>
      </c>
      <c r="O82" s="451">
        <v>0</v>
      </c>
      <c r="P82" s="451">
        <v>4.2000000000000003E-2</v>
      </c>
      <c r="Q82" s="451">
        <v>0.02</v>
      </c>
      <c r="R82" s="451">
        <v>0</v>
      </c>
      <c r="S82" s="451">
        <f>100%-SUM(O82:R82)</f>
        <v>0.93799999999999994</v>
      </c>
    </row>
    <row r="83" spans="2:19" ht="13.5" customHeight="1" x14ac:dyDescent="0.25">
      <c r="D83" s="1" t="s">
        <v>167</v>
      </c>
      <c r="E83" s="1">
        <f>ProjectedP205_Consumption!J34</f>
        <v>33.554971069583885</v>
      </c>
      <c r="F83" s="1">
        <f>ProjectedP205_Consumption!K34</f>
        <v>43.354807529664242</v>
      </c>
      <c r="G83" s="1">
        <f>ProjectedP205_Consumption!L34</f>
        <v>80.36780141547375</v>
      </c>
      <c r="H83" s="1">
        <f>ProjectedP205_Consumption!M34</f>
        <v>120.97370767104003</v>
      </c>
      <c r="M83" s="86" t="s">
        <v>184</v>
      </c>
      <c r="N83" s="86" t="s">
        <v>205</v>
      </c>
      <c r="O83" s="451">
        <v>0.15</v>
      </c>
      <c r="P83" s="451">
        <v>0</v>
      </c>
      <c r="Q83" s="451">
        <v>0.65</v>
      </c>
      <c r="R83" s="451">
        <v>0</v>
      </c>
      <c r="S83" s="451">
        <v>0.3</v>
      </c>
    </row>
    <row r="84" spans="2:19" ht="13.5" customHeight="1" thickBot="1" x14ac:dyDescent="0.35">
      <c r="D84" s="478" t="s">
        <v>798</v>
      </c>
      <c r="E84" s="480">
        <v>0.6</v>
      </c>
      <c r="F84" s="189">
        <f>($H$76-$E$76)/3+E84</f>
        <v>0.73333333333333328</v>
      </c>
      <c r="G84" s="189">
        <f t="shared" ref="G84" si="43">($H$76-$E$76)/3+F84</f>
        <v>0.86666666666666659</v>
      </c>
      <c r="H84" s="479">
        <v>1</v>
      </c>
      <c r="M84" s="86" t="s">
        <v>113</v>
      </c>
      <c r="N84" s="86" t="s">
        <v>62</v>
      </c>
      <c r="O84" s="451">
        <v>0.4</v>
      </c>
      <c r="P84" s="451">
        <v>0</v>
      </c>
      <c r="Q84" s="451">
        <v>0.25615763546798032</v>
      </c>
      <c r="R84" s="451">
        <v>0</v>
      </c>
      <c r="S84" s="451">
        <v>0</v>
      </c>
    </row>
    <row r="85" spans="2:19" ht="13.5" customHeight="1" thickTop="1" thickBot="1" x14ac:dyDescent="0.3">
      <c r="D85" s="281" t="s">
        <v>799</v>
      </c>
      <c r="E85" s="127">
        <f>E84*E83</f>
        <v>20.132982641750331</v>
      </c>
      <c r="F85" s="127">
        <f t="shared" ref="F85" si="44">F84*F83</f>
        <v>31.793525521753775</v>
      </c>
      <c r="G85" s="127">
        <f t="shared" ref="G85" si="45">G84*G83</f>
        <v>69.652094560077245</v>
      </c>
      <c r="H85" s="127">
        <f t="shared" ref="H85" si="46">H84*H83</f>
        <v>120.97370767104003</v>
      </c>
      <c r="M85" s="86" t="s">
        <v>73</v>
      </c>
      <c r="N85" s="86" t="s">
        <v>73</v>
      </c>
      <c r="O85" s="451">
        <v>0.6</v>
      </c>
      <c r="P85" s="451">
        <v>0</v>
      </c>
      <c r="Q85" s="451">
        <v>0.1</v>
      </c>
      <c r="R85" s="451">
        <v>0</v>
      </c>
      <c r="S85" s="451">
        <v>0.4</v>
      </c>
    </row>
    <row r="86" spans="2:19" ht="13.5" customHeight="1" thickTop="1" x14ac:dyDescent="0.25">
      <c r="M86" s="86" t="s">
        <v>119</v>
      </c>
      <c r="N86" s="86" t="s">
        <v>206</v>
      </c>
      <c r="O86" s="451">
        <v>0</v>
      </c>
      <c r="P86" s="451">
        <v>0</v>
      </c>
      <c r="Q86" s="451">
        <v>0.97810566396953835</v>
      </c>
      <c r="R86" s="451">
        <v>0</v>
      </c>
      <c r="S86" s="451">
        <v>2.1894336030461686E-2</v>
      </c>
    </row>
    <row r="87" spans="2:19" ht="13.5" customHeight="1" x14ac:dyDescent="0.25">
      <c r="M87" s="86" t="s">
        <v>156</v>
      </c>
      <c r="N87" s="86" t="s">
        <v>207</v>
      </c>
      <c r="O87" s="451">
        <v>0</v>
      </c>
      <c r="P87" s="451">
        <v>0</v>
      </c>
      <c r="Q87" s="451">
        <v>0</v>
      </c>
      <c r="R87" s="451">
        <v>0.85</v>
      </c>
      <c r="S87" s="451">
        <v>0.2</v>
      </c>
    </row>
    <row r="88" spans="2:19" ht="13.5" customHeight="1" x14ac:dyDescent="0.25">
      <c r="M88" s="87" t="s">
        <v>182</v>
      </c>
      <c r="N88" s="87" t="s">
        <v>208</v>
      </c>
      <c r="O88" s="274">
        <v>0</v>
      </c>
      <c r="P88" s="274">
        <v>0</v>
      </c>
      <c r="Q88" s="274">
        <v>1</v>
      </c>
      <c r="R88" s="274">
        <v>0</v>
      </c>
      <c r="S88" s="274">
        <v>0</v>
      </c>
    </row>
    <row r="90" spans="2:19" ht="13.5" customHeight="1" x14ac:dyDescent="0.35">
      <c r="B90" s="29">
        <v>2</v>
      </c>
      <c r="D90" s="28" t="s">
        <v>801</v>
      </c>
    </row>
    <row r="93" spans="2:19" ht="13.5" customHeight="1" x14ac:dyDescent="0.3">
      <c r="D93" s="32" t="s">
        <v>81</v>
      </c>
    </row>
    <row r="94" spans="2:19" ht="13.5" customHeight="1" x14ac:dyDescent="0.3">
      <c r="D94" s="33" t="s">
        <v>82</v>
      </c>
    </row>
    <row r="95" spans="2:19" ht="13.5" customHeight="1" x14ac:dyDescent="0.3">
      <c r="D95" s="30" t="s">
        <v>15</v>
      </c>
      <c r="E95" s="120">
        <v>2022</v>
      </c>
      <c r="F95" s="120">
        <v>2023</v>
      </c>
      <c r="G95" s="120">
        <v>2024</v>
      </c>
      <c r="H95" s="120">
        <v>2025</v>
      </c>
      <c r="O95" s="1"/>
    </row>
    <row r="96" spans="2:19" ht="13.5" customHeight="1" x14ac:dyDescent="0.25">
      <c r="D96" s="2" t="s">
        <v>136</v>
      </c>
      <c r="E96" s="1">
        <f>VLOOKUP($D96,ProjectedP205_Consumption!$D$12:$M$26,7,FALSE)</f>
        <v>7.1718479398068927E-2</v>
      </c>
      <c r="F96" s="1">
        <f>VLOOKUP($D96,ProjectedP205_Consumption!$D$12:$M$26,8,FALSE)</f>
        <v>0.10354520124099365</v>
      </c>
      <c r="G96" s="1">
        <f>VLOOKUP($D96,ProjectedP205_Consumption!$D$12:$M$26,9,FALSE)</f>
        <v>0.12775126936211417</v>
      </c>
      <c r="H96" s="1">
        <f>VLOOKUP($D96,ProjectedP205_Consumption!$D$12:$M$26,10,FALSE)</f>
        <v>0.15761606166225881</v>
      </c>
    </row>
    <row r="97" spans="4:8" ht="13.5" customHeight="1" x14ac:dyDescent="0.25">
      <c r="D97" s="2" t="s">
        <v>124</v>
      </c>
      <c r="E97" s="1">
        <f>VLOOKUP($D97,ProjectedP205_Consumption!$D$12:$M$26,7,FALSE)</f>
        <v>3.113928760258983E-2</v>
      </c>
      <c r="F97" s="1">
        <f>VLOOKUP($D97,ProjectedP205_Consumption!$D$12:$M$26,8,FALSE)</f>
        <v>4.1856830631408208E-2</v>
      </c>
      <c r="G97" s="1">
        <f>VLOOKUP($D97,ProjectedP205_Consumption!$D$12:$M$26,9,FALSE)</f>
        <v>4.7582272569704633E-2</v>
      </c>
      <c r="H97" s="1">
        <f>VLOOKUP($D97,ProjectedP205_Consumption!$D$12:$M$26,10,FALSE)</f>
        <v>5.4090876656073615E-2</v>
      </c>
    </row>
    <row r="98" spans="4:8" ht="13.5" customHeight="1" x14ac:dyDescent="0.25">
      <c r="D98" s="2" t="s">
        <v>113</v>
      </c>
      <c r="E98" s="1">
        <f>VLOOKUP($D98,ProjectedP205_Consumption!$D$12:$M$26,7,FALSE)</f>
        <v>4.8962561271582929</v>
      </c>
      <c r="F98" s="1">
        <f>VLOOKUP($D98,ProjectedP205_Consumption!$D$12:$M$26,8,FALSE)</f>
        <v>6.4306782846796127</v>
      </c>
      <c r="G98" s="1">
        <f>VLOOKUP($D98,ProjectedP205_Consumption!$D$12:$M$26,9,FALSE)</f>
        <v>7.1524206966027526</v>
      </c>
      <c r="H98" s="1">
        <f>VLOOKUP($D98,ProjectedP205_Consumption!$D$12:$M$26,10,FALSE)</f>
        <v>7.9551673332916755</v>
      </c>
    </row>
    <row r="99" spans="4:8" ht="13.5" customHeight="1" x14ac:dyDescent="0.25">
      <c r="D99" s="2" t="s">
        <v>158</v>
      </c>
      <c r="E99" s="1">
        <f>VLOOKUP($D99,ProjectedP205_Consumption!$D$12:$M$26,7,FALSE)</f>
        <v>15.711162872230549</v>
      </c>
      <c r="F99" s="1">
        <f>VLOOKUP($D99,ProjectedP205_Consumption!$D$12:$M$26,8,FALSE)</f>
        <v>19.778090248269969</v>
      </c>
      <c r="G99" s="1">
        <f>VLOOKUP($D99,ProjectedP205_Consumption!$D$12:$M$26,9,FALSE)</f>
        <v>20.922613254685228</v>
      </c>
      <c r="H99" s="1">
        <f>VLOOKUP($D99,ProjectedP205_Consumption!$D$12:$M$26,10,FALSE)</f>
        <v>22.133367777681237</v>
      </c>
    </row>
    <row r="100" spans="4:8" ht="13.5" customHeight="1" x14ac:dyDescent="0.25">
      <c r="D100" s="2" t="s">
        <v>125</v>
      </c>
      <c r="E100" s="1">
        <f>VLOOKUP($D100,ProjectedP205_Consumption!$D$12:$M$26,7,FALSE)</f>
        <v>5.8166849190337336E-3</v>
      </c>
      <c r="F100" s="1">
        <f>VLOOKUP($D100,ProjectedP205_Consumption!$D$12:$M$26,8,FALSE)</f>
        <v>8.163260569363659E-3</v>
      </c>
      <c r="G100" s="1">
        <f>VLOOKUP($D100,ProjectedP205_Consumption!$D$12:$M$26,9,FALSE)</f>
        <v>9.7240800690663026E-3</v>
      </c>
      <c r="H100" s="1">
        <f>VLOOKUP($D100,ProjectedP205_Consumption!$D$12:$M$26,10,FALSE)</f>
        <v>1.1583329036988398E-2</v>
      </c>
    </row>
    <row r="101" spans="4:8" ht="13.5" customHeight="1" x14ac:dyDescent="0.25">
      <c r="D101" s="2" t="s">
        <v>144</v>
      </c>
      <c r="E101" s="1">
        <f>VLOOKUP($D101,ProjectedP205_Consumption!$D$12:$M$26,7,FALSE)</f>
        <v>4.8237709410485262E-3</v>
      </c>
      <c r="F101" s="1">
        <f>VLOOKUP($D101,ProjectedP205_Consumption!$D$12:$M$26,8,FALSE)</f>
        <v>6.6112695658504094E-3</v>
      </c>
      <c r="G101" s="1">
        <f>VLOOKUP($D101,ProjectedP205_Consumption!$D$12:$M$26,9,FALSE)</f>
        <v>7.6954879770370624E-3</v>
      </c>
      <c r="H101" s="1">
        <f>VLOOKUP($D101,ProjectedP205_Consumption!$D$12:$M$26,10,FALSE)</f>
        <v>8.9575133209841267E-3</v>
      </c>
    </row>
    <row r="102" spans="4:8" ht="13.5" customHeight="1" x14ac:dyDescent="0.25">
      <c r="D102" s="2" t="s">
        <v>68</v>
      </c>
      <c r="E102" s="1">
        <f>VLOOKUP($D102,ProjectedP205_Consumption!$D$12:$M$26,7,FALSE)</f>
        <v>3.1576174188219369E-3</v>
      </c>
      <c r="F102" s="1">
        <f>VLOOKUP($D102,ProjectedP205_Consumption!$D$12:$M$26,8,FALSE)</f>
        <v>4.2800879604591351E-3</v>
      </c>
      <c r="G102" s="1">
        <f>VLOOKUP($D102,ProjectedP205_Consumption!$D$12:$M$26,9,FALSE)</f>
        <v>4.9053083078671655E-3</v>
      </c>
      <c r="H102" s="1">
        <f>VLOOKUP($D102,ProjectedP205_Consumption!$D$12:$M$26,10,FALSE)</f>
        <v>5.6218586668133428E-3</v>
      </c>
    </row>
    <row r="103" spans="4:8" ht="13.5" customHeight="1" x14ac:dyDescent="0.3">
      <c r="D103" s="478" t="str">
        <f>CONCATENATE("OCP share",":  ",D96)</f>
        <v>OCP share:  Cashew nuts, in shell</v>
      </c>
      <c r="E103" s="480">
        <v>0.5</v>
      </c>
      <c r="F103" s="189">
        <f>($H103-$E103)/3+E103</f>
        <v>0.38333333333333336</v>
      </c>
      <c r="G103" s="189">
        <f t="shared" ref="G103:G109" si="47">($H103-$E103)/3+F103</f>
        <v>0.26666666666666672</v>
      </c>
      <c r="H103" s="479">
        <v>0.15</v>
      </c>
    </row>
    <row r="104" spans="4:8" ht="13.5" customHeight="1" x14ac:dyDescent="0.3">
      <c r="D104" s="478" t="str">
        <f t="shared" ref="D104:D109" si="48">CONCATENATE("OCP share",":  ",D97)</f>
        <v>OCP share:  Cassava, fresh</v>
      </c>
      <c r="E104" s="480">
        <v>0.5</v>
      </c>
      <c r="F104" s="189">
        <f t="shared" ref="F104" si="49">($H104-$E104)/3+E104</f>
        <v>0.38333333333333336</v>
      </c>
      <c r="G104" s="189">
        <f t="shared" si="47"/>
        <v>0.26666666666666672</v>
      </c>
      <c r="H104" s="479">
        <v>0.15</v>
      </c>
    </row>
    <row r="105" spans="4:8" ht="13.5" customHeight="1" x14ac:dyDescent="0.3">
      <c r="D105" s="478" t="str">
        <f t="shared" si="48"/>
        <v>OCP share:  Maize (corn)</v>
      </c>
      <c r="E105" s="480">
        <v>0.5</v>
      </c>
      <c r="F105" s="189">
        <f t="shared" ref="F105" si="50">($H105-$E105)/3+E105</f>
        <v>0.38333333333333336</v>
      </c>
      <c r="G105" s="189">
        <f t="shared" si="47"/>
        <v>0.26666666666666672</v>
      </c>
      <c r="H105" s="479">
        <v>0.15</v>
      </c>
    </row>
    <row r="106" spans="4:8" ht="13.5" customHeight="1" x14ac:dyDescent="0.3">
      <c r="D106" s="478" t="str">
        <f t="shared" si="48"/>
        <v>OCP share:  Seed cotton, unginned</v>
      </c>
      <c r="E106" s="480">
        <v>0.7</v>
      </c>
      <c r="F106" s="189">
        <f t="shared" ref="F106" si="51">($H106-$E106)/3+E106</f>
        <v>0.73333333333333328</v>
      </c>
      <c r="G106" s="189">
        <f t="shared" si="47"/>
        <v>0.76666666666666661</v>
      </c>
      <c r="H106" s="479">
        <v>0.8</v>
      </c>
    </row>
    <row r="107" spans="4:8" ht="13.5" customHeight="1" x14ac:dyDescent="0.3">
      <c r="D107" s="478" t="str">
        <f t="shared" si="48"/>
        <v>OCP share:  Mangoes, guavas and mangosteens</v>
      </c>
      <c r="E107" s="480">
        <v>0.5</v>
      </c>
      <c r="F107" s="189">
        <f t="shared" ref="F107" si="52">($H107-$E107)/3+E107</f>
        <v>0.38333333333333336</v>
      </c>
      <c r="G107" s="189">
        <f t="shared" si="47"/>
        <v>0.26666666666666672</v>
      </c>
      <c r="H107" s="479">
        <v>0.15</v>
      </c>
    </row>
    <row r="108" spans="4:8" ht="13.5" customHeight="1" x14ac:dyDescent="0.3">
      <c r="D108" s="478" t="str">
        <f t="shared" si="48"/>
        <v>OCP share:  Groundnuts, excluding shelled</v>
      </c>
      <c r="E108" s="480">
        <v>0.5</v>
      </c>
      <c r="F108" s="189">
        <f t="shared" ref="F108" si="53">($H108-$E108)/3+E108</f>
        <v>0.38333333333333336</v>
      </c>
      <c r="G108" s="189">
        <f t="shared" si="47"/>
        <v>0.26666666666666672</v>
      </c>
      <c r="H108" s="479">
        <v>0.15</v>
      </c>
    </row>
    <row r="109" spans="4:8" ht="13.5" customHeight="1" thickBot="1" x14ac:dyDescent="0.35">
      <c r="D109" s="478" t="str">
        <f t="shared" si="48"/>
        <v>OCP share:  Sorghum</v>
      </c>
      <c r="E109" s="480">
        <v>0.5</v>
      </c>
      <c r="F109" s="189">
        <f t="shared" ref="F109" si="54">($H109-$E109)/3+E109</f>
        <v>0.38333333333333336</v>
      </c>
      <c r="G109" s="189">
        <f t="shared" si="47"/>
        <v>0.26666666666666672</v>
      </c>
      <c r="H109" s="479">
        <v>0.15</v>
      </c>
    </row>
    <row r="110" spans="4:8" ht="13.5" customHeight="1" thickTop="1" thickBot="1" x14ac:dyDescent="0.3">
      <c r="D110" s="281" t="s">
        <v>799</v>
      </c>
      <c r="E110" s="127">
        <f>SUMPRODUCT(E96:E102,E103:E109)</f>
        <v>13.50426999428031</v>
      </c>
      <c r="F110" s="127">
        <f t="shared" ref="F110:H110" si="55">SUMPRODUCT(F96:F102,F103:F109)</f>
        <v>17.032067907012923</v>
      </c>
      <c r="G110" s="127">
        <f t="shared" si="55"/>
        <v>18.000691259228955</v>
      </c>
      <c r="H110" s="127">
        <f t="shared" si="55"/>
        <v>18.935649768040207</v>
      </c>
    </row>
    <row r="111" spans="4:8" ht="13.5" customHeight="1" thickTop="1" x14ac:dyDescent="0.25"/>
    <row r="114" spans="4:8" ht="13.5" customHeight="1" x14ac:dyDescent="0.3">
      <c r="D114" s="32" t="s">
        <v>81</v>
      </c>
    </row>
    <row r="115" spans="4:8" ht="13.5" customHeight="1" x14ac:dyDescent="0.3">
      <c r="D115" s="33" t="s">
        <v>82</v>
      </c>
    </row>
    <row r="116" spans="4:8" ht="13.5" customHeight="1" x14ac:dyDescent="0.3">
      <c r="D116" s="30" t="s">
        <v>800</v>
      </c>
      <c r="E116" s="120">
        <v>2022</v>
      </c>
      <c r="F116" s="120">
        <v>2023</v>
      </c>
      <c r="G116" s="120">
        <v>2024</v>
      </c>
      <c r="H116" s="120">
        <v>2025</v>
      </c>
    </row>
    <row r="117" spans="4:8" ht="13.5" customHeight="1" x14ac:dyDescent="0.25">
      <c r="D117" s="2" t="s">
        <v>136</v>
      </c>
      <c r="E117" s="1">
        <f>VLOOKUP($D117,ProjectedP205_Consumption!$D$33:$M$49,7,FALSE)</f>
        <v>7.1718479398068927E-2</v>
      </c>
      <c r="F117" s="1">
        <f>VLOOKUP($D117,ProjectedP205_Consumption!$D$33:$M$49,8,FALSE)</f>
        <v>0.10354520124099365</v>
      </c>
      <c r="G117" s="1">
        <f>VLOOKUP($D117,ProjectedP205_Consumption!$D$33:$M$49,9,FALSE)</f>
        <v>0.86774197724995938</v>
      </c>
      <c r="H117" s="1">
        <f>VLOOKUP($D117,ProjectedP205_Consumption!$D$33:$M$49,10,FALSE)</f>
        <v>1.708099567856719</v>
      </c>
    </row>
    <row r="118" spans="4:8" ht="13.5" customHeight="1" x14ac:dyDescent="0.25">
      <c r="D118" s="2" t="s">
        <v>124</v>
      </c>
      <c r="E118" s="1">
        <f>VLOOKUP($D118,ProjectedP205_Consumption!$D$33:$M$49,7,FALSE)</f>
        <v>3.113928760258983E-2</v>
      </c>
      <c r="F118" s="1">
        <f>VLOOKUP($D118,ProjectedP205_Consumption!$D$33:$M$49,8,FALSE)</f>
        <v>4.1856830631408208E-2</v>
      </c>
      <c r="G118" s="1">
        <f>VLOOKUP($D118,ProjectedP205_Consumption!$D$33:$M$49,9,FALSE)</f>
        <v>0.34458108482450545</v>
      </c>
      <c r="H118" s="1">
        <f>VLOOKUP($D118,ProjectedP205_Consumption!$D$33:$M$49,10,FALSE)</f>
        <v>0.66963281626785476</v>
      </c>
    </row>
    <row r="119" spans="4:8" ht="13.5" customHeight="1" x14ac:dyDescent="0.25">
      <c r="D119" s="2" t="s">
        <v>113</v>
      </c>
      <c r="E119" s="1">
        <f>VLOOKUP($D119,ProjectedP205_Consumption!$D$33:$M$49,7,FALSE)</f>
        <v>4.8962561271582929</v>
      </c>
      <c r="F119" s="1">
        <f>VLOOKUP($D119,ProjectedP205_Consumption!$D$33:$M$49,8,FALSE)</f>
        <v>6.4306782846796127</v>
      </c>
      <c r="G119" s="1">
        <f>VLOOKUP($D119,ProjectedP205_Consumption!$D$33:$M$49,9,FALSE)</f>
        <v>7.1524206966027526</v>
      </c>
      <c r="H119" s="1">
        <f>VLOOKUP($D119,ProjectedP205_Consumption!$D$33:$M$49,10,FALSE)</f>
        <v>7.9551673332916755</v>
      </c>
    </row>
    <row r="120" spans="4:8" ht="13.5" customHeight="1" x14ac:dyDescent="0.25">
      <c r="D120" s="2" t="s">
        <v>158</v>
      </c>
      <c r="E120" s="1">
        <f>VLOOKUP($D120,ProjectedP205_Consumption!$D$33:$M$49,7,FALSE)</f>
        <v>15.711162872230549</v>
      </c>
      <c r="F120" s="1">
        <f>VLOOKUP($D120,ProjectedP205_Consumption!$D$33:$M$49,8,FALSE)</f>
        <v>19.778090248269969</v>
      </c>
      <c r="G120" s="1">
        <f>VLOOKUP($D120,ProjectedP205_Consumption!$D$33:$M$49,9,FALSE)</f>
        <v>23.776927955870221</v>
      </c>
      <c r="H120" s="1">
        <f>VLOOKUP($D120,ProjectedP205_Consumption!$D$33:$M$49,10,FALSE)</f>
        <v>27.814779209647934</v>
      </c>
    </row>
    <row r="121" spans="4:8" ht="13.5" customHeight="1" x14ac:dyDescent="0.25">
      <c r="D121" s="2" t="s">
        <v>125</v>
      </c>
      <c r="E121" s="1">
        <f>VLOOKUP($D121,ProjectedP205_Consumption!$D$33:$M$49,7,FALSE)</f>
        <v>5.8166849190337336E-3</v>
      </c>
      <c r="F121" s="1">
        <f>VLOOKUP($D121,ProjectedP205_Consumption!$D$33:$M$49,8,FALSE)</f>
        <v>8.163260569363659E-3</v>
      </c>
      <c r="G121" s="1">
        <f>VLOOKUP($D121,ProjectedP205_Consumption!$D$33:$M$49,9,FALSE)</f>
        <v>0.10367793597682291</v>
      </c>
      <c r="H121" s="1">
        <f>VLOOKUP($D121,ProjectedP205_Consumption!$D$33:$M$49,10,FALSE)</f>
        <v>0.2108349629282571</v>
      </c>
    </row>
    <row r="122" spans="4:8" ht="13.5" customHeight="1" x14ac:dyDescent="0.25">
      <c r="D122" s="2" t="s">
        <v>144</v>
      </c>
      <c r="E122" s="1">
        <f>VLOOKUP($D122,ProjectedP205_Consumption!$D$33:$M$49,7,FALSE)</f>
        <v>4.8237709410485262E-3</v>
      </c>
      <c r="F122" s="1">
        <f>VLOOKUP($D122,ProjectedP205_Consumption!$D$33:$M$49,8,FALSE)</f>
        <v>6.6112695658504094E-3</v>
      </c>
      <c r="G122" s="1">
        <f>VLOOKUP($D122,ProjectedP205_Consumption!$D$33:$M$49,9,FALSE)</f>
        <v>7.3159557871087633E-2</v>
      </c>
      <c r="H122" s="1">
        <f>VLOOKUP($D122,ProjectedP205_Consumption!$D$33:$M$49,10,FALSE)</f>
        <v>0.14406957477870211</v>
      </c>
    </row>
    <row r="123" spans="4:8" ht="13.5" customHeight="1" x14ac:dyDescent="0.25">
      <c r="D123" s="2" t="s">
        <v>68</v>
      </c>
      <c r="E123" s="1">
        <f>VLOOKUP($D123,ProjectedP205_Consumption!$D$33:$M$49,7,FALSE)</f>
        <v>3.1576174188219369E-3</v>
      </c>
      <c r="F123" s="1">
        <f>VLOOKUP($D123,ProjectedP205_Consumption!$D$33:$M$49,8,FALSE)</f>
        <v>4.2800879604591351E-3</v>
      </c>
      <c r="G123" s="1">
        <f>VLOOKUP($D123,ProjectedP205_Consumption!$D$33:$M$49,9,FALSE)</f>
        <v>5.3491172091787442E-2</v>
      </c>
      <c r="H123" s="1">
        <f>VLOOKUP($D123,ProjectedP205_Consumption!$D$33:$M$49,10,FALSE)</f>
        <v>0.10732045867526058</v>
      </c>
    </row>
    <row r="124" spans="4:8" ht="13.5" customHeight="1" x14ac:dyDescent="0.3">
      <c r="D124" s="478" t="str">
        <f>CONCATENATE("OCP share",":  ",D117)</f>
        <v>OCP share:  Cashew nuts, in shell</v>
      </c>
      <c r="E124" s="480">
        <f t="shared" ref="E124:E130" si="56">E103</f>
        <v>0.5</v>
      </c>
      <c r="F124" s="189">
        <f>($H124-$E124)/3+E124</f>
        <v>0.38333333333333336</v>
      </c>
      <c r="G124" s="189">
        <f t="shared" ref="G124:G130" si="57">($H124-$E124)/3+F124</f>
        <v>0.26666666666666672</v>
      </c>
      <c r="H124" s="479">
        <f>H103</f>
        <v>0.15</v>
      </c>
    </row>
    <row r="125" spans="4:8" ht="13.5" customHeight="1" x14ac:dyDescent="0.3">
      <c r="D125" s="478" t="str">
        <f t="shared" ref="D125:D130" si="58">CONCATENATE("OCP share",":  ",D118)</f>
        <v>OCP share:  Cassava, fresh</v>
      </c>
      <c r="E125" s="480">
        <f t="shared" si="56"/>
        <v>0.5</v>
      </c>
      <c r="F125" s="189">
        <f t="shared" ref="F125" si="59">($H125-$E125)/3+E125</f>
        <v>0.38333333333333336</v>
      </c>
      <c r="G125" s="189">
        <f t="shared" si="57"/>
        <v>0.26666666666666672</v>
      </c>
      <c r="H125" s="479">
        <f t="shared" ref="H125:H130" si="60">H104</f>
        <v>0.15</v>
      </c>
    </row>
    <row r="126" spans="4:8" ht="13.5" customHeight="1" x14ac:dyDescent="0.3">
      <c r="D126" s="478" t="str">
        <f t="shared" si="58"/>
        <v>OCP share:  Maize (corn)</v>
      </c>
      <c r="E126" s="480">
        <f t="shared" si="56"/>
        <v>0.5</v>
      </c>
      <c r="F126" s="189">
        <f t="shared" ref="F126" si="61">($H126-$E126)/3+E126</f>
        <v>0.38333333333333336</v>
      </c>
      <c r="G126" s="189">
        <f t="shared" si="57"/>
        <v>0.26666666666666672</v>
      </c>
      <c r="H126" s="479">
        <f t="shared" si="60"/>
        <v>0.15</v>
      </c>
    </row>
    <row r="127" spans="4:8" ht="13.5" customHeight="1" x14ac:dyDescent="0.3">
      <c r="D127" s="478" t="str">
        <f t="shared" si="58"/>
        <v>OCP share:  Seed cotton, unginned</v>
      </c>
      <c r="E127" s="480">
        <f t="shared" si="56"/>
        <v>0.7</v>
      </c>
      <c r="F127" s="189">
        <f t="shared" ref="F127" si="62">($H127-$E127)/3+E127</f>
        <v>0.73333333333333328</v>
      </c>
      <c r="G127" s="189">
        <f t="shared" si="57"/>
        <v>0.76666666666666661</v>
      </c>
      <c r="H127" s="479">
        <f t="shared" si="60"/>
        <v>0.8</v>
      </c>
    </row>
    <row r="128" spans="4:8" ht="13.5" customHeight="1" x14ac:dyDescent="0.3">
      <c r="D128" s="478" t="str">
        <f t="shared" si="58"/>
        <v>OCP share:  Mangoes, guavas and mangosteens</v>
      </c>
      <c r="E128" s="480">
        <f t="shared" si="56"/>
        <v>0.5</v>
      </c>
      <c r="F128" s="189">
        <f t="shared" ref="F128" si="63">($H128-$E128)/3+E128</f>
        <v>0.38333333333333336</v>
      </c>
      <c r="G128" s="189">
        <f t="shared" si="57"/>
        <v>0.26666666666666672</v>
      </c>
      <c r="H128" s="479">
        <f t="shared" si="60"/>
        <v>0.15</v>
      </c>
    </row>
    <row r="129" spans="2:8" ht="13.5" customHeight="1" x14ac:dyDescent="0.3">
      <c r="D129" s="478" t="str">
        <f t="shared" si="58"/>
        <v>OCP share:  Groundnuts, excluding shelled</v>
      </c>
      <c r="E129" s="480">
        <f t="shared" si="56"/>
        <v>0.5</v>
      </c>
      <c r="F129" s="189">
        <f t="shared" ref="F129" si="64">($H129-$E129)/3+E129</f>
        <v>0.38333333333333336</v>
      </c>
      <c r="G129" s="189">
        <f t="shared" si="57"/>
        <v>0.26666666666666672</v>
      </c>
      <c r="H129" s="479">
        <f t="shared" si="60"/>
        <v>0.15</v>
      </c>
    </row>
    <row r="130" spans="2:8" ht="13.5" customHeight="1" thickBot="1" x14ac:dyDescent="0.35">
      <c r="D130" s="478" t="str">
        <f t="shared" si="58"/>
        <v>OCP share:  Sorghum</v>
      </c>
      <c r="E130" s="480">
        <f t="shared" si="56"/>
        <v>0.5</v>
      </c>
      <c r="F130" s="189">
        <f t="shared" ref="F130" si="65">($H130-$E130)/3+E130</f>
        <v>0.38333333333333336</v>
      </c>
      <c r="G130" s="189">
        <f t="shared" si="57"/>
        <v>0.26666666666666672</v>
      </c>
      <c r="H130" s="479">
        <f t="shared" si="60"/>
        <v>0.15</v>
      </c>
    </row>
    <row r="131" spans="2:8" ht="13.5" customHeight="1" thickTop="1" thickBot="1" x14ac:dyDescent="0.3">
      <c r="D131" s="281" t="s">
        <v>799</v>
      </c>
      <c r="E131" s="127">
        <f>SUMPRODUCT(E117:E123,E124:E130)</f>
        <v>13.50426999428031</v>
      </c>
      <c r="F131" s="127">
        <f t="shared" ref="F131" si="66">SUMPRODUCT(F117:F123,F124:F130)</f>
        <v>17.032067907012923</v>
      </c>
      <c r="G131" s="127">
        <f t="shared" ref="G131" si="67">SUMPRODUCT(G117:G123,G124:G130)</f>
        <v>20.520997412731678</v>
      </c>
      <c r="H131" s="127">
        <f t="shared" ref="H131" si="68">SUMPRODUCT(H117:H123,H124:H130)</f>
        <v>23.871092074788113</v>
      </c>
    </row>
    <row r="132" spans="2:8" ht="13.5" customHeight="1" thickTop="1" x14ac:dyDescent="0.25"/>
    <row r="135" spans="2:8" ht="13.5" customHeight="1" x14ac:dyDescent="0.35">
      <c r="B135" s="29">
        <v>3</v>
      </c>
      <c r="D135" s="28" t="s">
        <v>802</v>
      </c>
    </row>
    <row r="138" spans="2:8" ht="13.5" customHeight="1" x14ac:dyDescent="0.3">
      <c r="D138" s="32" t="s">
        <v>81</v>
      </c>
    </row>
    <row r="139" spans="2:8" ht="13.5" customHeight="1" x14ac:dyDescent="0.3">
      <c r="D139" s="33" t="s">
        <v>82</v>
      </c>
    </row>
    <row r="140" spans="2:8" ht="13.5" customHeight="1" x14ac:dyDescent="0.3">
      <c r="D140" s="30" t="s">
        <v>15</v>
      </c>
      <c r="E140" s="120">
        <v>2022</v>
      </c>
      <c r="F140" s="120">
        <v>2023</v>
      </c>
      <c r="G140" s="120">
        <v>2024</v>
      </c>
      <c r="H140" s="120">
        <v>2025</v>
      </c>
    </row>
    <row r="141" spans="2:8" ht="13.5" customHeight="1" x14ac:dyDescent="0.25">
      <c r="D141" s="2" t="s">
        <v>156</v>
      </c>
      <c r="E141" s="1">
        <f>VLOOKUP($D141,ProjectedP205_Consumption!$D$12:$M$26,7,FALSE)</f>
        <v>5.8369826553011048</v>
      </c>
      <c r="F141" s="1">
        <f>VLOOKUP($D141,ProjectedP205_Consumption!$D$12:$M$26,8,FALSE)</f>
        <v>7.7999576174457532</v>
      </c>
      <c r="G141" s="1">
        <f>VLOOKUP($D141,ProjectedP205_Consumption!$D$12:$M$26,9,FALSE)</f>
        <v>8.7850891845815724</v>
      </c>
      <c r="H141" s="1">
        <f>VLOOKUP($D141,ProjectedP205_Consumption!$D$12:$M$26,10,FALSE)</f>
        <v>9.8946424796504804</v>
      </c>
    </row>
    <row r="142" spans="2:8" ht="13.5" customHeight="1" x14ac:dyDescent="0.25">
      <c r="D142" s="2" t="s">
        <v>182</v>
      </c>
      <c r="E142" s="1">
        <f>VLOOKUP($D142,ProjectedP205_Consumption!$D$12:$M$26,7,FALSE)</f>
        <v>1.2907401183436182</v>
      </c>
      <c r="F142" s="1">
        <f>VLOOKUP($D142,ProjectedP205_Consumption!$D$12:$M$26,8,FALSE)</f>
        <v>1.586490897766063</v>
      </c>
      <c r="G142" s="1">
        <f>VLOOKUP($D142,ProjectedP205_Consumption!$D$12:$M$26,9,FALSE)</f>
        <v>1.616844765819021</v>
      </c>
      <c r="H142" s="1">
        <f>VLOOKUP($D142,ProjectedP205_Consumption!$D$12:$M$26,10,FALSE)</f>
        <v>1.6477793855845002</v>
      </c>
    </row>
    <row r="143" spans="2:8" ht="13.5" customHeight="1" x14ac:dyDescent="0.25">
      <c r="D143" s="2" t="s">
        <v>184</v>
      </c>
      <c r="E143" s="1">
        <f>VLOOKUP($D143,ProjectedP205_Consumption!$D$12:$M$26,7,FALSE)</f>
        <v>5.1265044929183459</v>
      </c>
      <c r="F143" s="1">
        <f>VLOOKUP($D143,ProjectedP205_Consumption!$D$12:$M$26,8,FALSE)</f>
        <v>7.1309670937117282</v>
      </c>
      <c r="G143" s="1">
        <f>VLOOKUP($D143,ProjectedP205_Consumption!$D$12:$M$26,9,FALSE)</f>
        <v>8.3646901738228596</v>
      </c>
      <c r="H143" s="1">
        <f>VLOOKUP($D143,ProjectedP205_Consumption!$D$12:$M$26,10,FALSE)</f>
        <v>9.811858726111403</v>
      </c>
    </row>
    <row r="144" spans="2:8" ht="13.5" customHeight="1" x14ac:dyDescent="0.25">
      <c r="D144" s="2" t="s">
        <v>119</v>
      </c>
      <c r="E144" s="1">
        <f>VLOOKUP($D144,ProjectedP205_Consumption!$D$12:$M$26,7,FALSE)</f>
        <v>2.8988228428496847</v>
      </c>
      <c r="F144" s="1">
        <f>VLOOKUP($D144,ProjectedP205_Consumption!$D$12:$M$26,8,FALSE)</f>
        <v>3.7307849963106614</v>
      </c>
      <c r="G144" s="1">
        <f>VLOOKUP($D144,ProjectedP205_Consumption!$D$12:$M$26,9,FALSE)</f>
        <v>4.0546270119243601</v>
      </c>
      <c r="H144" s="1">
        <f>VLOOKUP($D144,ProjectedP205_Consumption!$D$12:$M$26,10,FALSE)</f>
        <v>4.4065793719241464</v>
      </c>
    </row>
    <row r="145" spans="4:8" ht="13.5" customHeight="1" x14ac:dyDescent="0.3">
      <c r="D145" s="478" t="str">
        <f>CONCATENATE("OCP share",":  ",D141)</f>
        <v>OCP share:  Plantains and cooking bananas</v>
      </c>
      <c r="E145" s="480">
        <v>0</v>
      </c>
      <c r="F145" s="189">
        <f>($H145-$E145)/3+E145</f>
        <v>4.9999999999999996E-2</v>
      </c>
      <c r="G145" s="189">
        <f t="shared" ref="G145:G148" si="69">($H145-$E145)/3+F145</f>
        <v>9.9999999999999992E-2</v>
      </c>
      <c r="H145" s="479">
        <v>0.15</v>
      </c>
    </row>
    <row r="146" spans="4:8" ht="13.5" customHeight="1" x14ac:dyDescent="0.3">
      <c r="D146" s="478" t="str">
        <f>CONCATENATE("OCP share",":  ",D142)</f>
        <v>OCP share:  Natural rubber in primary forms</v>
      </c>
      <c r="E146" s="480">
        <v>0</v>
      </c>
      <c r="F146" s="189">
        <f t="shared" ref="F146" si="70">($H146-$E146)/3+E146</f>
        <v>4.9999999999999996E-2</v>
      </c>
      <c r="G146" s="189">
        <f t="shared" si="69"/>
        <v>9.9999999999999992E-2</v>
      </c>
      <c r="H146" s="479">
        <v>0.15</v>
      </c>
    </row>
    <row r="147" spans="4:8" ht="13.5" customHeight="1" x14ac:dyDescent="0.3">
      <c r="D147" s="478" t="str">
        <f>CONCATENATE("OCP share",":  ",D143)</f>
        <v>OCP share:  Oil palm fruit</v>
      </c>
      <c r="E147" s="480">
        <v>0</v>
      </c>
      <c r="F147" s="189">
        <f t="shared" ref="F147" si="71">($H147-$E147)/3+E147</f>
        <v>4.9999999999999996E-2</v>
      </c>
      <c r="G147" s="189">
        <f t="shared" si="69"/>
        <v>9.9999999999999992E-2</v>
      </c>
      <c r="H147" s="479">
        <v>0.15</v>
      </c>
    </row>
    <row r="148" spans="4:8" ht="13.5" customHeight="1" thickBot="1" x14ac:dyDescent="0.35">
      <c r="D148" s="478" t="str">
        <f>CONCATENATE("OCP share",":  ",D144)</f>
        <v>OCP share:  Sugar cane</v>
      </c>
      <c r="E148" s="480">
        <v>0</v>
      </c>
      <c r="F148" s="189">
        <f t="shared" ref="F148" si="72">($H148-$E148)/3+E148</f>
        <v>0.25</v>
      </c>
      <c r="G148" s="189">
        <f t="shared" si="69"/>
        <v>0.5</v>
      </c>
      <c r="H148" s="479">
        <v>0.75</v>
      </c>
    </row>
    <row r="149" spans="4:8" ht="13.5" customHeight="1" thickTop="1" thickBot="1" x14ac:dyDescent="0.3">
      <c r="D149" s="281" t="s">
        <v>799</v>
      </c>
      <c r="E149" s="127">
        <f>SUMPRODUCT(E141:E144,E145:E148)</f>
        <v>0</v>
      </c>
      <c r="F149" s="127">
        <f>SUMPRODUCT(F141:F144,F145:F148)</f>
        <v>1.7585670295238425</v>
      </c>
      <c r="G149" s="127">
        <f>SUMPRODUCT(G141:G144,G145:G148)</f>
        <v>3.9039759183845253</v>
      </c>
      <c r="H149" s="127">
        <f>SUMPRODUCT(H141:H144,H145:H148)</f>
        <v>6.5080766176450675</v>
      </c>
    </row>
    <row r="150" spans="4:8" ht="13.5" customHeight="1" thickTop="1" x14ac:dyDescent="0.25"/>
    <row r="152" spans="4:8" ht="13.5" customHeight="1" x14ac:dyDescent="0.3">
      <c r="D152" s="32" t="s">
        <v>81</v>
      </c>
    </row>
    <row r="153" spans="4:8" ht="13.5" customHeight="1" x14ac:dyDescent="0.3">
      <c r="D153" s="33" t="s">
        <v>82</v>
      </c>
    </row>
    <row r="154" spans="4:8" ht="13.5" customHeight="1" x14ac:dyDescent="0.3">
      <c r="D154" s="30" t="s">
        <v>800</v>
      </c>
      <c r="E154" s="120">
        <v>2022</v>
      </c>
      <c r="F154" s="120">
        <v>2023</v>
      </c>
      <c r="G154" s="120">
        <v>2024</v>
      </c>
      <c r="H154" s="120">
        <v>2025</v>
      </c>
    </row>
    <row r="155" spans="4:8" ht="13.5" customHeight="1" x14ac:dyDescent="0.25">
      <c r="D155" s="2" t="s">
        <v>156</v>
      </c>
      <c r="E155" s="1">
        <f>VLOOKUP($D155,ProjectedP205_Consumption!$D$33:$M$49,7,FALSE)</f>
        <v>5.8369826553011048</v>
      </c>
      <c r="F155" s="1">
        <f>VLOOKUP($D155,ProjectedP205_Consumption!$D$33:$M$49,8,FALSE)</f>
        <v>7.7999576174457532</v>
      </c>
      <c r="G155" s="1">
        <f>VLOOKUP($D155,ProjectedP205_Consumption!$D$33:$M$49,9,FALSE)</f>
        <v>17.474943679959026</v>
      </c>
      <c r="H155" s="1">
        <f>VLOOKUP($D155,ProjectedP205_Consumption!$D$33:$M$49,10,FALSE)</f>
        <v>28.097928454680012</v>
      </c>
    </row>
    <row r="156" spans="4:8" ht="13.5" customHeight="1" x14ac:dyDescent="0.25">
      <c r="D156" s="2" t="s">
        <v>182</v>
      </c>
      <c r="E156" s="1">
        <f>VLOOKUP($D156,ProjectedP205_Consumption!$D$33:$M$49,7,FALSE)</f>
        <v>1.2907401183436182</v>
      </c>
      <c r="F156" s="1">
        <f>VLOOKUP($D156,ProjectedP205_Consumption!$D$33:$M$49,8,FALSE)</f>
        <v>1.586490897766063</v>
      </c>
      <c r="G156" s="1">
        <f>VLOOKUP($D156,ProjectedP205_Consumption!$D$33:$M$49,9,FALSE)</f>
        <v>7.2697143982724972</v>
      </c>
      <c r="H156" s="1">
        <f>VLOOKUP($D156,ProjectedP205_Consumption!$D$33:$M$49,10,FALSE)</f>
        <v>13.517294021585158</v>
      </c>
    </row>
    <row r="157" spans="4:8" ht="13.5" customHeight="1" x14ac:dyDescent="0.25">
      <c r="D157" s="2" t="s">
        <v>184</v>
      </c>
      <c r="E157" s="1">
        <f>VLOOKUP($D157,ProjectedP205_Consumption!$D$33:$M$49,7,FALSE)</f>
        <v>5.1265044929183459</v>
      </c>
      <c r="F157" s="1">
        <f>VLOOKUP($D157,ProjectedP205_Consumption!$D$33:$M$49,8,FALSE)</f>
        <v>7.1309670937117282</v>
      </c>
      <c r="G157" s="1">
        <f>VLOOKUP($D157,ProjectedP205_Consumption!$D$33:$M$49,9,FALSE)</f>
        <v>8.531251164289257</v>
      </c>
      <c r="H157" s="1">
        <f>VLOOKUP($D157,ProjectedP205_Consumption!$D$33:$M$49,10,FALSE)</f>
        <v>10.12575458759761</v>
      </c>
    </row>
    <row r="158" spans="4:8" ht="13.5" customHeight="1" x14ac:dyDescent="0.25">
      <c r="D158" s="2" t="s">
        <v>119</v>
      </c>
      <c r="E158" s="1">
        <f>VLOOKUP($D158,ProjectedP205_Consumption!$D$33:$M$49,7,FALSE)</f>
        <v>2.8988228428496847</v>
      </c>
      <c r="F158" s="1">
        <f>VLOOKUP($D158,ProjectedP205_Consumption!$D$33:$M$49,8,FALSE)</f>
        <v>3.7307849963106614</v>
      </c>
      <c r="G158" s="1">
        <f>VLOOKUP($D158,ProjectedP205_Consumption!$D$33:$M$49,9,FALSE)</f>
        <v>4.0546270119243601</v>
      </c>
      <c r="H158" s="1">
        <f>VLOOKUP($D158,ProjectedP205_Consumption!$D$33:$M$49,10,FALSE)</f>
        <v>4.4065793719241464</v>
      </c>
    </row>
    <row r="159" spans="4:8" ht="13.5" customHeight="1" x14ac:dyDescent="0.3">
      <c r="D159" s="478" t="str">
        <f>CONCATENATE("OCP share",":  ",D155)</f>
        <v>OCP share:  Plantains and cooking bananas</v>
      </c>
      <c r="E159" s="480">
        <v>0</v>
      </c>
      <c r="F159" s="189">
        <f>($H159-$E159)/3+E159</f>
        <v>4.9999999999999996E-2</v>
      </c>
      <c r="G159" s="189">
        <f t="shared" ref="G159:G162" si="73">($H159-$E159)/3+F159</f>
        <v>9.9999999999999992E-2</v>
      </c>
      <c r="H159" s="479">
        <v>0.15</v>
      </c>
    </row>
    <row r="160" spans="4:8" ht="13.5" customHeight="1" x14ac:dyDescent="0.3">
      <c r="D160" s="478" t="str">
        <f>CONCATENATE("OCP share",":  ",D156)</f>
        <v>OCP share:  Natural rubber in primary forms</v>
      </c>
      <c r="E160" s="480">
        <v>0</v>
      </c>
      <c r="F160" s="189">
        <f t="shared" ref="F160:F162" si="74">($H160-$E160)/3+E160</f>
        <v>4.9999999999999996E-2</v>
      </c>
      <c r="G160" s="189">
        <f t="shared" si="73"/>
        <v>9.9999999999999992E-2</v>
      </c>
      <c r="H160" s="479">
        <v>0.15</v>
      </c>
    </row>
    <row r="161" spans="2:8" ht="13.5" customHeight="1" x14ac:dyDescent="0.3">
      <c r="D161" s="478" t="str">
        <f>CONCATENATE("OCP share",":  ",D157)</f>
        <v>OCP share:  Oil palm fruit</v>
      </c>
      <c r="E161" s="480">
        <v>0</v>
      </c>
      <c r="F161" s="189">
        <f t="shared" si="74"/>
        <v>4.9999999999999996E-2</v>
      </c>
      <c r="G161" s="189">
        <f t="shared" si="73"/>
        <v>9.9999999999999992E-2</v>
      </c>
      <c r="H161" s="479">
        <v>0.15</v>
      </c>
    </row>
    <row r="162" spans="2:8" ht="13.5" customHeight="1" thickBot="1" x14ac:dyDescent="0.35">
      <c r="D162" s="478" t="str">
        <f>CONCATENATE("OCP share",":  ",D158)</f>
        <v>OCP share:  Sugar cane</v>
      </c>
      <c r="E162" s="480">
        <v>0</v>
      </c>
      <c r="F162" s="189">
        <f t="shared" si="74"/>
        <v>0.25</v>
      </c>
      <c r="G162" s="189">
        <f t="shared" si="73"/>
        <v>0.5</v>
      </c>
      <c r="H162" s="479">
        <v>0.75</v>
      </c>
    </row>
    <row r="163" spans="2:8" ht="13.5" customHeight="1" thickTop="1" thickBot="1" x14ac:dyDescent="0.3">
      <c r="D163" s="281" t="s">
        <v>799</v>
      </c>
      <c r="E163" s="127">
        <f>SUMPRODUCT(E155:E158,E159:E162)</f>
        <v>0</v>
      </c>
      <c r="F163" s="127">
        <f>SUMPRODUCT(F155:F158,F159:F162)</f>
        <v>1.7585670295238425</v>
      </c>
      <c r="G163" s="127">
        <f>SUMPRODUCT(G155:G158,G159:G162)</f>
        <v>5.3549044302142583</v>
      </c>
      <c r="H163" s="127">
        <f>SUMPRODUCT(H155:H158,H159:H162)</f>
        <v>11.066081088522527</v>
      </c>
    </row>
    <row r="164" spans="2:8" ht="13.5" customHeight="1" thickTop="1" x14ac:dyDescent="0.25"/>
    <row r="167" spans="2:8" ht="13.5" customHeight="1" x14ac:dyDescent="0.35">
      <c r="B167" s="29">
        <v>4</v>
      </c>
      <c r="C167" s="51"/>
      <c r="D167" s="28" t="s">
        <v>803</v>
      </c>
    </row>
    <row r="169" spans="2:8" ht="13.5" customHeight="1" x14ac:dyDescent="0.3">
      <c r="D169" s="32" t="s">
        <v>81</v>
      </c>
    </row>
    <row r="170" spans="2:8" ht="13.5" customHeight="1" x14ac:dyDescent="0.3">
      <c r="D170" s="33" t="s">
        <v>82</v>
      </c>
    </row>
    <row r="171" spans="2:8" ht="13.5" customHeight="1" x14ac:dyDescent="0.3">
      <c r="D171" s="30" t="s">
        <v>15</v>
      </c>
      <c r="E171" s="120">
        <v>2022</v>
      </c>
      <c r="F171" s="120">
        <v>2023</v>
      </c>
      <c r="G171" s="120">
        <v>2024</v>
      </c>
      <c r="H171" s="120">
        <v>2025</v>
      </c>
    </row>
    <row r="172" spans="2:8" ht="13.5" customHeight="1" x14ac:dyDescent="0.25">
      <c r="D172" s="1" t="s">
        <v>73</v>
      </c>
      <c r="E172" s="1">
        <f>VLOOKUP($D172,ProjectedP205_Consumption!$D$12:$M$26,7,FALSE)</f>
        <v>2.745931208354619</v>
      </c>
      <c r="F172" s="1">
        <f>VLOOKUP($D172,ProjectedP205_Consumption!$D$12:$M$26,8,FALSE)</f>
        <v>3.6675702559633128</v>
      </c>
      <c r="G172" s="1">
        <f>VLOOKUP($D172,ProjectedP205_Consumption!$D$12:$M$26,9,FALSE)</f>
        <v>4.2025802054725059</v>
      </c>
      <c r="H172" s="1">
        <f>VLOOKUP($D172,ProjectedP205_Consumption!$D$12:$M$26,10,FALSE)</f>
        <v>4.8156351891861355</v>
      </c>
    </row>
    <row r="173" spans="2:8" ht="13.5" customHeight="1" thickBot="1" x14ac:dyDescent="0.35">
      <c r="D173" s="478" t="str">
        <f>CONCATENATE("OCP share",":  ",D172)</f>
        <v>OCP share:  Rice</v>
      </c>
      <c r="E173" s="480">
        <v>0.05</v>
      </c>
      <c r="F173" s="189">
        <f>($H173-$E173)/3+E173</f>
        <v>8.3333333333333343E-2</v>
      </c>
      <c r="G173" s="189">
        <f t="shared" ref="G173" si="75">($H173-$E173)/3+F173</f>
        <v>0.11666666666666667</v>
      </c>
      <c r="H173" s="479">
        <v>0.15</v>
      </c>
    </row>
    <row r="174" spans="2:8" ht="13.5" customHeight="1" thickTop="1" thickBot="1" x14ac:dyDescent="0.3">
      <c r="D174" s="281" t="s">
        <v>799</v>
      </c>
      <c r="E174" s="127">
        <f>SUMPRODUCT(E172:E172,E173:E173)</f>
        <v>0.13729656041773095</v>
      </c>
      <c r="F174" s="127">
        <f>SUMPRODUCT(F172:F172,F173:F173)</f>
        <v>0.30563085466360945</v>
      </c>
      <c r="G174" s="127">
        <f>SUMPRODUCT(G172:G172,G173:G173)</f>
        <v>0.49030102397179237</v>
      </c>
      <c r="H174" s="127">
        <f>SUMPRODUCT(H172:H172,H173:H173)</f>
        <v>0.72234527837792029</v>
      </c>
    </row>
    <row r="175" spans="2:8" ht="13.5" customHeight="1" thickTop="1" x14ac:dyDescent="0.25"/>
    <row r="177" spans="4:8" ht="13.5" customHeight="1" x14ac:dyDescent="0.3">
      <c r="D177" s="32" t="s">
        <v>81</v>
      </c>
    </row>
    <row r="178" spans="4:8" ht="13.5" customHeight="1" x14ac:dyDescent="0.3">
      <c r="D178" s="33" t="s">
        <v>82</v>
      </c>
    </row>
    <row r="179" spans="4:8" ht="13.5" customHeight="1" x14ac:dyDescent="0.3">
      <c r="D179" s="30" t="s">
        <v>800</v>
      </c>
      <c r="E179" s="120">
        <v>2022</v>
      </c>
      <c r="F179" s="120">
        <v>2023</v>
      </c>
      <c r="G179" s="120">
        <v>2024</v>
      </c>
      <c r="H179" s="120">
        <v>2025</v>
      </c>
    </row>
    <row r="180" spans="4:8" ht="13.5" customHeight="1" x14ac:dyDescent="0.25">
      <c r="D180" s="1" t="s">
        <v>73</v>
      </c>
      <c r="E180" s="1">
        <f>VLOOKUP($D180,ProjectedP205_Consumption!$D$33:$M$49,7,FALSE)</f>
        <v>2.745931208354619</v>
      </c>
      <c r="F180" s="1">
        <f>VLOOKUP($D180,ProjectedP205_Consumption!$D$33:$M$49,8,FALSE)</f>
        <v>3.6675702559633128</v>
      </c>
      <c r="G180" s="1">
        <f>VLOOKUP($D180,ProjectedP205_Consumption!$D$33:$M$49,9,FALSE)</f>
        <v>13.220651151865708</v>
      </c>
      <c r="H180" s="1">
        <f>VLOOKUP($D180,ProjectedP205_Consumption!$D$33:$M$49,10,FALSE)</f>
        <v>21.78609781320441</v>
      </c>
    </row>
    <row r="181" spans="4:8" ht="13.5" customHeight="1" thickBot="1" x14ac:dyDescent="0.35">
      <c r="D181" s="478" t="str">
        <f>CONCATENATE("OCP share",":  ",D180)</f>
        <v>OCP share:  Rice</v>
      </c>
      <c r="E181" s="480">
        <v>0.05</v>
      </c>
      <c r="F181" s="189">
        <f>($H181-$E181)/3+E181</f>
        <v>8.3333333333333343E-2</v>
      </c>
      <c r="G181" s="189">
        <f t="shared" ref="G181" si="76">($H181-$E181)/3+F181</f>
        <v>0.11666666666666667</v>
      </c>
      <c r="H181" s="479">
        <v>0.15</v>
      </c>
    </row>
    <row r="182" spans="4:8" ht="13.5" customHeight="1" thickTop="1" thickBot="1" x14ac:dyDescent="0.3">
      <c r="D182" s="281" t="s">
        <v>799</v>
      </c>
      <c r="E182" s="127">
        <f>SUMPRODUCT(E180:E180,E181:E181)</f>
        <v>0.13729656041773095</v>
      </c>
      <c r="F182" s="127">
        <f>SUMPRODUCT(F180:F180,F181:F181)</f>
        <v>0.30563085466360945</v>
      </c>
      <c r="G182" s="127">
        <f>SUMPRODUCT(G180:G180,G181:G181)</f>
        <v>1.5424093010509992</v>
      </c>
      <c r="H182" s="127">
        <f>SUMPRODUCT(H180:H180,H181:H181)</f>
        <v>3.2679146719806615</v>
      </c>
    </row>
    <row r="183" spans="4:8" ht="13.5" customHeight="1" thickTop="1"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C47A-EF35-4D49-AADE-D07686C205B6}">
  <sheetPr>
    <tabColor rgb="FF0070C0"/>
  </sheetPr>
  <dimension ref="A1:AD157"/>
  <sheetViews>
    <sheetView showGridLines="0" zoomScale="64" zoomScaleNormal="85" workbookViewId="0">
      <pane ySplit="10" topLeftCell="A11" activePane="bottomLeft" state="frozen"/>
      <selection activeCell="J242" sqref="A242:XFD242"/>
      <selection pane="bottomLeft" activeCell="J242" sqref="A242:XFD242"/>
    </sheetView>
  </sheetViews>
  <sheetFormatPr defaultColWidth="9.26953125" defaultRowHeight="13.5" customHeight="1" x14ac:dyDescent="0.25"/>
  <cols>
    <col min="1" max="1" width="1.7265625" style="437" customWidth="1"/>
    <col min="2" max="2" width="2.7265625" style="437" customWidth="1"/>
    <col min="3" max="3" width="2" style="437" customWidth="1"/>
    <col min="4" max="4" width="53.453125" style="437" customWidth="1"/>
    <col min="5" max="5" width="20.26953125" style="437" customWidth="1"/>
    <col min="6" max="6" width="12.26953125" style="437" bestFit="1" customWidth="1"/>
    <col min="7" max="7" width="20.26953125" style="437" customWidth="1"/>
    <col min="8" max="8" width="19.08984375" style="437" bestFit="1" customWidth="1"/>
    <col min="9" max="9" width="20.26953125" style="437" customWidth="1"/>
    <col min="10" max="10" width="41.26953125" style="437" bestFit="1" customWidth="1"/>
    <col min="11" max="13" width="20.26953125" style="437" customWidth="1"/>
    <col min="14" max="14" width="19.08984375" style="437" bestFit="1" customWidth="1"/>
    <col min="15" max="15" width="8.7265625" style="437" bestFit="1" customWidth="1"/>
    <col min="16" max="18" width="24.54296875" style="437" customWidth="1"/>
    <col min="19" max="19" width="17.7265625" style="437" customWidth="1"/>
    <col min="20" max="20" width="30.54296875" style="437" bestFit="1" customWidth="1"/>
    <col min="21" max="21" width="9.26953125" style="437"/>
    <col min="22" max="23" width="21" style="437" customWidth="1"/>
    <col min="24" max="24" width="12.81640625" style="437" customWidth="1"/>
    <col min="25" max="25" width="9.26953125" style="437"/>
    <col min="26" max="26" width="15.453125" style="437" bestFit="1" customWidth="1"/>
    <col min="27" max="16384" width="9.26953125" style="437"/>
  </cols>
  <sheetData>
    <row r="1" spans="1:30" s="7" customFormat="1" ht="13.5" customHeight="1" x14ac:dyDescent="0.25">
      <c r="A1" s="5"/>
      <c r="B1" s="5"/>
      <c r="C1" s="5"/>
      <c r="D1" s="6"/>
      <c r="E1" s="25"/>
    </row>
    <row r="2" spans="1:30" s="7" customFormat="1" ht="13.5" customHeight="1" x14ac:dyDescent="0.25">
      <c r="A2" s="5"/>
      <c r="B2" s="5"/>
      <c r="C2" s="5"/>
      <c r="D2" s="6"/>
      <c r="E2" s="26" t="str">
        <f>Title</f>
        <v>OCP Africa - CIV P205</v>
      </c>
    </row>
    <row r="3" spans="1:30" s="7" customFormat="1" ht="13.5" customHeight="1" x14ac:dyDescent="0.25">
      <c r="A3" s="5"/>
      <c r="B3" s="5"/>
      <c r="C3" s="5"/>
      <c r="D3" s="6"/>
      <c r="E3" s="27" t="str">
        <f ca="1">MID(CELL("filename",E3),FIND("]",CELL("filename",E3))+1,256)</f>
        <v>Proejction Market product mix</v>
      </c>
    </row>
    <row r="4" spans="1:30" s="7" customFormat="1" ht="13.5" customHeight="1" x14ac:dyDescent="0.25">
      <c r="A4" s="5"/>
      <c r="B4" s="5"/>
      <c r="C4" s="5"/>
      <c r="D4" s="6"/>
      <c r="E4" s="25"/>
    </row>
    <row r="5" spans="1:30" s="11" customFormat="1" ht="13.5" customHeight="1" x14ac:dyDescent="0.3">
      <c r="A5" s="8"/>
      <c r="B5" s="8"/>
      <c r="C5" s="8"/>
      <c r="D5" s="9"/>
      <c r="E5" s="10"/>
    </row>
    <row r="6" spans="1:30" s="2" customFormat="1" ht="13.5" customHeight="1" x14ac:dyDescent="0.25">
      <c r="E6" s="437"/>
      <c r="F6" s="437"/>
      <c r="G6" s="437"/>
      <c r="H6" s="435"/>
      <c r="I6" s="435"/>
      <c r="J6" s="437"/>
      <c r="K6" s="437"/>
      <c r="L6" s="437"/>
    </row>
    <row r="7" spans="1:30" s="2" customFormat="1" ht="13.5" customHeight="1" x14ac:dyDescent="0.35">
      <c r="B7" s="29">
        <v>1</v>
      </c>
      <c r="D7" s="28" t="s">
        <v>793</v>
      </c>
      <c r="E7" s="437"/>
      <c r="F7" s="437"/>
      <c r="G7" s="437"/>
      <c r="H7" s="630"/>
      <c r="I7" s="630"/>
      <c r="J7" s="437"/>
      <c r="K7" s="437"/>
      <c r="L7" s="456"/>
    </row>
    <row r="8" spans="1:30" s="2" customFormat="1" ht="13.5" customHeight="1" x14ac:dyDescent="0.3">
      <c r="E8" s="437"/>
      <c r="F8" s="438"/>
      <c r="G8" s="445"/>
      <c r="H8" s="444"/>
      <c r="I8" s="444"/>
      <c r="J8" s="437"/>
      <c r="K8" s="437"/>
      <c r="L8" s="457"/>
    </row>
    <row r="9" spans="1:30" s="2" customFormat="1" ht="13.5" customHeight="1" x14ac:dyDescent="0.3">
      <c r="D9" s="32" t="s">
        <v>16</v>
      </c>
      <c r="E9" s="437"/>
      <c r="F9" s="458"/>
      <c r="G9" s="445"/>
      <c r="H9" s="444"/>
      <c r="I9" s="444"/>
      <c r="J9" s="437"/>
      <c r="K9" s="437"/>
      <c r="L9" s="457"/>
    </row>
    <row r="10" spans="1:30" s="2" customFormat="1" ht="13.5" customHeight="1" x14ac:dyDescent="0.3">
      <c r="D10" s="33" t="s">
        <v>787</v>
      </c>
      <c r="E10" s="7"/>
      <c r="F10" s="7"/>
      <c r="G10" s="7"/>
      <c r="H10" s="7"/>
      <c r="I10" s="7"/>
    </row>
    <row r="11" spans="1:30" s="2" customFormat="1" ht="13.5" customHeight="1" x14ac:dyDescent="0.25">
      <c r="E11" s="7"/>
      <c r="F11" s="7"/>
      <c r="G11" s="7"/>
      <c r="H11" s="7"/>
      <c r="I11" s="7"/>
      <c r="N11" s="437"/>
      <c r="O11" s="437"/>
      <c r="P11" s="437"/>
      <c r="Q11" s="437"/>
      <c r="R11" s="437"/>
      <c r="S11" s="437"/>
      <c r="T11" s="437"/>
      <c r="U11" s="437"/>
      <c r="V11" s="437"/>
    </row>
    <row r="12" spans="1:30" s="2" customFormat="1" ht="13.5" customHeight="1" thickBot="1" x14ac:dyDescent="0.3">
      <c r="E12" s="464">
        <v>3</v>
      </c>
      <c r="F12" s="464">
        <v>4</v>
      </c>
      <c r="G12" s="464">
        <v>5</v>
      </c>
      <c r="H12" s="464">
        <v>6</v>
      </c>
      <c r="I12" s="464">
        <v>7</v>
      </c>
      <c r="K12" s="464">
        <v>3</v>
      </c>
      <c r="L12" s="464">
        <v>4</v>
      </c>
      <c r="M12" s="464">
        <v>5</v>
      </c>
      <c r="N12" s="464">
        <v>6</v>
      </c>
      <c r="O12" s="464">
        <v>7</v>
      </c>
      <c r="Q12" s="464">
        <v>3</v>
      </c>
      <c r="R12" s="464">
        <v>4</v>
      </c>
      <c r="S12" s="464">
        <v>5</v>
      </c>
      <c r="T12" s="464">
        <v>6</v>
      </c>
      <c r="U12" s="464">
        <v>7</v>
      </c>
      <c r="V12" s="437"/>
      <c r="W12" s="464">
        <v>3</v>
      </c>
      <c r="X12" s="464">
        <v>4</v>
      </c>
      <c r="Y12" s="464">
        <v>5</v>
      </c>
      <c r="Z12" s="464">
        <v>6</v>
      </c>
      <c r="AA12" s="464">
        <v>7</v>
      </c>
      <c r="AB12" s="437"/>
    </row>
    <row r="13" spans="1:30" s="2" customFormat="1" ht="13.5" customHeight="1" thickBot="1" x14ac:dyDescent="0.35">
      <c r="E13" s="627">
        <v>2022</v>
      </c>
      <c r="F13" s="628"/>
      <c r="G13" s="628"/>
      <c r="H13" s="628"/>
      <c r="I13" s="628"/>
      <c r="J13" s="629"/>
      <c r="K13" s="627">
        <v>2023</v>
      </c>
      <c r="L13" s="628"/>
      <c r="M13" s="628"/>
      <c r="N13" s="628"/>
      <c r="O13" s="628"/>
      <c r="P13" s="629"/>
      <c r="Q13" s="627">
        <v>2024</v>
      </c>
      <c r="R13" s="628"/>
      <c r="S13" s="628"/>
      <c r="T13" s="628"/>
      <c r="U13" s="628"/>
      <c r="V13" s="629"/>
      <c r="W13" s="627">
        <v>2025</v>
      </c>
      <c r="X13" s="628"/>
      <c r="Y13" s="628"/>
      <c r="Z13" s="628"/>
      <c r="AA13" s="628"/>
      <c r="AB13" s="629"/>
    </row>
    <row r="14" spans="1:30" s="4" customFormat="1" ht="13.5" customHeight="1" x14ac:dyDescent="0.3">
      <c r="D14" s="459"/>
      <c r="E14" s="460" t="s">
        <v>407</v>
      </c>
      <c r="F14" s="454" t="s">
        <v>753</v>
      </c>
      <c r="G14" s="454" t="s">
        <v>784</v>
      </c>
      <c r="H14" s="454" t="s">
        <v>229</v>
      </c>
      <c r="I14" s="454" t="s">
        <v>220</v>
      </c>
      <c r="J14" s="462" t="s">
        <v>286</v>
      </c>
      <c r="K14" s="460" t="s">
        <v>407</v>
      </c>
      <c r="L14" s="454" t="s">
        <v>753</v>
      </c>
      <c r="M14" s="454" t="s">
        <v>784</v>
      </c>
      <c r="N14" s="454" t="s">
        <v>229</v>
      </c>
      <c r="O14" s="454" t="s">
        <v>220</v>
      </c>
      <c r="P14" s="462" t="s">
        <v>791</v>
      </c>
      <c r="Q14" s="460" t="s">
        <v>407</v>
      </c>
      <c r="R14" s="454" t="s">
        <v>753</v>
      </c>
      <c r="S14" s="454" t="s">
        <v>784</v>
      </c>
      <c r="T14" s="454" t="s">
        <v>229</v>
      </c>
      <c r="U14" s="454" t="s">
        <v>220</v>
      </c>
      <c r="V14" s="462" t="s">
        <v>83</v>
      </c>
      <c r="W14" s="460" t="s">
        <v>407</v>
      </c>
      <c r="X14" s="454" t="s">
        <v>753</v>
      </c>
      <c r="Y14" s="454" t="s">
        <v>784</v>
      </c>
      <c r="Z14" s="454" t="s">
        <v>229</v>
      </c>
      <c r="AA14" s="455" t="s">
        <v>220</v>
      </c>
      <c r="AB14" s="462" t="s">
        <v>83</v>
      </c>
      <c r="AC14" s="461"/>
      <c r="AD14" s="461"/>
    </row>
    <row r="15" spans="1:30" s="2" customFormat="1" ht="13.5" customHeight="1" x14ac:dyDescent="0.25">
      <c r="D15" s="86" t="s">
        <v>167</v>
      </c>
      <c r="E15" s="467">
        <f>IFERROR(VLOOKUP($D15,'Argus - Consumption per crop'!$I$48:$O$56,E$12,FALSE),0)*$J15</f>
        <v>0</v>
      </c>
      <c r="F15" s="465">
        <f>IFERROR(VLOOKUP($D15,'Argus - Consumption per crop'!$I$48:$O$56,F$12,FALSE),0)*$J15</f>
        <v>1.4093087849225232</v>
      </c>
      <c r="G15" s="465">
        <f>IFERROR(VLOOKUP($D15,'Argus - Consumption per crop'!$I$48:$O$56,G$12,FALSE),100%)*J15</f>
        <v>0.67109942139167778</v>
      </c>
      <c r="H15" s="465">
        <f>IFERROR(VLOOKUP($D15,'Argus - Consumption per crop'!$I$48:$O$56,H$12,FALSE),0)*$J15</f>
        <v>0</v>
      </c>
      <c r="I15" s="465">
        <f>IFERROR(VLOOKUP($D15,'Argus - Consumption per crop'!$I$48:$O$56,I$12,FALSE),0)*$J15</f>
        <v>31.474562863269682</v>
      </c>
      <c r="J15" s="463">
        <f>ProjectedP205_Consumption!J13</f>
        <v>33.554971069583885</v>
      </c>
      <c r="K15" s="467">
        <f>IFERROR(VLOOKUP($D15,'Argus - Consumption per crop'!$I$48:$O$56,K$12,FALSE),0)*$P15</f>
        <v>0</v>
      </c>
      <c r="L15" s="465">
        <f>IFERROR(VLOOKUP($D15,'Argus - Consumption per crop'!$I$48:$O$56,L$12,FALSE),0)*$P15</f>
        <v>1.8209019162458984</v>
      </c>
      <c r="M15" s="465">
        <f>IFERROR(VLOOKUP($D15,'Argus - Consumption per crop'!$I$48:$O$56,M$12,FALSE),100%)*P15</f>
        <v>0.86709615059328482</v>
      </c>
      <c r="N15" s="465">
        <f>IFERROR(VLOOKUP($D15,'Argus - Consumption per crop'!$I$48:$O$56,N$12,FALSE),0)*$P15</f>
        <v>0</v>
      </c>
      <c r="O15" s="465">
        <f>IFERROR(VLOOKUP($D15,'Argus - Consumption per crop'!$I$48:$O$56,O$12,FALSE),0)*$P15</f>
        <v>40.666809462825057</v>
      </c>
      <c r="P15" s="463">
        <f>ProjectedP205_Consumption!K13</f>
        <v>43.354807529664242</v>
      </c>
      <c r="Q15" s="467">
        <f t="shared" ref="Q15:Q28" si="0">Q63*$V15</f>
        <v>0</v>
      </c>
      <c r="R15" s="465">
        <f>R63*$V15</f>
        <v>1.8764883177148242</v>
      </c>
      <c r="S15" s="465">
        <f t="shared" ref="S15:U15" si="1">S63*$V15</f>
        <v>0.93824415885741208</v>
      </c>
      <c r="T15" s="465">
        <f t="shared" si="1"/>
        <v>0</v>
      </c>
      <c r="U15" s="465">
        <f t="shared" si="1"/>
        <v>44.097475466298363</v>
      </c>
      <c r="V15" s="463">
        <f>ProjectedP205_Consumption!L13</f>
        <v>46.912207942870602</v>
      </c>
      <c r="W15" s="467">
        <f t="shared" ref="W15:AA28" si="2">$AB15*W63</f>
        <v>0</v>
      </c>
      <c r="X15" s="465">
        <f t="shared" si="2"/>
        <v>2.030460176827523</v>
      </c>
      <c r="Y15" s="465">
        <f t="shared" si="2"/>
        <v>1.0152300884137615</v>
      </c>
      <c r="Z15" s="465">
        <f t="shared" si="2"/>
        <v>0</v>
      </c>
      <c r="AA15" s="465">
        <f t="shared" si="2"/>
        <v>47.715814155446786</v>
      </c>
      <c r="AB15" s="463">
        <f>ProjectedP205_Consumption!M13</f>
        <v>50.76150442068807</v>
      </c>
      <c r="AC15" s="437"/>
      <c r="AD15" s="437"/>
    </row>
    <row r="16" spans="1:30" s="2" customFormat="1" ht="13.5" customHeight="1" x14ac:dyDescent="0.25">
      <c r="D16" s="86" t="s">
        <v>136</v>
      </c>
      <c r="E16" s="467">
        <f>IFERROR(VLOOKUP($D16,'Argus - Consumption per crop'!$I$48:$O$56,E$12,FALSE),0)*$J16</f>
        <v>0</v>
      </c>
      <c r="F16" s="465">
        <f>IFERROR(VLOOKUP($D16,'Argus - Consumption per crop'!$I$48:$O$56,F$12,FALSE),0)*$J16</f>
        <v>0</v>
      </c>
      <c r="G16" s="465">
        <f>IFERROR(VLOOKUP($D16,'Argus - Consumption per crop'!$I$48:$O$56,G$12,FALSE),100%)*J16</f>
        <v>7.1718479398068927E-2</v>
      </c>
      <c r="H16" s="465">
        <f>IFERROR(VLOOKUP($D16,'Argus - Consumption per crop'!$I$48:$O$56,H$12,FALSE),0)*$J16</f>
        <v>0</v>
      </c>
      <c r="I16" s="465">
        <f>IFERROR(VLOOKUP($D16,'Argus - Consumption per crop'!$I$48:$O$56,I$12,FALSE),0)*$J16</f>
        <v>0</v>
      </c>
      <c r="J16" s="463">
        <f>ProjectedP205_Consumption!J14</f>
        <v>7.1718479398068927E-2</v>
      </c>
      <c r="K16" s="467">
        <f>IFERROR(VLOOKUP($D16,'Argus - Consumption per crop'!$I$48:$O$56,K$12,FALSE),0)*$P16</f>
        <v>0</v>
      </c>
      <c r="L16" s="465">
        <f>IFERROR(VLOOKUP($D16,'Argus - Consumption per crop'!$I$48:$O$56,L$12,FALSE),0)*$P16</f>
        <v>0</v>
      </c>
      <c r="M16" s="465">
        <f>IFERROR(VLOOKUP($D16,'Argus - Consumption per crop'!$I$48:$O$56,M$12,FALSE),100%)*P16</f>
        <v>0.10354520124099365</v>
      </c>
      <c r="N16" s="465">
        <f>IFERROR(VLOOKUP($D16,'Argus - Consumption per crop'!$I$48:$O$56,N$12,FALSE),0)*$P16</f>
        <v>0</v>
      </c>
      <c r="O16" s="465">
        <f>IFERROR(VLOOKUP($D16,'Argus - Consumption per crop'!$I$48:$O$56,O$12,FALSE),0)*$P16</f>
        <v>0</v>
      </c>
      <c r="P16" s="463">
        <f>ProjectedP205_Consumption!K14</f>
        <v>0.10354520124099365</v>
      </c>
      <c r="Q16" s="467">
        <f t="shared" si="0"/>
        <v>0</v>
      </c>
      <c r="R16" s="465">
        <f t="shared" ref="R16:U16" si="3">R64*$V16</f>
        <v>0</v>
      </c>
      <c r="S16" s="465">
        <f t="shared" si="3"/>
        <v>0.12775126936211417</v>
      </c>
      <c r="T16" s="465">
        <f t="shared" si="3"/>
        <v>0</v>
      </c>
      <c r="U16" s="465">
        <f t="shared" si="3"/>
        <v>0</v>
      </c>
      <c r="V16" s="463">
        <f>ProjectedP205_Consumption!L14</f>
        <v>0.12775126936211417</v>
      </c>
      <c r="W16" s="467">
        <f t="shared" si="2"/>
        <v>0</v>
      </c>
      <c r="X16" s="465">
        <f t="shared" si="2"/>
        <v>0</v>
      </c>
      <c r="Y16" s="465">
        <f t="shared" si="2"/>
        <v>0.15761606166225881</v>
      </c>
      <c r="Z16" s="465">
        <f t="shared" si="2"/>
        <v>0</v>
      </c>
      <c r="AA16" s="465">
        <f t="shared" si="2"/>
        <v>0</v>
      </c>
      <c r="AB16" s="463">
        <f>ProjectedP205_Consumption!M14</f>
        <v>0.15761606166225881</v>
      </c>
      <c r="AC16" s="437"/>
      <c r="AD16" s="437"/>
    </row>
    <row r="17" spans="4:30" s="2" customFormat="1" ht="13.5" customHeight="1" x14ac:dyDescent="0.25">
      <c r="D17" s="86" t="s">
        <v>117</v>
      </c>
      <c r="E17" s="467">
        <f>IFERROR(VLOOKUP($D17,'Argus - Consumption per crop'!$I$48:$O$56,E$12,FALSE),0)*$J17</f>
        <v>0</v>
      </c>
      <c r="F17" s="465">
        <f>IFERROR(VLOOKUP($D17,'Argus - Consumption per crop'!$I$48:$O$56,F$12,FALSE),0)*$J17</f>
        <v>0</v>
      </c>
      <c r="G17" s="465">
        <f>IFERROR(VLOOKUP($D17,'Argus - Consumption per crop'!$I$48:$O$56,G$12,FALSE),100%)*J17</f>
        <v>1.6280391067800024E-2</v>
      </c>
      <c r="H17" s="465">
        <f>IFERROR(VLOOKUP($D17,'Argus - Consumption per crop'!$I$48:$O$56,H$12,FALSE),0)*$J17</f>
        <v>0</v>
      </c>
      <c r="I17" s="465">
        <f>IFERROR(VLOOKUP($D17,'Argus - Consumption per crop'!$I$48:$O$56,I$12,FALSE),0)*$J17</f>
        <v>0</v>
      </c>
      <c r="J17" s="463">
        <f>ProjectedP205_Consumption!J15</f>
        <v>1.6280391067800024E-2</v>
      </c>
      <c r="K17" s="467">
        <f>IFERROR(VLOOKUP($D17,'Argus - Consumption per crop'!$I$48:$O$56,K$12,FALSE),0)*$P17</f>
        <v>0</v>
      </c>
      <c r="L17" s="465">
        <f>IFERROR(VLOOKUP($D17,'Argus - Consumption per crop'!$I$48:$O$56,L$12,FALSE),0)*$P17</f>
        <v>0</v>
      </c>
      <c r="M17" s="465">
        <f>IFERROR(VLOOKUP($D17,'Argus - Consumption per crop'!$I$48:$O$56,M$12,FALSE),100%)*P17</f>
        <v>1.2867831541542925E-2</v>
      </c>
      <c r="N17" s="465">
        <f>IFERROR(VLOOKUP($D17,'Argus - Consumption per crop'!$I$48:$O$56,N$12,FALSE),0)*$P17</f>
        <v>0</v>
      </c>
      <c r="O17" s="465">
        <f>IFERROR(VLOOKUP($D17,'Argus - Consumption per crop'!$I$48:$O$56,O$12,FALSE),0)*$P17</f>
        <v>0</v>
      </c>
      <c r="P17" s="463">
        <f>ProjectedP205_Consumption!K15</f>
        <v>1.2867831541542925E-2</v>
      </c>
      <c r="Q17" s="467">
        <f t="shared" si="0"/>
        <v>0</v>
      </c>
      <c r="R17" s="465">
        <f t="shared" ref="R17:U17" si="4">R65*$V17</f>
        <v>0</v>
      </c>
      <c r="S17" s="465">
        <f t="shared" si="4"/>
        <v>7.5130613311701032E-3</v>
      </c>
      <c r="T17" s="465">
        <f t="shared" si="4"/>
        <v>0</v>
      </c>
      <c r="U17" s="465">
        <f t="shared" si="4"/>
        <v>0</v>
      </c>
      <c r="V17" s="463">
        <f>ProjectedP205_Consumption!L15</f>
        <v>7.5130613311701032E-3</v>
      </c>
      <c r="W17" s="467">
        <f t="shared" si="2"/>
        <v>0</v>
      </c>
      <c r="X17" s="465">
        <f t="shared" si="2"/>
        <v>0</v>
      </c>
      <c r="Y17" s="465">
        <f t="shared" si="2"/>
        <v>4.386604719193837E-3</v>
      </c>
      <c r="Z17" s="465">
        <f t="shared" si="2"/>
        <v>0</v>
      </c>
      <c r="AA17" s="465">
        <f t="shared" si="2"/>
        <v>0</v>
      </c>
      <c r="AB17" s="463">
        <f>ProjectedP205_Consumption!M15</f>
        <v>4.386604719193837E-3</v>
      </c>
      <c r="AC17" s="437"/>
      <c r="AD17" s="437"/>
    </row>
    <row r="18" spans="4:30" s="2" customFormat="1" ht="13.5" customHeight="1" x14ac:dyDescent="0.25">
      <c r="D18" s="86" t="s">
        <v>124</v>
      </c>
      <c r="E18" s="467">
        <f>IFERROR(VLOOKUP($D18,'Argus - Consumption per crop'!$I$48:$O$56,E$12,FALSE),0)*$J18</f>
        <v>0</v>
      </c>
      <c r="F18" s="465">
        <f>IFERROR(VLOOKUP($D18,'Argus - Consumption per crop'!$I$48:$O$56,F$12,FALSE),0)*$J18</f>
        <v>0</v>
      </c>
      <c r="G18" s="465">
        <f>IFERROR(VLOOKUP($D18,'Argus - Consumption per crop'!$I$48:$O$56,G$12,FALSE),100%)*J18</f>
        <v>3.113928760258983E-2</v>
      </c>
      <c r="H18" s="465">
        <f>IFERROR(VLOOKUP($D18,'Argus - Consumption per crop'!$I$48:$O$56,H$12,FALSE),0)*$J18</f>
        <v>0</v>
      </c>
      <c r="I18" s="465">
        <f>IFERROR(VLOOKUP($D18,'Argus - Consumption per crop'!$I$48:$O$56,I$12,FALSE),0)*$J18</f>
        <v>0</v>
      </c>
      <c r="J18" s="463">
        <f>ProjectedP205_Consumption!J16</f>
        <v>3.113928760258983E-2</v>
      </c>
      <c r="K18" s="467">
        <f>IFERROR(VLOOKUP($D18,'Argus - Consumption per crop'!$I$48:$O$56,K$12,FALSE),0)*$P18</f>
        <v>0</v>
      </c>
      <c r="L18" s="465">
        <f>IFERROR(VLOOKUP($D18,'Argus - Consumption per crop'!$I$48:$O$56,L$12,FALSE),0)*$P18</f>
        <v>0</v>
      </c>
      <c r="M18" s="465">
        <f>IFERROR(VLOOKUP($D18,'Argus - Consumption per crop'!$I$48:$O$56,M$12,FALSE),100%)*P18</f>
        <v>4.1856830631408208E-2</v>
      </c>
      <c r="N18" s="465">
        <f>IFERROR(VLOOKUP($D18,'Argus - Consumption per crop'!$I$48:$O$56,N$12,FALSE),0)*$P18</f>
        <v>0</v>
      </c>
      <c r="O18" s="465">
        <f>IFERROR(VLOOKUP($D18,'Argus - Consumption per crop'!$I$48:$O$56,O$12,FALSE),0)*$P18</f>
        <v>0</v>
      </c>
      <c r="P18" s="463">
        <f>ProjectedP205_Consumption!K16</f>
        <v>4.1856830631408208E-2</v>
      </c>
      <c r="Q18" s="467">
        <f t="shared" si="0"/>
        <v>0</v>
      </c>
      <c r="R18" s="465">
        <f t="shared" ref="R18:U18" si="5">R66*$V18</f>
        <v>0</v>
      </c>
      <c r="S18" s="465">
        <f t="shared" si="5"/>
        <v>4.7582272569704633E-2</v>
      </c>
      <c r="T18" s="465">
        <f t="shared" si="5"/>
        <v>0</v>
      </c>
      <c r="U18" s="465">
        <f t="shared" si="5"/>
        <v>0</v>
      </c>
      <c r="V18" s="463">
        <f>ProjectedP205_Consumption!L16</f>
        <v>4.7582272569704633E-2</v>
      </c>
      <c r="W18" s="467">
        <f t="shared" si="2"/>
        <v>0</v>
      </c>
      <c r="X18" s="465">
        <f t="shared" si="2"/>
        <v>0</v>
      </c>
      <c r="Y18" s="465">
        <f t="shared" si="2"/>
        <v>5.4090876656073615E-2</v>
      </c>
      <c r="Z18" s="465">
        <f t="shared" si="2"/>
        <v>0</v>
      </c>
      <c r="AA18" s="465">
        <f t="shared" si="2"/>
        <v>0</v>
      </c>
      <c r="AB18" s="463">
        <f>ProjectedP205_Consumption!M16</f>
        <v>5.4090876656073615E-2</v>
      </c>
      <c r="AC18" s="437"/>
      <c r="AD18" s="437"/>
    </row>
    <row r="19" spans="4:30" s="2" customFormat="1" ht="13.15" customHeight="1" x14ac:dyDescent="0.25">
      <c r="D19" s="86" t="s">
        <v>73</v>
      </c>
      <c r="E19" s="467">
        <f>IFERROR(VLOOKUP($D19,'Argus - Consumption per crop'!$I$48:$O$56,E$12,FALSE),0)*$J19</f>
        <v>1.6475587250127715</v>
      </c>
      <c r="F19" s="465">
        <f>IFERROR(VLOOKUP($D19,'Argus - Consumption per crop'!$I$48:$O$56,F$12,FALSE),0)*$J19</f>
        <v>0</v>
      </c>
      <c r="G19" s="465">
        <f>IFERROR(VLOOKUP($D19,'Argus - Consumption per crop'!$I$48:$O$56,G$12,FALSE),100%)*J19</f>
        <v>0.27459312083546189</v>
      </c>
      <c r="H19" s="465">
        <f>IFERROR(VLOOKUP($D19,'Argus - Consumption per crop'!$I$48:$O$56,H$12,FALSE),0)*$J19</f>
        <v>0</v>
      </c>
      <c r="I19" s="465">
        <f>IFERROR(VLOOKUP($D19,'Argus - Consumption per crop'!$I$48:$O$56,I$12,FALSE),0)*$J19</f>
        <v>1.0983724833418476</v>
      </c>
      <c r="J19" s="463">
        <f>ProjectedP205_Consumption!J17</f>
        <v>2.745931208354619</v>
      </c>
      <c r="K19" s="467">
        <f>IFERROR(VLOOKUP($D19,'Argus - Consumption per crop'!$I$48:$O$56,K$12,FALSE),0)*$P19</f>
        <v>2.2005421535779877</v>
      </c>
      <c r="L19" s="465">
        <f>IFERROR(VLOOKUP($D19,'Argus - Consumption per crop'!$I$48:$O$56,L$12,FALSE),0)*$P19</f>
        <v>0</v>
      </c>
      <c r="M19" s="465">
        <f>IFERROR(VLOOKUP($D19,'Argus - Consumption per crop'!$I$48:$O$56,M$12,FALSE),100%)*P19</f>
        <v>0.36675702559633128</v>
      </c>
      <c r="N19" s="465">
        <f>IFERROR(VLOOKUP($D19,'Argus - Consumption per crop'!$I$48:$O$56,N$12,FALSE),0)*$P19</f>
        <v>0</v>
      </c>
      <c r="O19" s="465">
        <f>IFERROR(VLOOKUP($D19,'Argus - Consumption per crop'!$I$48:$O$56,O$12,FALSE),0)*$P19</f>
        <v>1.4670281023853251</v>
      </c>
      <c r="P19" s="463">
        <f>ProjectedP205_Consumption!K17</f>
        <v>3.6675702559633128</v>
      </c>
      <c r="Q19" s="467">
        <f t="shared" si="0"/>
        <v>0</v>
      </c>
      <c r="R19" s="465">
        <f t="shared" ref="R19:U19" si="6">R67*$V19</f>
        <v>0</v>
      </c>
      <c r="S19" s="465">
        <f t="shared" si="6"/>
        <v>2.3624993429283014</v>
      </c>
      <c r="T19" s="465">
        <f t="shared" si="6"/>
        <v>0</v>
      </c>
      <c r="U19" s="465">
        <f t="shared" si="6"/>
        <v>1.8400808625442047</v>
      </c>
      <c r="V19" s="463">
        <f>ProjectedP205_Consumption!L17</f>
        <v>4.2025802054725059</v>
      </c>
      <c r="W19" s="467">
        <f t="shared" si="2"/>
        <v>0</v>
      </c>
      <c r="X19" s="465">
        <f t="shared" si="2"/>
        <v>0</v>
      </c>
      <c r="Y19" s="465">
        <f t="shared" si="2"/>
        <v>2.7071309562206238</v>
      </c>
      <c r="Z19" s="465">
        <f t="shared" si="2"/>
        <v>0</v>
      </c>
      <c r="AA19" s="465">
        <f t="shared" si="2"/>
        <v>2.1085042329655117</v>
      </c>
      <c r="AB19" s="463">
        <f>ProjectedP205_Consumption!M17</f>
        <v>4.8156351891861355</v>
      </c>
      <c r="AC19" s="437"/>
      <c r="AD19" s="437"/>
    </row>
    <row r="20" spans="4:30" s="2" customFormat="1" ht="13.5" customHeight="1" x14ac:dyDescent="0.25">
      <c r="D20" s="86" t="s">
        <v>156</v>
      </c>
      <c r="E20" s="467">
        <f>IFERROR(VLOOKUP($D20,'Argus - Consumption per crop'!$I$48:$O$56,E$12,FALSE),0)*$J20</f>
        <v>0</v>
      </c>
      <c r="F20" s="465">
        <f>IFERROR(VLOOKUP($D20,'Argus - Consumption per crop'!$I$48:$O$56,F$12,FALSE),0)*$J20</f>
        <v>0</v>
      </c>
      <c r="G20" s="465">
        <f>IFERROR(VLOOKUP($D20,'Argus - Consumption per crop'!$I$48:$O$56,G$12,FALSE),100%)*J20</f>
        <v>0</v>
      </c>
      <c r="H20" s="465">
        <f>IFERROR(VLOOKUP($D20,'Argus - Consumption per crop'!$I$48:$O$56,H$12,FALSE),0)*$J20</f>
        <v>4.961435257005939</v>
      </c>
      <c r="I20" s="465">
        <f>IFERROR(VLOOKUP($D20,'Argus - Consumption per crop'!$I$48:$O$56,I$12,FALSE),0)*$J20</f>
        <v>1.167396531060221</v>
      </c>
      <c r="J20" s="463">
        <f>ProjectedP205_Consumption!J18</f>
        <v>5.8369826553011048</v>
      </c>
      <c r="K20" s="467">
        <f>IFERROR(VLOOKUP($D20,'Argus - Consumption per crop'!$I$48:$O$56,K$12,FALSE),0)*$P20</f>
        <v>0</v>
      </c>
      <c r="L20" s="465">
        <f>IFERROR(VLOOKUP($D20,'Argus - Consumption per crop'!$I$48:$O$56,L$12,FALSE),0)*$P20</f>
        <v>0</v>
      </c>
      <c r="M20" s="465">
        <f>IFERROR(VLOOKUP($D20,'Argus - Consumption per crop'!$I$48:$O$56,M$12,FALSE),100%)*P20</f>
        <v>0</v>
      </c>
      <c r="N20" s="465">
        <f>IFERROR(VLOOKUP($D20,'Argus - Consumption per crop'!$I$48:$O$56,N$12,FALSE),0)*$P20</f>
        <v>6.6299639748288897</v>
      </c>
      <c r="O20" s="465">
        <f>IFERROR(VLOOKUP($D20,'Argus - Consumption per crop'!$I$48:$O$56,O$12,FALSE),0)*$P20</f>
        <v>1.5599915234891508</v>
      </c>
      <c r="P20" s="463">
        <f>ProjectedP205_Consumption!K18</f>
        <v>7.7999576174457532</v>
      </c>
      <c r="Q20" s="467">
        <f t="shared" si="0"/>
        <v>0</v>
      </c>
      <c r="R20" s="465">
        <f t="shared" ref="R20:U20" si="7">R68*$V20</f>
        <v>0</v>
      </c>
      <c r="S20" s="465">
        <f t="shared" si="7"/>
        <v>0</v>
      </c>
      <c r="T20" s="465">
        <f t="shared" si="7"/>
        <v>7.467325806894336</v>
      </c>
      <c r="U20" s="465">
        <f t="shared" si="7"/>
        <v>1.3177633776872357</v>
      </c>
      <c r="V20" s="463">
        <f>ProjectedP205_Consumption!L18</f>
        <v>8.7850891845815724</v>
      </c>
      <c r="W20" s="467">
        <f t="shared" si="2"/>
        <v>0</v>
      </c>
      <c r="X20" s="465">
        <f t="shared" si="2"/>
        <v>0</v>
      </c>
      <c r="Y20" s="465">
        <f t="shared" si="2"/>
        <v>0</v>
      </c>
      <c r="Z20" s="465">
        <f t="shared" si="2"/>
        <v>8.4104461077029082</v>
      </c>
      <c r="AA20" s="465">
        <f t="shared" si="2"/>
        <v>1.4841963719475719</v>
      </c>
      <c r="AB20" s="463">
        <f>ProjectedP205_Consumption!M18</f>
        <v>9.8946424796504804</v>
      </c>
      <c r="AC20" s="437"/>
      <c r="AD20" s="437"/>
    </row>
    <row r="21" spans="4:30" s="2" customFormat="1" ht="13.5" customHeight="1" x14ac:dyDescent="0.25">
      <c r="D21" s="86" t="s">
        <v>113</v>
      </c>
      <c r="E21" s="467">
        <f>IFERROR(VLOOKUP($D21,'Argus - Consumption per crop'!$I$48:$O$56,E$12,FALSE),0)*$J21</f>
        <v>1.9585024508633173</v>
      </c>
      <c r="F21" s="465">
        <f>IFERROR(VLOOKUP($D21,'Argus - Consumption per crop'!$I$48:$O$56,F$12,FALSE),0)*$J21</f>
        <v>0</v>
      </c>
      <c r="G21" s="465">
        <f>IFERROR(VLOOKUP($D21,'Argus - Consumption per crop'!$I$48:$O$56,G$12,FALSE),100%)*J21</f>
        <v>1.254213392178479</v>
      </c>
      <c r="H21" s="465">
        <f>IFERROR(VLOOKUP($D21,'Argus - Consumption per crop'!$I$48:$O$56,H$12,FALSE),0)*$J21</f>
        <v>0</v>
      </c>
      <c r="I21" s="465">
        <f>IFERROR(VLOOKUP($D21,'Argus - Consumption per crop'!$I$48:$O$56,I$12,FALSE),0)*$J21</f>
        <v>0</v>
      </c>
      <c r="J21" s="463">
        <f>ProjectedP205_Consumption!J19</f>
        <v>4.8962561271582929</v>
      </c>
      <c r="K21" s="467">
        <f>IFERROR(VLOOKUP($D21,'Argus - Consumption per crop'!$I$48:$O$56,K$12,FALSE),0)*$P21</f>
        <v>2.5722713138718452</v>
      </c>
      <c r="L21" s="465">
        <f>IFERROR(VLOOKUP($D21,'Argus - Consumption per crop'!$I$48:$O$56,L$12,FALSE),0)*$P21</f>
        <v>0</v>
      </c>
      <c r="M21" s="465">
        <f>IFERROR(VLOOKUP($D21,'Argus - Consumption per crop'!$I$48:$O$56,M$12,FALSE),100%)*P21</f>
        <v>1.6472673438588172</v>
      </c>
      <c r="N21" s="465">
        <f>IFERROR(VLOOKUP($D21,'Argus - Consumption per crop'!$I$48:$O$56,N$12,FALSE),0)*$P21</f>
        <v>0</v>
      </c>
      <c r="O21" s="465">
        <f>IFERROR(VLOOKUP($D21,'Argus - Consumption per crop'!$I$48:$O$56,O$12,FALSE),0)*$P21</f>
        <v>0</v>
      </c>
      <c r="P21" s="463">
        <f>ProjectedP205_Consumption!K19</f>
        <v>6.4306782846796127</v>
      </c>
      <c r="Q21" s="467">
        <f t="shared" si="0"/>
        <v>5.1645811680731422</v>
      </c>
      <c r="R21" s="465">
        <f t="shared" ref="R21:U21" si="8">R69*$V21</f>
        <v>0</v>
      </c>
      <c r="S21" s="465">
        <f t="shared" si="8"/>
        <v>1.9878395285296098</v>
      </c>
      <c r="T21" s="465">
        <f t="shared" si="8"/>
        <v>0</v>
      </c>
      <c r="U21" s="465">
        <f t="shared" si="8"/>
        <v>0</v>
      </c>
      <c r="V21" s="463">
        <f>ProjectedP205_Consumption!L19</f>
        <v>7.1524206966027526</v>
      </c>
      <c r="W21" s="467">
        <f t="shared" si="2"/>
        <v>5.7442241083362697</v>
      </c>
      <c r="X21" s="465">
        <f t="shared" si="2"/>
        <v>0</v>
      </c>
      <c r="Y21" s="465">
        <f t="shared" si="2"/>
        <v>2.2109432249554053</v>
      </c>
      <c r="Z21" s="465">
        <f t="shared" si="2"/>
        <v>0</v>
      </c>
      <c r="AA21" s="465">
        <f t="shared" si="2"/>
        <v>0</v>
      </c>
      <c r="AB21" s="463">
        <f>ProjectedP205_Consumption!M19</f>
        <v>7.9551673332916755</v>
      </c>
      <c r="AC21" s="437"/>
      <c r="AD21" s="437"/>
    </row>
    <row r="22" spans="4:30" s="2" customFormat="1" ht="13.5" customHeight="1" x14ac:dyDescent="0.25">
      <c r="D22" s="86" t="s">
        <v>182</v>
      </c>
      <c r="E22" s="467">
        <f>IFERROR(VLOOKUP($D22,'Argus - Consumption per crop'!$I$48:$O$56,E$12,FALSE),0)*$J22</f>
        <v>0</v>
      </c>
      <c r="F22" s="465">
        <f>IFERROR(VLOOKUP($D22,'Argus - Consumption per crop'!$I$48:$O$56,F$12,FALSE),0)*$J22</f>
        <v>0</v>
      </c>
      <c r="G22" s="465">
        <f>IFERROR(VLOOKUP($D22,'Argus - Consumption per crop'!$I$48:$O$56,G$12,FALSE),100%)*J22</f>
        <v>1.2907401183436182</v>
      </c>
      <c r="H22" s="465">
        <f>IFERROR(VLOOKUP($D22,'Argus - Consumption per crop'!$I$48:$O$56,H$12,FALSE),0)*$J22</f>
        <v>0</v>
      </c>
      <c r="I22" s="465">
        <f>IFERROR(VLOOKUP($D22,'Argus - Consumption per crop'!$I$48:$O$56,I$12,FALSE),0)*$J22</f>
        <v>0</v>
      </c>
      <c r="J22" s="463">
        <f>ProjectedP205_Consumption!J20</f>
        <v>1.2907401183436182</v>
      </c>
      <c r="K22" s="467">
        <f>IFERROR(VLOOKUP($D22,'Argus - Consumption per crop'!$I$48:$O$56,K$12,FALSE),0)*$P22</f>
        <v>0</v>
      </c>
      <c r="L22" s="465">
        <f>IFERROR(VLOOKUP($D22,'Argus - Consumption per crop'!$I$48:$O$56,L$12,FALSE),0)*$P22</f>
        <v>0</v>
      </c>
      <c r="M22" s="465">
        <f>IFERROR(VLOOKUP($D22,'Argus - Consumption per crop'!$I$48:$O$56,M$12,FALSE),100%)*P22</f>
        <v>1.586490897766063</v>
      </c>
      <c r="N22" s="465">
        <f>IFERROR(VLOOKUP($D22,'Argus - Consumption per crop'!$I$48:$O$56,N$12,FALSE),0)*$P22</f>
        <v>0</v>
      </c>
      <c r="O22" s="465">
        <f>IFERROR(VLOOKUP($D22,'Argus - Consumption per crop'!$I$48:$O$56,O$12,FALSE),0)*$P22</f>
        <v>0</v>
      </c>
      <c r="P22" s="463">
        <f>ProjectedP205_Consumption!K20</f>
        <v>1.586490897766063</v>
      </c>
      <c r="Q22" s="467">
        <f t="shared" si="0"/>
        <v>0</v>
      </c>
      <c r="R22" s="465">
        <f t="shared" ref="R22:U22" si="9">R70*$V22</f>
        <v>0</v>
      </c>
      <c r="S22" s="465">
        <f t="shared" si="9"/>
        <v>1.616844765819021</v>
      </c>
      <c r="T22" s="465">
        <f t="shared" si="9"/>
        <v>0</v>
      </c>
      <c r="U22" s="465">
        <f t="shared" si="9"/>
        <v>0</v>
      </c>
      <c r="V22" s="463">
        <f>ProjectedP205_Consumption!L20</f>
        <v>1.616844765819021</v>
      </c>
      <c r="W22" s="467">
        <f t="shared" si="2"/>
        <v>0</v>
      </c>
      <c r="X22" s="465">
        <f t="shared" si="2"/>
        <v>0</v>
      </c>
      <c r="Y22" s="465">
        <f t="shared" si="2"/>
        <v>1.6477793855845002</v>
      </c>
      <c r="Z22" s="465">
        <f t="shared" si="2"/>
        <v>0</v>
      </c>
      <c r="AA22" s="465">
        <f t="shared" si="2"/>
        <v>0</v>
      </c>
      <c r="AB22" s="463">
        <f>ProjectedP205_Consumption!M20</f>
        <v>1.6477793855845002</v>
      </c>
      <c r="AC22" s="437"/>
      <c r="AD22" s="437"/>
    </row>
    <row r="23" spans="4:30" s="2" customFormat="1" ht="13.5" customHeight="1" x14ac:dyDescent="0.25">
      <c r="D23" s="86" t="s">
        <v>158</v>
      </c>
      <c r="E23" s="467">
        <f>IFERROR(VLOOKUP($D23,'Argus - Consumption per crop'!$I$48:$O$56,E$12,FALSE),0)*$J23</f>
        <v>3.9277907180576372</v>
      </c>
      <c r="F23" s="465">
        <f>IFERROR(VLOOKUP($D23,'Argus - Consumption per crop'!$I$48:$O$56,F$12,FALSE),0)*$J23</f>
        <v>0</v>
      </c>
      <c r="G23" s="465">
        <f>IFERROR(VLOOKUP($D23,'Argus - Consumption per crop'!$I$48:$O$56,G$12,FALSE),100%)*J23</f>
        <v>3.9277907180576372</v>
      </c>
      <c r="H23" s="465">
        <f>IFERROR(VLOOKUP($D23,'Argus - Consumption per crop'!$I$48:$O$56,H$12,FALSE),0)*$J23</f>
        <v>0</v>
      </c>
      <c r="I23" s="465">
        <f>IFERROR(VLOOKUP($D23,'Argus - Consumption per crop'!$I$48:$O$56,I$12,FALSE),0)*$J23</f>
        <v>7.8555814361152745</v>
      </c>
      <c r="J23" s="463">
        <f>ProjectedP205_Consumption!J21</f>
        <v>15.711162872230549</v>
      </c>
      <c r="K23" s="467">
        <f>IFERROR(VLOOKUP($D23,'Argus - Consumption per crop'!$I$48:$O$56,K$12,FALSE),0)*$P23</f>
        <v>4.9445225620674922</v>
      </c>
      <c r="L23" s="465">
        <f>IFERROR(VLOOKUP($D23,'Argus - Consumption per crop'!$I$48:$O$56,L$12,FALSE),0)*$P23</f>
        <v>0</v>
      </c>
      <c r="M23" s="465">
        <f>IFERROR(VLOOKUP($D23,'Argus - Consumption per crop'!$I$48:$O$56,M$12,FALSE),100%)*P23</f>
        <v>4.9445225620674922</v>
      </c>
      <c r="N23" s="465">
        <f>IFERROR(VLOOKUP($D23,'Argus - Consumption per crop'!$I$48:$O$56,N$12,FALSE),0)*$P23</f>
        <v>0</v>
      </c>
      <c r="O23" s="465">
        <f>IFERROR(VLOOKUP($D23,'Argus - Consumption per crop'!$I$48:$O$56,O$12,FALSE),0)*$P23</f>
        <v>9.8890451241349844</v>
      </c>
      <c r="P23" s="463">
        <f>ProjectedP205_Consumption!K21</f>
        <v>19.778090248269969</v>
      </c>
      <c r="Q23" s="467">
        <f t="shared" si="0"/>
        <v>7.322914639139829</v>
      </c>
      <c r="R23" s="465">
        <f t="shared" ref="R23:U23" si="10">R71*$V23</f>
        <v>0</v>
      </c>
      <c r="S23" s="465">
        <f t="shared" si="10"/>
        <v>0</v>
      </c>
      <c r="T23" s="465">
        <f t="shared" si="10"/>
        <v>0</v>
      </c>
      <c r="U23" s="465">
        <f t="shared" si="10"/>
        <v>13.599698615545398</v>
      </c>
      <c r="V23" s="463">
        <f>ProjectedP205_Consumption!L21</f>
        <v>20.922613254685228</v>
      </c>
      <c r="W23" s="467">
        <f t="shared" si="2"/>
        <v>7.7466787221884319</v>
      </c>
      <c r="X23" s="465">
        <f t="shared" si="2"/>
        <v>0</v>
      </c>
      <c r="Y23" s="465">
        <f t="shared" si="2"/>
        <v>0</v>
      </c>
      <c r="Z23" s="465">
        <f t="shared" si="2"/>
        <v>0</v>
      </c>
      <c r="AA23" s="465">
        <f t="shared" si="2"/>
        <v>14.386689055492804</v>
      </c>
      <c r="AB23" s="463">
        <f>ProjectedP205_Consumption!M21</f>
        <v>22.133367777681237</v>
      </c>
      <c r="AC23" s="437"/>
      <c r="AD23" s="437"/>
    </row>
    <row r="24" spans="4:30" s="2" customFormat="1" ht="13.5" customHeight="1" x14ac:dyDescent="0.25">
      <c r="D24" s="86" t="s">
        <v>184</v>
      </c>
      <c r="E24" s="467">
        <f>IFERROR(VLOOKUP($D24,'Argus - Consumption per crop'!$I$48:$O$56,E$12,FALSE),0)*$J24</f>
        <v>0.7689756739377519</v>
      </c>
      <c r="F24" s="465">
        <f>IFERROR(VLOOKUP($D24,'Argus - Consumption per crop'!$I$48:$O$56,F$12,FALSE),0)*$J24</f>
        <v>0</v>
      </c>
      <c r="G24" s="465">
        <f>IFERROR(VLOOKUP($D24,'Argus - Consumption per crop'!$I$48:$O$56,G$12,FALSE),100%)*J24</f>
        <v>3.3322279203969249</v>
      </c>
      <c r="H24" s="465">
        <f>IFERROR(VLOOKUP($D24,'Argus - Consumption per crop'!$I$48:$O$56,H$12,FALSE),0)*$J24</f>
        <v>0</v>
      </c>
      <c r="I24" s="465">
        <f>IFERROR(VLOOKUP($D24,'Argus - Consumption per crop'!$I$48:$O$56,I$12,FALSE),0)*$J24</f>
        <v>1.5379513478755038</v>
      </c>
      <c r="J24" s="463">
        <f>ProjectedP205_Consumption!J22</f>
        <v>5.1265044929183459</v>
      </c>
      <c r="K24" s="467">
        <f>IFERROR(VLOOKUP($D24,'Argus - Consumption per crop'!$I$48:$O$56,K$12,FALSE),0)*$P24</f>
        <v>1.0696450640567592</v>
      </c>
      <c r="L24" s="465">
        <f>IFERROR(VLOOKUP($D24,'Argus - Consumption per crop'!$I$48:$O$56,L$12,FALSE),0)*$P24</f>
        <v>0</v>
      </c>
      <c r="M24" s="465">
        <f>IFERROR(VLOOKUP($D24,'Argus - Consumption per crop'!$I$48:$O$56,M$12,FALSE),100%)*P24</f>
        <v>4.6351286109126235</v>
      </c>
      <c r="N24" s="465">
        <f>IFERROR(VLOOKUP($D24,'Argus - Consumption per crop'!$I$48:$O$56,N$12,FALSE),0)*$P24</f>
        <v>0</v>
      </c>
      <c r="O24" s="465">
        <f>IFERROR(VLOOKUP($D24,'Argus - Consumption per crop'!$I$48:$O$56,O$12,FALSE),0)*$P24</f>
        <v>2.1392901281135184</v>
      </c>
      <c r="P24" s="463">
        <f>ProjectedP205_Consumption!K22</f>
        <v>7.1309670937117282</v>
      </c>
      <c r="Q24" s="467">
        <f t="shared" si="0"/>
        <v>1.2547035260734289</v>
      </c>
      <c r="R24" s="465">
        <f t="shared" ref="R24:U24" si="11">R72*$V24</f>
        <v>0</v>
      </c>
      <c r="S24" s="465">
        <f t="shared" si="11"/>
        <v>5.4370486129848592</v>
      </c>
      <c r="T24" s="465">
        <f t="shared" si="11"/>
        <v>0</v>
      </c>
      <c r="U24" s="465">
        <f t="shared" si="11"/>
        <v>1.6729380347645717</v>
      </c>
      <c r="V24" s="463">
        <f>ProjectedP205_Consumption!L22</f>
        <v>8.3646901738228596</v>
      </c>
      <c r="W24" s="467">
        <f t="shared" si="2"/>
        <v>1.4717788089167103</v>
      </c>
      <c r="X24" s="465">
        <f t="shared" si="2"/>
        <v>0</v>
      </c>
      <c r="Y24" s="465">
        <f t="shared" si="2"/>
        <v>6.3777081719724125</v>
      </c>
      <c r="Z24" s="465">
        <f t="shared" si="2"/>
        <v>0</v>
      </c>
      <c r="AA24" s="465">
        <f t="shared" si="2"/>
        <v>1.9623717452222804</v>
      </c>
      <c r="AB24" s="463">
        <f>ProjectedP205_Consumption!M22</f>
        <v>9.811858726111403</v>
      </c>
      <c r="AC24" s="437"/>
      <c r="AD24" s="437"/>
    </row>
    <row r="25" spans="4:30" s="2" customFormat="1" ht="13.5" customHeight="1" x14ac:dyDescent="0.25">
      <c r="D25" s="86" t="s">
        <v>125</v>
      </c>
      <c r="E25" s="467">
        <f>IFERROR(VLOOKUP($D25,'Argus - Consumption per crop'!$I$48:$O$56,E$12,FALSE),0)*$J25</f>
        <v>0</v>
      </c>
      <c r="F25" s="465">
        <f>IFERROR(VLOOKUP($D25,'Argus - Consumption per crop'!$I$48:$O$56,F$12,FALSE),0)*$J25</f>
        <v>0</v>
      </c>
      <c r="G25" s="465">
        <f>IFERROR(VLOOKUP($D25,'Argus - Consumption per crop'!$I$48:$O$56,G$12,FALSE),100%)*J25</f>
        <v>5.8166849190337336E-3</v>
      </c>
      <c r="H25" s="465">
        <f>IFERROR(VLOOKUP($D25,'Argus - Consumption per crop'!$I$48:$O$56,H$12,FALSE),0)*$J25</f>
        <v>0</v>
      </c>
      <c r="I25" s="465">
        <f>IFERROR(VLOOKUP($D25,'Argus - Consumption per crop'!$I$48:$O$56,I$12,FALSE),0)*$J25</f>
        <v>0</v>
      </c>
      <c r="J25" s="463">
        <f>ProjectedP205_Consumption!J23</f>
        <v>5.8166849190337336E-3</v>
      </c>
      <c r="K25" s="467">
        <f>IFERROR(VLOOKUP($D25,'Argus - Consumption per crop'!$I$48:$O$56,K$12,FALSE),0)*$P25</f>
        <v>0</v>
      </c>
      <c r="L25" s="465">
        <f>IFERROR(VLOOKUP($D25,'Argus - Consumption per crop'!$I$48:$O$56,L$12,FALSE),0)*$P25</f>
        <v>0</v>
      </c>
      <c r="M25" s="465">
        <f>IFERROR(VLOOKUP($D25,'Argus - Consumption per crop'!$I$48:$O$56,M$12,FALSE),100%)*P25</f>
        <v>8.163260569363659E-3</v>
      </c>
      <c r="N25" s="465">
        <f>IFERROR(VLOOKUP($D25,'Argus - Consumption per crop'!$I$48:$O$56,N$12,FALSE),0)*$P25</f>
        <v>0</v>
      </c>
      <c r="O25" s="465">
        <f>IFERROR(VLOOKUP($D25,'Argus - Consumption per crop'!$I$48:$O$56,O$12,FALSE),0)*$P25</f>
        <v>0</v>
      </c>
      <c r="P25" s="463">
        <f>ProjectedP205_Consumption!K23</f>
        <v>8.163260569363659E-3</v>
      </c>
      <c r="Q25" s="467">
        <f t="shared" si="0"/>
        <v>0</v>
      </c>
      <c r="R25" s="465">
        <f t="shared" ref="R25:U25" si="12">R73*$V25</f>
        <v>0</v>
      </c>
      <c r="S25" s="465">
        <f t="shared" si="12"/>
        <v>9.7240800690663026E-3</v>
      </c>
      <c r="T25" s="465">
        <f t="shared" si="12"/>
        <v>0</v>
      </c>
      <c r="U25" s="465">
        <f t="shared" si="12"/>
        <v>0</v>
      </c>
      <c r="V25" s="463">
        <f>ProjectedP205_Consumption!L23</f>
        <v>9.7240800690663026E-3</v>
      </c>
      <c r="W25" s="467">
        <f t="shared" si="2"/>
        <v>0</v>
      </c>
      <c r="X25" s="465">
        <f t="shared" si="2"/>
        <v>0</v>
      </c>
      <c r="Y25" s="465">
        <f t="shared" si="2"/>
        <v>1.1583329036988398E-2</v>
      </c>
      <c r="Z25" s="465">
        <f t="shared" si="2"/>
        <v>0</v>
      </c>
      <c r="AA25" s="465">
        <f t="shared" si="2"/>
        <v>0</v>
      </c>
      <c r="AB25" s="463">
        <f>ProjectedP205_Consumption!M23</f>
        <v>1.1583329036988398E-2</v>
      </c>
      <c r="AC25" s="437"/>
      <c r="AD25" s="437"/>
    </row>
    <row r="26" spans="4:30" s="2" customFormat="1" ht="13.5" customHeight="1" x14ac:dyDescent="0.25">
      <c r="D26" s="86" t="s">
        <v>144</v>
      </c>
      <c r="E26" s="467">
        <f>IFERROR(VLOOKUP($D26,'Argus - Consumption per crop'!$I$48:$O$56,E$12,FALSE),0)*$J26</f>
        <v>0</v>
      </c>
      <c r="F26" s="465">
        <f>IFERROR(VLOOKUP($D26,'Argus - Consumption per crop'!$I$48:$O$56,F$12,FALSE),0)*$J26</f>
        <v>0</v>
      </c>
      <c r="G26" s="465">
        <f>IFERROR(VLOOKUP($D26,'Argus - Consumption per crop'!$I$48:$O$56,G$12,FALSE),100%)*J26</f>
        <v>4.8237709410485262E-3</v>
      </c>
      <c r="H26" s="465">
        <f>IFERROR(VLOOKUP($D26,'Argus - Consumption per crop'!$I$48:$O$56,H$12,FALSE),0)*$J26</f>
        <v>0</v>
      </c>
      <c r="I26" s="465">
        <f>IFERROR(VLOOKUP($D26,'Argus - Consumption per crop'!$I$48:$O$56,I$12,FALSE),0)*$J26</f>
        <v>0</v>
      </c>
      <c r="J26" s="463">
        <f>ProjectedP205_Consumption!J24</f>
        <v>4.8237709410485262E-3</v>
      </c>
      <c r="K26" s="467">
        <f>IFERROR(VLOOKUP($D26,'Argus - Consumption per crop'!$I$48:$O$56,K$12,FALSE),0)*$P26</f>
        <v>0</v>
      </c>
      <c r="L26" s="465">
        <f>IFERROR(VLOOKUP($D26,'Argus - Consumption per crop'!$I$48:$O$56,L$12,FALSE),0)*$P26</f>
        <v>0</v>
      </c>
      <c r="M26" s="465">
        <f>IFERROR(VLOOKUP($D26,'Argus - Consumption per crop'!$I$48:$O$56,M$12,FALSE),100%)*P26</f>
        <v>6.6112695658504094E-3</v>
      </c>
      <c r="N26" s="465">
        <f>IFERROR(VLOOKUP($D26,'Argus - Consumption per crop'!$I$48:$O$56,N$12,FALSE),0)*$P26</f>
        <v>0</v>
      </c>
      <c r="O26" s="465">
        <f>IFERROR(VLOOKUP($D26,'Argus - Consumption per crop'!$I$48:$O$56,O$12,FALSE),0)*$P26</f>
        <v>0</v>
      </c>
      <c r="P26" s="463">
        <f>ProjectedP205_Consumption!K24</f>
        <v>6.6112695658504094E-3</v>
      </c>
      <c r="Q26" s="467">
        <f t="shared" si="0"/>
        <v>0</v>
      </c>
      <c r="R26" s="465">
        <f t="shared" ref="R26:U26" si="13">R74*$V26</f>
        <v>0</v>
      </c>
      <c r="S26" s="465">
        <f t="shared" si="13"/>
        <v>7.6954879770370624E-3</v>
      </c>
      <c r="T26" s="465">
        <f t="shared" si="13"/>
        <v>0</v>
      </c>
      <c r="U26" s="465">
        <f t="shared" si="13"/>
        <v>0</v>
      </c>
      <c r="V26" s="463">
        <f>ProjectedP205_Consumption!L24</f>
        <v>7.6954879770370624E-3</v>
      </c>
      <c r="W26" s="467">
        <f t="shared" si="2"/>
        <v>0</v>
      </c>
      <c r="X26" s="465">
        <f t="shared" si="2"/>
        <v>0</v>
      </c>
      <c r="Y26" s="465">
        <f t="shared" si="2"/>
        <v>8.9575133209841267E-3</v>
      </c>
      <c r="Z26" s="465">
        <f t="shared" si="2"/>
        <v>0</v>
      </c>
      <c r="AA26" s="465">
        <f t="shared" si="2"/>
        <v>0</v>
      </c>
      <c r="AB26" s="463">
        <f>ProjectedP205_Consumption!M24</f>
        <v>8.9575133209841267E-3</v>
      </c>
      <c r="AC26" s="437"/>
      <c r="AD26" s="437"/>
    </row>
    <row r="27" spans="4:30" s="2" customFormat="1" ht="13.5" customHeight="1" x14ac:dyDescent="0.25">
      <c r="D27" s="86" t="s">
        <v>68</v>
      </c>
      <c r="E27" s="467">
        <f>IFERROR(VLOOKUP($D27,'Argus - Consumption per crop'!$I$48:$O$56,E$12,FALSE),0)*$J27</f>
        <v>0</v>
      </c>
      <c r="F27" s="465">
        <f>IFERROR(VLOOKUP($D27,'Argus - Consumption per crop'!$I$48:$O$56,F$12,FALSE),0)*$J27</f>
        <v>0</v>
      </c>
      <c r="G27" s="465">
        <f>IFERROR(VLOOKUP($D27,'Argus - Consumption per crop'!$I$48:$O$56,G$12,FALSE),100%)*J27</f>
        <v>3.1576174188219369E-3</v>
      </c>
      <c r="H27" s="465">
        <f>IFERROR(VLOOKUP($D27,'Argus - Consumption per crop'!$I$48:$O$56,H$12,FALSE),0)*$J27</f>
        <v>0</v>
      </c>
      <c r="I27" s="465">
        <f>IFERROR(VLOOKUP($D27,'Argus - Consumption per crop'!$I$48:$O$56,I$12,FALSE),0)*$J27</f>
        <v>0</v>
      </c>
      <c r="J27" s="463">
        <f>ProjectedP205_Consumption!J25</f>
        <v>3.1576174188219369E-3</v>
      </c>
      <c r="K27" s="467">
        <f>IFERROR(VLOOKUP($D27,'Argus - Consumption per crop'!$I$48:$O$56,K$12,FALSE),0)*$P27</f>
        <v>0</v>
      </c>
      <c r="L27" s="465">
        <f>IFERROR(VLOOKUP($D27,'Argus - Consumption per crop'!$I$48:$O$56,L$12,FALSE),0)*$P27</f>
        <v>0</v>
      </c>
      <c r="M27" s="465">
        <f>IFERROR(VLOOKUP($D27,'Argus - Consumption per crop'!$I$48:$O$56,M$12,FALSE),100%)*P27</f>
        <v>4.2800879604591351E-3</v>
      </c>
      <c r="N27" s="465">
        <f>IFERROR(VLOOKUP($D27,'Argus - Consumption per crop'!$I$48:$O$56,N$12,FALSE),0)*$P27</f>
        <v>0</v>
      </c>
      <c r="O27" s="465">
        <f>IFERROR(VLOOKUP($D27,'Argus - Consumption per crop'!$I$48:$O$56,O$12,FALSE),0)*$P27</f>
        <v>0</v>
      </c>
      <c r="P27" s="463">
        <f>ProjectedP205_Consumption!K25</f>
        <v>4.2800879604591351E-3</v>
      </c>
      <c r="Q27" s="467">
        <f t="shared" si="0"/>
        <v>0</v>
      </c>
      <c r="R27" s="465">
        <f t="shared" ref="R27:U27" si="14">R75*$V27</f>
        <v>0</v>
      </c>
      <c r="S27" s="465">
        <f t="shared" si="14"/>
        <v>4.9053083078671655E-3</v>
      </c>
      <c r="T27" s="465">
        <f t="shared" si="14"/>
        <v>0</v>
      </c>
      <c r="U27" s="465">
        <f t="shared" si="14"/>
        <v>0</v>
      </c>
      <c r="V27" s="463">
        <f>ProjectedP205_Consumption!L25</f>
        <v>4.9053083078671655E-3</v>
      </c>
      <c r="W27" s="467">
        <f t="shared" si="2"/>
        <v>0</v>
      </c>
      <c r="X27" s="465">
        <f t="shared" si="2"/>
        <v>0</v>
      </c>
      <c r="Y27" s="465">
        <f t="shared" si="2"/>
        <v>5.6218586668133428E-3</v>
      </c>
      <c r="Z27" s="465">
        <f t="shared" si="2"/>
        <v>0</v>
      </c>
      <c r="AA27" s="465">
        <f t="shared" si="2"/>
        <v>0</v>
      </c>
      <c r="AB27" s="463">
        <f>ProjectedP205_Consumption!M25</f>
        <v>5.6218586668133428E-3</v>
      </c>
      <c r="AC27" s="437"/>
      <c r="AD27" s="437"/>
    </row>
    <row r="28" spans="4:30" s="2" customFormat="1" ht="13.5" customHeight="1" x14ac:dyDescent="0.25">
      <c r="D28" s="86" t="s">
        <v>119</v>
      </c>
      <c r="E28" s="467">
        <f>IFERROR(VLOOKUP($D28,'Argus - Consumption per crop'!$I$48:$O$56,E$12,FALSE),0)*$J28</f>
        <v>0</v>
      </c>
      <c r="F28" s="465">
        <f>IFERROR(VLOOKUP($D28,'Argus - Consumption per crop'!$I$48:$O$56,F$12,FALSE),0)*$J28</f>
        <v>0</v>
      </c>
      <c r="G28" s="465">
        <f>IFERROR(VLOOKUP($D28,'Argus - Consumption per crop'!$I$48:$O$56,G$12,FALSE),100%)*J28</f>
        <v>2.8353550414355557</v>
      </c>
      <c r="H28" s="465">
        <f>IFERROR(VLOOKUP($D28,'Argus - Consumption per crop'!$I$48:$O$56,H$12,FALSE),0)*$J28</f>
        <v>0</v>
      </c>
      <c r="I28" s="465">
        <f>IFERROR(VLOOKUP($D28,'Argus - Consumption per crop'!$I$48:$O$56,I$12,FALSE),0)*$J28</f>
        <v>6.3467801414129221E-2</v>
      </c>
      <c r="J28" s="463">
        <f>ProjectedP205_Consumption!J26</f>
        <v>2.8988228428496847</v>
      </c>
      <c r="K28" s="467">
        <f>IFERROR(VLOOKUP($D28,'Argus - Consumption per crop'!$I$48:$O$56,K$12,FALSE),0)*$P28</f>
        <v>0</v>
      </c>
      <c r="L28" s="465">
        <f>IFERROR(VLOOKUP($D28,'Argus - Consumption per crop'!$I$48:$O$56,L$12,FALSE),0)*$P28</f>
        <v>0</v>
      </c>
      <c r="M28" s="465">
        <f>IFERROR(VLOOKUP($D28,'Argus - Consumption per crop'!$I$48:$O$56,M$12,FALSE),100%)*P28</f>
        <v>3.6491019359440311</v>
      </c>
      <c r="N28" s="465">
        <f>IFERROR(VLOOKUP($D28,'Argus - Consumption per crop'!$I$48:$O$56,N$12,FALSE),0)*$P28</f>
        <v>0</v>
      </c>
      <c r="O28" s="465">
        <f>IFERROR(VLOOKUP($D28,'Argus - Consumption per crop'!$I$48:$O$56,O$12,FALSE),0)*$P28</f>
        <v>8.1683060366630381E-2</v>
      </c>
      <c r="P28" s="463">
        <f>ProjectedP205_Consumption!K26</f>
        <v>3.7307849963106614</v>
      </c>
      <c r="Q28" s="467">
        <f t="shared" si="0"/>
        <v>0</v>
      </c>
      <c r="R28" s="465">
        <f t="shared" ref="R28:U28" si="15">R76*$V28</f>
        <v>0</v>
      </c>
      <c r="S28" s="465">
        <f t="shared" si="15"/>
        <v>3.8898523179010835</v>
      </c>
      <c r="T28" s="465">
        <f t="shared" si="15"/>
        <v>0</v>
      </c>
      <c r="U28" s="465">
        <f t="shared" si="15"/>
        <v>0.16477469402327685</v>
      </c>
      <c r="V28" s="463">
        <f>ProjectedP205_Consumption!L26</f>
        <v>4.0546270119243601</v>
      </c>
      <c r="W28" s="467">
        <f t="shared" si="2"/>
        <v>0</v>
      </c>
      <c r="X28" s="465">
        <f t="shared" si="2"/>
        <v>0</v>
      </c>
      <c r="Y28" s="465">
        <f t="shared" si="2"/>
        <v>4.2275017981885847</v>
      </c>
      <c r="Z28" s="465">
        <f t="shared" si="2"/>
        <v>0</v>
      </c>
      <c r="AA28" s="465">
        <f t="shared" si="2"/>
        <v>0.17907757373556166</v>
      </c>
      <c r="AB28" s="463">
        <f>ProjectedP205_Consumption!M26</f>
        <v>4.4065793719241464</v>
      </c>
      <c r="AC28" s="437"/>
      <c r="AD28" s="437"/>
    </row>
    <row r="29" spans="4:30" s="2" customFormat="1" ht="13.5" customHeight="1" thickBot="1" x14ac:dyDescent="0.3">
      <c r="D29" s="88" t="s">
        <v>13</v>
      </c>
      <c r="E29" s="509">
        <f>SUM(E15:E28)</f>
        <v>8.3028275678714767</v>
      </c>
      <c r="F29" s="510">
        <f t="shared" ref="F29" si="16">SUM(F15:F28)</f>
        <v>1.4093087849225232</v>
      </c>
      <c r="G29" s="510">
        <f t="shared" ref="G29" si="17">SUM(G15:G28)</f>
        <v>13.718955963986716</v>
      </c>
      <c r="H29" s="510">
        <f t="shared" ref="H29" si="18">SUM(H15:H28)</f>
        <v>4.961435257005939</v>
      </c>
      <c r="I29" s="510">
        <f t="shared" ref="I29" si="19">SUM(I15:I28)</f>
        <v>43.197332463076656</v>
      </c>
      <c r="J29" s="470">
        <f>SUM(J15:J28)</f>
        <v>72.194307618087478</v>
      </c>
      <c r="K29" s="468">
        <f>SUM(K15:K28)</f>
        <v>10.786981093574084</v>
      </c>
      <c r="L29" s="469">
        <f t="shared" ref="L29:O29" si="20">SUM(L15:L28)</f>
        <v>1.8209019162458984</v>
      </c>
      <c r="M29" s="469">
        <f t="shared" si="20"/>
        <v>17.87368900824826</v>
      </c>
      <c r="N29" s="469">
        <f t="shared" si="20"/>
        <v>6.6299639748288897</v>
      </c>
      <c r="O29" s="469">
        <f t="shared" si="20"/>
        <v>55.80384740131467</v>
      </c>
      <c r="P29" s="470">
        <f>SUM(P15:P28)</f>
        <v>93.656671405320964</v>
      </c>
      <c r="Q29" s="468">
        <f>SUM(Q15:Q28)</f>
        <v>13.742199333286401</v>
      </c>
      <c r="R29" s="469">
        <f t="shared" ref="R29" si="21">SUM(R15:R28)</f>
        <v>1.8764883177148242</v>
      </c>
      <c r="S29" s="469">
        <f t="shared" ref="S29" si="22">SUM(S15:S28)</f>
        <v>16.437500206637246</v>
      </c>
      <c r="T29" s="469">
        <f t="shared" ref="T29" si="23">SUM(T15:T28)</f>
        <v>7.467325806894336</v>
      </c>
      <c r="U29" s="469">
        <f t="shared" ref="U29" si="24">SUM(U15:U28)</f>
        <v>62.692731050863053</v>
      </c>
      <c r="V29" s="470">
        <f>SUM(V15:V28)</f>
        <v>102.21624471539587</v>
      </c>
      <c r="W29" s="469">
        <f>SUM(W15:W28)</f>
        <v>14.962681639441412</v>
      </c>
      <c r="X29" s="469">
        <f t="shared" ref="X29" si="25">SUM(X15:X28)</f>
        <v>2.030460176827523</v>
      </c>
      <c r="Y29" s="469">
        <f t="shared" ref="Y29" si="26">SUM(Y15:Y28)</f>
        <v>18.4285498693976</v>
      </c>
      <c r="Z29" s="469">
        <f t="shared" ref="Z29" si="27">SUM(Z15:Z28)</f>
        <v>8.4104461077029082</v>
      </c>
      <c r="AA29" s="469">
        <f t="shared" ref="AA29" si="28">SUM(AA15:AA28)</f>
        <v>67.836653134810518</v>
      </c>
      <c r="AB29" s="470">
        <f>SUM(AB15:AB28)</f>
        <v>111.66879092817999</v>
      </c>
      <c r="AC29" s="437"/>
      <c r="AD29" s="437"/>
    </row>
    <row r="30" spans="4:30" s="2" customFormat="1" ht="13.5" customHeight="1" thickTop="1" thickBot="1" x14ac:dyDescent="0.3">
      <c r="D30" s="472" t="s">
        <v>792</v>
      </c>
      <c r="E30" s="511">
        <f>E29/'Argus - Consumption per crop'!C44</f>
        <v>55.352183785809849</v>
      </c>
      <c r="F30" s="512">
        <f>F29/'Argus - Consumption per crop'!D44</f>
        <v>6.127429499663144</v>
      </c>
      <c r="G30" s="512">
        <f>G29/'Argus - Consumption per crop'!E44</f>
        <v>45.729853213289054</v>
      </c>
      <c r="H30" s="512">
        <f>H29/'Argus - Consumption per crop'!F44</f>
        <v>15.034652293957389</v>
      </c>
      <c r="I30" s="512">
        <f>I29/'Argus - Consumption per crop'!G44</f>
        <v>93.907244484949246</v>
      </c>
      <c r="J30" s="475">
        <f>SUM(E30:I30)</f>
        <v>216.15136327766868</v>
      </c>
      <c r="K30" s="473">
        <f>K29/'Argus - Consumption per crop'!C44</f>
        <v>71.913207290493901</v>
      </c>
      <c r="L30" s="474">
        <f>L29/'Argus - Consumption per crop'!D44</f>
        <v>7.9169648532430363</v>
      </c>
      <c r="M30" s="474">
        <f>M29/'Argus - Consumption per crop'!E44</f>
        <v>59.578963360827537</v>
      </c>
      <c r="N30" s="474">
        <f>N29/'Argus - Consumption per crop'!F44</f>
        <v>20.090799923723907</v>
      </c>
      <c r="O30" s="474">
        <f>O29/'Argus - Consumption per crop'!G44</f>
        <v>121.31271174198841</v>
      </c>
      <c r="P30" s="475">
        <f>SUM(K30:O30)</f>
        <v>280.81264717027682</v>
      </c>
      <c r="Q30" s="473">
        <f>Q29/'Argus - Consumption per crop'!C44</f>
        <v>91.614662221909342</v>
      </c>
      <c r="R30" s="474">
        <f>R29/'Argus - Consumption per crop'!D44</f>
        <v>8.1586448596296695</v>
      </c>
      <c r="S30" s="474">
        <f>S29/'Argus - Consumption per crop'!E44</f>
        <v>54.791667355457491</v>
      </c>
      <c r="T30" s="474">
        <f>T29/'Argus - Consumption per crop'!F44</f>
        <v>22.628260020891926</v>
      </c>
      <c r="U30" s="474">
        <f>U29/'Argus - Consumption per crop'!G44</f>
        <v>136.28854576274577</v>
      </c>
      <c r="V30" s="475">
        <f>SUM(Q30:U30)</f>
        <v>313.48178022063422</v>
      </c>
      <c r="W30" s="473">
        <f>W29/'Argus - Consumption per crop'!C44</f>
        <v>99.751210929609414</v>
      </c>
      <c r="X30" s="474">
        <f>X29/'Argus - Consumption per crop'!D44</f>
        <v>8.8280877253370562</v>
      </c>
      <c r="Y30" s="474">
        <f>Y29/'Argus - Consumption per crop'!E44</f>
        <v>61.428499564658665</v>
      </c>
      <c r="Z30" s="474">
        <f>Z29/'Argus - Consumption per crop'!F44</f>
        <v>25.486200326372447</v>
      </c>
      <c r="AA30" s="474">
        <f>AA29/'Argus - Consumption per crop'!G44</f>
        <v>147.47098507567503</v>
      </c>
      <c r="AB30" s="475">
        <f>SUM(W30:AA30)</f>
        <v>342.96498362165266</v>
      </c>
      <c r="AC30" s="177"/>
    </row>
    <row r="31" spans="4:30" s="2" customFormat="1" ht="13.5" customHeight="1" thickTop="1" x14ac:dyDescent="0.25">
      <c r="E31" s="513"/>
      <c r="F31" s="471"/>
      <c r="G31" s="471"/>
      <c r="H31" s="471"/>
      <c r="I31" s="471"/>
      <c r="J31" s="37"/>
      <c r="K31" s="471"/>
      <c r="L31" s="471"/>
      <c r="M31" s="471"/>
      <c r="N31" s="471"/>
      <c r="O31" s="471"/>
      <c r="P31" s="37"/>
      <c r="Q31" s="37"/>
      <c r="R31" s="37"/>
      <c r="S31" s="37"/>
      <c r="T31" s="437"/>
      <c r="U31" s="437"/>
      <c r="V31" s="437"/>
      <c r="W31" s="437"/>
      <c r="X31" s="437"/>
      <c r="Y31" s="437"/>
      <c r="Z31" s="437"/>
      <c r="AA31" s="437"/>
      <c r="AB31" s="437"/>
    </row>
    <row r="32" spans="4:30" s="2" customFormat="1" ht="13.5" customHeight="1" x14ac:dyDescent="0.25">
      <c r="E32" s="37"/>
      <c r="F32" s="37"/>
      <c r="G32" s="37"/>
      <c r="H32" s="37"/>
      <c r="I32" s="37"/>
      <c r="J32" s="37"/>
      <c r="K32" s="37"/>
      <c r="L32" s="37"/>
      <c r="M32" s="37"/>
      <c r="N32" s="37"/>
      <c r="O32" s="37"/>
      <c r="P32" s="37"/>
      <c r="Q32" s="37"/>
      <c r="R32" s="37"/>
      <c r="S32" s="37"/>
      <c r="T32" s="437"/>
      <c r="U32" s="437"/>
      <c r="V32" s="437"/>
      <c r="W32" s="437"/>
      <c r="X32" s="437"/>
      <c r="Y32" s="437"/>
      <c r="Z32" s="437"/>
      <c r="AA32" s="437"/>
      <c r="AB32" s="437"/>
    </row>
    <row r="33" spans="2:28" s="2" customFormat="1" ht="13.5" customHeight="1" x14ac:dyDescent="0.25">
      <c r="E33" s="37"/>
      <c r="F33" s="37"/>
      <c r="G33" s="37"/>
      <c r="H33" s="37"/>
      <c r="I33" s="37"/>
      <c r="J33" s="37"/>
      <c r="K33" s="37"/>
      <c r="L33" s="37"/>
      <c r="M33" s="37"/>
      <c r="N33" s="37"/>
      <c r="O33" s="37"/>
      <c r="P33" s="37"/>
      <c r="Q33" s="37"/>
      <c r="R33" s="37"/>
      <c r="S33" s="37"/>
      <c r="T33" s="437"/>
      <c r="U33" s="437"/>
      <c r="V33" s="437"/>
      <c r="W33" s="437"/>
      <c r="X33" s="437"/>
      <c r="Y33" s="437"/>
      <c r="Z33" s="437"/>
      <c r="AA33" s="437"/>
      <c r="AB33" s="437"/>
    </row>
    <row r="34" spans="2:28" s="2" customFormat="1" ht="13.5" customHeight="1" x14ac:dyDescent="0.3">
      <c r="D34" s="32" t="s">
        <v>808</v>
      </c>
      <c r="E34" s="7"/>
      <c r="F34" s="7"/>
      <c r="G34" s="7"/>
      <c r="H34" s="7"/>
      <c r="I34" s="7"/>
      <c r="J34" s="7"/>
      <c r="K34" s="7"/>
      <c r="L34" s="7"/>
      <c r="M34" s="7"/>
      <c r="N34" s="7"/>
      <c r="O34" s="7"/>
      <c r="P34" s="7"/>
      <c r="Q34" s="7"/>
      <c r="R34" s="7"/>
      <c r="S34" s="7"/>
      <c r="T34" s="437"/>
      <c r="U34" s="437"/>
      <c r="V34" s="437"/>
      <c r="W34" s="437"/>
      <c r="X34" s="437"/>
      <c r="Y34" s="437"/>
      <c r="Z34" s="437"/>
      <c r="AA34" s="437"/>
      <c r="AB34" s="437"/>
    </row>
    <row r="35" spans="2:28" s="2" customFormat="1" ht="13.5" customHeight="1" x14ac:dyDescent="0.3">
      <c r="D35" s="33" t="s">
        <v>787</v>
      </c>
      <c r="F35" s="64"/>
      <c r="G35" s="7"/>
      <c r="H35" s="7"/>
      <c r="I35" s="7"/>
      <c r="L35" s="64"/>
      <c r="M35" s="7"/>
      <c r="N35" s="7"/>
      <c r="O35" s="7"/>
      <c r="T35" s="437"/>
      <c r="U35" s="437"/>
      <c r="V35" s="437"/>
      <c r="W35" s="437"/>
      <c r="X35" s="437"/>
      <c r="Y35" s="437"/>
      <c r="Z35" s="437"/>
      <c r="AA35" s="437"/>
      <c r="AB35" s="437"/>
    </row>
    <row r="36" spans="2:28" s="2" customFormat="1" ht="13.5" customHeight="1" thickBot="1" x14ac:dyDescent="0.3">
      <c r="E36" s="464">
        <v>3</v>
      </c>
      <c r="F36" s="464">
        <v>4</v>
      </c>
      <c r="G36" s="464">
        <v>5</v>
      </c>
      <c r="H36" s="464">
        <v>6</v>
      </c>
      <c r="I36" s="464">
        <v>7</v>
      </c>
      <c r="K36" s="464">
        <v>3</v>
      </c>
      <c r="L36" s="464">
        <v>4</v>
      </c>
      <c r="M36" s="464">
        <v>5</v>
      </c>
      <c r="N36" s="464">
        <v>6</v>
      </c>
      <c r="O36" s="464">
        <v>7</v>
      </c>
      <c r="Q36" s="464">
        <v>3</v>
      </c>
      <c r="R36" s="464">
        <v>4</v>
      </c>
      <c r="S36" s="464">
        <v>5</v>
      </c>
      <c r="T36" s="464">
        <v>6</v>
      </c>
      <c r="U36" s="464">
        <v>7</v>
      </c>
      <c r="V36" s="437"/>
      <c r="W36" s="464">
        <v>3</v>
      </c>
      <c r="X36" s="464">
        <v>4</v>
      </c>
      <c r="Y36" s="464">
        <v>5</v>
      </c>
      <c r="Z36" s="464">
        <v>6</v>
      </c>
      <c r="AA36" s="464">
        <v>7</v>
      </c>
      <c r="AB36" s="437"/>
    </row>
    <row r="37" spans="2:28" ht="13.5" customHeight="1" thickBot="1" x14ac:dyDescent="0.4">
      <c r="B37" s="436"/>
      <c r="D37" s="2"/>
      <c r="E37" s="627">
        <v>2022</v>
      </c>
      <c r="F37" s="628"/>
      <c r="G37" s="628"/>
      <c r="H37" s="628"/>
      <c r="I37" s="628"/>
      <c r="J37" s="629"/>
      <c r="K37" s="627">
        <v>2023</v>
      </c>
      <c r="L37" s="628"/>
      <c r="M37" s="628"/>
      <c r="N37" s="628"/>
      <c r="O37" s="628"/>
      <c r="P37" s="629"/>
      <c r="Q37" s="627">
        <v>2024</v>
      </c>
      <c r="R37" s="628"/>
      <c r="S37" s="628"/>
      <c r="T37" s="628"/>
      <c r="U37" s="628"/>
      <c r="V37" s="629"/>
      <c r="W37" s="627">
        <v>2025</v>
      </c>
      <c r="X37" s="628"/>
      <c r="Y37" s="628"/>
      <c r="Z37" s="628"/>
      <c r="AA37" s="628"/>
      <c r="AB37" s="629"/>
    </row>
    <row r="38" spans="2:28" ht="13.5" customHeight="1" x14ac:dyDescent="0.3">
      <c r="D38" s="459"/>
      <c r="E38" s="460" t="s">
        <v>407</v>
      </c>
      <c r="F38" s="454" t="s">
        <v>753</v>
      </c>
      <c r="G38" s="454" t="s">
        <v>784</v>
      </c>
      <c r="H38" s="454" t="s">
        <v>229</v>
      </c>
      <c r="I38" s="454" t="s">
        <v>220</v>
      </c>
      <c r="J38" s="462" t="s">
        <v>286</v>
      </c>
      <c r="K38" s="460" t="s">
        <v>407</v>
      </c>
      <c r="L38" s="454" t="s">
        <v>753</v>
      </c>
      <c r="M38" s="454" t="s">
        <v>784</v>
      </c>
      <c r="N38" s="454" t="s">
        <v>229</v>
      </c>
      <c r="O38" s="454" t="s">
        <v>220</v>
      </c>
      <c r="P38" s="462" t="s">
        <v>791</v>
      </c>
      <c r="Q38" s="460" t="s">
        <v>407</v>
      </c>
      <c r="R38" s="454" t="s">
        <v>753</v>
      </c>
      <c r="S38" s="454" t="s">
        <v>784</v>
      </c>
      <c r="T38" s="454" t="s">
        <v>229</v>
      </c>
      <c r="U38" s="454" t="s">
        <v>220</v>
      </c>
      <c r="V38" s="462" t="s">
        <v>83</v>
      </c>
      <c r="W38" s="460" t="s">
        <v>407</v>
      </c>
      <c r="X38" s="454" t="s">
        <v>753</v>
      </c>
      <c r="Y38" s="454" t="s">
        <v>784</v>
      </c>
      <c r="Z38" s="454" t="s">
        <v>229</v>
      </c>
      <c r="AA38" s="455" t="s">
        <v>220</v>
      </c>
      <c r="AB38" s="462" t="s">
        <v>83</v>
      </c>
    </row>
    <row r="39" spans="2:28" ht="13.5" customHeight="1" x14ac:dyDescent="0.25">
      <c r="D39" s="86" t="s">
        <v>167</v>
      </c>
      <c r="E39" s="467">
        <f>IFERROR(VLOOKUP($D39,'Argus - Consumption per crop'!$I$48:$O$56,E$12,FALSE),0)*$J39</f>
        <v>0</v>
      </c>
      <c r="F39" s="465">
        <f>IFERROR(VLOOKUP($D39,'Argus - Consumption per crop'!$I$48:$O$56,F$12,FALSE),0)*$J39</f>
        <v>1.4093087849225232</v>
      </c>
      <c r="G39" s="465">
        <f>IFERROR(VLOOKUP($D39,'Argus - Consumption per crop'!$I$48:$O$56,G$12,FALSE),100%)*J39</f>
        <v>0.67109942139167778</v>
      </c>
      <c r="H39" s="465">
        <f>IFERROR(VLOOKUP($D39,'Argus - Consumption per crop'!$I$48:$O$56,H$12,FALSE),0)*$J39</f>
        <v>0</v>
      </c>
      <c r="I39" s="465">
        <f>IFERROR(VLOOKUP($D39,'Argus - Consumption per crop'!$I$48:$O$56,I$12,FALSE),0)*$J39</f>
        <v>31.474562863269682</v>
      </c>
      <c r="J39" s="463">
        <f>ProjectedP205_Consumption!J34</f>
        <v>33.554971069583885</v>
      </c>
      <c r="K39" s="467">
        <f>IFERROR(VLOOKUP($D39,'Argus - Consumption per crop'!$I$48:$O$56,K$12,FALSE),0)*$P39</f>
        <v>0</v>
      </c>
      <c r="L39" s="465">
        <f>IFERROR(VLOOKUP($D39,'Argus - Consumption per crop'!$I$48:$O$56,L$12,FALSE),0)*$P39</f>
        <v>1.8209019162458984</v>
      </c>
      <c r="M39" s="465">
        <f>IFERROR(VLOOKUP($D39,'Argus - Consumption per crop'!$I$48:$O$56,M$12,FALSE),100%)*P39</f>
        <v>0.86709615059328482</v>
      </c>
      <c r="N39" s="465">
        <f>IFERROR(VLOOKUP($D39,'Argus - Consumption per crop'!$I$48:$O$56,N$12,FALSE),0)*$P39</f>
        <v>0</v>
      </c>
      <c r="O39" s="465">
        <f>IFERROR(VLOOKUP($D39,'Argus - Consumption per crop'!$I$48:$O$56,O$12,FALSE),0)*$P39</f>
        <v>40.666809462825057</v>
      </c>
      <c r="P39" s="463">
        <f>ProjectedP205_Consumption!K34</f>
        <v>43.354807529664242</v>
      </c>
      <c r="Q39" s="467">
        <f>IFERROR(VLOOKUP($D39,'Argus - Consumption per crop'!$I$48:$O$56,Q$12,FALSE),0)*$V39</f>
        <v>0</v>
      </c>
      <c r="R39" s="465">
        <f>IFERROR(VLOOKUP($D39,'Argus - Consumption per crop'!$I$48:$O$56,R$12,FALSE),0)*$V39</f>
        <v>3.3754476594498977</v>
      </c>
      <c r="S39" s="465">
        <f>IFERROR(VLOOKUP($D39,'Argus - Consumption per crop'!$I$48:$O$56,S$12,FALSE),100%)*V39</f>
        <v>1.607356028309475</v>
      </c>
      <c r="T39" s="465">
        <f>IFERROR(VLOOKUP($D39,'Argus - Consumption per crop'!$I$48:$O$56,T$12,FALSE),0)*$V39</f>
        <v>0</v>
      </c>
      <c r="U39" s="465">
        <f>IFERROR(VLOOKUP($D39,'Argus - Consumption per crop'!$I$48:$O$56,U$12,FALSE),0)*$V39</f>
        <v>75.384997727714378</v>
      </c>
      <c r="V39" s="463">
        <f>ProjectedP205_Consumption!L34</f>
        <v>80.36780141547375</v>
      </c>
      <c r="W39" s="467">
        <f>IFERROR(VLOOKUP($D39,'Argus - Consumption per crop'!$I$48:$O$56,W$12,FALSE),0)*$AB39</f>
        <v>0</v>
      </c>
      <c r="X39" s="465">
        <f>IFERROR(VLOOKUP($D39,'Argus - Consumption per crop'!$I$48:$O$56,X$12,FALSE),0)*$AB39</f>
        <v>5.0808957221836817</v>
      </c>
      <c r="Y39" s="465">
        <f>IFERROR(VLOOKUP($D39,'Argus - Consumption per crop'!$I$48:$O$56,Y$12,FALSE),100%)*AB39</f>
        <v>2.4194741534208006</v>
      </c>
      <c r="Z39" s="465">
        <f>IFERROR(VLOOKUP($D39,'Argus - Consumption per crop'!$I$48:$O$56,Z$12,FALSE),0)*$AB39</f>
        <v>0</v>
      </c>
      <c r="AA39" s="465">
        <f>IFERROR(VLOOKUP($D39,'Argus - Consumption per crop'!$I$48:$O$56,AA$12,FALSE),0)*$AB39</f>
        <v>113.47333779543554</v>
      </c>
      <c r="AB39" s="463">
        <f>ProjectedP205_Consumption!M34</f>
        <v>120.97370767104003</v>
      </c>
    </row>
    <row r="40" spans="2:28" ht="13.5" customHeight="1" x14ac:dyDescent="0.25">
      <c r="D40" s="86" t="s">
        <v>136</v>
      </c>
      <c r="E40" s="467">
        <f>IFERROR(VLOOKUP($D40,'Argus - Consumption per crop'!$I$48:$O$56,E$12,FALSE),0)*$J40</f>
        <v>0</v>
      </c>
      <c r="F40" s="465">
        <f>IFERROR(VLOOKUP($D40,'Argus - Consumption per crop'!$I$48:$O$56,F$12,FALSE),0)*$J40</f>
        <v>0</v>
      </c>
      <c r="G40" s="465">
        <f>IFERROR(VLOOKUP($D40,'Argus - Consumption per crop'!$I$48:$O$56,G$12,FALSE),100%)*J40</f>
        <v>7.1718479398068927E-2</v>
      </c>
      <c r="H40" s="465">
        <f>IFERROR(VLOOKUP($D40,'Argus - Consumption per crop'!$I$48:$O$56,H$12,FALSE),0)*$J40</f>
        <v>0</v>
      </c>
      <c r="I40" s="465">
        <f>IFERROR(VLOOKUP($D40,'Argus - Consumption per crop'!$I$48:$O$56,I$12,FALSE),0)*$J40</f>
        <v>0</v>
      </c>
      <c r="J40" s="463">
        <f>ProjectedP205_Consumption!J35</f>
        <v>7.1718479398068927E-2</v>
      </c>
      <c r="K40" s="467">
        <f>IFERROR(VLOOKUP($D40,'Argus - Consumption per crop'!$I$48:$O$56,K$12,FALSE),0)*$P40</f>
        <v>0</v>
      </c>
      <c r="L40" s="465">
        <f>IFERROR(VLOOKUP($D40,'Argus - Consumption per crop'!$I$48:$O$56,L$12,FALSE),0)*$P40</f>
        <v>0</v>
      </c>
      <c r="M40" s="465">
        <f>IFERROR(VLOOKUP($D40,'Argus - Consumption per crop'!$I$48:$O$56,M$12,FALSE),100%)*P40</f>
        <v>0.10354520124099365</v>
      </c>
      <c r="N40" s="465">
        <f>IFERROR(VLOOKUP($D40,'Argus - Consumption per crop'!$I$48:$O$56,N$12,FALSE),0)*$P40</f>
        <v>0</v>
      </c>
      <c r="O40" s="465">
        <f>IFERROR(VLOOKUP($D40,'Argus - Consumption per crop'!$I$48:$O$56,O$12,FALSE),0)*$P40</f>
        <v>0</v>
      </c>
      <c r="P40" s="463">
        <f>ProjectedP205_Consumption!K35</f>
        <v>0.10354520124099365</v>
      </c>
      <c r="Q40" s="467">
        <f>IFERROR(VLOOKUP($D40,'Argus - Consumption per crop'!$I$48:$O$56,Q$12,FALSE),0)*$V40</f>
        <v>0</v>
      </c>
      <c r="R40" s="465">
        <f>IFERROR(VLOOKUP($D40,'Argus - Consumption per crop'!$I$48:$O$56,R$12,FALSE),0)*$V40</f>
        <v>0</v>
      </c>
      <c r="S40" s="465">
        <f>IFERROR(VLOOKUP($D40,'Argus - Consumption per crop'!$I$48:$O$56,S$12,FALSE),100%)*V40</f>
        <v>0.86774197724995938</v>
      </c>
      <c r="T40" s="465">
        <f>IFERROR(VLOOKUP($D40,'Argus - Consumption per crop'!$I$48:$O$56,T$12,FALSE),0)*$V40</f>
        <v>0</v>
      </c>
      <c r="U40" s="465">
        <f>IFERROR(VLOOKUP($D40,'Argus - Consumption per crop'!$I$48:$O$56,U$12,FALSE),0)*$V40</f>
        <v>0</v>
      </c>
      <c r="V40" s="463">
        <f>ProjectedP205_Consumption!L35</f>
        <v>0.86774197724995938</v>
      </c>
      <c r="W40" s="467">
        <f>IFERROR(VLOOKUP($D40,'Argus - Consumption per crop'!$I$48:$O$56,W$12,FALSE),0)*$AB40</f>
        <v>0</v>
      </c>
      <c r="X40" s="465">
        <f>IFERROR(VLOOKUP($D40,'Argus - Consumption per crop'!$I$48:$O$56,X$12,FALSE),0)*$AB40</f>
        <v>0</v>
      </c>
      <c r="Y40" s="465">
        <f>IFERROR(VLOOKUP($D40,'Argus - Consumption per crop'!$I$48:$O$56,Y$12,FALSE),100%)*AB40</f>
        <v>1.708099567856719</v>
      </c>
      <c r="Z40" s="465">
        <f>IFERROR(VLOOKUP($D40,'Argus - Consumption per crop'!$I$48:$O$56,Z$12,FALSE),0)*$AB40</f>
        <v>0</v>
      </c>
      <c r="AA40" s="465">
        <f>IFERROR(VLOOKUP($D40,'Argus - Consumption per crop'!$I$48:$O$56,AA$12,FALSE),0)*$AB40</f>
        <v>0</v>
      </c>
      <c r="AB40" s="463">
        <f>ProjectedP205_Consumption!M35</f>
        <v>1.708099567856719</v>
      </c>
    </row>
    <row r="41" spans="2:28" ht="13.5" customHeight="1" x14ac:dyDescent="0.25">
      <c r="D41" s="86" t="s">
        <v>117</v>
      </c>
      <c r="E41" s="467">
        <f>IFERROR(VLOOKUP($D41,'Argus - Consumption per crop'!$I$48:$O$56,E$12,FALSE),0)*$J41</f>
        <v>0</v>
      </c>
      <c r="F41" s="465">
        <f>IFERROR(VLOOKUP($D41,'Argus - Consumption per crop'!$I$48:$O$56,F$12,FALSE),0)*$J41</f>
        <v>0</v>
      </c>
      <c r="G41" s="465">
        <f>IFERROR(VLOOKUP($D41,'Argus - Consumption per crop'!$I$48:$O$56,G$12,FALSE),100%)*J41</f>
        <v>1.6280391067800024E-2</v>
      </c>
      <c r="H41" s="465">
        <f>IFERROR(VLOOKUP($D41,'Argus - Consumption per crop'!$I$48:$O$56,H$12,FALSE),0)*$J41</f>
        <v>0</v>
      </c>
      <c r="I41" s="465">
        <f>IFERROR(VLOOKUP($D41,'Argus - Consumption per crop'!$I$48:$O$56,I$12,FALSE),0)*$J41</f>
        <v>0</v>
      </c>
      <c r="J41" s="463">
        <f>ProjectedP205_Consumption!J36</f>
        <v>1.6280391067800024E-2</v>
      </c>
      <c r="K41" s="467">
        <f>IFERROR(VLOOKUP($D41,'Argus - Consumption per crop'!$I$48:$O$56,K$12,FALSE),0)*$P41</f>
        <v>0</v>
      </c>
      <c r="L41" s="465">
        <f>IFERROR(VLOOKUP($D41,'Argus - Consumption per crop'!$I$48:$O$56,L$12,FALSE),0)*$P41</f>
        <v>0</v>
      </c>
      <c r="M41" s="465">
        <f>IFERROR(VLOOKUP($D41,'Argus - Consumption per crop'!$I$48:$O$56,M$12,FALSE),100%)*P41</f>
        <v>1.2867831541542925E-2</v>
      </c>
      <c r="N41" s="465">
        <f>IFERROR(VLOOKUP($D41,'Argus - Consumption per crop'!$I$48:$O$56,N$12,FALSE),0)*$P41</f>
        <v>0</v>
      </c>
      <c r="O41" s="465">
        <f>IFERROR(VLOOKUP($D41,'Argus - Consumption per crop'!$I$48:$O$56,O$12,FALSE),0)*$P41</f>
        <v>0</v>
      </c>
      <c r="P41" s="463">
        <f>ProjectedP205_Consumption!K36</f>
        <v>1.2867831541542925E-2</v>
      </c>
      <c r="Q41" s="467">
        <f>IFERROR(VLOOKUP($D41,'Argus - Consumption per crop'!$I$48:$O$56,Q$12,FALSE),0)*$V41</f>
        <v>0</v>
      </c>
      <c r="R41" s="465">
        <f>IFERROR(VLOOKUP($D41,'Argus - Consumption per crop'!$I$48:$O$56,R$12,FALSE),0)*$V41</f>
        <v>0</v>
      </c>
      <c r="S41" s="465">
        <f>IFERROR(VLOOKUP($D41,'Argus - Consumption per crop'!$I$48:$O$56,S$12,FALSE),100%)*V41</f>
        <v>0.84383322582256937</v>
      </c>
      <c r="T41" s="465">
        <f>IFERROR(VLOOKUP($D41,'Argus - Consumption per crop'!$I$48:$O$56,T$12,FALSE),0)*$V41</f>
        <v>0</v>
      </c>
      <c r="U41" s="465">
        <f>IFERROR(VLOOKUP($D41,'Argus - Consumption per crop'!$I$48:$O$56,U$12,FALSE),0)*$V41</f>
        <v>0</v>
      </c>
      <c r="V41" s="463">
        <f>ProjectedP205_Consumption!L36</f>
        <v>0.84383322582256937</v>
      </c>
      <c r="W41" s="467">
        <f>IFERROR(VLOOKUP($D41,'Argus - Consumption per crop'!$I$48:$O$56,W$12,FALSE),0)*$AB41</f>
        <v>0</v>
      </c>
      <c r="X41" s="465">
        <f>IFERROR(VLOOKUP($D41,'Argus - Consumption per crop'!$I$48:$O$56,X$12,FALSE),0)*$AB41</f>
        <v>0</v>
      </c>
      <c r="Y41" s="465">
        <f>IFERROR(VLOOKUP($D41,'Argus - Consumption per crop'!$I$48:$O$56,Y$12,FALSE),100%)*AB41</f>
        <v>1.7290015335716062</v>
      </c>
      <c r="Z41" s="465">
        <f>IFERROR(VLOOKUP($D41,'Argus - Consumption per crop'!$I$48:$O$56,Z$12,FALSE),0)*$AB41</f>
        <v>0</v>
      </c>
      <c r="AA41" s="465">
        <f>IFERROR(VLOOKUP($D41,'Argus - Consumption per crop'!$I$48:$O$56,AA$12,FALSE),0)*$AB41</f>
        <v>0</v>
      </c>
      <c r="AB41" s="463">
        <f>ProjectedP205_Consumption!M36</f>
        <v>1.7290015335716062</v>
      </c>
    </row>
    <row r="42" spans="2:28" ht="13.5" customHeight="1" x14ac:dyDescent="0.25">
      <c r="D42" s="86" t="s">
        <v>124</v>
      </c>
      <c r="E42" s="467">
        <f>IFERROR(VLOOKUP($D42,'Argus - Consumption per crop'!$I$48:$O$56,E$12,FALSE),0)*$J42</f>
        <v>0</v>
      </c>
      <c r="F42" s="465">
        <f>IFERROR(VLOOKUP($D42,'Argus - Consumption per crop'!$I$48:$O$56,F$12,FALSE),0)*$J42</f>
        <v>0</v>
      </c>
      <c r="G42" s="465">
        <f>IFERROR(VLOOKUP($D42,'Argus - Consumption per crop'!$I$48:$O$56,G$12,FALSE),100%)*J42</f>
        <v>3.113928760258983E-2</v>
      </c>
      <c r="H42" s="465">
        <f>IFERROR(VLOOKUP($D42,'Argus - Consumption per crop'!$I$48:$O$56,H$12,FALSE),0)*$J42</f>
        <v>0</v>
      </c>
      <c r="I42" s="465">
        <f>IFERROR(VLOOKUP($D42,'Argus - Consumption per crop'!$I$48:$O$56,I$12,FALSE),0)*$J42</f>
        <v>0</v>
      </c>
      <c r="J42" s="463">
        <f>ProjectedP205_Consumption!J37</f>
        <v>3.113928760258983E-2</v>
      </c>
      <c r="K42" s="467">
        <f>IFERROR(VLOOKUP($D42,'Argus - Consumption per crop'!$I$48:$O$56,K$12,FALSE),0)*$P42</f>
        <v>0</v>
      </c>
      <c r="L42" s="465">
        <f>IFERROR(VLOOKUP($D42,'Argus - Consumption per crop'!$I$48:$O$56,L$12,FALSE),0)*$P42</f>
        <v>0</v>
      </c>
      <c r="M42" s="465">
        <f>IFERROR(VLOOKUP($D42,'Argus - Consumption per crop'!$I$48:$O$56,M$12,FALSE),100%)*P42</f>
        <v>4.1856830631408208E-2</v>
      </c>
      <c r="N42" s="465">
        <f>IFERROR(VLOOKUP($D42,'Argus - Consumption per crop'!$I$48:$O$56,N$12,FALSE),0)*$P42</f>
        <v>0</v>
      </c>
      <c r="O42" s="465">
        <f>IFERROR(VLOOKUP($D42,'Argus - Consumption per crop'!$I$48:$O$56,O$12,FALSE),0)*$P42</f>
        <v>0</v>
      </c>
      <c r="P42" s="463">
        <f>ProjectedP205_Consumption!K37</f>
        <v>4.1856830631408208E-2</v>
      </c>
      <c r="Q42" s="467">
        <f>IFERROR(VLOOKUP($D42,'Argus - Consumption per crop'!$I$48:$O$56,Q$12,FALSE),0)*$V42</f>
        <v>0</v>
      </c>
      <c r="R42" s="465">
        <f>IFERROR(VLOOKUP($D42,'Argus - Consumption per crop'!$I$48:$O$56,R$12,FALSE),0)*$V42</f>
        <v>0</v>
      </c>
      <c r="S42" s="465">
        <f>IFERROR(VLOOKUP($D42,'Argus - Consumption per crop'!$I$48:$O$56,S$12,FALSE),100%)*V42</f>
        <v>0.34458108482450545</v>
      </c>
      <c r="T42" s="465">
        <f>IFERROR(VLOOKUP($D42,'Argus - Consumption per crop'!$I$48:$O$56,T$12,FALSE),0)*$V42</f>
        <v>0</v>
      </c>
      <c r="U42" s="465">
        <f>IFERROR(VLOOKUP($D42,'Argus - Consumption per crop'!$I$48:$O$56,U$12,FALSE),0)*$V42</f>
        <v>0</v>
      </c>
      <c r="V42" s="463">
        <f>ProjectedP205_Consumption!L37</f>
        <v>0.34458108482450545</v>
      </c>
      <c r="W42" s="467">
        <f>IFERROR(VLOOKUP($D42,'Argus - Consumption per crop'!$I$48:$O$56,W$12,FALSE),0)*$AB42</f>
        <v>0</v>
      </c>
      <c r="X42" s="465">
        <f>IFERROR(VLOOKUP($D42,'Argus - Consumption per crop'!$I$48:$O$56,X$12,FALSE),0)*$AB42</f>
        <v>0</v>
      </c>
      <c r="Y42" s="465">
        <f>IFERROR(VLOOKUP($D42,'Argus - Consumption per crop'!$I$48:$O$56,Y$12,FALSE),100%)*AB42</f>
        <v>0.66963281626785476</v>
      </c>
      <c r="Z42" s="465">
        <f>IFERROR(VLOOKUP($D42,'Argus - Consumption per crop'!$I$48:$O$56,Z$12,FALSE),0)*$AB42</f>
        <v>0</v>
      </c>
      <c r="AA42" s="465">
        <f>IFERROR(VLOOKUP($D42,'Argus - Consumption per crop'!$I$48:$O$56,AA$12,FALSE),0)*$AB42</f>
        <v>0</v>
      </c>
      <c r="AB42" s="463">
        <f>ProjectedP205_Consumption!M37</f>
        <v>0.66963281626785476</v>
      </c>
    </row>
    <row r="43" spans="2:28" ht="13.5" customHeight="1" x14ac:dyDescent="0.25">
      <c r="D43" s="86" t="s">
        <v>73</v>
      </c>
      <c r="E43" s="467">
        <f>IFERROR(VLOOKUP($D43,'Argus - Consumption per crop'!$I$48:$O$56,E$12,FALSE),0)*$J43</f>
        <v>1.6475587250127715</v>
      </c>
      <c r="F43" s="465">
        <f>IFERROR(VLOOKUP($D43,'Argus - Consumption per crop'!$I$48:$O$56,F$12,FALSE),0)*$J43</f>
        <v>0</v>
      </c>
      <c r="G43" s="465">
        <f>IFERROR(VLOOKUP($D43,'Argus - Consumption per crop'!$I$48:$O$56,G$12,FALSE),100%)*J43</f>
        <v>0.27459312083546189</v>
      </c>
      <c r="H43" s="465">
        <f>IFERROR(VLOOKUP($D43,'Argus - Consumption per crop'!$I$48:$O$56,H$12,FALSE),0)*$J43</f>
        <v>0</v>
      </c>
      <c r="I43" s="465">
        <f>IFERROR(VLOOKUP($D43,'Argus - Consumption per crop'!$I$48:$O$56,I$12,FALSE),0)*$J43</f>
        <v>1.0983724833418476</v>
      </c>
      <c r="J43" s="463">
        <f>ProjectedP205_Consumption!J38</f>
        <v>2.745931208354619</v>
      </c>
      <c r="K43" s="467">
        <f>IFERROR(VLOOKUP($D43,'Argus - Consumption per crop'!$I$48:$O$56,K$12,FALSE),0)*$P43</f>
        <v>2.2005421535779877</v>
      </c>
      <c r="L43" s="465">
        <f>IFERROR(VLOOKUP($D43,'Argus - Consumption per crop'!$I$48:$O$56,L$12,FALSE),0)*$P43</f>
        <v>0</v>
      </c>
      <c r="M43" s="465">
        <f>IFERROR(VLOOKUP($D43,'Argus - Consumption per crop'!$I$48:$O$56,M$12,FALSE),100%)*P43</f>
        <v>0.36675702559633128</v>
      </c>
      <c r="N43" s="465">
        <f>IFERROR(VLOOKUP($D43,'Argus - Consumption per crop'!$I$48:$O$56,N$12,FALSE),0)*$P43</f>
        <v>0</v>
      </c>
      <c r="O43" s="465">
        <f>IFERROR(VLOOKUP($D43,'Argus - Consumption per crop'!$I$48:$O$56,O$12,FALSE),0)*$P43</f>
        <v>1.4670281023853251</v>
      </c>
      <c r="P43" s="463">
        <f>ProjectedP205_Consumption!K38</f>
        <v>3.6675702559633128</v>
      </c>
      <c r="Q43" s="467">
        <f>IFERROR(VLOOKUP($D43,'Argus - Consumption per crop'!$I$48:$O$56,Q$12,FALSE),0)*$V43</f>
        <v>7.9323906911194246</v>
      </c>
      <c r="R43" s="465">
        <f>IFERROR(VLOOKUP($D43,'Argus - Consumption per crop'!$I$48:$O$56,R$12,FALSE),0)*$V43</f>
        <v>0</v>
      </c>
      <c r="S43" s="465">
        <f>IFERROR(VLOOKUP($D43,'Argus - Consumption per crop'!$I$48:$O$56,S$12,FALSE),100%)*V43</f>
        <v>1.3220651151865708</v>
      </c>
      <c r="T43" s="465">
        <f>IFERROR(VLOOKUP($D43,'Argus - Consumption per crop'!$I$48:$O$56,T$12,FALSE),0)*$V43</f>
        <v>0</v>
      </c>
      <c r="U43" s="465">
        <f>IFERROR(VLOOKUP($D43,'Argus - Consumption per crop'!$I$48:$O$56,U$12,FALSE),0)*$V43</f>
        <v>5.2882604607462831</v>
      </c>
      <c r="V43" s="463">
        <f>ProjectedP205_Consumption!L38</f>
        <v>13.220651151865708</v>
      </c>
      <c r="W43" s="467">
        <f>IFERROR(VLOOKUP($D43,'Argus - Consumption per crop'!$I$48:$O$56,W$12,FALSE),0)*$AB43</f>
        <v>13.071658687922646</v>
      </c>
      <c r="X43" s="465">
        <f>IFERROR(VLOOKUP($D43,'Argus - Consumption per crop'!$I$48:$O$56,X$12,FALSE),0)*$AB43</f>
        <v>0</v>
      </c>
      <c r="Y43" s="465">
        <f>IFERROR(VLOOKUP($D43,'Argus - Consumption per crop'!$I$48:$O$56,Y$12,FALSE),100%)*AB43</f>
        <v>2.178609781320441</v>
      </c>
      <c r="Z43" s="465">
        <f>IFERROR(VLOOKUP($D43,'Argus - Consumption per crop'!$I$48:$O$56,Z$12,FALSE),0)*$AB43</f>
        <v>0</v>
      </c>
      <c r="AA43" s="465">
        <f>IFERROR(VLOOKUP($D43,'Argus - Consumption per crop'!$I$48:$O$56,AA$12,FALSE),0)*$AB43</f>
        <v>8.7144391252817641</v>
      </c>
      <c r="AB43" s="463">
        <f>ProjectedP205_Consumption!M38</f>
        <v>21.78609781320441</v>
      </c>
    </row>
    <row r="44" spans="2:28" ht="13.5" customHeight="1" x14ac:dyDescent="0.25">
      <c r="D44" s="86" t="s">
        <v>156</v>
      </c>
      <c r="E44" s="467">
        <f>IFERROR(VLOOKUP($D44,'Argus - Consumption per crop'!$I$48:$O$56,E$12,FALSE),0)*$J44</f>
        <v>0</v>
      </c>
      <c r="F44" s="465">
        <f>IFERROR(VLOOKUP($D44,'Argus - Consumption per crop'!$I$48:$O$56,F$12,FALSE),0)*$J44</f>
        <v>0</v>
      </c>
      <c r="G44" s="465">
        <f>IFERROR(VLOOKUP($D44,'Argus - Consumption per crop'!$I$48:$O$56,G$12,FALSE),100%)*J44</f>
        <v>0</v>
      </c>
      <c r="H44" s="465">
        <f>IFERROR(VLOOKUP($D44,'Argus - Consumption per crop'!$I$48:$O$56,H$12,FALSE),0)*$J44</f>
        <v>4.961435257005939</v>
      </c>
      <c r="I44" s="465">
        <f>IFERROR(VLOOKUP($D44,'Argus - Consumption per crop'!$I$48:$O$56,I$12,FALSE),0)*$J44</f>
        <v>1.167396531060221</v>
      </c>
      <c r="J44" s="463">
        <f>ProjectedP205_Consumption!J39</f>
        <v>5.8369826553011048</v>
      </c>
      <c r="K44" s="467">
        <f>IFERROR(VLOOKUP($D44,'Argus - Consumption per crop'!$I$48:$O$56,K$12,FALSE),0)*$P44</f>
        <v>0</v>
      </c>
      <c r="L44" s="465">
        <f>IFERROR(VLOOKUP($D44,'Argus - Consumption per crop'!$I$48:$O$56,L$12,FALSE),0)*$P44</f>
        <v>0</v>
      </c>
      <c r="M44" s="465">
        <f>IFERROR(VLOOKUP($D44,'Argus - Consumption per crop'!$I$48:$O$56,M$12,FALSE),100%)*P44</f>
        <v>0</v>
      </c>
      <c r="N44" s="465">
        <f>IFERROR(VLOOKUP($D44,'Argus - Consumption per crop'!$I$48:$O$56,N$12,FALSE),0)*$P44</f>
        <v>6.6299639748288897</v>
      </c>
      <c r="O44" s="465">
        <f>IFERROR(VLOOKUP($D44,'Argus - Consumption per crop'!$I$48:$O$56,O$12,FALSE),0)*$P44</f>
        <v>1.5599915234891508</v>
      </c>
      <c r="P44" s="463">
        <f>ProjectedP205_Consumption!K39</f>
        <v>7.7999576174457532</v>
      </c>
      <c r="Q44" s="467">
        <f>IFERROR(VLOOKUP($D44,'Argus - Consumption per crop'!$I$48:$O$56,Q$12,FALSE),0)*$V44</f>
        <v>0</v>
      </c>
      <c r="R44" s="465">
        <f>IFERROR(VLOOKUP($D44,'Argus - Consumption per crop'!$I$48:$O$56,R$12,FALSE),0)*$V44</f>
        <v>0</v>
      </c>
      <c r="S44" s="465">
        <f>IFERROR(VLOOKUP($D44,'Argus - Consumption per crop'!$I$48:$O$56,S$12,FALSE),100%)*V44</f>
        <v>0</v>
      </c>
      <c r="T44" s="465">
        <f>IFERROR(VLOOKUP($D44,'Argus - Consumption per crop'!$I$48:$O$56,T$12,FALSE),0)*$V44</f>
        <v>14.853702127965171</v>
      </c>
      <c r="U44" s="465">
        <f>IFERROR(VLOOKUP($D44,'Argus - Consumption per crop'!$I$48:$O$56,U$12,FALSE),0)*$V44</f>
        <v>3.4949887359918055</v>
      </c>
      <c r="V44" s="463">
        <f>ProjectedP205_Consumption!L39</f>
        <v>17.474943679959026</v>
      </c>
      <c r="W44" s="467">
        <f>IFERROR(VLOOKUP($D44,'Argus - Consumption per crop'!$I$48:$O$56,W$12,FALSE),0)*$AB44</f>
        <v>0</v>
      </c>
      <c r="X44" s="465">
        <f>IFERROR(VLOOKUP($D44,'Argus - Consumption per crop'!$I$48:$O$56,X$12,FALSE),0)*$AB44</f>
        <v>0</v>
      </c>
      <c r="Y44" s="465">
        <f>IFERROR(VLOOKUP($D44,'Argus - Consumption per crop'!$I$48:$O$56,Y$12,FALSE),100%)*AB44</f>
        <v>0</v>
      </c>
      <c r="Z44" s="465">
        <f>IFERROR(VLOOKUP($D44,'Argus - Consumption per crop'!$I$48:$O$56,Z$12,FALSE),0)*$AB44</f>
        <v>23.883239186478011</v>
      </c>
      <c r="AA44" s="465">
        <f>IFERROR(VLOOKUP($D44,'Argus - Consumption per crop'!$I$48:$O$56,AA$12,FALSE),0)*$AB44</f>
        <v>5.6195856909360025</v>
      </c>
      <c r="AB44" s="463">
        <f>ProjectedP205_Consumption!M39</f>
        <v>28.097928454680012</v>
      </c>
    </row>
    <row r="45" spans="2:28" ht="13.5" customHeight="1" x14ac:dyDescent="0.25">
      <c r="D45" s="86" t="s">
        <v>113</v>
      </c>
      <c r="E45" s="467">
        <f>IFERROR(VLOOKUP($D45,'Argus - Consumption per crop'!$I$48:$O$56,E$12,FALSE),0)*$J45</f>
        <v>1.9585024508633173</v>
      </c>
      <c r="F45" s="465">
        <f>IFERROR(VLOOKUP($D45,'Argus - Consumption per crop'!$I$48:$O$56,F$12,FALSE),0)*$J45</f>
        <v>0</v>
      </c>
      <c r="G45" s="465">
        <f>IFERROR(VLOOKUP($D45,'Argus - Consumption per crop'!$I$48:$O$56,G$12,FALSE),100%)*J45</f>
        <v>1.254213392178479</v>
      </c>
      <c r="H45" s="465">
        <f>IFERROR(VLOOKUP($D45,'Argus - Consumption per crop'!$I$48:$O$56,H$12,FALSE),0)*$J45</f>
        <v>0</v>
      </c>
      <c r="I45" s="465">
        <f>IFERROR(VLOOKUP($D45,'Argus - Consumption per crop'!$I$48:$O$56,I$12,FALSE),0)*$J45</f>
        <v>0</v>
      </c>
      <c r="J45" s="463">
        <f>ProjectedP205_Consumption!J40</f>
        <v>4.8962561271582929</v>
      </c>
      <c r="K45" s="467">
        <f>IFERROR(VLOOKUP($D45,'Argus - Consumption per crop'!$I$48:$O$56,K$12,FALSE),0)*$P45</f>
        <v>2.5722713138718452</v>
      </c>
      <c r="L45" s="465">
        <f>IFERROR(VLOOKUP($D45,'Argus - Consumption per crop'!$I$48:$O$56,L$12,FALSE),0)*$P45</f>
        <v>0</v>
      </c>
      <c r="M45" s="465">
        <f>IFERROR(VLOOKUP($D45,'Argus - Consumption per crop'!$I$48:$O$56,M$12,FALSE),100%)*P45</f>
        <v>1.6472673438588172</v>
      </c>
      <c r="N45" s="465">
        <f>IFERROR(VLOOKUP($D45,'Argus - Consumption per crop'!$I$48:$O$56,N$12,FALSE),0)*$P45</f>
        <v>0</v>
      </c>
      <c r="O45" s="465">
        <f>IFERROR(VLOOKUP($D45,'Argus - Consumption per crop'!$I$48:$O$56,O$12,FALSE),0)*$P45</f>
        <v>0</v>
      </c>
      <c r="P45" s="463">
        <f>ProjectedP205_Consumption!K40</f>
        <v>6.4306782846796127</v>
      </c>
      <c r="Q45" s="467">
        <f>IFERROR(VLOOKUP($D45,'Argus - Consumption per crop'!$I$48:$O$56,Q$12,FALSE),0)*$V45</f>
        <v>2.860968278641101</v>
      </c>
      <c r="R45" s="465">
        <f>IFERROR(VLOOKUP($D45,'Argus - Consumption per crop'!$I$48:$O$56,R$12,FALSE),0)*$V45</f>
        <v>0</v>
      </c>
      <c r="S45" s="465">
        <f>IFERROR(VLOOKUP($D45,'Argus - Consumption per crop'!$I$48:$O$56,S$12,FALSE),100%)*V45</f>
        <v>1.8321471735140058</v>
      </c>
      <c r="T45" s="465">
        <f>IFERROR(VLOOKUP($D45,'Argus - Consumption per crop'!$I$48:$O$56,T$12,FALSE),0)*$V45</f>
        <v>0</v>
      </c>
      <c r="U45" s="465">
        <f>IFERROR(VLOOKUP($D45,'Argus - Consumption per crop'!$I$48:$O$56,U$12,FALSE),0)*$V45</f>
        <v>0</v>
      </c>
      <c r="V45" s="463">
        <f>ProjectedP205_Consumption!L40</f>
        <v>7.1524206966027526</v>
      </c>
      <c r="W45" s="467">
        <f>IFERROR(VLOOKUP($D45,'Argus - Consumption per crop'!$I$48:$O$56,W$12,FALSE),0)*$AB45</f>
        <v>3.1820669333166705</v>
      </c>
      <c r="X45" s="465">
        <f>IFERROR(VLOOKUP($D45,'Argus - Consumption per crop'!$I$48:$O$56,X$12,FALSE),0)*$AB45</f>
        <v>0</v>
      </c>
      <c r="Y45" s="465">
        <f>IFERROR(VLOOKUP($D45,'Argus - Consumption per crop'!$I$48:$O$56,Y$12,FALSE),100%)*AB45</f>
        <v>2.037776853848114</v>
      </c>
      <c r="Z45" s="465">
        <f>IFERROR(VLOOKUP($D45,'Argus - Consumption per crop'!$I$48:$O$56,Z$12,FALSE),0)*$AB45</f>
        <v>0</v>
      </c>
      <c r="AA45" s="465">
        <f>IFERROR(VLOOKUP($D45,'Argus - Consumption per crop'!$I$48:$O$56,AA$12,FALSE),0)*$AB45</f>
        <v>0</v>
      </c>
      <c r="AB45" s="463">
        <f>ProjectedP205_Consumption!M40</f>
        <v>7.9551673332916755</v>
      </c>
    </row>
    <row r="46" spans="2:28" ht="13.5" customHeight="1" x14ac:dyDescent="0.25">
      <c r="D46" s="86" t="s">
        <v>182</v>
      </c>
      <c r="E46" s="467">
        <f>IFERROR(VLOOKUP($D46,'Argus - Consumption per crop'!$I$48:$O$56,E$12,FALSE),0)*$J46</f>
        <v>0</v>
      </c>
      <c r="F46" s="465">
        <f>IFERROR(VLOOKUP($D46,'Argus - Consumption per crop'!$I$48:$O$56,F$12,FALSE),0)*$J46</f>
        <v>0</v>
      </c>
      <c r="G46" s="465">
        <f>IFERROR(VLOOKUP($D46,'Argus - Consumption per crop'!$I$48:$O$56,G$12,FALSE),100%)*J46</f>
        <v>1.2907401183436182</v>
      </c>
      <c r="H46" s="465">
        <f>IFERROR(VLOOKUP($D46,'Argus - Consumption per crop'!$I$48:$O$56,H$12,FALSE),0)*$J46</f>
        <v>0</v>
      </c>
      <c r="I46" s="465">
        <f>IFERROR(VLOOKUP($D46,'Argus - Consumption per crop'!$I$48:$O$56,I$12,FALSE),0)*$J46</f>
        <v>0</v>
      </c>
      <c r="J46" s="463">
        <f>ProjectedP205_Consumption!J41</f>
        <v>1.2907401183436182</v>
      </c>
      <c r="K46" s="467">
        <f>IFERROR(VLOOKUP($D46,'Argus - Consumption per crop'!$I$48:$O$56,K$12,FALSE),0)*$P46</f>
        <v>0</v>
      </c>
      <c r="L46" s="465">
        <f>IFERROR(VLOOKUP($D46,'Argus - Consumption per crop'!$I$48:$O$56,L$12,FALSE),0)*$P46</f>
        <v>0</v>
      </c>
      <c r="M46" s="465">
        <f>IFERROR(VLOOKUP($D46,'Argus - Consumption per crop'!$I$48:$O$56,M$12,FALSE),100%)*P46</f>
        <v>1.586490897766063</v>
      </c>
      <c r="N46" s="465">
        <f>IFERROR(VLOOKUP($D46,'Argus - Consumption per crop'!$I$48:$O$56,N$12,FALSE),0)*$P46</f>
        <v>0</v>
      </c>
      <c r="O46" s="465">
        <f>IFERROR(VLOOKUP($D46,'Argus - Consumption per crop'!$I$48:$O$56,O$12,FALSE),0)*$P46</f>
        <v>0</v>
      </c>
      <c r="P46" s="463">
        <f>ProjectedP205_Consumption!K41</f>
        <v>1.586490897766063</v>
      </c>
      <c r="Q46" s="467">
        <f>IFERROR(VLOOKUP($D46,'Argus - Consumption per crop'!$I$48:$O$56,Q$12,FALSE),0)*$V46</f>
        <v>0</v>
      </c>
      <c r="R46" s="465">
        <f>IFERROR(VLOOKUP($D46,'Argus - Consumption per crop'!$I$48:$O$56,R$12,FALSE),0)*$V46</f>
        <v>0</v>
      </c>
      <c r="S46" s="465">
        <f>IFERROR(VLOOKUP($D46,'Argus - Consumption per crop'!$I$48:$O$56,S$12,FALSE),100%)*V46</f>
        <v>7.2697143982724972</v>
      </c>
      <c r="T46" s="465">
        <f>IFERROR(VLOOKUP($D46,'Argus - Consumption per crop'!$I$48:$O$56,T$12,FALSE),0)*$V46</f>
        <v>0</v>
      </c>
      <c r="U46" s="465">
        <f>IFERROR(VLOOKUP($D46,'Argus - Consumption per crop'!$I$48:$O$56,U$12,FALSE),0)*$V46</f>
        <v>0</v>
      </c>
      <c r="V46" s="463">
        <f>ProjectedP205_Consumption!L41</f>
        <v>7.2697143982724972</v>
      </c>
      <c r="W46" s="467">
        <f>IFERROR(VLOOKUP($D46,'Argus - Consumption per crop'!$I$48:$O$56,W$12,FALSE),0)*$AB46</f>
        <v>0</v>
      </c>
      <c r="X46" s="465">
        <f>IFERROR(VLOOKUP($D46,'Argus - Consumption per crop'!$I$48:$O$56,X$12,FALSE),0)*$AB46</f>
        <v>0</v>
      </c>
      <c r="Y46" s="465">
        <f>IFERROR(VLOOKUP($D46,'Argus - Consumption per crop'!$I$48:$O$56,Y$12,FALSE),100%)*AB46</f>
        <v>13.517294021585158</v>
      </c>
      <c r="Z46" s="465">
        <f>IFERROR(VLOOKUP($D46,'Argus - Consumption per crop'!$I$48:$O$56,Z$12,FALSE),0)*$AB46</f>
        <v>0</v>
      </c>
      <c r="AA46" s="465">
        <f>IFERROR(VLOOKUP($D46,'Argus - Consumption per crop'!$I$48:$O$56,AA$12,FALSE),0)*$AB46</f>
        <v>0</v>
      </c>
      <c r="AB46" s="463">
        <f>ProjectedP205_Consumption!M41</f>
        <v>13.517294021585158</v>
      </c>
    </row>
    <row r="47" spans="2:28" ht="13.5" customHeight="1" x14ac:dyDescent="0.25">
      <c r="D47" s="86" t="s">
        <v>158</v>
      </c>
      <c r="E47" s="467">
        <f>IFERROR(VLOOKUP($D47,'Argus - Consumption per crop'!$I$48:$O$56,E$12,FALSE),0)*$J47</f>
        <v>3.9277907180576372</v>
      </c>
      <c r="F47" s="465">
        <f>IFERROR(VLOOKUP($D47,'Argus - Consumption per crop'!$I$48:$O$56,F$12,FALSE),0)*$J47</f>
        <v>0</v>
      </c>
      <c r="G47" s="465">
        <f>IFERROR(VLOOKUP($D47,'Argus - Consumption per crop'!$I$48:$O$56,G$12,FALSE),100%)*J47</f>
        <v>3.9277907180576372</v>
      </c>
      <c r="H47" s="465">
        <f>IFERROR(VLOOKUP($D47,'Argus - Consumption per crop'!$I$48:$O$56,H$12,FALSE),0)*$J47</f>
        <v>0</v>
      </c>
      <c r="I47" s="465">
        <f>IFERROR(VLOOKUP($D47,'Argus - Consumption per crop'!$I$48:$O$56,I$12,FALSE),0)*$J47</f>
        <v>7.8555814361152745</v>
      </c>
      <c r="J47" s="463">
        <f>ProjectedP205_Consumption!J42</f>
        <v>15.711162872230549</v>
      </c>
      <c r="K47" s="467">
        <f>IFERROR(VLOOKUP($D47,'Argus - Consumption per crop'!$I$48:$O$56,K$12,FALSE),0)*$P47</f>
        <v>4.9445225620674922</v>
      </c>
      <c r="L47" s="465">
        <f>IFERROR(VLOOKUP($D47,'Argus - Consumption per crop'!$I$48:$O$56,L$12,FALSE),0)*$P47</f>
        <v>0</v>
      </c>
      <c r="M47" s="465">
        <f>IFERROR(VLOOKUP($D47,'Argus - Consumption per crop'!$I$48:$O$56,M$12,FALSE),100%)*P47</f>
        <v>4.9445225620674922</v>
      </c>
      <c r="N47" s="465">
        <f>IFERROR(VLOOKUP($D47,'Argus - Consumption per crop'!$I$48:$O$56,N$12,FALSE),0)*$P47</f>
        <v>0</v>
      </c>
      <c r="O47" s="465">
        <f>IFERROR(VLOOKUP($D47,'Argus - Consumption per crop'!$I$48:$O$56,O$12,FALSE),0)*$P47</f>
        <v>9.8890451241349844</v>
      </c>
      <c r="P47" s="463">
        <f>ProjectedP205_Consumption!K42</f>
        <v>19.778090248269969</v>
      </c>
      <c r="Q47" s="467">
        <f>IFERROR(VLOOKUP($D47,'Argus - Consumption per crop'!$I$48:$O$56,Q$12,FALSE),0)*$V47</f>
        <v>5.9442319889675552</v>
      </c>
      <c r="R47" s="465">
        <f>IFERROR(VLOOKUP($D47,'Argus - Consumption per crop'!$I$48:$O$56,R$12,FALSE),0)*$V47</f>
        <v>0</v>
      </c>
      <c r="S47" s="465">
        <f>IFERROR(VLOOKUP($D47,'Argus - Consumption per crop'!$I$48:$O$56,S$12,FALSE),100%)*V47</f>
        <v>5.9442319889675552</v>
      </c>
      <c r="T47" s="465">
        <f>IFERROR(VLOOKUP($D47,'Argus - Consumption per crop'!$I$48:$O$56,T$12,FALSE),0)*$V47</f>
        <v>0</v>
      </c>
      <c r="U47" s="465">
        <f>IFERROR(VLOOKUP($D47,'Argus - Consumption per crop'!$I$48:$O$56,U$12,FALSE),0)*$V47</f>
        <v>11.88846397793511</v>
      </c>
      <c r="V47" s="463">
        <f>ProjectedP205_Consumption!L42</f>
        <v>23.776927955870221</v>
      </c>
      <c r="W47" s="467">
        <f>IFERROR(VLOOKUP($D47,'Argus - Consumption per crop'!$I$48:$O$56,W$12,FALSE),0)*$AB47</f>
        <v>6.9536948024119836</v>
      </c>
      <c r="X47" s="465">
        <f>IFERROR(VLOOKUP($D47,'Argus - Consumption per crop'!$I$48:$O$56,X$12,FALSE),0)*$AB47</f>
        <v>0</v>
      </c>
      <c r="Y47" s="465">
        <f>IFERROR(VLOOKUP($D47,'Argus - Consumption per crop'!$I$48:$O$56,Y$12,FALSE),100%)*AB47</f>
        <v>6.9536948024119836</v>
      </c>
      <c r="Z47" s="465">
        <f>IFERROR(VLOOKUP($D47,'Argus - Consumption per crop'!$I$48:$O$56,Z$12,FALSE),0)*$AB47</f>
        <v>0</v>
      </c>
      <c r="AA47" s="465">
        <f>IFERROR(VLOOKUP($D47,'Argus - Consumption per crop'!$I$48:$O$56,AA$12,FALSE),0)*$AB47</f>
        <v>13.907389604823967</v>
      </c>
      <c r="AB47" s="463">
        <f>ProjectedP205_Consumption!M42</f>
        <v>27.814779209647934</v>
      </c>
    </row>
    <row r="48" spans="2:28" ht="13.5" customHeight="1" x14ac:dyDescent="0.25">
      <c r="D48" s="86" t="s">
        <v>184</v>
      </c>
      <c r="E48" s="467">
        <f>IFERROR(VLOOKUP($D48,'Argus - Consumption per crop'!$I$48:$O$56,E$12,FALSE),0)*$J48</f>
        <v>0.7689756739377519</v>
      </c>
      <c r="F48" s="465">
        <f>IFERROR(VLOOKUP($D48,'Argus - Consumption per crop'!$I$48:$O$56,F$12,FALSE),0)*$J48</f>
        <v>0</v>
      </c>
      <c r="G48" s="465">
        <f>IFERROR(VLOOKUP($D48,'Argus - Consumption per crop'!$I$48:$O$56,G$12,FALSE),100%)*J48</f>
        <v>3.3322279203969249</v>
      </c>
      <c r="H48" s="465">
        <f>IFERROR(VLOOKUP($D48,'Argus - Consumption per crop'!$I$48:$O$56,H$12,FALSE),0)*$J48</f>
        <v>0</v>
      </c>
      <c r="I48" s="465">
        <f>IFERROR(VLOOKUP($D48,'Argus - Consumption per crop'!$I$48:$O$56,I$12,FALSE),0)*$J48</f>
        <v>1.5379513478755038</v>
      </c>
      <c r="J48" s="463">
        <f>ProjectedP205_Consumption!J43</f>
        <v>5.1265044929183459</v>
      </c>
      <c r="K48" s="467">
        <f>IFERROR(VLOOKUP($D48,'Argus - Consumption per crop'!$I$48:$O$56,K$12,FALSE),0)*$P48</f>
        <v>1.0696450640567592</v>
      </c>
      <c r="L48" s="465">
        <f>IFERROR(VLOOKUP($D48,'Argus - Consumption per crop'!$I$48:$O$56,L$12,FALSE),0)*$P48</f>
        <v>0</v>
      </c>
      <c r="M48" s="465">
        <f>IFERROR(VLOOKUP($D48,'Argus - Consumption per crop'!$I$48:$O$56,M$12,FALSE),100%)*P48</f>
        <v>4.6351286109126235</v>
      </c>
      <c r="N48" s="465">
        <f>IFERROR(VLOOKUP($D48,'Argus - Consumption per crop'!$I$48:$O$56,N$12,FALSE),0)*$P48</f>
        <v>0</v>
      </c>
      <c r="O48" s="465">
        <f>IFERROR(VLOOKUP($D48,'Argus - Consumption per crop'!$I$48:$O$56,O$12,FALSE),0)*$P48</f>
        <v>2.1392901281135184</v>
      </c>
      <c r="P48" s="463">
        <f>ProjectedP205_Consumption!K43</f>
        <v>7.1309670937117282</v>
      </c>
      <c r="Q48" s="467">
        <f>IFERROR(VLOOKUP($D48,'Argus - Consumption per crop'!$I$48:$O$56,Q$12,FALSE),0)*$V48</f>
        <v>1.2796876746433885</v>
      </c>
      <c r="R48" s="465">
        <f>IFERROR(VLOOKUP($D48,'Argus - Consumption per crop'!$I$48:$O$56,R$12,FALSE),0)*$V48</f>
        <v>0</v>
      </c>
      <c r="S48" s="465">
        <f>IFERROR(VLOOKUP($D48,'Argus - Consumption per crop'!$I$48:$O$56,S$12,FALSE),100%)*V48</f>
        <v>5.5453132567880177</v>
      </c>
      <c r="T48" s="465">
        <f>IFERROR(VLOOKUP($D48,'Argus - Consumption per crop'!$I$48:$O$56,T$12,FALSE),0)*$V48</f>
        <v>0</v>
      </c>
      <c r="U48" s="465">
        <f>IFERROR(VLOOKUP($D48,'Argus - Consumption per crop'!$I$48:$O$56,U$12,FALSE),0)*$V48</f>
        <v>2.559375349286777</v>
      </c>
      <c r="V48" s="463">
        <f>ProjectedP205_Consumption!L43</f>
        <v>8.531251164289257</v>
      </c>
      <c r="W48" s="467">
        <f>IFERROR(VLOOKUP($D48,'Argus - Consumption per crop'!$I$48:$O$56,W$12,FALSE),0)*$AB48</f>
        <v>1.5188631881396415</v>
      </c>
      <c r="X48" s="465">
        <f>IFERROR(VLOOKUP($D48,'Argus - Consumption per crop'!$I$48:$O$56,X$12,FALSE),0)*$AB48</f>
        <v>0</v>
      </c>
      <c r="Y48" s="465">
        <f>IFERROR(VLOOKUP($D48,'Argus - Consumption per crop'!$I$48:$O$56,Y$12,FALSE),100%)*AB48</f>
        <v>6.5817404819384473</v>
      </c>
      <c r="Z48" s="465">
        <f>IFERROR(VLOOKUP($D48,'Argus - Consumption per crop'!$I$48:$O$56,Z$12,FALSE),0)*$AB48</f>
        <v>0</v>
      </c>
      <c r="AA48" s="465">
        <f>IFERROR(VLOOKUP($D48,'Argus - Consumption per crop'!$I$48:$O$56,AA$12,FALSE),0)*$AB48</f>
        <v>3.037726376279283</v>
      </c>
      <c r="AB48" s="463">
        <f>ProjectedP205_Consumption!M43</f>
        <v>10.12575458759761</v>
      </c>
    </row>
    <row r="49" spans="2:29" ht="13.5" customHeight="1" x14ac:dyDescent="0.25">
      <c r="D49" s="86" t="s">
        <v>125</v>
      </c>
      <c r="E49" s="467">
        <f>IFERROR(VLOOKUP($D49,'Argus - Consumption per crop'!$I$48:$O$56,E$12,FALSE),0)*$J49</f>
        <v>0</v>
      </c>
      <c r="F49" s="465">
        <f>IFERROR(VLOOKUP($D49,'Argus - Consumption per crop'!$I$48:$O$56,F$12,FALSE),0)*$J49</f>
        <v>0</v>
      </c>
      <c r="G49" s="465">
        <f>IFERROR(VLOOKUP($D49,'Argus - Consumption per crop'!$I$48:$O$56,G$12,FALSE),100%)*J49</f>
        <v>5.8166849190337336E-3</v>
      </c>
      <c r="H49" s="465">
        <f>IFERROR(VLOOKUP($D49,'Argus - Consumption per crop'!$I$48:$O$56,H$12,FALSE),0)*$J49</f>
        <v>0</v>
      </c>
      <c r="I49" s="465">
        <f>IFERROR(VLOOKUP($D49,'Argus - Consumption per crop'!$I$48:$O$56,I$12,FALSE),0)*$J49</f>
        <v>0</v>
      </c>
      <c r="J49" s="463">
        <f>ProjectedP205_Consumption!J44</f>
        <v>5.8166849190337336E-3</v>
      </c>
      <c r="K49" s="467">
        <f>IFERROR(VLOOKUP($D49,'Argus - Consumption per crop'!$I$48:$O$56,K$12,FALSE),0)*$P49</f>
        <v>0</v>
      </c>
      <c r="L49" s="465">
        <f>IFERROR(VLOOKUP($D49,'Argus - Consumption per crop'!$I$48:$O$56,L$12,FALSE),0)*$P49</f>
        <v>0</v>
      </c>
      <c r="M49" s="465">
        <f>IFERROR(VLOOKUP($D49,'Argus - Consumption per crop'!$I$48:$O$56,M$12,FALSE),100%)*P49</f>
        <v>8.163260569363659E-3</v>
      </c>
      <c r="N49" s="465">
        <f>IFERROR(VLOOKUP($D49,'Argus - Consumption per crop'!$I$48:$O$56,N$12,FALSE),0)*$P49</f>
        <v>0</v>
      </c>
      <c r="O49" s="465">
        <f>IFERROR(VLOOKUP($D49,'Argus - Consumption per crop'!$I$48:$O$56,O$12,FALSE),0)*$P49</f>
        <v>0</v>
      </c>
      <c r="P49" s="463">
        <f>ProjectedP205_Consumption!K44</f>
        <v>8.163260569363659E-3</v>
      </c>
      <c r="Q49" s="467">
        <f>IFERROR(VLOOKUP($D49,'Argus - Consumption per crop'!$I$48:$O$56,Q$12,FALSE),0)*$V49</f>
        <v>0</v>
      </c>
      <c r="R49" s="465">
        <f>IFERROR(VLOOKUP($D49,'Argus - Consumption per crop'!$I$48:$O$56,R$12,FALSE),0)*$V49</f>
        <v>0</v>
      </c>
      <c r="S49" s="465">
        <f>IFERROR(VLOOKUP($D49,'Argus - Consumption per crop'!$I$48:$O$56,S$12,FALSE),100%)*V49</f>
        <v>0.10367793597682291</v>
      </c>
      <c r="T49" s="465">
        <f>IFERROR(VLOOKUP($D49,'Argus - Consumption per crop'!$I$48:$O$56,T$12,FALSE),0)*$V49</f>
        <v>0</v>
      </c>
      <c r="U49" s="465">
        <f>IFERROR(VLOOKUP($D49,'Argus - Consumption per crop'!$I$48:$O$56,U$12,FALSE),0)*$V49</f>
        <v>0</v>
      </c>
      <c r="V49" s="463">
        <f>ProjectedP205_Consumption!L44</f>
        <v>0.10367793597682291</v>
      </c>
      <c r="W49" s="467">
        <f>IFERROR(VLOOKUP($D49,'Argus - Consumption per crop'!$I$48:$O$56,W$12,FALSE),0)*$AB49</f>
        <v>0</v>
      </c>
      <c r="X49" s="465">
        <f>IFERROR(VLOOKUP($D49,'Argus - Consumption per crop'!$I$48:$O$56,X$12,FALSE),0)*$AB49</f>
        <v>0</v>
      </c>
      <c r="Y49" s="465">
        <f>IFERROR(VLOOKUP($D49,'Argus - Consumption per crop'!$I$48:$O$56,Y$12,FALSE),100%)*AB49</f>
        <v>0.2108349629282571</v>
      </c>
      <c r="Z49" s="465">
        <f>IFERROR(VLOOKUP($D49,'Argus - Consumption per crop'!$I$48:$O$56,Z$12,FALSE),0)*$AB49</f>
        <v>0</v>
      </c>
      <c r="AA49" s="465">
        <f>IFERROR(VLOOKUP($D49,'Argus - Consumption per crop'!$I$48:$O$56,AA$12,FALSE),0)*$AB49</f>
        <v>0</v>
      </c>
      <c r="AB49" s="463">
        <f>ProjectedP205_Consumption!M44</f>
        <v>0.2108349629282571</v>
      </c>
    </row>
    <row r="50" spans="2:29" ht="13.5" customHeight="1" x14ac:dyDescent="0.25">
      <c r="D50" s="86" t="s">
        <v>144</v>
      </c>
      <c r="E50" s="467">
        <f>IFERROR(VLOOKUP($D50,'Argus - Consumption per crop'!$I$48:$O$56,E$12,FALSE),0)*$J50</f>
        <v>0</v>
      </c>
      <c r="F50" s="465">
        <f>IFERROR(VLOOKUP($D50,'Argus - Consumption per crop'!$I$48:$O$56,F$12,FALSE),0)*$J50</f>
        <v>0</v>
      </c>
      <c r="G50" s="465">
        <f>IFERROR(VLOOKUP($D50,'Argus - Consumption per crop'!$I$48:$O$56,G$12,FALSE),100%)*J50</f>
        <v>4.8237709410485262E-3</v>
      </c>
      <c r="H50" s="465">
        <f>IFERROR(VLOOKUP($D50,'Argus - Consumption per crop'!$I$48:$O$56,H$12,FALSE),0)*$J50</f>
        <v>0</v>
      </c>
      <c r="I50" s="465">
        <f>IFERROR(VLOOKUP($D50,'Argus - Consumption per crop'!$I$48:$O$56,I$12,FALSE),0)*$J50</f>
        <v>0</v>
      </c>
      <c r="J50" s="463">
        <f>ProjectedP205_Consumption!J45</f>
        <v>4.8237709410485262E-3</v>
      </c>
      <c r="K50" s="467">
        <f>IFERROR(VLOOKUP($D50,'Argus - Consumption per crop'!$I$48:$O$56,K$12,FALSE),0)*$P50</f>
        <v>0</v>
      </c>
      <c r="L50" s="465">
        <f>IFERROR(VLOOKUP($D50,'Argus - Consumption per crop'!$I$48:$O$56,L$12,FALSE),0)*$P50</f>
        <v>0</v>
      </c>
      <c r="M50" s="465">
        <f>IFERROR(VLOOKUP($D50,'Argus - Consumption per crop'!$I$48:$O$56,M$12,FALSE),100%)*P50</f>
        <v>6.6112695658504094E-3</v>
      </c>
      <c r="N50" s="465">
        <f>IFERROR(VLOOKUP($D50,'Argus - Consumption per crop'!$I$48:$O$56,N$12,FALSE),0)*$P50</f>
        <v>0</v>
      </c>
      <c r="O50" s="465">
        <f>IFERROR(VLOOKUP($D50,'Argus - Consumption per crop'!$I$48:$O$56,O$12,FALSE),0)*$P50</f>
        <v>0</v>
      </c>
      <c r="P50" s="463">
        <f>ProjectedP205_Consumption!K45</f>
        <v>6.6112695658504094E-3</v>
      </c>
      <c r="Q50" s="467">
        <f>IFERROR(VLOOKUP($D50,'Argus - Consumption per crop'!$I$48:$O$56,Q$12,FALSE),0)*$V50</f>
        <v>0</v>
      </c>
      <c r="R50" s="465">
        <f>IFERROR(VLOOKUP($D50,'Argus - Consumption per crop'!$I$48:$O$56,R$12,FALSE),0)*$V50</f>
        <v>0</v>
      </c>
      <c r="S50" s="465">
        <f>IFERROR(VLOOKUP($D50,'Argus - Consumption per crop'!$I$48:$O$56,S$12,FALSE),100%)*V50</f>
        <v>7.3159557871087633E-2</v>
      </c>
      <c r="T50" s="465">
        <f>IFERROR(VLOOKUP($D50,'Argus - Consumption per crop'!$I$48:$O$56,T$12,FALSE),0)*$V50</f>
        <v>0</v>
      </c>
      <c r="U50" s="465">
        <f>IFERROR(VLOOKUP($D50,'Argus - Consumption per crop'!$I$48:$O$56,U$12,FALSE),0)*$V50</f>
        <v>0</v>
      </c>
      <c r="V50" s="463">
        <f>ProjectedP205_Consumption!L45</f>
        <v>7.3159557871087633E-2</v>
      </c>
      <c r="W50" s="467">
        <f>IFERROR(VLOOKUP($D50,'Argus - Consumption per crop'!$I$48:$O$56,W$12,FALSE),0)*$AB50</f>
        <v>0</v>
      </c>
      <c r="X50" s="465">
        <f>IFERROR(VLOOKUP($D50,'Argus - Consumption per crop'!$I$48:$O$56,X$12,FALSE),0)*$AB50</f>
        <v>0</v>
      </c>
      <c r="Y50" s="465">
        <f>IFERROR(VLOOKUP($D50,'Argus - Consumption per crop'!$I$48:$O$56,Y$12,FALSE),100%)*AB50</f>
        <v>0.14406957477870211</v>
      </c>
      <c r="Z50" s="465">
        <f>IFERROR(VLOOKUP($D50,'Argus - Consumption per crop'!$I$48:$O$56,Z$12,FALSE),0)*$AB50</f>
        <v>0</v>
      </c>
      <c r="AA50" s="465">
        <f>IFERROR(VLOOKUP($D50,'Argus - Consumption per crop'!$I$48:$O$56,AA$12,FALSE),0)*$AB50</f>
        <v>0</v>
      </c>
      <c r="AB50" s="463">
        <f>ProjectedP205_Consumption!M45</f>
        <v>0.14406957477870211</v>
      </c>
    </row>
    <row r="51" spans="2:29" ht="13.5" customHeight="1" x14ac:dyDescent="0.25">
      <c r="D51" s="86" t="s">
        <v>68</v>
      </c>
      <c r="E51" s="467">
        <f>IFERROR(VLOOKUP($D51,'Argus - Consumption per crop'!$I$48:$O$56,E$12,FALSE),0)*$J51</f>
        <v>0</v>
      </c>
      <c r="F51" s="465">
        <f>IFERROR(VLOOKUP($D51,'Argus - Consumption per crop'!$I$48:$O$56,F$12,FALSE),0)*$J51</f>
        <v>0</v>
      </c>
      <c r="G51" s="465">
        <f>IFERROR(VLOOKUP($D51,'Argus - Consumption per crop'!$I$48:$O$56,G$12,FALSE),100%)*J51</f>
        <v>3.1576174188219369E-3</v>
      </c>
      <c r="H51" s="465">
        <f>IFERROR(VLOOKUP($D51,'Argus - Consumption per crop'!$I$48:$O$56,H$12,FALSE),0)*$J51</f>
        <v>0</v>
      </c>
      <c r="I51" s="465">
        <f>IFERROR(VLOOKUP($D51,'Argus - Consumption per crop'!$I$48:$O$56,I$12,FALSE),0)*$J51</f>
        <v>0</v>
      </c>
      <c r="J51" s="463">
        <f>ProjectedP205_Consumption!J46</f>
        <v>3.1576174188219369E-3</v>
      </c>
      <c r="K51" s="467">
        <f>IFERROR(VLOOKUP($D51,'Argus - Consumption per crop'!$I$48:$O$56,K$12,FALSE),0)*$P51</f>
        <v>0</v>
      </c>
      <c r="L51" s="465">
        <f>IFERROR(VLOOKUP($D51,'Argus - Consumption per crop'!$I$48:$O$56,L$12,FALSE),0)*$P51</f>
        <v>0</v>
      </c>
      <c r="M51" s="465">
        <f>IFERROR(VLOOKUP($D51,'Argus - Consumption per crop'!$I$48:$O$56,M$12,FALSE),100%)*P51</f>
        <v>4.2800879604591351E-3</v>
      </c>
      <c r="N51" s="465">
        <f>IFERROR(VLOOKUP($D51,'Argus - Consumption per crop'!$I$48:$O$56,N$12,FALSE),0)*$P51</f>
        <v>0</v>
      </c>
      <c r="O51" s="465">
        <f>IFERROR(VLOOKUP($D51,'Argus - Consumption per crop'!$I$48:$O$56,O$12,FALSE),0)*$P51</f>
        <v>0</v>
      </c>
      <c r="P51" s="463">
        <f>ProjectedP205_Consumption!K46</f>
        <v>4.2800879604591351E-3</v>
      </c>
      <c r="Q51" s="467">
        <f>IFERROR(VLOOKUP($D51,'Argus - Consumption per crop'!$I$48:$O$56,Q$12,FALSE),0)*$V51</f>
        <v>0</v>
      </c>
      <c r="R51" s="465">
        <f>IFERROR(VLOOKUP($D51,'Argus - Consumption per crop'!$I$48:$O$56,R$12,FALSE),0)*$V51</f>
        <v>0</v>
      </c>
      <c r="S51" s="465">
        <f>IFERROR(VLOOKUP($D51,'Argus - Consumption per crop'!$I$48:$O$56,S$12,FALSE),100%)*V51</f>
        <v>5.3491172091787442E-2</v>
      </c>
      <c r="T51" s="465">
        <f>IFERROR(VLOOKUP($D51,'Argus - Consumption per crop'!$I$48:$O$56,T$12,FALSE),0)*$V51</f>
        <v>0</v>
      </c>
      <c r="U51" s="465">
        <f>IFERROR(VLOOKUP($D51,'Argus - Consumption per crop'!$I$48:$O$56,U$12,FALSE),0)*$V51</f>
        <v>0</v>
      </c>
      <c r="V51" s="463">
        <f>ProjectedP205_Consumption!L46</f>
        <v>5.3491172091787442E-2</v>
      </c>
      <c r="W51" s="467">
        <f>IFERROR(VLOOKUP($D51,'Argus - Consumption per crop'!$I$48:$O$56,W$12,FALSE),0)*$AB51</f>
        <v>0</v>
      </c>
      <c r="X51" s="465">
        <f>IFERROR(VLOOKUP($D51,'Argus - Consumption per crop'!$I$48:$O$56,X$12,FALSE),0)*$AB51</f>
        <v>0</v>
      </c>
      <c r="Y51" s="465">
        <f>IFERROR(VLOOKUP($D51,'Argus - Consumption per crop'!$I$48:$O$56,Y$12,FALSE),100%)*AB51</f>
        <v>0.10732045867526058</v>
      </c>
      <c r="Z51" s="465">
        <f>IFERROR(VLOOKUP($D51,'Argus - Consumption per crop'!$I$48:$O$56,Z$12,FALSE),0)*$AB51</f>
        <v>0</v>
      </c>
      <c r="AA51" s="465">
        <f>IFERROR(VLOOKUP($D51,'Argus - Consumption per crop'!$I$48:$O$56,AA$12,FALSE),0)*$AB51</f>
        <v>0</v>
      </c>
      <c r="AB51" s="463">
        <f>ProjectedP205_Consumption!M46</f>
        <v>0.10732045867526058</v>
      </c>
    </row>
    <row r="52" spans="2:29" ht="13.5" customHeight="1" x14ac:dyDescent="0.25">
      <c r="D52" s="86" t="s">
        <v>119</v>
      </c>
      <c r="E52" s="467">
        <f>IFERROR(VLOOKUP($D52,'Argus - Consumption per crop'!$I$48:$O$56,E$12,FALSE),0)*$J52</f>
        <v>0</v>
      </c>
      <c r="F52" s="465">
        <f>IFERROR(VLOOKUP($D52,'Argus - Consumption per crop'!$I$48:$O$56,F$12,FALSE),0)*$J52</f>
        <v>0</v>
      </c>
      <c r="G52" s="465">
        <f>IFERROR(VLOOKUP($D52,'Argus - Consumption per crop'!$I$48:$O$56,G$12,FALSE),100%)*J52</f>
        <v>2.8353550414355557</v>
      </c>
      <c r="H52" s="465">
        <f>IFERROR(VLOOKUP($D52,'Argus - Consumption per crop'!$I$48:$O$56,H$12,FALSE),0)*$J52</f>
        <v>0</v>
      </c>
      <c r="I52" s="465">
        <f>IFERROR(VLOOKUP($D52,'Argus - Consumption per crop'!$I$48:$O$56,I$12,FALSE),0)*$J52</f>
        <v>6.3467801414129221E-2</v>
      </c>
      <c r="J52" s="463">
        <f>ProjectedP205_Consumption!J47</f>
        <v>2.8988228428496847</v>
      </c>
      <c r="K52" s="467">
        <f>IFERROR(VLOOKUP($D52,'Argus - Consumption per crop'!$I$48:$O$56,K$12,FALSE),0)*$P52</f>
        <v>0</v>
      </c>
      <c r="L52" s="465">
        <f>IFERROR(VLOOKUP($D52,'Argus - Consumption per crop'!$I$48:$O$56,L$12,FALSE),0)*$P52</f>
        <v>0</v>
      </c>
      <c r="M52" s="465">
        <f>IFERROR(VLOOKUP($D52,'Argus - Consumption per crop'!$I$48:$O$56,M$12,FALSE),100%)*P52</f>
        <v>3.6491019359440311</v>
      </c>
      <c r="N52" s="465">
        <f>IFERROR(VLOOKUP($D52,'Argus - Consumption per crop'!$I$48:$O$56,N$12,FALSE),0)*$P52</f>
        <v>0</v>
      </c>
      <c r="O52" s="465">
        <f>IFERROR(VLOOKUP($D52,'Argus - Consumption per crop'!$I$48:$O$56,O$12,FALSE),0)*$P52</f>
        <v>8.1683060366630381E-2</v>
      </c>
      <c r="P52" s="463">
        <f>ProjectedP205_Consumption!K47</f>
        <v>3.7307849963106614</v>
      </c>
      <c r="Q52" s="467">
        <f>IFERROR(VLOOKUP($D52,'Argus - Consumption per crop'!$I$48:$O$56,Q$12,FALSE),0)*$V52</f>
        <v>0</v>
      </c>
      <c r="R52" s="465">
        <f>IFERROR(VLOOKUP($D52,'Argus - Consumption per crop'!$I$48:$O$56,R$12,FALSE),0)*$V52</f>
        <v>0</v>
      </c>
      <c r="S52" s="465">
        <f>IFERROR(VLOOKUP($D52,'Argus - Consumption per crop'!$I$48:$O$56,S$12,FALSE),100%)*V52</f>
        <v>3.9658536456471016</v>
      </c>
      <c r="T52" s="465">
        <f>IFERROR(VLOOKUP($D52,'Argus - Consumption per crop'!$I$48:$O$56,T$12,FALSE),0)*$V52</f>
        <v>0</v>
      </c>
      <c r="U52" s="465">
        <f>IFERROR(VLOOKUP($D52,'Argus - Consumption per crop'!$I$48:$O$56,U$12,FALSE),0)*$V52</f>
        <v>8.8773366277258722E-2</v>
      </c>
      <c r="V52" s="463">
        <f>ProjectedP205_Consumption!L47</f>
        <v>4.0546270119243601</v>
      </c>
      <c r="W52" s="467">
        <f>IFERROR(VLOOKUP($D52,'Argus - Consumption per crop'!$I$48:$O$56,W$12,FALSE),0)*$AB52</f>
        <v>0</v>
      </c>
      <c r="X52" s="465">
        <f>IFERROR(VLOOKUP($D52,'Argus - Consumption per crop'!$I$48:$O$56,X$12,FALSE),0)*$AB52</f>
        <v>0</v>
      </c>
      <c r="Y52" s="465">
        <f>IFERROR(VLOOKUP($D52,'Argus - Consumption per crop'!$I$48:$O$56,Y$12,FALSE),100%)*AB52</f>
        <v>4.3101002424103383</v>
      </c>
      <c r="Z52" s="465">
        <f>IFERROR(VLOOKUP($D52,'Argus - Consumption per crop'!$I$48:$O$56,Z$12,FALSE),0)*$AB52</f>
        <v>0</v>
      </c>
      <c r="AA52" s="465">
        <f>IFERROR(VLOOKUP($D52,'Argus - Consumption per crop'!$I$48:$O$56,AA$12,FALSE),0)*$AB52</f>
        <v>9.6479129513808062E-2</v>
      </c>
      <c r="AB52" s="463">
        <f>ProjectedP205_Consumption!M47</f>
        <v>4.4065793719241464</v>
      </c>
    </row>
    <row r="53" spans="2:29" ht="13.5" customHeight="1" thickBot="1" x14ac:dyDescent="0.3">
      <c r="D53" s="88" t="s">
        <v>13</v>
      </c>
      <c r="E53" s="468">
        <f>SUM(E39:E52)</f>
        <v>8.3028275678714767</v>
      </c>
      <c r="F53" s="469">
        <f t="shared" ref="F53" si="29">SUM(F39:F52)</f>
        <v>1.4093087849225232</v>
      </c>
      <c r="G53" s="469">
        <f t="shared" ref="G53" si="30">SUM(G39:G52)</f>
        <v>13.718955963986716</v>
      </c>
      <c r="H53" s="469">
        <f t="shared" ref="H53" si="31">SUM(H39:H52)</f>
        <v>4.961435257005939</v>
      </c>
      <c r="I53" s="469">
        <f t="shared" ref="I53" si="32">SUM(I39:I52)</f>
        <v>43.197332463076656</v>
      </c>
      <c r="J53" s="470">
        <f>SUM(J39:J52)</f>
        <v>72.194307618087478</v>
      </c>
      <c r="K53" s="468">
        <f>SUM(K39:K52)</f>
        <v>10.786981093574084</v>
      </c>
      <c r="L53" s="469">
        <f t="shared" ref="L53" si="33">SUM(L39:L52)</f>
        <v>1.8209019162458984</v>
      </c>
      <c r="M53" s="469">
        <f t="shared" ref="M53" si="34">SUM(M39:M52)</f>
        <v>17.87368900824826</v>
      </c>
      <c r="N53" s="469">
        <f t="shared" ref="N53" si="35">SUM(N39:N52)</f>
        <v>6.6299639748288897</v>
      </c>
      <c r="O53" s="469">
        <f t="shared" ref="O53" si="36">SUM(O39:O52)</f>
        <v>55.80384740131467</v>
      </c>
      <c r="P53" s="470">
        <f>SUM(P39:P52)</f>
        <v>93.656671405320964</v>
      </c>
      <c r="Q53" s="468">
        <f>SUM(Q39:Q52)</f>
        <v>18.017278633371468</v>
      </c>
      <c r="R53" s="469">
        <f t="shared" ref="R53" si="37">SUM(R39:R52)</f>
        <v>3.3754476594498977</v>
      </c>
      <c r="S53" s="469">
        <f t="shared" ref="S53" si="38">SUM(S39:S52)</f>
        <v>29.773166560521954</v>
      </c>
      <c r="T53" s="469">
        <f t="shared" ref="T53" si="39">SUM(T39:T52)</f>
        <v>14.853702127965171</v>
      </c>
      <c r="U53" s="469">
        <f t="shared" ref="U53" si="40">SUM(U39:U52)</f>
        <v>98.704859617951612</v>
      </c>
      <c r="V53" s="470">
        <f>SUM(V39:V52)</f>
        <v>164.13482242809431</v>
      </c>
      <c r="W53" s="469">
        <f>SUM(W39:W52)</f>
        <v>24.72628361179094</v>
      </c>
      <c r="X53" s="469">
        <f t="shared" ref="X53" si="41">SUM(X39:X52)</f>
        <v>5.0808957221836817</v>
      </c>
      <c r="Y53" s="469">
        <f t="shared" ref="Y53" si="42">SUM(Y39:Y52)</f>
        <v>42.567649251013691</v>
      </c>
      <c r="Z53" s="469">
        <f t="shared" ref="Z53" si="43">SUM(Z39:Z52)</f>
        <v>23.883239186478011</v>
      </c>
      <c r="AA53" s="469">
        <f t="shared" ref="AA53" si="44">SUM(AA39:AA52)</f>
        <v>144.84895772227037</v>
      </c>
      <c r="AB53" s="470">
        <f>SUM(AB39:AB52)</f>
        <v>239.24626737704941</v>
      </c>
      <c r="AC53" s="443"/>
    </row>
    <row r="54" spans="2:29" ht="13.5" customHeight="1" thickTop="1" thickBot="1" x14ac:dyDescent="0.3">
      <c r="D54" s="472" t="s">
        <v>792</v>
      </c>
      <c r="E54" s="473">
        <f>E53/(E29/E30)</f>
        <v>55.352183785809849</v>
      </c>
      <c r="F54" s="474">
        <f>F53/(F29/F30)</f>
        <v>6.127429499663144</v>
      </c>
      <c r="G54" s="474">
        <f>G53/(G29/G30)</f>
        <v>45.729853213289054</v>
      </c>
      <c r="H54" s="474">
        <f>H53/(H29/H30)</f>
        <v>15.034652293957389</v>
      </c>
      <c r="I54" s="474">
        <f>I53/(I29/I30)</f>
        <v>93.907244484949246</v>
      </c>
      <c r="J54" s="475">
        <f>SUM(E54:I54)</f>
        <v>216.15136327766868</v>
      </c>
      <c r="K54" s="473">
        <f>K53/(K29/K30)</f>
        <v>71.913207290493901</v>
      </c>
      <c r="L54" s="474">
        <f>L53/(L29/L30)</f>
        <v>7.9169648532430363</v>
      </c>
      <c r="M54" s="474">
        <f>M53/(M29/M30)</f>
        <v>59.578963360827537</v>
      </c>
      <c r="N54" s="474">
        <f>N53/(N29/N30)</f>
        <v>20.090799923723907</v>
      </c>
      <c r="O54" s="474">
        <f>O53/(O29/O30)</f>
        <v>121.31271174198841</v>
      </c>
      <c r="P54" s="475">
        <f>SUM(K54:O54)</f>
        <v>280.81264717027682</v>
      </c>
      <c r="Q54" s="473">
        <f>Q53/(Q29/Q30)</f>
        <v>120.11519088914312</v>
      </c>
      <c r="R54" s="474">
        <f>R53/(R29/R30)</f>
        <v>14.675859388912597</v>
      </c>
      <c r="S54" s="474">
        <f>S53/(S29/S30)</f>
        <v>99.243888535073182</v>
      </c>
      <c r="T54" s="474">
        <f>T53/(T29/T30)</f>
        <v>45.011218569591428</v>
      </c>
      <c r="U54" s="474">
        <f>U53/(U29/U30)</f>
        <v>214.57578177815569</v>
      </c>
      <c r="V54" s="475">
        <f>SUM(Q54:U54)</f>
        <v>493.62193916087597</v>
      </c>
      <c r="W54" s="473">
        <f>W53/(W29/W30)</f>
        <v>164.84189074527293</v>
      </c>
      <c r="X54" s="474">
        <f>X53/(X29/X30)</f>
        <v>22.090850966016006</v>
      </c>
      <c r="Y54" s="474">
        <f>Y53/(Y29/Y30)</f>
        <v>141.89216417004565</v>
      </c>
      <c r="Z54" s="474">
        <f>Z53/(Z29/Z30)</f>
        <v>72.37345208023639</v>
      </c>
      <c r="AA54" s="474">
        <f>AA53/(AA29/AA30)</f>
        <v>314.88903852667471</v>
      </c>
      <c r="AB54" s="475">
        <f>SUM(W54:AA54)</f>
        <v>716.08739648824576</v>
      </c>
      <c r="AC54" s="177"/>
    </row>
    <row r="55" spans="2:29" ht="13.5" customHeight="1" thickTop="1" x14ac:dyDescent="0.25">
      <c r="E55" s="439"/>
      <c r="F55" s="439"/>
      <c r="G55" s="439"/>
      <c r="H55" s="439"/>
      <c r="I55" s="439"/>
      <c r="J55" s="439"/>
      <c r="K55" s="439"/>
      <c r="L55" s="439"/>
      <c r="M55" s="439"/>
      <c r="O55" s="440"/>
      <c r="P55" s="440"/>
      <c r="Q55" s="440"/>
      <c r="R55" s="435"/>
      <c r="S55" s="441"/>
      <c r="T55" s="442"/>
    </row>
    <row r="56" spans="2:29" ht="13.5" customHeight="1" x14ac:dyDescent="0.25">
      <c r="D56" s="435"/>
      <c r="E56" s="439"/>
      <c r="F56" s="439"/>
      <c r="G56" s="439"/>
      <c r="H56" s="439"/>
      <c r="I56" s="439"/>
      <c r="J56" s="439"/>
      <c r="K56" s="439"/>
      <c r="L56" s="439"/>
      <c r="M56" s="439"/>
      <c r="O56" s="440"/>
      <c r="P56" s="440"/>
      <c r="Q56" s="440"/>
    </row>
    <row r="57" spans="2:29" ht="13.5" customHeight="1" x14ac:dyDescent="0.3">
      <c r="B57" s="2"/>
      <c r="C57" s="2"/>
      <c r="D57" s="2"/>
      <c r="F57" s="438"/>
      <c r="G57" s="445"/>
      <c r="H57" s="444"/>
      <c r="I57" s="444"/>
      <c r="L57" s="457"/>
      <c r="M57" s="2"/>
      <c r="N57" s="2"/>
      <c r="O57" s="2"/>
      <c r="P57" s="2"/>
      <c r="Q57" s="2"/>
      <c r="R57" s="2"/>
      <c r="S57" s="2"/>
      <c r="T57" s="2"/>
      <c r="U57" s="2"/>
      <c r="V57" s="2"/>
      <c r="W57" s="2"/>
      <c r="X57" s="2"/>
      <c r="Y57" s="2"/>
      <c r="Z57" s="2"/>
      <c r="AA57" s="2"/>
      <c r="AB57" s="2"/>
    </row>
    <row r="58" spans="2:29" ht="13.5" customHeight="1" x14ac:dyDescent="0.3">
      <c r="B58" s="2"/>
      <c r="C58" s="2"/>
      <c r="D58" s="32" t="s">
        <v>806</v>
      </c>
      <c r="F58" s="458"/>
      <c r="G58" s="445"/>
      <c r="H58" s="444"/>
      <c r="I58" s="444"/>
      <c r="L58" s="457"/>
      <c r="M58" s="2"/>
      <c r="N58" s="2"/>
      <c r="O58" s="2"/>
      <c r="P58" s="2"/>
      <c r="Q58" s="2"/>
      <c r="R58" s="2"/>
      <c r="S58" s="2"/>
      <c r="T58" s="2"/>
      <c r="U58" s="2"/>
      <c r="V58" s="2"/>
      <c r="W58" s="2"/>
      <c r="X58" s="2"/>
      <c r="Y58" s="2"/>
      <c r="Z58" s="2"/>
      <c r="AA58" s="2"/>
      <c r="AB58" s="2"/>
    </row>
    <row r="59" spans="2:29" ht="13.5" customHeight="1" x14ac:dyDescent="0.3">
      <c r="B59" s="2"/>
      <c r="C59" s="2"/>
      <c r="D59" s="33" t="s">
        <v>807</v>
      </c>
      <c r="E59" s="7"/>
      <c r="F59" s="7"/>
      <c r="G59" s="7"/>
      <c r="H59" s="7"/>
      <c r="I59" s="7"/>
      <c r="J59" s="2"/>
      <c r="K59" s="2"/>
      <c r="L59" s="2"/>
      <c r="M59" s="2"/>
      <c r="N59" s="2"/>
      <c r="O59" s="2"/>
      <c r="P59" s="2"/>
      <c r="Q59" s="2"/>
      <c r="R59" s="2"/>
      <c r="S59" s="2"/>
      <c r="T59" s="2"/>
      <c r="U59" s="2"/>
      <c r="V59" s="2"/>
      <c r="W59" s="2"/>
      <c r="X59" s="2"/>
      <c r="Y59" s="2"/>
      <c r="Z59" s="2"/>
      <c r="AA59" s="2"/>
      <c r="AB59" s="2"/>
    </row>
    <row r="60" spans="2:29" ht="13.5" customHeight="1" thickBot="1" x14ac:dyDescent="0.3">
      <c r="B60" s="2"/>
      <c r="C60" s="2"/>
      <c r="D60" s="2"/>
      <c r="E60" s="464">
        <v>3</v>
      </c>
      <c r="F60" s="464">
        <v>4</v>
      </c>
      <c r="G60" s="464">
        <v>5</v>
      </c>
      <c r="H60" s="464">
        <v>6</v>
      </c>
      <c r="I60" s="464">
        <v>7</v>
      </c>
      <c r="J60" s="2"/>
      <c r="K60" s="464">
        <v>3</v>
      </c>
      <c r="L60" s="464">
        <v>4</v>
      </c>
      <c r="M60" s="464">
        <v>5</v>
      </c>
      <c r="N60" s="464">
        <v>6</v>
      </c>
      <c r="O60" s="464">
        <v>7</v>
      </c>
      <c r="P60" s="2"/>
      <c r="Q60" s="464">
        <v>3</v>
      </c>
      <c r="R60" s="464">
        <v>4</v>
      </c>
      <c r="S60" s="464">
        <v>5</v>
      </c>
      <c r="T60" s="464">
        <v>6</v>
      </c>
      <c r="U60" s="464">
        <v>7</v>
      </c>
      <c r="W60" s="464">
        <v>3</v>
      </c>
      <c r="X60" s="464">
        <v>4</v>
      </c>
      <c r="Y60" s="464">
        <v>5</v>
      </c>
      <c r="Z60" s="464">
        <v>6</v>
      </c>
      <c r="AA60" s="464">
        <v>7</v>
      </c>
    </row>
    <row r="61" spans="2:29" ht="13.5" customHeight="1" thickBot="1" x14ac:dyDescent="0.35">
      <c r="B61" s="2"/>
      <c r="C61" s="2"/>
      <c r="D61" s="490"/>
      <c r="E61" s="627">
        <v>2022</v>
      </c>
      <c r="F61" s="628"/>
      <c r="G61" s="628"/>
      <c r="H61" s="628"/>
      <c r="I61" s="628"/>
      <c r="J61" s="629"/>
      <c r="K61" s="627">
        <v>2023</v>
      </c>
      <c r="L61" s="628"/>
      <c r="M61" s="628"/>
      <c r="N61" s="628"/>
      <c r="O61" s="628"/>
      <c r="P61" s="629"/>
      <c r="Q61" s="627">
        <v>2024</v>
      </c>
      <c r="R61" s="628"/>
      <c r="S61" s="628"/>
      <c r="T61" s="628"/>
      <c r="U61" s="628"/>
      <c r="V61" s="629"/>
      <c r="W61" s="627">
        <v>2025</v>
      </c>
      <c r="X61" s="628"/>
      <c r="Y61" s="628"/>
      <c r="Z61" s="628"/>
      <c r="AA61" s="628"/>
      <c r="AB61" s="629"/>
    </row>
    <row r="62" spans="2:29" ht="13.5" customHeight="1" x14ac:dyDescent="0.3">
      <c r="B62" s="4"/>
      <c r="C62" s="4"/>
      <c r="D62" s="491"/>
      <c r="E62" s="460" t="s">
        <v>407</v>
      </c>
      <c r="F62" s="454" t="s">
        <v>753</v>
      </c>
      <c r="G62" s="454" t="s">
        <v>784</v>
      </c>
      <c r="H62" s="454" t="s">
        <v>229</v>
      </c>
      <c r="I62" s="454" t="s">
        <v>220</v>
      </c>
      <c r="J62" s="462" t="s">
        <v>286</v>
      </c>
      <c r="K62" s="460" t="s">
        <v>407</v>
      </c>
      <c r="L62" s="454" t="s">
        <v>753</v>
      </c>
      <c r="M62" s="454" t="s">
        <v>784</v>
      </c>
      <c r="N62" s="454" t="s">
        <v>229</v>
      </c>
      <c r="O62" s="454" t="s">
        <v>220</v>
      </c>
      <c r="P62" s="462" t="s">
        <v>791</v>
      </c>
      <c r="Q62" s="460" t="s">
        <v>407</v>
      </c>
      <c r="R62" s="454" t="s">
        <v>753</v>
      </c>
      <c r="S62" s="454" t="s">
        <v>784</v>
      </c>
      <c r="T62" s="454" t="s">
        <v>229</v>
      </c>
      <c r="U62" s="454" t="s">
        <v>220</v>
      </c>
      <c r="V62" s="462" t="s">
        <v>83</v>
      </c>
      <c r="W62" s="460" t="s">
        <v>407</v>
      </c>
      <c r="X62" s="454" t="s">
        <v>753</v>
      </c>
      <c r="Y62" s="454" t="s">
        <v>784</v>
      </c>
      <c r="Z62" s="454" t="s">
        <v>229</v>
      </c>
      <c r="AA62" s="455" t="s">
        <v>220</v>
      </c>
      <c r="AB62" s="462" t="s">
        <v>83</v>
      </c>
    </row>
    <row r="63" spans="2:29" ht="13.5" customHeight="1" x14ac:dyDescent="0.25">
      <c r="B63" s="2"/>
      <c r="C63" s="2"/>
      <c r="D63" s="492" t="s">
        <v>167</v>
      </c>
      <c r="E63" s="485">
        <f t="shared" ref="E63:I76" si="45">E15/SUM($E15:$I15)</f>
        <v>0</v>
      </c>
      <c r="F63" s="450">
        <f t="shared" si="45"/>
        <v>4.2000000000000003E-2</v>
      </c>
      <c r="G63" s="450">
        <f t="shared" si="45"/>
        <v>0.02</v>
      </c>
      <c r="H63" s="450">
        <f t="shared" si="45"/>
        <v>0</v>
      </c>
      <c r="I63" s="450">
        <f t="shared" si="45"/>
        <v>0.93799999999999994</v>
      </c>
      <c r="J63" s="486">
        <f>SUM(E63:I63)</f>
        <v>1</v>
      </c>
      <c r="K63" s="498">
        <f>E63</f>
        <v>0</v>
      </c>
      <c r="L63" s="499">
        <f t="shared" ref="L63:L76" si="46">F63</f>
        <v>4.2000000000000003E-2</v>
      </c>
      <c r="M63" s="499">
        <f t="shared" ref="M63:M76" si="47">G63</f>
        <v>0.02</v>
      </c>
      <c r="N63" s="499">
        <f t="shared" ref="N63:N76" si="48">H63</f>
        <v>0</v>
      </c>
      <c r="O63" s="499">
        <f t="shared" ref="O63:O76" si="49">I63</f>
        <v>0.93799999999999994</v>
      </c>
      <c r="P63" s="486">
        <f>SUM(K63:O63)</f>
        <v>1</v>
      </c>
      <c r="Q63" s="494">
        <v>0</v>
      </c>
      <c r="R63" s="495">
        <v>0.04</v>
      </c>
      <c r="S63" s="495">
        <v>0.02</v>
      </c>
      <c r="T63" s="495">
        <v>0</v>
      </c>
      <c r="U63" s="495">
        <v>0.94</v>
      </c>
      <c r="V63" s="486">
        <f>SUM(Q63:U63)</f>
        <v>1</v>
      </c>
      <c r="W63" s="494">
        <v>0</v>
      </c>
      <c r="X63" s="495">
        <v>0.04</v>
      </c>
      <c r="Y63" s="495">
        <v>0.02</v>
      </c>
      <c r="Z63" s="495">
        <v>0</v>
      </c>
      <c r="AA63" s="495">
        <v>0.94</v>
      </c>
      <c r="AB63" s="486">
        <f>SUM(W63:AA63)</f>
        <v>1</v>
      </c>
    </row>
    <row r="64" spans="2:29" ht="13.5" customHeight="1" x14ac:dyDescent="0.25">
      <c r="B64" s="2"/>
      <c r="C64" s="2"/>
      <c r="D64" s="492" t="s">
        <v>136</v>
      </c>
      <c r="E64" s="485">
        <f>E16/SUM($E16:$I16)</f>
        <v>0</v>
      </c>
      <c r="F64" s="450">
        <f t="shared" si="45"/>
        <v>0</v>
      </c>
      <c r="G64" s="450">
        <f t="shared" si="45"/>
        <v>1</v>
      </c>
      <c r="H64" s="450">
        <f t="shared" si="45"/>
        <v>0</v>
      </c>
      <c r="I64" s="450">
        <f t="shared" si="45"/>
        <v>0</v>
      </c>
      <c r="J64" s="486">
        <f t="shared" ref="J64:J76" si="50">SUM(E64:I64)</f>
        <v>1</v>
      </c>
      <c r="K64" s="498">
        <f t="shared" ref="K64:K76" si="51">E64</f>
        <v>0</v>
      </c>
      <c r="L64" s="499">
        <f t="shared" si="46"/>
        <v>0</v>
      </c>
      <c r="M64" s="499">
        <f t="shared" si="47"/>
        <v>1</v>
      </c>
      <c r="N64" s="499">
        <f t="shared" si="48"/>
        <v>0</v>
      </c>
      <c r="O64" s="499">
        <f t="shared" si="49"/>
        <v>0</v>
      </c>
      <c r="P64" s="486">
        <f t="shared" ref="P64:P76" si="52">SUM(K64:O64)</f>
        <v>1</v>
      </c>
      <c r="Q64" s="494">
        <v>0</v>
      </c>
      <c r="R64" s="495">
        <v>0</v>
      </c>
      <c r="S64" s="495">
        <v>1</v>
      </c>
      <c r="T64" s="495">
        <v>0</v>
      </c>
      <c r="U64" s="495">
        <v>0</v>
      </c>
      <c r="V64" s="486">
        <f t="shared" ref="V64:V76" si="53">SUM(Q64:U64)</f>
        <v>1</v>
      </c>
      <c r="W64" s="494">
        <v>0</v>
      </c>
      <c r="X64" s="495">
        <v>0</v>
      </c>
      <c r="Y64" s="495">
        <v>1</v>
      </c>
      <c r="Z64" s="495">
        <v>0</v>
      </c>
      <c r="AA64" s="495">
        <v>0</v>
      </c>
      <c r="AB64" s="486">
        <f t="shared" ref="AB64:AB76" si="54">SUM(W64:AA64)</f>
        <v>1</v>
      </c>
    </row>
    <row r="65" spans="2:28" ht="13.5" customHeight="1" x14ac:dyDescent="0.25">
      <c r="B65" s="2"/>
      <c r="C65" s="2"/>
      <c r="D65" s="492" t="s">
        <v>117</v>
      </c>
      <c r="E65" s="485">
        <f t="shared" si="45"/>
        <v>0</v>
      </c>
      <c r="F65" s="450">
        <f t="shared" si="45"/>
        <v>0</v>
      </c>
      <c r="G65" s="450">
        <f t="shared" si="45"/>
        <v>1</v>
      </c>
      <c r="H65" s="450">
        <f t="shared" si="45"/>
        <v>0</v>
      </c>
      <c r="I65" s="450">
        <f t="shared" si="45"/>
        <v>0</v>
      </c>
      <c r="J65" s="486">
        <f t="shared" si="50"/>
        <v>1</v>
      </c>
      <c r="K65" s="498">
        <f t="shared" si="51"/>
        <v>0</v>
      </c>
      <c r="L65" s="499">
        <f t="shared" si="46"/>
        <v>0</v>
      </c>
      <c r="M65" s="499">
        <f t="shared" si="47"/>
        <v>1</v>
      </c>
      <c r="N65" s="499">
        <f t="shared" si="48"/>
        <v>0</v>
      </c>
      <c r="O65" s="499">
        <f t="shared" si="49"/>
        <v>0</v>
      </c>
      <c r="P65" s="486">
        <f t="shared" si="52"/>
        <v>1</v>
      </c>
      <c r="Q65" s="494">
        <v>0</v>
      </c>
      <c r="R65" s="495">
        <v>0</v>
      </c>
      <c r="S65" s="495">
        <v>1</v>
      </c>
      <c r="T65" s="495">
        <v>0</v>
      </c>
      <c r="U65" s="495">
        <v>0</v>
      </c>
      <c r="V65" s="486">
        <f t="shared" si="53"/>
        <v>1</v>
      </c>
      <c r="W65" s="494">
        <v>0</v>
      </c>
      <c r="X65" s="495">
        <v>0</v>
      </c>
      <c r="Y65" s="495">
        <v>1</v>
      </c>
      <c r="Z65" s="495">
        <v>0</v>
      </c>
      <c r="AA65" s="495">
        <v>0</v>
      </c>
      <c r="AB65" s="486">
        <f t="shared" si="54"/>
        <v>1</v>
      </c>
    </row>
    <row r="66" spans="2:28" ht="13.5" customHeight="1" x14ac:dyDescent="0.25">
      <c r="B66" s="2"/>
      <c r="C66" s="2"/>
      <c r="D66" s="492" t="s">
        <v>124</v>
      </c>
      <c r="E66" s="485">
        <f t="shared" si="45"/>
        <v>0</v>
      </c>
      <c r="F66" s="450">
        <f t="shared" si="45"/>
        <v>0</v>
      </c>
      <c r="G66" s="450">
        <f t="shared" si="45"/>
        <v>1</v>
      </c>
      <c r="H66" s="450">
        <f t="shared" si="45"/>
        <v>0</v>
      </c>
      <c r="I66" s="450">
        <f t="shared" si="45"/>
        <v>0</v>
      </c>
      <c r="J66" s="486">
        <f t="shared" si="50"/>
        <v>1</v>
      </c>
      <c r="K66" s="498">
        <f t="shared" si="51"/>
        <v>0</v>
      </c>
      <c r="L66" s="499">
        <f t="shared" si="46"/>
        <v>0</v>
      </c>
      <c r="M66" s="499">
        <f t="shared" si="47"/>
        <v>1</v>
      </c>
      <c r="N66" s="499">
        <f t="shared" si="48"/>
        <v>0</v>
      </c>
      <c r="O66" s="499">
        <f t="shared" si="49"/>
        <v>0</v>
      </c>
      <c r="P66" s="486">
        <f t="shared" si="52"/>
        <v>1</v>
      </c>
      <c r="Q66" s="494">
        <v>0</v>
      </c>
      <c r="R66" s="495">
        <v>0</v>
      </c>
      <c r="S66" s="495">
        <v>1</v>
      </c>
      <c r="T66" s="495">
        <v>0</v>
      </c>
      <c r="U66" s="495">
        <v>0</v>
      </c>
      <c r="V66" s="486">
        <f t="shared" si="53"/>
        <v>1</v>
      </c>
      <c r="W66" s="494">
        <v>0</v>
      </c>
      <c r="X66" s="495">
        <v>0</v>
      </c>
      <c r="Y66" s="495">
        <v>1</v>
      </c>
      <c r="Z66" s="495">
        <v>0</v>
      </c>
      <c r="AA66" s="495">
        <v>0</v>
      </c>
      <c r="AB66" s="486">
        <f t="shared" si="54"/>
        <v>1</v>
      </c>
    </row>
    <row r="67" spans="2:28" ht="13.5" customHeight="1" x14ac:dyDescent="0.25">
      <c r="B67" s="2"/>
      <c r="C67" s="2"/>
      <c r="D67" s="492" t="s">
        <v>73</v>
      </c>
      <c r="E67" s="485">
        <f t="shared" si="45"/>
        <v>0.54545454545454541</v>
      </c>
      <c r="F67" s="450">
        <f t="shared" si="45"/>
        <v>0</v>
      </c>
      <c r="G67" s="450">
        <f t="shared" si="45"/>
        <v>9.0909090909090898E-2</v>
      </c>
      <c r="H67" s="450">
        <f t="shared" si="45"/>
        <v>0</v>
      </c>
      <c r="I67" s="450">
        <f t="shared" si="45"/>
        <v>0.36363636363636359</v>
      </c>
      <c r="J67" s="486">
        <f t="shared" si="50"/>
        <v>1</v>
      </c>
      <c r="K67" s="498">
        <f t="shared" si="51"/>
        <v>0.54545454545454541</v>
      </c>
      <c r="L67" s="499">
        <f t="shared" si="46"/>
        <v>0</v>
      </c>
      <c r="M67" s="499">
        <f t="shared" si="47"/>
        <v>9.0909090909090898E-2</v>
      </c>
      <c r="N67" s="499">
        <f t="shared" si="48"/>
        <v>0</v>
      </c>
      <c r="O67" s="499">
        <f t="shared" si="49"/>
        <v>0.36363636363636359</v>
      </c>
      <c r="P67" s="486">
        <f t="shared" si="52"/>
        <v>1</v>
      </c>
      <c r="Q67" s="494">
        <v>0</v>
      </c>
      <c r="R67" s="495">
        <v>0</v>
      </c>
      <c r="S67" s="495">
        <v>0.56215449257860861</v>
      </c>
      <c r="T67" s="495">
        <v>0</v>
      </c>
      <c r="U67" s="495">
        <v>0.43784550742139139</v>
      </c>
      <c r="V67" s="486">
        <f t="shared" si="53"/>
        <v>1</v>
      </c>
      <c r="W67" s="494">
        <v>0</v>
      </c>
      <c r="X67" s="495">
        <v>0</v>
      </c>
      <c r="Y67" s="495">
        <v>0.56215449257860861</v>
      </c>
      <c r="Z67" s="495">
        <v>0</v>
      </c>
      <c r="AA67" s="495">
        <v>0.43784550742139139</v>
      </c>
      <c r="AB67" s="486">
        <f t="shared" si="54"/>
        <v>1</v>
      </c>
    </row>
    <row r="68" spans="2:28" ht="13.5" customHeight="1" x14ac:dyDescent="0.25">
      <c r="B68" s="2"/>
      <c r="C68" s="2"/>
      <c r="D68" s="492" t="s">
        <v>156</v>
      </c>
      <c r="E68" s="485">
        <f t="shared" si="45"/>
        <v>0</v>
      </c>
      <c r="F68" s="450">
        <f t="shared" si="45"/>
        <v>0</v>
      </c>
      <c r="G68" s="450">
        <f t="shared" si="45"/>
        <v>0</v>
      </c>
      <c r="H68" s="450">
        <f t="shared" si="45"/>
        <v>0.80952380952380953</v>
      </c>
      <c r="I68" s="450">
        <f t="shared" si="45"/>
        <v>0.19047619047619049</v>
      </c>
      <c r="J68" s="486">
        <f t="shared" si="50"/>
        <v>1</v>
      </c>
      <c r="K68" s="498">
        <f t="shared" si="51"/>
        <v>0</v>
      </c>
      <c r="L68" s="499">
        <f t="shared" si="46"/>
        <v>0</v>
      </c>
      <c r="M68" s="499">
        <f t="shared" si="47"/>
        <v>0</v>
      </c>
      <c r="N68" s="499">
        <f t="shared" si="48"/>
        <v>0.80952380952380953</v>
      </c>
      <c r="O68" s="499">
        <f t="shared" si="49"/>
        <v>0.19047619047619049</v>
      </c>
      <c r="P68" s="486">
        <f t="shared" si="52"/>
        <v>1</v>
      </c>
      <c r="Q68" s="494">
        <v>0</v>
      </c>
      <c r="R68" s="495">
        <v>0</v>
      </c>
      <c r="S68" s="495">
        <v>0</v>
      </c>
      <c r="T68" s="495">
        <v>0.85</v>
      </c>
      <c r="U68" s="495">
        <v>0.15</v>
      </c>
      <c r="V68" s="486">
        <f t="shared" si="53"/>
        <v>1</v>
      </c>
      <c r="W68" s="494">
        <v>0</v>
      </c>
      <c r="X68" s="495">
        <v>0</v>
      </c>
      <c r="Y68" s="495">
        <v>0</v>
      </c>
      <c r="Z68" s="495">
        <v>0.85</v>
      </c>
      <c r="AA68" s="495">
        <v>0.15</v>
      </c>
      <c r="AB68" s="486">
        <f t="shared" si="54"/>
        <v>1</v>
      </c>
    </row>
    <row r="69" spans="2:28" ht="13.5" customHeight="1" x14ac:dyDescent="0.25">
      <c r="B69" s="2"/>
      <c r="C69" s="2"/>
      <c r="D69" s="492" t="s">
        <v>113</v>
      </c>
      <c r="E69" s="485">
        <f t="shared" si="45"/>
        <v>0.60960960960960953</v>
      </c>
      <c r="F69" s="450">
        <f t="shared" si="45"/>
        <v>0</v>
      </c>
      <c r="G69" s="450">
        <f t="shared" si="45"/>
        <v>0.39039039039039036</v>
      </c>
      <c r="H69" s="450">
        <f t="shared" si="45"/>
        <v>0</v>
      </c>
      <c r="I69" s="450">
        <f t="shared" si="45"/>
        <v>0</v>
      </c>
      <c r="J69" s="486">
        <f t="shared" si="50"/>
        <v>0.99999999999999989</v>
      </c>
      <c r="K69" s="498">
        <f t="shared" si="51"/>
        <v>0.60960960960960953</v>
      </c>
      <c r="L69" s="499">
        <f t="shared" si="46"/>
        <v>0</v>
      </c>
      <c r="M69" s="499">
        <f t="shared" si="47"/>
        <v>0.39039039039039036</v>
      </c>
      <c r="N69" s="499">
        <f t="shared" si="48"/>
        <v>0</v>
      </c>
      <c r="O69" s="499">
        <f t="shared" si="49"/>
        <v>0</v>
      </c>
      <c r="P69" s="486">
        <f t="shared" si="52"/>
        <v>0.99999999999999989</v>
      </c>
      <c r="Q69" s="494">
        <v>0.7220745796631074</v>
      </c>
      <c r="R69" s="495">
        <v>0</v>
      </c>
      <c r="S69" s="495">
        <v>0.27792542033689255</v>
      </c>
      <c r="T69" s="495">
        <v>0</v>
      </c>
      <c r="U69" s="495">
        <v>0</v>
      </c>
      <c r="V69" s="486">
        <f t="shared" si="53"/>
        <v>1</v>
      </c>
      <c r="W69" s="494">
        <v>0.7220745796631074</v>
      </c>
      <c r="X69" s="495">
        <v>0</v>
      </c>
      <c r="Y69" s="495">
        <v>0.27792542033689255</v>
      </c>
      <c r="Z69" s="495">
        <v>0</v>
      </c>
      <c r="AA69" s="495">
        <v>0</v>
      </c>
      <c r="AB69" s="486">
        <f t="shared" si="54"/>
        <v>1</v>
      </c>
    </row>
    <row r="70" spans="2:28" ht="13.5" customHeight="1" x14ac:dyDescent="0.25">
      <c r="B70" s="2"/>
      <c r="C70" s="2"/>
      <c r="D70" s="492" t="s">
        <v>182</v>
      </c>
      <c r="E70" s="485">
        <f t="shared" si="45"/>
        <v>0</v>
      </c>
      <c r="F70" s="450">
        <f t="shared" si="45"/>
        <v>0</v>
      </c>
      <c r="G70" s="450">
        <f t="shared" si="45"/>
        <v>1</v>
      </c>
      <c r="H70" s="450">
        <f t="shared" si="45"/>
        <v>0</v>
      </c>
      <c r="I70" s="450">
        <f t="shared" si="45"/>
        <v>0</v>
      </c>
      <c r="J70" s="486">
        <f t="shared" si="50"/>
        <v>1</v>
      </c>
      <c r="K70" s="498">
        <f t="shared" si="51"/>
        <v>0</v>
      </c>
      <c r="L70" s="499">
        <f t="shared" si="46"/>
        <v>0</v>
      </c>
      <c r="M70" s="499">
        <f t="shared" si="47"/>
        <v>1</v>
      </c>
      <c r="N70" s="499">
        <f t="shared" si="48"/>
        <v>0</v>
      </c>
      <c r="O70" s="499">
        <f t="shared" si="49"/>
        <v>0</v>
      </c>
      <c r="P70" s="486">
        <f t="shared" si="52"/>
        <v>1</v>
      </c>
      <c r="Q70" s="494">
        <v>0</v>
      </c>
      <c r="R70" s="495">
        <v>0</v>
      </c>
      <c r="S70" s="495">
        <v>1</v>
      </c>
      <c r="T70" s="495">
        <v>0</v>
      </c>
      <c r="U70" s="495">
        <v>0</v>
      </c>
      <c r="V70" s="486">
        <f t="shared" si="53"/>
        <v>1</v>
      </c>
      <c r="W70" s="494">
        <v>0</v>
      </c>
      <c r="X70" s="495">
        <v>0</v>
      </c>
      <c r="Y70" s="495">
        <v>1</v>
      </c>
      <c r="Z70" s="495">
        <v>0</v>
      </c>
      <c r="AA70" s="495">
        <v>0</v>
      </c>
      <c r="AB70" s="486">
        <f t="shared" si="54"/>
        <v>1</v>
      </c>
    </row>
    <row r="71" spans="2:28" ht="13.5" customHeight="1" x14ac:dyDescent="0.25">
      <c r="B71" s="2"/>
      <c r="C71" s="2"/>
      <c r="D71" s="492" t="s">
        <v>158</v>
      </c>
      <c r="E71" s="485">
        <f t="shared" si="45"/>
        <v>0.25</v>
      </c>
      <c r="F71" s="450">
        <f t="shared" si="45"/>
        <v>0</v>
      </c>
      <c r="G71" s="450">
        <f t="shared" si="45"/>
        <v>0.25</v>
      </c>
      <c r="H71" s="450">
        <f t="shared" si="45"/>
        <v>0</v>
      </c>
      <c r="I71" s="450">
        <f t="shared" si="45"/>
        <v>0.5</v>
      </c>
      <c r="J71" s="486">
        <f t="shared" si="50"/>
        <v>1</v>
      </c>
      <c r="K71" s="498">
        <f t="shared" si="51"/>
        <v>0.25</v>
      </c>
      <c r="L71" s="499">
        <f t="shared" si="46"/>
        <v>0</v>
      </c>
      <c r="M71" s="499">
        <f t="shared" si="47"/>
        <v>0.25</v>
      </c>
      <c r="N71" s="499">
        <f t="shared" si="48"/>
        <v>0</v>
      </c>
      <c r="O71" s="499">
        <f t="shared" si="49"/>
        <v>0.5</v>
      </c>
      <c r="P71" s="486">
        <f t="shared" si="52"/>
        <v>1</v>
      </c>
      <c r="Q71" s="494">
        <v>0.35</v>
      </c>
      <c r="R71" s="495">
        <v>0</v>
      </c>
      <c r="S71" s="495">
        <v>0</v>
      </c>
      <c r="T71" s="495">
        <v>0</v>
      </c>
      <c r="U71" s="495">
        <v>0.65</v>
      </c>
      <c r="V71" s="486">
        <f t="shared" si="53"/>
        <v>1</v>
      </c>
      <c r="W71" s="494">
        <v>0.35</v>
      </c>
      <c r="X71" s="495">
        <v>0</v>
      </c>
      <c r="Y71" s="495">
        <v>0</v>
      </c>
      <c r="Z71" s="495">
        <v>0</v>
      </c>
      <c r="AA71" s="495">
        <v>0.65</v>
      </c>
      <c r="AB71" s="486">
        <f t="shared" si="54"/>
        <v>1</v>
      </c>
    </row>
    <row r="72" spans="2:28" ht="13.5" customHeight="1" x14ac:dyDescent="0.25">
      <c r="B72" s="2"/>
      <c r="C72" s="2"/>
      <c r="D72" s="492" t="s">
        <v>184</v>
      </c>
      <c r="E72" s="485">
        <f t="shared" si="45"/>
        <v>0.13636363636363635</v>
      </c>
      <c r="F72" s="450">
        <f t="shared" si="45"/>
        <v>0</v>
      </c>
      <c r="G72" s="450">
        <f t="shared" si="45"/>
        <v>0.59090909090909094</v>
      </c>
      <c r="H72" s="450">
        <f t="shared" si="45"/>
        <v>0</v>
      </c>
      <c r="I72" s="450">
        <f t="shared" si="45"/>
        <v>0.27272727272727271</v>
      </c>
      <c r="J72" s="486">
        <f t="shared" si="50"/>
        <v>1</v>
      </c>
      <c r="K72" s="498">
        <f t="shared" si="51"/>
        <v>0.13636363636363635</v>
      </c>
      <c r="L72" s="499">
        <f t="shared" si="46"/>
        <v>0</v>
      </c>
      <c r="M72" s="499">
        <f t="shared" si="47"/>
        <v>0.59090909090909094</v>
      </c>
      <c r="N72" s="499">
        <f t="shared" si="48"/>
        <v>0</v>
      </c>
      <c r="O72" s="499">
        <f t="shared" si="49"/>
        <v>0.27272727272727271</v>
      </c>
      <c r="P72" s="486">
        <f t="shared" si="52"/>
        <v>1</v>
      </c>
      <c r="Q72" s="494">
        <v>0.15</v>
      </c>
      <c r="R72" s="495">
        <v>0</v>
      </c>
      <c r="S72" s="495">
        <v>0.65</v>
      </c>
      <c r="T72" s="495">
        <v>0</v>
      </c>
      <c r="U72" s="495">
        <v>0.19999999999999998</v>
      </c>
      <c r="V72" s="486">
        <f t="shared" si="53"/>
        <v>1</v>
      </c>
      <c r="W72" s="494">
        <v>0.15</v>
      </c>
      <c r="X72" s="495">
        <v>0</v>
      </c>
      <c r="Y72" s="495">
        <v>0.65</v>
      </c>
      <c r="Z72" s="495">
        <v>0</v>
      </c>
      <c r="AA72" s="495">
        <v>0.19999999999999998</v>
      </c>
      <c r="AB72" s="486">
        <f t="shared" si="54"/>
        <v>1</v>
      </c>
    </row>
    <row r="73" spans="2:28" ht="13.5" customHeight="1" x14ac:dyDescent="0.25">
      <c r="B73" s="2"/>
      <c r="C73" s="2"/>
      <c r="D73" s="492" t="s">
        <v>125</v>
      </c>
      <c r="E73" s="485">
        <f t="shared" si="45"/>
        <v>0</v>
      </c>
      <c r="F73" s="450">
        <f t="shared" si="45"/>
        <v>0</v>
      </c>
      <c r="G73" s="450">
        <f t="shared" si="45"/>
        <v>1</v>
      </c>
      <c r="H73" s="450">
        <f t="shared" si="45"/>
        <v>0</v>
      </c>
      <c r="I73" s="450">
        <f t="shared" si="45"/>
        <v>0</v>
      </c>
      <c r="J73" s="486">
        <f t="shared" si="50"/>
        <v>1</v>
      </c>
      <c r="K73" s="498">
        <f t="shared" si="51"/>
        <v>0</v>
      </c>
      <c r="L73" s="499">
        <f t="shared" si="46"/>
        <v>0</v>
      </c>
      <c r="M73" s="499">
        <f t="shared" si="47"/>
        <v>1</v>
      </c>
      <c r="N73" s="499">
        <f t="shared" si="48"/>
        <v>0</v>
      </c>
      <c r="O73" s="499">
        <f t="shared" si="49"/>
        <v>0</v>
      </c>
      <c r="P73" s="486">
        <f t="shared" si="52"/>
        <v>1</v>
      </c>
      <c r="Q73" s="494">
        <v>0</v>
      </c>
      <c r="R73" s="495">
        <v>0</v>
      </c>
      <c r="S73" s="495">
        <v>1</v>
      </c>
      <c r="T73" s="495">
        <v>0</v>
      </c>
      <c r="U73" s="495">
        <v>0</v>
      </c>
      <c r="V73" s="486">
        <f t="shared" si="53"/>
        <v>1</v>
      </c>
      <c r="W73" s="494">
        <v>0</v>
      </c>
      <c r="X73" s="495">
        <v>0</v>
      </c>
      <c r="Y73" s="495">
        <v>1</v>
      </c>
      <c r="Z73" s="495">
        <v>0</v>
      </c>
      <c r="AA73" s="495">
        <v>0</v>
      </c>
      <c r="AB73" s="486">
        <f t="shared" si="54"/>
        <v>1</v>
      </c>
    </row>
    <row r="74" spans="2:28" ht="13.5" customHeight="1" x14ac:dyDescent="0.25">
      <c r="B74" s="2"/>
      <c r="C74" s="2"/>
      <c r="D74" s="492" t="s">
        <v>144</v>
      </c>
      <c r="E74" s="485">
        <f t="shared" si="45"/>
        <v>0</v>
      </c>
      <c r="F74" s="450">
        <f t="shared" si="45"/>
        <v>0</v>
      </c>
      <c r="G74" s="450">
        <f t="shared" si="45"/>
        <v>1</v>
      </c>
      <c r="H74" s="450">
        <f t="shared" si="45"/>
        <v>0</v>
      </c>
      <c r="I74" s="450">
        <f t="shared" si="45"/>
        <v>0</v>
      </c>
      <c r="J74" s="486">
        <f t="shared" si="50"/>
        <v>1</v>
      </c>
      <c r="K74" s="498">
        <f t="shared" si="51"/>
        <v>0</v>
      </c>
      <c r="L74" s="499">
        <f t="shared" si="46"/>
        <v>0</v>
      </c>
      <c r="M74" s="499">
        <f t="shared" si="47"/>
        <v>1</v>
      </c>
      <c r="N74" s="499">
        <f t="shared" si="48"/>
        <v>0</v>
      </c>
      <c r="O74" s="499">
        <f t="shared" si="49"/>
        <v>0</v>
      </c>
      <c r="P74" s="486">
        <f t="shared" si="52"/>
        <v>1</v>
      </c>
      <c r="Q74" s="494">
        <v>0</v>
      </c>
      <c r="R74" s="495">
        <v>0</v>
      </c>
      <c r="S74" s="495">
        <v>1</v>
      </c>
      <c r="T74" s="495">
        <v>0</v>
      </c>
      <c r="U74" s="495">
        <v>0</v>
      </c>
      <c r="V74" s="486">
        <f t="shared" si="53"/>
        <v>1</v>
      </c>
      <c r="W74" s="494">
        <v>0</v>
      </c>
      <c r="X74" s="495">
        <v>0</v>
      </c>
      <c r="Y74" s="495">
        <v>1</v>
      </c>
      <c r="Z74" s="495">
        <v>0</v>
      </c>
      <c r="AA74" s="495">
        <v>0</v>
      </c>
      <c r="AB74" s="486">
        <f t="shared" si="54"/>
        <v>1</v>
      </c>
    </row>
    <row r="75" spans="2:28" ht="13.5" customHeight="1" x14ac:dyDescent="0.25">
      <c r="B75" s="2"/>
      <c r="C75" s="2"/>
      <c r="D75" s="492" t="s">
        <v>68</v>
      </c>
      <c r="E75" s="485">
        <f t="shared" si="45"/>
        <v>0</v>
      </c>
      <c r="F75" s="450">
        <f t="shared" si="45"/>
        <v>0</v>
      </c>
      <c r="G75" s="450">
        <f t="shared" si="45"/>
        <v>1</v>
      </c>
      <c r="H75" s="450">
        <f t="shared" si="45"/>
        <v>0</v>
      </c>
      <c r="I75" s="450">
        <f t="shared" si="45"/>
        <v>0</v>
      </c>
      <c r="J75" s="486">
        <f t="shared" si="50"/>
        <v>1</v>
      </c>
      <c r="K75" s="498">
        <f t="shared" si="51"/>
        <v>0</v>
      </c>
      <c r="L75" s="499">
        <f t="shared" si="46"/>
        <v>0</v>
      </c>
      <c r="M75" s="499">
        <f t="shared" si="47"/>
        <v>1</v>
      </c>
      <c r="N75" s="499">
        <f t="shared" si="48"/>
        <v>0</v>
      </c>
      <c r="O75" s="499">
        <f t="shared" si="49"/>
        <v>0</v>
      </c>
      <c r="P75" s="486">
        <f t="shared" si="52"/>
        <v>1</v>
      </c>
      <c r="Q75" s="494">
        <v>0</v>
      </c>
      <c r="R75" s="495">
        <v>0</v>
      </c>
      <c r="S75" s="495">
        <v>1</v>
      </c>
      <c r="T75" s="495">
        <v>0</v>
      </c>
      <c r="U75" s="495">
        <v>0</v>
      </c>
      <c r="V75" s="486">
        <f t="shared" si="53"/>
        <v>1</v>
      </c>
      <c r="W75" s="494">
        <v>0</v>
      </c>
      <c r="X75" s="495">
        <v>0</v>
      </c>
      <c r="Y75" s="495">
        <v>1</v>
      </c>
      <c r="Z75" s="495">
        <v>0</v>
      </c>
      <c r="AA75" s="495">
        <v>0</v>
      </c>
      <c r="AB75" s="486">
        <f t="shared" si="54"/>
        <v>1</v>
      </c>
    </row>
    <row r="76" spans="2:28" ht="13.5" customHeight="1" thickBot="1" x14ac:dyDescent="0.3">
      <c r="B76" s="2"/>
      <c r="C76" s="2"/>
      <c r="D76" s="493" t="s">
        <v>119</v>
      </c>
      <c r="E76" s="487">
        <f t="shared" si="45"/>
        <v>0</v>
      </c>
      <c r="F76" s="488">
        <f t="shared" si="45"/>
        <v>0</v>
      </c>
      <c r="G76" s="488">
        <f t="shared" si="45"/>
        <v>0.97810566396953824</v>
      </c>
      <c r="H76" s="488">
        <f t="shared" si="45"/>
        <v>0</v>
      </c>
      <c r="I76" s="488">
        <f t="shared" si="45"/>
        <v>2.1894336030461682E-2</v>
      </c>
      <c r="J76" s="489">
        <f t="shared" si="50"/>
        <v>0.99999999999999989</v>
      </c>
      <c r="K76" s="500">
        <f t="shared" si="51"/>
        <v>0</v>
      </c>
      <c r="L76" s="501">
        <f t="shared" si="46"/>
        <v>0</v>
      </c>
      <c r="M76" s="501">
        <f t="shared" si="47"/>
        <v>0.97810566396953824</v>
      </c>
      <c r="N76" s="501">
        <f t="shared" si="48"/>
        <v>0</v>
      </c>
      <c r="O76" s="501">
        <f t="shared" si="49"/>
        <v>2.1894336030461682E-2</v>
      </c>
      <c r="P76" s="489">
        <f t="shared" si="52"/>
        <v>0.99999999999999989</v>
      </c>
      <c r="Q76" s="496">
        <v>0</v>
      </c>
      <c r="R76" s="497">
        <v>0</v>
      </c>
      <c r="S76" s="497">
        <v>0.95936131892312504</v>
      </c>
      <c r="T76" s="497">
        <v>0</v>
      </c>
      <c r="U76" s="497">
        <v>4.063868107687503E-2</v>
      </c>
      <c r="V76" s="489">
        <f t="shared" si="53"/>
        <v>1</v>
      </c>
      <c r="W76" s="496">
        <v>0</v>
      </c>
      <c r="X76" s="497">
        <v>0</v>
      </c>
      <c r="Y76" s="497">
        <v>0.95936131892312504</v>
      </c>
      <c r="Z76" s="497">
        <v>0</v>
      </c>
      <c r="AA76" s="497">
        <v>4.063868107687503E-2</v>
      </c>
      <c r="AB76" s="489">
        <f t="shared" si="54"/>
        <v>1</v>
      </c>
    </row>
    <row r="77" spans="2:28" ht="13.5" customHeight="1" x14ac:dyDescent="0.25">
      <c r="B77" s="2"/>
      <c r="C77" s="2"/>
      <c r="D77" s="2"/>
      <c r="E77" s="471"/>
      <c r="F77" s="471"/>
      <c r="G77" s="471"/>
      <c r="H77" s="471"/>
      <c r="I77" s="471"/>
      <c r="J77" s="37"/>
      <c r="K77" s="471"/>
      <c r="L77" s="471"/>
      <c r="M77" s="471"/>
      <c r="N77" s="471"/>
      <c r="O77" s="471"/>
      <c r="P77" s="37"/>
      <c r="Q77" s="37"/>
      <c r="R77" s="37"/>
      <c r="S77" s="37"/>
    </row>
    <row r="78" spans="2:28" ht="13.5" customHeight="1" x14ac:dyDescent="0.25">
      <c r="B78" s="2"/>
      <c r="C78" s="2"/>
      <c r="D78" s="2"/>
      <c r="E78" s="37"/>
      <c r="F78" s="37"/>
      <c r="G78" s="37"/>
      <c r="H78" s="37"/>
      <c r="I78" s="37"/>
      <c r="J78" s="37"/>
      <c r="K78" s="37"/>
      <c r="L78" s="37"/>
      <c r="M78" s="37"/>
      <c r="N78" s="37"/>
      <c r="O78" s="37"/>
      <c r="P78" s="37"/>
      <c r="Q78" s="37"/>
      <c r="R78" s="37"/>
      <c r="S78" s="37"/>
    </row>
    <row r="79" spans="2:28" ht="13.5" customHeight="1" x14ac:dyDescent="0.35">
      <c r="B79" s="29">
        <v>2</v>
      </c>
      <c r="C79" s="2"/>
      <c r="D79" s="28" t="s">
        <v>811</v>
      </c>
      <c r="H79" s="630"/>
      <c r="I79" s="630"/>
      <c r="L79" s="456"/>
      <c r="M79" s="2"/>
      <c r="N79" s="2"/>
      <c r="O79" s="2"/>
      <c r="P79" s="2"/>
      <c r="Q79" s="2"/>
      <c r="R79" s="2"/>
      <c r="S79" s="2"/>
      <c r="T79" s="2"/>
      <c r="U79" s="2"/>
      <c r="V79" s="2"/>
      <c r="W79" s="2"/>
      <c r="X79" s="2"/>
      <c r="Y79" s="2"/>
      <c r="Z79" s="2"/>
      <c r="AA79" s="2"/>
      <c r="AB79" s="2"/>
    </row>
    <row r="80" spans="2:28" ht="13.5" customHeight="1" x14ac:dyDescent="0.25">
      <c r="D80" s="435"/>
      <c r="E80" s="446"/>
      <c r="F80" s="447"/>
      <c r="G80" s="448"/>
    </row>
    <row r="81" spans="4:28" ht="13.5" customHeight="1" x14ac:dyDescent="0.25">
      <c r="D81" s="435"/>
      <c r="E81" s="446"/>
      <c r="F81" s="447"/>
      <c r="G81" s="448"/>
    </row>
    <row r="82" spans="4:28" ht="13.5" customHeight="1" x14ac:dyDescent="0.3">
      <c r="D82" s="32" t="s">
        <v>809</v>
      </c>
      <c r="E82" s="446"/>
      <c r="F82" s="447"/>
      <c r="G82" s="448"/>
    </row>
    <row r="83" spans="4:28" ht="13.5" customHeight="1" x14ac:dyDescent="0.3">
      <c r="D83" s="33" t="s">
        <v>787</v>
      </c>
      <c r="E83" s="446"/>
      <c r="F83" s="447"/>
      <c r="G83" s="448"/>
    </row>
    <row r="84" spans="4:28" ht="13.5" customHeight="1" thickBot="1" x14ac:dyDescent="0.3">
      <c r="D84" s="435"/>
      <c r="E84" s="446"/>
      <c r="F84" s="447"/>
      <c r="G84" s="448"/>
    </row>
    <row r="85" spans="4:28" ht="13.5" customHeight="1" thickBot="1" x14ac:dyDescent="0.35">
      <c r="D85" s="490"/>
      <c r="E85" s="627">
        <v>2022</v>
      </c>
      <c r="F85" s="628"/>
      <c r="G85" s="628"/>
      <c r="H85" s="628"/>
      <c r="I85" s="628"/>
      <c r="J85" s="629"/>
      <c r="K85" s="627">
        <v>2023</v>
      </c>
      <c r="L85" s="628"/>
      <c r="M85" s="628"/>
      <c r="N85" s="628"/>
      <c r="O85" s="628"/>
      <c r="P85" s="629"/>
      <c r="Q85" s="627">
        <v>2024</v>
      </c>
      <c r="R85" s="628"/>
      <c r="S85" s="628"/>
      <c r="T85" s="628"/>
      <c r="U85" s="628"/>
      <c r="V85" s="629"/>
      <c r="W85" s="627">
        <v>2025</v>
      </c>
      <c r="X85" s="628"/>
      <c r="Y85" s="628"/>
      <c r="Z85" s="628"/>
      <c r="AA85" s="628"/>
      <c r="AB85" s="629"/>
    </row>
    <row r="86" spans="4:28" ht="13.5" customHeight="1" x14ac:dyDescent="0.3">
      <c r="D86" s="504" t="s">
        <v>237</v>
      </c>
      <c r="E86" s="460" t="s">
        <v>407</v>
      </c>
      <c r="F86" s="454" t="s">
        <v>753</v>
      </c>
      <c r="G86" s="454" t="s">
        <v>784</v>
      </c>
      <c r="H86" s="454" t="s">
        <v>229</v>
      </c>
      <c r="I86" s="454" t="s">
        <v>220</v>
      </c>
      <c r="J86" s="462" t="s">
        <v>286</v>
      </c>
      <c r="K86" s="460" t="s">
        <v>407</v>
      </c>
      <c r="L86" s="454" t="s">
        <v>753</v>
      </c>
      <c r="M86" s="454" t="s">
        <v>784</v>
      </c>
      <c r="N86" s="454" t="s">
        <v>229</v>
      </c>
      <c r="O86" s="454" t="s">
        <v>220</v>
      </c>
      <c r="P86" s="462" t="s">
        <v>791</v>
      </c>
      <c r="Q86" s="460" t="s">
        <v>407</v>
      </c>
      <c r="R86" s="454" t="s">
        <v>753</v>
      </c>
      <c r="S86" s="454" t="s">
        <v>784</v>
      </c>
      <c r="T86" s="454" t="s">
        <v>229</v>
      </c>
      <c r="U86" s="454" t="s">
        <v>220</v>
      </c>
      <c r="V86" s="462" t="s">
        <v>83</v>
      </c>
      <c r="W86" s="460" t="s">
        <v>407</v>
      </c>
      <c r="X86" s="454" t="s">
        <v>753</v>
      </c>
      <c r="Y86" s="454" t="s">
        <v>784</v>
      </c>
      <c r="Z86" s="454" t="s">
        <v>229</v>
      </c>
      <c r="AA86" s="455" t="s">
        <v>220</v>
      </c>
      <c r="AB86" s="462" t="s">
        <v>83</v>
      </c>
    </row>
    <row r="87" spans="4:28" ht="13.5" customHeight="1" x14ac:dyDescent="0.25">
      <c r="D87" s="492" t="s">
        <v>167</v>
      </c>
      <c r="E87" s="466">
        <f t="shared" ref="E87:I100" si="55">E63*$J87</f>
        <v>0</v>
      </c>
      <c r="F87" s="449">
        <f t="shared" si="55"/>
        <v>0.84558527095351399</v>
      </c>
      <c r="G87" s="449">
        <f>G63*$J87</f>
        <v>0.40265965283500665</v>
      </c>
      <c r="H87" s="449">
        <f t="shared" si="55"/>
        <v>0</v>
      </c>
      <c r="I87" s="449">
        <f t="shared" si="55"/>
        <v>18.884737717961809</v>
      </c>
      <c r="J87" s="463">
        <f>IFERROR(VLOOKUP($D87,'OCPLevers &amp; MS- P2O5'!$D$33:$H$46,2,FALSE),0)</f>
        <v>20.132982641750331</v>
      </c>
      <c r="K87" s="466">
        <f t="shared" ref="K87:O100" si="56">K63*$P87</f>
        <v>0</v>
      </c>
      <c r="L87" s="449">
        <f t="shared" si="56"/>
        <v>1.3353280719136587</v>
      </c>
      <c r="M87" s="449">
        <f t="shared" si="56"/>
        <v>0.63587051043507548</v>
      </c>
      <c r="N87" s="449">
        <f t="shared" si="56"/>
        <v>0</v>
      </c>
      <c r="O87" s="449">
        <f t="shared" si="56"/>
        <v>29.822326939405038</v>
      </c>
      <c r="P87" s="463">
        <f>IFERROR(VLOOKUP($D87,'OCPLevers &amp; MS- P2O5'!$D$33:$H$46,3,FALSE),0)</f>
        <v>31.793525521753775</v>
      </c>
      <c r="Q87" s="466">
        <f t="shared" ref="Q87:U100" si="57">Q63*$V87</f>
        <v>0</v>
      </c>
      <c r="R87" s="449">
        <f t="shared" si="57"/>
        <v>1.6262898753528476</v>
      </c>
      <c r="S87" s="449">
        <f t="shared" si="57"/>
        <v>0.81314493767642382</v>
      </c>
      <c r="T87" s="449">
        <f t="shared" si="57"/>
        <v>0</v>
      </c>
      <c r="U87" s="449">
        <f t="shared" si="57"/>
        <v>38.217812070791915</v>
      </c>
      <c r="V87" s="463">
        <f>IFERROR(VLOOKUP($D87,'OCPLevers &amp; MS- P2O5'!$D$33:$H$46,4,FALSE),0)</f>
        <v>40.657246883821188</v>
      </c>
      <c r="W87" s="466">
        <f t="shared" ref="W87:AA100" si="58">W63*$AB87</f>
        <v>0</v>
      </c>
      <c r="X87" s="449">
        <f t="shared" si="58"/>
        <v>2.030460176827523</v>
      </c>
      <c r="Y87" s="449">
        <f t="shared" si="58"/>
        <v>1.0152300884137615</v>
      </c>
      <c r="Z87" s="449">
        <f t="shared" si="58"/>
        <v>0</v>
      </c>
      <c r="AA87" s="449">
        <f t="shared" si="58"/>
        <v>47.715814155446786</v>
      </c>
      <c r="AB87" s="463">
        <f>IFERROR(VLOOKUP($D87,'OCPLevers &amp; MS- P2O5'!$D$33:$H$46,5,FALSE),0)</f>
        <v>50.76150442068807</v>
      </c>
    </row>
    <row r="88" spans="4:28" ht="13.5" customHeight="1" x14ac:dyDescent="0.25">
      <c r="D88" s="492" t="s">
        <v>136</v>
      </c>
      <c r="E88" s="466">
        <f t="shared" si="55"/>
        <v>0</v>
      </c>
      <c r="F88" s="449">
        <f t="shared" si="55"/>
        <v>0</v>
      </c>
      <c r="G88" s="449">
        <f t="shared" si="55"/>
        <v>3.5859239699034463E-2</v>
      </c>
      <c r="H88" s="449">
        <f t="shared" si="55"/>
        <v>0</v>
      </c>
      <c r="I88" s="449">
        <f t="shared" si="55"/>
        <v>0</v>
      </c>
      <c r="J88" s="463">
        <f>IFERROR(VLOOKUP(D88,'OCPLevers &amp; MS- P2O5'!$D$33:$H$46,2,FALSE),0)</f>
        <v>3.5859239699034463E-2</v>
      </c>
      <c r="K88" s="466">
        <f t="shared" si="56"/>
        <v>0</v>
      </c>
      <c r="L88" s="449">
        <f t="shared" si="56"/>
        <v>0</v>
      </c>
      <c r="M88" s="449">
        <f t="shared" si="56"/>
        <v>3.9692327142380898E-2</v>
      </c>
      <c r="N88" s="449">
        <f t="shared" si="56"/>
        <v>0</v>
      </c>
      <c r="O88" s="449">
        <f t="shared" si="56"/>
        <v>0</v>
      </c>
      <c r="P88" s="463">
        <f>IFERROR(VLOOKUP($D88,'OCPLevers &amp; MS- P2O5'!$D$33:$H$46,3,FALSE),0)</f>
        <v>3.9692327142380898E-2</v>
      </c>
      <c r="Q88" s="466">
        <f t="shared" si="57"/>
        <v>0</v>
      </c>
      <c r="R88" s="449">
        <f t="shared" si="57"/>
        <v>0</v>
      </c>
      <c r="S88" s="449">
        <f t="shared" si="57"/>
        <v>3.4067005163230454E-2</v>
      </c>
      <c r="T88" s="449">
        <f t="shared" si="57"/>
        <v>0</v>
      </c>
      <c r="U88" s="449">
        <f t="shared" si="57"/>
        <v>0</v>
      </c>
      <c r="V88" s="463">
        <f>IFERROR(VLOOKUP($D88,'OCPLevers &amp; MS- P2O5'!$D$33:$H$46,4,FALSE),0)</f>
        <v>3.4067005163230454E-2</v>
      </c>
      <c r="W88" s="466">
        <f t="shared" si="58"/>
        <v>0</v>
      </c>
      <c r="X88" s="449">
        <f t="shared" si="58"/>
        <v>0</v>
      </c>
      <c r="Y88" s="449">
        <f t="shared" si="58"/>
        <v>2.364240924933882E-2</v>
      </c>
      <c r="Z88" s="449">
        <f t="shared" si="58"/>
        <v>0</v>
      </c>
      <c r="AA88" s="449">
        <f t="shared" si="58"/>
        <v>0</v>
      </c>
      <c r="AB88" s="463">
        <f>IFERROR(VLOOKUP($D88,'OCPLevers &amp; MS- P2O5'!$D$33:$H$46,5,FALSE),0)</f>
        <v>2.364240924933882E-2</v>
      </c>
    </row>
    <row r="89" spans="4:28" ht="13.5" customHeight="1" x14ac:dyDescent="0.25">
      <c r="D89" s="492" t="s">
        <v>117</v>
      </c>
      <c r="E89" s="466">
        <f t="shared" si="55"/>
        <v>0</v>
      </c>
      <c r="F89" s="449">
        <f t="shared" si="55"/>
        <v>0</v>
      </c>
      <c r="G89" s="449">
        <f t="shared" si="55"/>
        <v>0</v>
      </c>
      <c r="H89" s="449">
        <f t="shared" si="55"/>
        <v>0</v>
      </c>
      <c r="I89" s="449">
        <f t="shared" si="55"/>
        <v>0</v>
      </c>
      <c r="J89" s="463">
        <f>IFERROR(VLOOKUP(D89,'OCPLevers &amp; MS- P2O5'!$D$33:$H$46,2,FALSE),0)</f>
        <v>0</v>
      </c>
      <c r="K89" s="466">
        <f t="shared" si="56"/>
        <v>0</v>
      </c>
      <c r="L89" s="449">
        <f t="shared" si="56"/>
        <v>0</v>
      </c>
      <c r="M89" s="449">
        <f t="shared" si="56"/>
        <v>0</v>
      </c>
      <c r="N89" s="449">
        <f t="shared" si="56"/>
        <v>0</v>
      </c>
      <c r="O89" s="449">
        <f t="shared" si="56"/>
        <v>0</v>
      </c>
      <c r="P89" s="463">
        <f>IFERROR(VLOOKUP($D89,'OCPLevers &amp; MS- P2O5'!$D$33:$H$46,3,FALSE),0)</f>
        <v>0</v>
      </c>
      <c r="Q89" s="466">
        <f t="shared" si="57"/>
        <v>0</v>
      </c>
      <c r="R89" s="449">
        <f t="shared" si="57"/>
        <v>0</v>
      </c>
      <c r="S89" s="449">
        <f t="shared" si="57"/>
        <v>0</v>
      </c>
      <c r="T89" s="449">
        <f t="shared" si="57"/>
        <v>0</v>
      </c>
      <c r="U89" s="449">
        <f t="shared" si="57"/>
        <v>0</v>
      </c>
      <c r="V89" s="463">
        <f>IFERROR(VLOOKUP($D89,'OCPLevers &amp; MS- P2O5'!$D$33:$H$46,4,FALSE),0)</f>
        <v>0</v>
      </c>
      <c r="W89" s="466">
        <f t="shared" si="58"/>
        <v>0</v>
      </c>
      <c r="X89" s="449">
        <f t="shared" si="58"/>
        <v>0</v>
      </c>
      <c r="Y89" s="449">
        <f t="shared" si="58"/>
        <v>0</v>
      </c>
      <c r="Z89" s="449">
        <f t="shared" si="58"/>
        <v>0</v>
      </c>
      <c r="AA89" s="449">
        <f t="shared" si="58"/>
        <v>0</v>
      </c>
      <c r="AB89" s="463">
        <f>IFERROR(VLOOKUP($D89,'OCPLevers &amp; MS- P2O5'!$D$33:$H$46,5,FALSE),0)</f>
        <v>0</v>
      </c>
    </row>
    <row r="90" spans="4:28" ht="13.5" customHeight="1" x14ac:dyDescent="0.25">
      <c r="D90" s="492" t="s">
        <v>124</v>
      </c>
      <c r="E90" s="466">
        <f t="shared" si="55"/>
        <v>0</v>
      </c>
      <c r="F90" s="449">
        <f t="shared" si="55"/>
        <v>0</v>
      </c>
      <c r="G90" s="449">
        <f t="shared" si="55"/>
        <v>1.5569643801294915E-2</v>
      </c>
      <c r="H90" s="449">
        <f t="shared" si="55"/>
        <v>0</v>
      </c>
      <c r="I90" s="449">
        <f t="shared" si="55"/>
        <v>0</v>
      </c>
      <c r="J90" s="463">
        <f>IFERROR(VLOOKUP(D90,'OCPLevers &amp; MS- P2O5'!$D$33:$H$46,2,FALSE),0)</f>
        <v>1.5569643801294915E-2</v>
      </c>
      <c r="K90" s="466">
        <f t="shared" si="56"/>
        <v>0</v>
      </c>
      <c r="L90" s="449">
        <f t="shared" si="56"/>
        <v>0</v>
      </c>
      <c r="M90" s="449">
        <f t="shared" si="56"/>
        <v>1.6045118408706482E-2</v>
      </c>
      <c r="N90" s="449">
        <f t="shared" si="56"/>
        <v>0</v>
      </c>
      <c r="O90" s="449">
        <f t="shared" si="56"/>
        <v>0</v>
      </c>
      <c r="P90" s="463">
        <f>IFERROR(VLOOKUP($D90,'OCPLevers &amp; MS- P2O5'!$D$33:$H$46,3,FALSE),0)</f>
        <v>1.6045118408706482E-2</v>
      </c>
      <c r="Q90" s="466">
        <f t="shared" si="57"/>
        <v>0</v>
      </c>
      <c r="R90" s="449">
        <f t="shared" si="57"/>
        <v>0</v>
      </c>
      <c r="S90" s="449">
        <f t="shared" si="57"/>
        <v>1.2688606018587904E-2</v>
      </c>
      <c r="T90" s="449">
        <f t="shared" si="57"/>
        <v>0</v>
      </c>
      <c r="U90" s="449">
        <f t="shared" si="57"/>
        <v>0</v>
      </c>
      <c r="V90" s="463">
        <f>IFERROR(VLOOKUP($D90,'OCPLevers &amp; MS- P2O5'!$D$33:$H$46,4,FALSE),0)</f>
        <v>1.2688606018587904E-2</v>
      </c>
      <c r="W90" s="466">
        <f t="shared" si="58"/>
        <v>0</v>
      </c>
      <c r="X90" s="449">
        <f t="shared" si="58"/>
        <v>0</v>
      </c>
      <c r="Y90" s="449">
        <f t="shared" si="58"/>
        <v>8.1136314984110412E-3</v>
      </c>
      <c r="Z90" s="449">
        <f t="shared" si="58"/>
        <v>0</v>
      </c>
      <c r="AA90" s="449">
        <f t="shared" si="58"/>
        <v>0</v>
      </c>
      <c r="AB90" s="463">
        <f>IFERROR(VLOOKUP($D90,'OCPLevers &amp; MS- P2O5'!$D$33:$H$46,5,FALSE),0)</f>
        <v>8.1136314984110412E-3</v>
      </c>
    </row>
    <row r="91" spans="4:28" ht="13.5" customHeight="1" x14ac:dyDescent="0.25">
      <c r="D91" s="492" t="s">
        <v>73</v>
      </c>
      <c r="E91" s="466">
        <f t="shared" si="55"/>
        <v>7.4889032955125959E-2</v>
      </c>
      <c r="F91" s="449">
        <f t="shared" si="55"/>
        <v>0</v>
      </c>
      <c r="G91" s="449">
        <f t="shared" si="55"/>
        <v>1.2481505492520993E-2</v>
      </c>
      <c r="H91" s="449">
        <f t="shared" si="55"/>
        <v>0</v>
      </c>
      <c r="I91" s="449">
        <f t="shared" si="55"/>
        <v>4.9926021970083972E-2</v>
      </c>
      <c r="J91" s="463">
        <f>IFERROR(VLOOKUP(D91,'OCPLevers &amp; MS- P2O5'!$D$33:$H$46,2,FALSE),0)</f>
        <v>0.13729656041773095</v>
      </c>
      <c r="K91" s="466">
        <f t="shared" si="56"/>
        <v>0.16670773890742333</v>
      </c>
      <c r="L91" s="449">
        <f t="shared" si="56"/>
        <v>0</v>
      </c>
      <c r="M91" s="449">
        <f t="shared" si="56"/>
        <v>2.7784623151237219E-2</v>
      </c>
      <c r="N91" s="449">
        <f t="shared" si="56"/>
        <v>0</v>
      </c>
      <c r="O91" s="449">
        <f t="shared" si="56"/>
        <v>0.11113849260494887</v>
      </c>
      <c r="P91" s="463">
        <f>IFERROR(VLOOKUP($D91,'OCPLevers &amp; MS- P2O5'!$D$33:$H$46,3,FALSE),0)</f>
        <v>0.30563085466360945</v>
      </c>
      <c r="Q91" s="466">
        <f t="shared" si="57"/>
        <v>0</v>
      </c>
      <c r="R91" s="449">
        <f t="shared" si="57"/>
        <v>0</v>
      </c>
      <c r="S91" s="449">
        <f t="shared" si="57"/>
        <v>0.27562492334163513</v>
      </c>
      <c r="T91" s="449">
        <f t="shared" si="57"/>
        <v>0</v>
      </c>
      <c r="U91" s="449">
        <f t="shared" si="57"/>
        <v>0.21467610063015721</v>
      </c>
      <c r="V91" s="463">
        <f>IFERROR(VLOOKUP($D91,'OCPLevers &amp; MS- P2O5'!$D$33:$H$46,4,FALSE),0)</f>
        <v>0.49030102397179237</v>
      </c>
      <c r="W91" s="466">
        <f t="shared" si="58"/>
        <v>0</v>
      </c>
      <c r="X91" s="449">
        <f t="shared" si="58"/>
        <v>0</v>
      </c>
      <c r="Y91" s="449">
        <f t="shared" si="58"/>
        <v>0.40606964343309354</v>
      </c>
      <c r="Z91" s="449">
        <f t="shared" si="58"/>
        <v>0</v>
      </c>
      <c r="AA91" s="449">
        <f t="shared" si="58"/>
        <v>0.31627563494482674</v>
      </c>
      <c r="AB91" s="463">
        <f>IFERROR(VLOOKUP($D91,'OCPLevers &amp; MS- P2O5'!$D$33:$H$46,5,FALSE),0)</f>
        <v>0.72234527837792029</v>
      </c>
    </row>
    <row r="92" spans="4:28" ht="13.5" customHeight="1" x14ac:dyDescent="0.25">
      <c r="D92" s="492" t="s">
        <v>156</v>
      </c>
      <c r="E92" s="466">
        <f t="shared" si="55"/>
        <v>0</v>
      </c>
      <c r="F92" s="449">
        <f t="shared" si="55"/>
        <v>0</v>
      </c>
      <c r="G92" s="449">
        <f t="shared" si="55"/>
        <v>0</v>
      </c>
      <c r="H92" s="449">
        <f t="shared" si="55"/>
        <v>0</v>
      </c>
      <c r="I92" s="449">
        <f t="shared" si="55"/>
        <v>0</v>
      </c>
      <c r="J92" s="463">
        <f>IFERROR(VLOOKUP(D92,'OCPLevers &amp; MS- P2O5'!$D$33:$H$46,2,FALSE),0)</f>
        <v>0</v>
      </c>
      <c r="K92" s="466">
        <f t="shared" si="56"/>
        <v>0</v>
      </c>
      <c r="L92" s="449">
        <f t="shared" si="56"/>
        <v>0</v>
      </c>
      <c r="M92" s="449">
        <f t="shared" si="56"/>
        <v>0</v>
      </c>
      <c r="N92" s="449">
        <f t="shared" si="56"/>
        <v>0.31571257022994714</v>
      </c>
      <c r="O92" s="449">
        <f t="shared" si="56"/>
        <v>7.4285310642340507E-2</v>
      </c>
      <c r="P92" s="463">
        <f>IFERROR(VLOOKUP($D92,'OCPLevers &amp; MS- P2O5'!$D$33:$H$46,3,FALSE),0)</f>
        <v>0.38999788087228765</v>
      </c>
      <c r="Q92" s="466">
        <f t="shared" si="57"/>
        <v>0</v>
      </c>
      <c r="R92" s="449">
        <f t="shared" si="57"/>
        <v>0</v>
      </c>
      <c r="S92" s="449">
        <f t="shared" si="57"/>
        <v>0</v>
      </c>
      <c r="T92" s="449">
        <f t="shared" si="57"/>
        <v>0.7467325806894336</v>
      </c>
      <c r="U92" s="449">
        <f t="shared" si="57"/>
        <v>0.13177633776872358</v>
      </c>
      <c r="V92" s="463">
        <f>IFERROR(VLOOKUP($D92,'OCPLevers &amp; MS- P2O5'!$D$33:$H$46,4,FALSE),0)</f>
        <v>0.87850891845815715</v>
      </c>
      <c r="W92" s="466">
        <f t="shared" si="58"/>
        <v>0</v>
      </c>
      <c r="X92" s="449">
        <f t="shared" si="58"/>
        <v>0</v>
      </c>
      <c r="Y92" s="449">
        <f t="shared" si="58"/>
        <v>0</v>
      </c>
      <c r="Z92" s="449">
        <f t="shared" si="58"/>
        <v>1.2615669161554361</v>
      </c>
      <c r="AA92" s="449">
        <f t="shared" si="58"/>
        <v>0.22262945579213578</v>
      </c>
      <c r="AB92" s="463">
        <f>IFERROR(VLOOKUP($D92,'OCPLevers &amp; MS- P2O5'!$D$33:$H$46,5,FALSE),0)</f>
        <v>1.4841963719475719</v>
      </c>
    </row>
    <row r="93" spans="4:28" ht="13.5" customHeight="1" x14ac:dyDescent="0.25">
      <c r="D93" s="492" t="s">
        <v>113</v>
      </c>
      <c r="E93" s="466">
        <f t="shared" si="55"/>
        <v>1.4924023931128128</v>
      </c>
      <c r="F93" s="449">
        <f t="shared" si="55"/>
        <v>0</v>
      </c>
      <c r="G93" s="449">
        <f t="shared" si="55"/>
        <v>0.95572567046633339</v>
      </c>
      <c r="H93" s="449">
        <f t="shared" si="55"/>
        <v>0</v>
      </c>
      <c r="I93" s="449">
        <f t="shared" si="55"/>
        <v>0</v>
      </c>
      <c r="J93" s="463">
        <f>IFERROR(VLOOKUP(D93,'OCPLevers &amp; MS- P2O5'!$D$33:$H$46,2,FALSE),0)</f>
        <v>2.4481280635791465</v>
      </c>
      <c r="K93" s="466">
        <f t="shared" si="56"/>
        <v>1.5027445901486038</v>
      </c>
      <c r="L93" s="449">
        <f t="shared" si="56"/>
        <v>0</v>
      </c>
      <c r="M93" s="449">
        <f t="shared" si="56"/>
        <v>0.96234875231191397</v>
      </c>
      <c r="N93" s="449">
        <f t="shared" si="56"/>
        <v>0</v>
      </c>
      <c r="O93" s="449">
        <f t="shared" si="56"/>
        <v>0</v>
      </c>
      <c r="P93" s="463">
        <f>IFERROR(VLOOKUP($D93,'OCPLevers &amp; MS- P2O5'!$D$33:$H$46,3,FALSE),0)</f>
        <v>2.4650933424605181</v>
      </c>
      <c r="Q93" s="466">
        <f t="shared" si="57"/>
        <v>1.3772216448195049</v>
      </c>
      <c r="R93" s="449">
        <f t="shared" si="57"/>
        <v>0</v>
      </c>
      <c r="S93" s="449">
        <f t="shared" si="57"/>
        <v>0.53009054094122943</v>
      </c>
      <c r="T93" s="449">
        <f t="shared" si="57"/>
        <v>0</v>
      </c>
      <c r="U93" s="449">
        <f t="shared" si="57"/>
        <v>0</v>
      </c>
      <c r="V93" s="463">
        <f>IFERROR(VLOOKUP($D93,'OCPLevers &amp; MS- P2O5'!$D$33:$H$46,4,FALSE),0)</f>
        <v>1.9073121857607345</v>
      </c>
      <c r="W93" s="466">
        <f t="shared" si="58"/>
        <v>0.86163361625044044</v>
      </c>
      <c r="X93" s="449">
        <f t="shared" si="58"/>
        <v>0</v>
      </c>
      <c r="Y93" s="449">
        <f t="shared" si="58"/>
        <v>0.33164148374331082</v>
      </c>
      <c r="Z93" s="449">
        <f t="shared" si="58"/>
        <v>0</v>
      </c>
      <c r="AA93" s="449">
        <f t="shared" si="58"/>
        <v>0</v>
      </c>
      <c r="AB93" s="463">
        <f>IFERROR(VLOOKUP($D93,'OCPLevers &amp; MS- P2O5'!$D$33:$H$46,5,FALSE),0)</f>
        <v>1.1932750999937514</v>
      </c>
    </row>
    <row r="94" spans="4:28" ht="13.5" customHeight="1" x14ac:dyDescent="0.25">
      <c r="D94" s="492" t="s">
        <v>182</v>
      </c>
      <c r="E94" s="466">
        <f t="shared" si="55"/>
        <v>0</v>
      </c>
      <c r="F94" s="449">
        <f t="shared" si="55"/>
        <v>0</v>
      </c>
      <c r="G94" s="449">
        <f t="shared" si="55"/>
        <v>0</v>
      </c>
      <c r="H94" s="449">
        <f t="shared" si="55"/>
        <v>0</v>
      </c>
      <c r="I94" s="449">
        <f t="shared" si="55"/>
        <v>0</v>
      </c>
      <c r="J94" s="463">
        <f>IFERROR(VLOOKUP(D94,'OCPLevers &amp; MS- P2O5'!$D$33:$H$46,2,FALSE),0)</f>
        <v>0</v>
      </c>
      <c r="K94" s="466">
        <f t="shared" si="56"/>
        <v>0</v>
      </c>
      <c r="L94" s="449">
        <f t="shared" si="56"/>
        <v>0</v>
      </c>
      <c r="M94" s="449">
        <f t="shared" si="56"/>
        <v>7.932454488830315E-2</v>
      </c>
      <c r="N94" s="449">
        <f t="shared" si="56"/>
        <v>0</v>
      </c>
      <c r="O94" s="449">
        <f t="shared" si="56"/>
        <v>0</v>
      </c>
      <c r="P94" s="463">
        <f>IFERROR(VLOOKUP($D94,'OCPLevers &amp; MS- P2O5'!$D$33:$H$46,3,FALSE),0)</f>
        <v>7.932454488830315E-2</v>
      </c>
      <c r="Q94" s="466">
        <f t="shared" si="57"/>
        <v>0</v>
      </c>
      <c r="R94" s="449">
        <f t="shared" si="57"/>
        <v>0</v>
      </c>
      <c r="S94" s="449">
        <f t="shared" si="57"/>
        <v>0.1616844765819021</v>
      </c>
      <c r="T94" s="449">
        <f t="shared" si="57"/>
        <v>0</v>
      </c>
      <c r="U94" s="449">
        <f t="shared" si="57"/>
        <v>0</v>
      </c>
      <c r="V94" s="463">
        <f>IFERROR(VLOOKUP($D94,'OCPLevers &amp; MS- P2O5'!$D$33:$H$46,4,FALSE),0)</f>
        <v>0.1616844765819021</v>
      </c>
      <c r="W94" s="466">
        <f t="shared" si="58"/>
        <v>0</v>
      </c>
      <c r="X94" s="449">
        <f t="shared" si="58"/>
        <v>0</v>
      </c>
      <c r="Y94" s="449">
        <f t="shared" si="58"/>
        <v>0.24716690783767503</v>
      </c>
      <c r="Z94" s="449">
        <f t="shared" si="58"/>
        <v>0</v>
      </c>
      <c r="AA94" s="449">
        <f t="shared" si="58"/>
        <v>0</v>
      </c>
      <c r="AB94" s="463">
        <f>IFERROR(VLOOKUP($D94,'OCPLevers &amp; MS- P2O5'!$D$33:$H$46,5,FALSE),0)</f>
        <v>0.24716690783767503</v>
      </c>
    </row>
    <row r="95" spans="4:28" ht="13.5" customHeight="1" x14ac:dyDescent="0.25">
      <c r="D95" s="492" t="s">
        <v>158</v>
      </c>
      <c r="E95" s="466">
        <f t="shared" si="55"/>
        <v>2.7494535026403457</v>
      </c>
      <c r="F95" s="449">
        <f t="shared" si="55"/>
        <v>0</v>
      </c>
      <c r="G95" s="449">
        <f t="shared" si="55"/>
        <v>2.7494535026403457</v>
      </c>
      <c r="H95" s="449">
        <f t="shared" si="55"/>
        <v>0</v>
      </c>
      <c r="I95" s="449">
        <f t="shared" si="55"/>
        <v>5.4989070052806914</v>
      </c>
      <c r="J95" s="463">
        <f>IFERROR(VLOOKUP(D95,'OCPLevers &amp; MS- P2O5'!$D$33:$H$46,2,FALSE),0)</f>
        <v>10.997814010561383</v>
      </c>
      <c r="K95" s="466">
        <f t="shared" si="56"/>
        <v>3.6259832121828275</v>
      </c>
      <c r="L95" s="449">
        <f t="shared" si="56"/>
        <v>0</v>
      </c>
      <c r="M95" s="449">
        <f t="shared" si="56"/>
        <v>3.6259832121828275</v>
      </c>
      <c r="N95" s="449">
        <f t="shared" si="56"/>
        <v>0</v>
      </c>
      <c r="O95" s="449">
        <f t="shared" si="56"/>
        <v>7.251966424365655</v>
      </c>
      <c r="P95" s="463">
        <f>IFERROR(VLOOKUP($D95,'OCPLevers &amp; MS- P2O5'!$D$33:$H$46,3,FALSE),0)</f>
        <v>14.50393284873131</v>
      </c>
      <c r="Q95" s="466">
        <f t="shared" si="57"/>
        <v>5.6142345566738694</v>
      </c>
      <c r="R95" s="449">
        <f t="shared" si="57"/>
        <v>0</v>
      </c>
      <c r="S95" s="449">
        <f t="shared" si="57"/>
        <v>0</v>
      </c>
      <c r="T95" s="449">
        <f t="shared" si="57"/>
        <v>0</v>
      </c>
      <c r="U95" s="449">
        <f t="shared" si="57"/>
        <v>10.426435605251472</v>
      </c>
      <c r="V95" s="463">
        <f>IFERROR(VLOOKUP($D95,'OCPLevers &amp; MS- P2O5'!$D$33:$H$46,4,FALSE),0)</f>
        <v>16.040670161925341</v>
      </c>
      <c r="W95" s="466">
        <f t="shared" si="58"/>
        <v>6.1973429777507461</v>
      </c>
      <c r="X95" s="449">
        <f t="shared" si="58"/>
        <v>0</v>
      </c>
      <c r="Y95" s="449">
        <f t="shared" si="58"/>
        <v>0</v>
      </c>
      <c r="Z95" s="449">
        <f t="shared" si="58"/>
        <v>0</v>
      </c>
      <c r="AA95" s="449">
        <f t="shared" si="58"/>
        <v>11.509351244394244</v>
      </c>
      <c r="AB95" s="463">
        <f>IFERROR(VLOOKUP($D95,'OCPLevers &amp; MS- P2O5'!$D$33:$H$46,5,FALSE),0)</f>
        <v>17.706694222144989</v>
      </c>
    </row>
    <row r="96" spans="4:28" ht="13.5" customHeight="1" x14ac:dyDescent="0.25">
      <c r="D96" s="492" t="s">
        <v>184</v>
      </c>
      <c r="E96" s="466">
        <f t="shared" si="55"/>
        <v>0</v>
      </c>
      <c r="F96" s="449">
        <f t="shared" si="55"/>
        <v>0</v>
      </c>
      <c r="G96" s="449">
        <f t="shared" si="55"/>
        <v>0</v>
      </c>
      <c r="H96" s="449">
        <f t="shared" si="55"/>
        <v>0</v>
      </c>
      <c r="I96" s="449">
        <f t="shared" si="55"/>
        <v>0</v>
      </c>
      <c r="J96" s="463">
        <f>IFERROR(VLOOKUP(D96,'OCPLevers &amp; MS- P2O5'!$D$33:$H$46,2,FALSE),0)</f>
        <v>0</v>
      </c>
      <c r="K96" s="466">
        <f t="shared" si="56"/>
        <v>4.8620230184398136E-2</v>
      </c>
      <c r="L96" s="449">
        <f t="shared" si="56"/>
        <v>0</v>
      </c>
      <c r="M96" s="449">
        <f t="shared" si="56"/>
        <v>0.21068766413239196</v>
      </c>
      <c r="N96" s="449">
        <f t="shared" si="56"/>
        <v>0</v>
      </c>
      <c r="O96" s="449">
        <f t="shared" si="56"/>
        <v>9.7240460368796272E-2</v>
      </c>
      <c r="P96" s="463">
        <f>IFERROR(VLOOKUP($D96,'OCPLevers &amp; MS- P2O5'!$D$33:$H$46,3,FALSE),0)</f>
        <v>0.35654835468558638</v>
      </c>
      <c r="Q96" s="466">
        <f t="shared" si="57"/>
        <v>0.12547035260734288</v>
      </c>
      <c r="R96" s="449">
        <f t="shared" si="57"/>
        <v>0</v>
      </c>
      <c r="S96" s="449">
        <f t="shared" si="57"/>
        <v>0.54370486129848583</v>
      </c>
      <c r="T96" s="449">
        <f t="shared" si="57"/>
        <v>0</v>
      </c>
      <c r="U96" s="449">
        <f t="shared" si="57"/>
        <v>0.16729380347645714</v>
      </c>
      <c r="V96" s="463">
        <f>IFERROR(VLOOKUP($D96,'OCPLevers &amp; MS- P2O5'!$D$33:$H$46,4,FALSE),0)</f>
        <v>0.83646901738228585</v>
      </c>
      <c r="W96" s="466">
        <f t="shared" si="58"/>
        <v>0.22076682133750655</v>
      </c>
      <c r="X96" s="449">
        <f t="shared" si="58"/>
        <v>0</v>
      </c>
      <c r="Y96" s="449">
        <f t="shared" si="58"/>
        <v>0.95665622579586174</v>
      </c>
      <c r="Z96" s="449">
        <f t="shared" si="58"/>
        <v>0</v>
      </c>
      <c r="AA96" s="449">
        <f t="shared" si="58"/>
        <v>0.29435576178334205</v>
      </c>
      <c r="AB96" s="463">
        <f>IFERROR(VLOOKUP($D96,'OCPLevers &amp; MS- P2O5'!$D$33:$H$46,5,FALSE),0)</f>
        <v>1.4717788089167103</v>
      </c>
    </row>
    <row r="97" spans="4:29" ht="13.5" customHeight="1" x14ac:dyDescent="0.25">
      <c r="D97" s="492" t="s">
        <v>125</v>
      </c>
      <c r="E97" s="466">
        <f t="shared" si="55"/>
        <v>0</v>
      </c>
      <c r="F97" s="449">
        <f t="shared" si="55"/>
        <v>0</v>
      </c>
      <c r="G97" s="449">
        <f t="shared" si="55"/>
        <v>2.9083424595168668E-3</v>
      </c>
      <c r="H97" s="449">
        <f t="shared" si="55"/>
        <v>0</v>
      </c>
      <c r="I97" s="449">
        <f t="shared" si="55"/>
        <v>0</v>
      </c>
      <c r="J97" s="463">
        <f>IFERROR(VLOOKUP(D97,'OCPLevers &amp; MS- P2O5'!$D$33:$H$46,2,FALSE),0)</f>
        <v>2.9083424595168668E-3</v>
      </c>
      <c r="K97" s="466">
        <f t="shared" si="56"/>
        <v>0</v>
      </c>
      <c r="L97" s="449">
        <f t="shared" si="56"/>
        <v>0</v>
      </c>
      <c r="M97" s="449">
        <f t="shared" si="56"/>
        <v>3.129249884922736E-3</v>
      </c>
      <c r="N97" s="449">
        <f t="shared" si="56"/>
        <v>0</v>
      </c>
      <c r="O97" s="449">
        <f t="shared" si="56"/>
        <v>0</v>
      </c>
      <c r="P97" s="463">
        <f>IFERROR(VLOOKUP($D97,'OCPLevers &amp; MS- P2O5'!$D$33:$H$46,3,FALSE),0)</f>
        <v>3.129249884922736E-3</v>
      </c>
      <c r="Q97" s="466">
        <f t="shared" si="57"/>
        <v>0</v>
      </c>
      <c r="R97" s="449">
        <f t="shared" si="57"/>
        <v>0</v>
      </c>
      <c r="S97" s="449">
        <f t="shared" si="57"/>
        <v>2.5930880184176813E-3</v>
      </c>
      <c r="T97" s="449">
        <f t="shared" si="57"/>
        <v>0</v>
      </c>
      <c r="U97" s="449">
        <f t="shared" si="57"/>
        <v>0</v>
      </c>
      <c r="V97" s="463">
        <f>IFERROR(VLOOKUP($D97,'OCPLevers &amp; MS- P2O5'!$D$33:$H$46,4,FALSE),0)</f>
        <v>2.5930880184176813E-3</v>
      </c>
      <c r="W97" s="466">
        <f t="shared" si="58"/>
        <v>0</v>
      </c>
      <c r="X97" s="449">
        <f t="shared" si="58"/>
        <v>0</v>
      </c>
      <c r="Y97" s="449">
        <f t="shared" si="58"/>
        <v>1.7374993555482597E-3</v>
      </c>
      <c r="Z97" s="449">
        <f t="shared" si="58"/>
        <v>0</v>
      </c>
      <c r="AA97" s="449">
        <f t="shared" si="58"/>
        <v>0</v>
      </c>
      <c r="AB97" s="463">
        <f>IFERROR(VLOOKUP($D97,'OCPLevers &amp; MS- P2O5'!$D$33:$H$46,5,FALSE),0)</f>
        <v>1.7374993555482597E-3</v>
      </c>
    </row>
    <row r="98" spans="4:29" ht="13.5" customHeight="1" x14ac:dyDescent="0.25">
      <c r="D98" s="492" t="s">
        <v>144</v>
      </c>
      <c r="E98" s="466">
        <f t="shared" si="55"/>
        <v>0</v>
      </c>
      <c r="F98" s="449">
        <f t="shared" si="55"/>
        <v>0</v>
      </c>
      <c r="G98" s="449">
        <f t="shared" si="55"/>
        <v>2.4118854705242631E-3</v>
      </c>
      <c r="H98" s="449">
        <f t="shared" si="55"/>
        <v>0</v>
      </c>
      <c r="I98" s="449">
        <f t="shared" si="55"/>
        <v>0</v>
      </c>
      <c r="J98" s="463">
        <f>IFERROR(VLOOKUP(D98,'OCPLevers &amp; MS- P2O5'!$D$33:$H$46,2,FALSE),0)</f>
        <v>2.4118854705242631E-3</v>
      </c>
      <c r="K98" s="466">
        <f t="shared" si="56"/>
        <v>0</v>
      </c>
      <c r="L98" s="449">
        <f t="shared" si="56"/>
        <v>0</v>
      </c>
      <c r="M98" s="449">
        <f t="shared" si="56"/>
        <v>2.5343200002426571E-3</v>
      </c>
      <c r="N98" s="449">
        <f t="shared" si="56"/>
        <v>0</v>
      </c>
      <c r="O98" s="449">
        <f t="shared" si="56"/>
        <v>0</v>
      </c>
      <c r="P98" s="463">
        <f>IFERROR(VLOOKUP($D98,'OCPLevers &amp; MS- P2O5'!$D$33:$H$46,3,FALSE),0)</f>
        <v>2.5343200002426571E-3</v>
      </c>
      <c r="Q98" s="466">
        <f t="shared" si="57"/>
        <v>0</v>
      </c>
      <c r="R98" s="449">
        <f t="shared" si="57"/>
        <v>0</v>
      </c>
      <c r="S98" s="449">
        <f t="shared" si="57"/>
        <v>2.0521301272098838E-3</v>
      </c>
      <c r="T98" s="449">
        <f t="shared" si="57"/>
        <v>0</v>
      </c>
      <c r="U98" s="449">
        <f t="shared" si="57"/>
        <v>0</v>
      </c>
      <c r="V98" s="463">
        <f>IFERROR(VLOOKUP($D98,'OCPLevers &amp; MS- P2O5'!$D$33:$H$46,4,FALSE),0)</f>
        <v>2.0521301272098838E-3</v>
      </c>
      <c r="W98" s="466">
        <f t="shared" si="58"/>
        <v>0</v>
      </c>
      <c r="X98" s="449">
        <f t="shared" si="58"/>
        <v>0</v>
      </c>
      <c r="Y98" s="449">
        <f t="shared" si="58"/>
        <v>1.3436269981476189E-3</v>
      </c>
      <c r="Z98" s="449">
        <f t="shared" si="58"/>
        <v>0</v>
      </c>
      <c r="AA98" s="449">
        <f t="shared" si="58"/>
        <v>0</v>
      </c>
      <c r="AB98" s="463">
        <f>IFERROR(VLOOKUP($D98,'OCPLevers &amp; MS- P2O5'!$D$33:$H$46,5,FALSE),0)</f>
        <v>1.3436269981476189E-3</v>
      </c>
    </row>
    <row r="99" spans="4:29" ht="13.5" customHeight="1" x14ac:dyDescent="0.25">
      <c r="D99" s="492" t="s">
        <v>68</v>
      </c>
      <c r="E99" s="466">
        <f t="shared" si="55"/>
        <v>0</v>
      </c>
      <c r="F99" s="449">
        <f t="shared" si="55"/>
        <v>0</v>
      </c>
      <c r="G99" s="449">
        <f t="shared" si="55"/>
        <v>1.5788087094109685E-3</v>
      </c>
      <c r="H99" s="449">
        <f t="shared" si="55"/>
        <v>0</v>
      </c>
      <c r="I99" s="449">
        <f t="shared" si="55"/>
        <v>0</v>
      </c>
      <c r="J99" s="463">
        <f>IFERROR(VLOOKUP(D99,'OCPLevers &amp; MS- P2O5'!$D$33:$H$46,2,FALSE),0)</f>
        <v>1.5788087094109685E-3</v>
      </c>
      <c r="K99" s="466">
        <f t="shared" si="56"/>
        <v>0</v>
      </c>
      <c r="L99" s="449">
        <f t="shared" si="56"/>
        <v>0</v>
      </c>
      <c r="M99" s="449">
        <f t="shared" si="56"/>
        <v>1.6407003848426685E-3</v>
      </c>
      <c r="N99" s="449">
        <f t="shared" si="56"/>
        <v>0</v>
      </c>
      <c r="O99" s="449">
        <f t="shared" si="56"/>
        <v>0</v>
      </c>
      <c r="P99" s="463">
        <f>IFERROR(VLOOKUP($D99,'OCPLevers &amp; MS- P2O5'!$D$33:$H$46,3,FALSE),0)</f>
        <v>1.6407003848426685E-3</v>
      </c>
      <c r="Q99" s="466">
        <f t="shared" si="57"/>
        <v>0</v>
      </c>
      <c r="R99" s="449">
        <f t="shared" si="57"/>
        <v>0</v>
      </c>
      <c r="S99" s="449">
        <f t="shared" si="57"/>
        <v>1.3080822154312444E-3</v>
      </c>
      <c r="T99" s="449">
        <f t="shared" si="57"/>
        <v>0</v>
      </c>
      <c r="U99" s="449">
        <f t="shared" si="57"/>
        <v>0</v>
      </c>
      <c r="V99" s="463">
        <f>IFERROR(VLOOKUP($D99,'OCPLevers &amp; MS- P2O5'!$D$33:$H$46,4,FALSE),0)</f>
        <v>1.3080822154312444E-3</v>
      </c>
      <c r="W99" s="466">
        <f t="shared" si="58"/>
        <v>0</v>
      </c>
      <c r="X99" s="449">
        <f t="shared" si="58"/>
        <v>0</v>
      </c>
      <c r="Y99" s="449">
        <f t="shared" si="58"/>
        <v>8.4327880002200138E-4</v>
      </c>
      <c r="Z99" s="449">
        <f t="shared" si="58"/>
        <v>0</v>
      </c>
      <c r="AA99" s="449">
        <f t="shared" si="58"/>
        <v>0</v>
      </c>
      <c r="AB99" s="463">
        <f>IFERROR(VLOOKUP($D99,'OCPLevers &amp; MS- P2O5'!$D$33:$H$46,5,FALSE),0)</f>
        <v>8.4327880002200138E-4</v>
      </c>
    </row>
    <row r="100" spans="4:29" ht="13.5" customHeight="1" thickBot="1" x14ac:dyDescent="0.3">
      <c r="D100" s="493" t="s">
        <v>119</v>
      </c>
      <c r="E100" s="502">
        <f t="shared" si="55"/>
        <v>0</v>
      </c>
      <c r="F100" s="503">
        <f t="shared" si="55"/>
        <v>0</v>
      </c>
      <c r="G100" s="503">
        <f t="shared" si="55"/>
        <v>0</v>
      </c>
      <c r="H100" s="503">
        <f t="shared" si="55"/>
        <v>0</v>
      </c>
      <c r="I100" s="503">
        <f t="shared" si="55"/>
        <v>0</v>
      </c>
      <c r="J100" s="463">
        <f>IFERROR(VLOOKUP(D100,'OCPLevers &amp; MS- P2O5'!$D$33:$H$46,2,FALSE),0)</f>
        <v>0</v>
      </c>
      <c r="K100" s="502">
        <f t="shared" si="56"/>
        <v>0</v>
      </c>
      <c r="L100" s="503">
        <f t="shared" si="56"/>
        <v>0</v>
      </c>
      <c r="M100" s="503">
        <f t="shared" si="56"/>
        <v>0.91227548398600766</v>
      </c>
      <c r="N100" s="503">
        <f t="shared" si="56"/>
        <v>0</v>
      </c>
      <c r="O100" s="503">
        <f t="shared" si="56"/>
        <v>2.0420765091657592E-2</v>
      </c>
      <c r="P100" s="463">
        <f>IFERROR(VLOOKUP($D100,'OCPLevers &amp; MS- P2O5'!$D$33:$H$46,3,FALSE),0)</f>
        <v>0.93269624907766535</v>
      </c>
      <c r="Q100" s="502">
        <f t="shared" si="57"/>
        <v>0</v>
      </c>
      <c r="R100" s="503">
        <f t="shared" si="57"/>
        <v>0</v>
      </c>
      <c r="S100" s="503">
        <f t="shared" si="57"/>
        <v>1.9449261589505418</v>
      </c>
      <c r="T100" s="503">
        <f t="shared" si="57"/>
        <v>0</v>
      </c>
      <c r="U100" s="503">
        <f t="shared" si="57"/>
        <v>8.2387347011638426E-2</v>
      </c>
      <c r="V100" s="463">
        <f>IFERROR(VLOOKUP($D100,'OCPLevers &amp; MS- P2O5'!$D$33:$H$46,4,FALSE),0)</f>
        <v>2.0273135059621801</v>
      </c>
      <c r="W100" s="502">
        <f t="shared" si="58"/>
        <v>0</v>
      </c>
      <c r="X100" s="503">
        <f t="shared" si="58"/>
        <v>0</v>
      </c>
      <c r="Y100" s="503">
        <f t="shared" si="58"/>
        <v>3.1706263486414388</v>
      </c>
      <c r="Z100" s="503">
        <f t="shared" si="58"/>
        <v>0</v>
      </c>
      <c r="AA100" s="503">
        <f t="shared" si="58"/>
        <v>0.13430818030167124</v>
      </c>
      <c r="AB100" s="463">
        <f>IFERROR(VLOOKUP($D100,'OCPLevers &amp; MS- P2O5'!$D$33:$H$46,5,FALSE),0)</f>
        <v>3.30493452894311</v>
      </c>
    </row>
    <row r="101" spans="4:29" ht="13.5" customHeight="1" thickBot="1" x14ac:dyDescent="0.3">
      <c r="D101" s="88" t="s">
        <v>13</v>
      </c>
      <c r="E101" s="468">
        <f>SUM(E87:E100)</f>
        <v>4.3167449287082844</v>
      </c>
      <c r="F101" s="469">
        <f t="shared" ref="F101" si="59">SUM(F87:F100)</f>
        <v>0.84558527095351399</v>
      </c>
      <c r="G101" s="469">
        <f t="shared" ref="G101" si="60">SUM(G87:G100)</f>
        <v>4.1786482515739873</v>
      </c>
      <c r="H101" s="469">
        <f t="shared" ref="H101" si="61">SUM(H87:H100)</f>
        <v>0</v>
      </c>
      <c r="I101" s="469">
        <f t="shared" ref="I101" si="62">SUM(I87:I100)</f>
        <v>24.433570745212585</v>
      </c>
      <c r="J101" s="470">
        <f>SUM(J87:J100)</f>
        <v>33.774549196448376</v>
      </c>
      <c r="K101" s="468">
        <f>SUM(K87:K100)</f>
        <v>5.3440557714232533</v>
      </c>
      <c r="L101" s="469">
        <f t="shared" ref="L101" si="63">SUM(L87:L100)</f>
        <v>1.3353280719136587</v>
      </c>
      <c r="M101" s="469">
        <f t="shared" ref="M101" si="64">SUM(M87:M100)</f>
        <v>6.5173165069088528</v>
      </c>
      <c r="N101" s="469">
        <f t="shared" ref="N101" si="65">SUM(N87:N100)</f>
        <v>0.31571257022994714</v>
      </c>
      <c r="O101" s="469">
        <f t="shared" ref="O101" si="66">SUM(O87:O100)</f>
        <v>37.377378392478434</v>
      </c>
      <c r="P101" s="470">
        <f>SUM(P87:P100)</f>
        <v>50.889791312954145</v>
      </c>
      <c r="Q101" s="468">
        <f>SUM(Q87:Q100)</f>
        <v>7.1169265541007176</v>
      </c>
      <c r="R101" s="469">
        <f t="shared" ref="R101" si="67">SUM(R87:R100)</f>
        <v>1.6262898753528476</v>
      </c>
      <c r="S101" s="469">
        <f t="shared" ref="S101" si="68">SUM(S87:S100)</f>
        <v>4.3218848103330956</v>
      </c>
      <c r="T101" s="469">
        <f t="shared" ref="T101" si="69">SUM(T87:T100)</f>
        <v>0.7467325806894336</v>
      </c>
      <c r="U101" s="469">
        <f t="shared" ref="U101" si="70">SUM(U87:U100)</f>
        <v>49.240381264930363</v>
      </c>
      <c r="V101" s="470">
        <f>SUM(V87:V100)</f>
        <v>63.052215085406459</v>
      </c>
      <c r="W101" s="469">
        <f>SUM(W87:W100)</f>
        <v>7.2797434153386931</v>
      </c>
      <c r="X101" s="469">
        <f t="shared" ref="X101" si="71">SUM(X87:X100)</f>
        <v>2.030460176827523</v>
      </c>
      <c r="Y101" s="469">
        <f t="shared" ref="Y101" si="72">SUM(Y87:Y100)</f>
        <v>6.1630711437666088</v>
      </c>
      <c r="Z101" s="469">
        <f t="shared" ref="Z101" si="73">SUM(Z87:Z100)</f>
        <v>1.2615669161554361</v>
      </c>
      <c r="AA101" s="469">
        <f t="shared" ref="AA101" si="74">SUM(AA87:AA100)</f>
        <v>60.192734432663016</v>
      </c>
      <c r="AB101" s="470">
        <f>SUM(AB87:AB100)</f>
        <v>76.927576084751252</v>
      </c>
      <c r="AC101" s="443"/>
    </row>
    <row r="102" spans="4:29" ht="13.5" customHeight="1" thickTop="1" thickBot="1" x14ac:dyDescent="0.3">
      <c r="D102" s="472" t="s">
        <v>792</v>
      </c>
      <c r="E102" s="473">
        <f>E101/(E29/E30)</f>
        <v>28.778299524721898</v>
      </c>
      <c r="F102" s="474">
        <f>F101/(F29/F30)</f>
        <v>3.6764576997978868</v>
      </c>
      <c r="G102" s="474">
        <f>G101/(G29/G30)</f>
        <v>13.928827505246625</v>
      </c>
      <c r="H102" s="474">
        <f>H101/(H29/H30)</f>
        <v>0</v>
      </c>
      <c r="I102" s="474">
        <f>I101/(I29/I30)</f>
        <v>53.116458141766486</v>
      </c>
      <c r="J102" s="475">
        <f>SUM(E102:I102)</f>
        <v>99.500042871532898</v>
      </c>
      <c r="K102" s="473">
        <f>K101/(K29/K30)</f>
        <v>35.627038476155022</v>
      </c>
      <c r="L102" s="474">
        <f>L101/(L29/L30)</f>
        <v>5.8057742257115592</v>
      </c>
      <c r="M102" s="474">
        <f>M101/(M29/M30)</f>
        <v>21.724388356362844</v>
      </c>
      <c r="N102" s="474">
        <f>N101/(N29/N30)</f>
        <v>0.95670475827256707</v>
      </c>
      <c r="O102" s="474">
        <f>O101/(O29/O30)</f>
        <v>81.255170418431376</v>
      </c>
      <c r="P102" s="475">
        <f>SUM(K102:O102)</f>
        <v>145.36907623493337</v>
      </c>
      <c r="Q102" s="473">
        <f>Q101/(Q29/Q30)</f>
        <v>47.446177027338116</v>
      </c>
      <c r="R102" s="474">
        <f>R101/(R29/R30)</f>
        <v>7.0708255450123811</v>
      </c>
      <c r="S102" s="474">
        <f>S101/(S29/S30)</f>
        <v>14.406282701110319</v>
      </c>
      <c r="T102" s="474">
        <f>T101/(T29/T30)</f>
        <v>2.2628260020891928</v>
      </c>
      <c r="U102" s="474">
        <f>U101/(U29/U30)</f>
        <v>107.0443070976747</v>
      </c>
      <c r="V102" s="475">
        <f>SUM(Q102:U102)</f>
        <v>178.23041837322472</v>
      </c>
      <c r="W102" s="473">
        <f>W101/(W29/W30)</f>
        <v>48.53162276892462</v>
      </c>
      <c r="X102" s="474">
        <f>X101/(X29/X30)</f>
        <v>8.8280877253370562</v>
      </c>
      <c r="Y102" s="474">
        <f>Y101/(Y29/Y30)</f>
        <v>20.54357047922203</v>
      </c>
      <c r="Z102" s="474">
        <f>Z101/(Z29/Z30)</f>
        <v>3.8229300489558669</v>
      </c>
      <c r="AA102" s="474">
        <f>AA101/(AA29/AA30)</f>
        <v>130.85377050578916</v>
      </c>
      <c r="AB102" s="475">
        <f>SUM(W102:AA102)</f>
        <v>212.57998152822873</v>
      </c>
    </row>
    <row r="103" spans="4:29" ht="13.5" customHeight="1" thickTop="1" x14ac:dyDescent="0.25"/>
    <row r="106" spans="4:29" ht="13.5" customHeight="1" x14ac:dyDescent="0.3">
      <c r="D106" s="32" t="s">
        <v>810</v>
      </c>
    </row>
    <row r="107" spans="4:29" ht="13.5" customHeight="1" x14ac:dyDescent="0.3">
      <c r="D107" s="33" t="s">
        <v>787</v>
      </c>
    </row>
    <row r="108" spans="4:29" ht="13.5" customHeight="1" thickBot="1" x14ac:dyDescent="0.3"/>
    <row r="109" spans="4:29" ht="13.5" customHeight="1" thickBot="1" x14ac:dyDescent="0.35">
      <c r="D109" s="490"/>
      <c r="E109" s="627">
        <v>2022</v>
      </c>
      <c r="F109" s="628"/>
      <c r="G109" s="628"/>
      <c r="H109" s="628"/>
      <c r="I109" s="628"/>
      <c r="J109" s="629"/>
      <c r="K109" s="627">
        <v>2023</v>
      </c>
      <c r="L109" s="628"/>
      <c r="M109" s="628"/>
      <c r="N109" s="628"/>
      <c r="O109" s="628"/>
      <c r="P109" s="629"/>
      <c r="Q109" s="627">
        <v>2024</v>
      </c>
      <c r="R109" s="628"/>
      <c r="S109" s="628"/>
      <c r="T109" s="628"/>
      <c r="U109" s="628"/>
      <c r="V109" s="629"/>
      <c r="W109" s="627">
        <v>2025</v>
      </c>
      <c r="X109" s="628"/>
      <c r="Y109" s="628"/>
      <c r="Z109" s="628"/>
      <c r="AA109" s="628"/>
      <c r="AB109" s="629"/>
    </row>
    <row r="110" spans="4:29" ht="13.5" customHeight="1" x14ac:dyDescent="0.3">
      <c r="D110" s="504" t="s">
        <v>237</v>
      </c>
      <c r="E110" s="460" t="s">
        <v>407</v>
      </c>
      <c r="F110" s="454" t="s">
        <v>753</v>
      </c>
      <c r="G110" s="454" t="s">
        <v>784</v>
      </c>
      <c r="H110" s="454" t="s">
        <v>229</v>
      </c>
      <c r="I110" s="454" t="s">
        <v>220</v>
      </c>
      <c r="J110" s="462" t="s">
        <v>286</v>
      </c>
      <c r="K110" s="460" t="s">
        <v>407</v>
      </c>
      <c r="L110" s="454" t="s">
        <v>753</v>
      </c>
      <c r="M110" s="454" t="s">
        <v>784</v>
      </c>
      <c r="N110" s="454" t="s">
        <v>229</v>
      </c>
      <c r="O110" s="454" t="s">
        <v>220</v>
      </c>
      <c r="P110" s="462" t="s">
        <v>791</v>
      </c>
      <c r="Q110" s="460" t="s">
        <v>407</v>
      </c>
      <c r="R110" s="454" t="s">
        <v>753</v>
      </c>
      <c r="S110" s="454" t="s">
        <v>784</v>
      </c>
      <c r="T110" s="454" t="s">
        <v>229</v>
      </c>
      <c r="U110" s="454" t="s">
        <v>220</v>
      </c>
      <c r="V110" s="462" t="s">
        <v>83</v>
      </c>
      <c r="W110" s="460" t="s">
        <v>407</v>
      </c>
      <c r="X110" s="454" t="s">
        <v>753</v>
      </c>
      <c r="Y110" s="454" t="s">
        <v>784</v>
      </c>
      <c r="Z110" s="454" t="s">
        <v>229</v>
      </c>
      <c r="AA110" s="455" t="s">
        <v>220</v>
      </c>
      <c r="AB110" s="462" t="s">
        <v>83</v>
      </c>
    </row>
    <row r="111" spans="4:29" ht="13.5" customHeight="1" x14ac:dyDescent="0.25">
      <c r="D111" s="492" t="s">
        <v>167</v>
      </c>
      <c r="E111" s="466">
        <f>E63*$J111</f>
        <v>0</v>
      </c>
      <c r="F111" s="449">
        <f t="shared" ref="F111:I111" si="75">F63*$J111</f>
        <v>0.84558527095351399</v>
      </c>
      <c r="G111" s="449">
        <f t="shared" si="75"/>
        <v>0.40265965283500665</v>
      </c>
      <c r="H111" s="449">
        <f t="shared" si="75"/>
        <v>0</v>
      </c>
      <c r="I111" s="449">
        <f t="shared" si="75"/>
        <v>18.884737717961809</v>
      </c>
      <c r="J111" s="463">
        <f>IFERROR(VLOOKUP($D111,'OCPLevers &amp; MS- P2O5'!$D$52:$H$66,2,FALSE),0)</f>
        <v>20.132982641750331</v>
      </c>
      <c r="K111" s="466">
        <f>K63*$P111</f>
        <v>0</v>
      </c>
      <c r="L111" s="449">
        <f t="shared" ref="L111:O111" si="76">L63*$P111</f>
        <v>1.3353280719136587</v>
      </c>
      <c r="M111" s="449">
        <f t="shared" si="76"/>
        <v>0.63587051043507548</v>
      </c>
      <c r="N111" s="449">
        <f t="shared" si="76"/>
        <v>0</v>
      </c>
      <c r="O111" s="449">
        <f t="shared" si="76"/>
        <v>29.822326939405038</v>
      </c>
      <c r="P111" s="463">
        <f>IFERROR(VLOOKUP($D111,'OCPLevers &amp; MS- P2O5'!$D$52:$H$66,3,FALSE),0)</f>
        <v>31.793525521753775</v>
      </c>
      <c r="Q111" s="466">
        <f>Q63*$V111</f>
        <v>0</v>
      </c>
      <c r="R111" s="449">
        <f t="shared" ref="R111:U111" si="77">R63*$V111</f>
        <v>2.78608378240309</v>
      </c>
      <c r="S111" s="449">
        <f t="shared" si="77"/>
        <v>1.393041891201545</v>
      </c>
      <c r="T111" s="449">
        <f t="shared" si="77"/>
        <v>0</v>
      </c>
      <c r="U111" s="449">
        <f t="shared" si="77"/>
        <v>65.4729688864726</v>
      </c>
      <c r="V111" s="463">
        <f>IFERROR(VLOOKUP($D111,'OCPLevers &amp; MS- P2O5'!$D$52:$H$66,4,FALSE),0)</f>
        <v>69.652094560077245</v>
      </c>
      <c r="W111" s="466">
        <f>W63*$AB111</f>
        <v>0</v>
      </c>
      <c r="X111" s="449">
        <f t="shared" ref="X111:AA111" si="78">X63*$AB111</f>
        <v>4.8389483068416013</v>
      </c>
      <c r="Y111" s="449">
        <f t="shared" si="78"/>
        <v>2.4194741534208006</v>
      </c>
      <c r="Z111" s="449">
        <f t="shared" si="78"/>
        <v>0</v>
      </c>
      <c r="AA111" s="449">
        <f t="shared" si="78"/>
        <v>113.71528521077762</v>
      </c>
      <c r="AB111" s="463">
        <f>IFERROR(VLOOKUP($D111,'OCPLevers &amp; MS- P2O5'!$D$52:$H$66,5,FALSE),0)</f>
        <v>120.97370767104003</v>
      </c>
    </row>
    <row r="112" spans="4:29" ht="13.5" customHeight="1" x14ac:dyDescent="0.25">
      <c r="D112" s="492" t="s">
        <v>136</v>
      </c>
      <c r="E112" s="466">
        <f t="shared" ref="E112:I112" si="79">E64*$J112</f>
        <v>0</v>
      </c>
      <c r="F112" s="449">
        <f t="shared" si="79"/>
        <v>0</v>
      </c>
      <c r="G112" s="449">
        <f t="shared" si="79"/>
        <v>3.5859239699034463E-2</v>
      </c>
      <c r="H112" s="449">
        <f t="shared" si="79"/>
        <v>0</v>
      </c>
      <c r="I112" s="449">
        <f t="shared" si="79"/>
        <v>0</v>
      </c>
      <c r="J112" s="463">
        <f>IFERROR(VLOOKUP($D112,'OCPLevers &amp; MS- P2O5'!$D$52:$H$66,2,FALSE),0)</f>
        <v>3.5859239699034463E-2</v>
      </c>
      <c r="K112" s="466">
        <f t="shared" ref="K112:O112" si="80">K64*$P112</f>
        <v>0</v>
      </c>
      <c r="L112" s="449">
        <f t="shared" si="80"/>
        <v>0</v>
      </c>
      <c r="M112" s="449">
        <f t="shared" si="80"/>
        <v>3.9692327142380898E-2</v>
      </c>
      <c r="N112" s="449">
        <f t="shared" si="80"/>
        <v>0</v>
      </c>
      <c r="O112" s="449">
        <f t="shared" si="80"/>
        <v>0</v>
      </c>
      <c r="P112" s="463">
        <f>IFERROR(VLOOKUP($D112,'OCPLevers &amp; MS- P2O5'!$D$52:$H$66,3,FALSE),0)</f>
        <v>3.9692327142380898E-2</v>
      </c>
      <c r="Q112" s="466">
        <f t="shared" ref="Q112:U112" si="81">Q64*$V112</f>
        <v>0</v>
      </c>
      <c r="R112" s="449">
        <f t="shared" si="81"/>
        <v>0</v>
      </c>
      <c r="S112" s="449">
        <f t="shared" si="81"/>
        <v>0.23139786059998921</v>
      </c>
      <c r="T112" s="449">
        <f t="shared" si="81"/>
        <v>0</v>
      </c>
      <c r="U112" s="449">
        <f t="shared" si="81"/>
        <v>0</v>
      </c>
      <c r="V112" s="463">
        <f>IFERROR(VLOOKUP($D112,'OCPLevers &amp; MS- P2O5'!$D$52:$H$66,4,FALSE),0)</f>
        <v>0.23139786059998921</v>
      </c>
      <c r="W112" s="466">
        <f t="shared" ref="W112:AA112" si="82">W64*$AB112</f>
        <v>0</v>
      </c>
      <c r="X112" s="449">
        <f t="shared" si="82"/>
        <v>0</v>
      </c>
      <c r="Y112" s="449">
        <f t="shared" si="82"/>
        <v>0.25621493517850785</v>
      </c>
      <c r="Z112" s="449">
        <f t="shared" si="82"/>
        <v>0</v>
      </c>
      <c r="AA112" s="449">
        <f t="shared" si="82"/>
        <v>0</v>
      </c>
      <c r="AB112" s="463">
        <f>IFERROR(VLOOKUP($D112,'OCPLevers &amp; MS- P2O5'!$D$52:$H$66,5,FALSE),0)</f>
        <v>0.25621493517850785</v>
      </c>
    </row>
    <row r="113" spans="4:28" ht="13.5" customHeight="1" x14ac:dyDescent="0.25">
      <c r="D113" s="492" t="s">
        <v>117</v>
      </c>
      <c r="E113" s="466">
        <f t="shared" ref="E113:I113" si="83">E65*$J113</f>
        <v>0</v>
      </c>
      <c r="F113" s="449">
        <f t="shared" si="83"/>
        <v>0</v>
      </c>
      <c r="G113" s="449">
        <f t="shared" si="83"/>
        <v>0</v>
      </c>
      <c r="H113" s="449">
        <f t="shared" si="83"/>
        <v>0</v>
      </c>
      <c r="I113" s="449">
        <f t="shared" si="83"/>
        <v>0</v>
      </c>
      <c r="J113" s="463">
        <f>IFERROR(VLOOKUP($D113,'OCPLevers &amp; MS- P2O5'!$D$52:$H$66,2,FALSE),0)</f>
        <v>0</v>
      </c>
      <c r="K113" s="466">
        <f t="shared" ref="K113:O113" si="84">K65*$P113</f>
        <v>0</v>
      </c>
      <c r="L113" s="449">
        <f t="shared" si="84"/>
        <v>0</v>
      </c>
      <c r="M113" s="449">
        <f t="shared" si="84"/>
        <v>0</v>
      </c>
      <c r="N113" s="449">
        <f t="shared" si="84"/>
        <v>0</v>
      </c>
      <c r="O113" s="449">
        <f t="shared" si="84"/>
        <v>0</v>
      </c>
      <c r="P113" s="463">
        <f>IFERROR(VLOOKUP($D113,'OCPLevers &amp; MS- P2O5'!$D$52:$H$66,3,FALSE),0)</f>
        <v>0</v>
      </c>
      <c r="Q113" s="466">
        <f t="shared" ref="Q113:U113" si="85">Q65*$V113</f>
        <v>0</v>
      </c>
      <c r="R113" s="449">
        <f t="shared" si="85"/>
        <v>0</v>
      </c>
      <c r="S113" s="449">
        <f t="shared" si="85"/>
        <v>0</v>
      </c>
      <c r="T113" s="449">
        <f t="shared" si="85"/>
        <v>0</v>
      </c>
      <c r="U113" s="449">
        <f t="shared" si="85"/>
        <v>0</v>
      </c>
      <c r="V113" s="463">
        <f>IFERROR(VLOOKUP($D113,'OCPLevers &amp; MS- P2O5'!$D$52:$H$66,4,FALSE),0)</f>
        <v>0</v>
      </c>
      <c r="W113" s="466">
        <f t="shared" ref="W113:AA113" si="86">W65*$AB113</f>
        <v>0</v>
      </c>
      <c r="X113" s="449">
        <f t="shared" si="86"/>
        <v>0</v>
      </c>
      <c r="Y113" s="449">
        <f t="shared" si="86"/>
        <v>0</v>
      </c>
      <c r="Z113" s="449">
        <f t="shared" si="86"/>
        <v>0</v>
      </c>
      <c r="AA113" s="449">
        <f t="shared" si="86"/>
        <v>0</v>
      </c>
      <c r="AB113" s="463">
        <f>IFERROR(VLOOKUP($D113,'OCPLevers &amp; MS- P2O5'!$D$52:$H$66,5,FALSE),0)</f>
        <v>0</v>
      </c>
    </row>
    <row r="114" spans="4:28" ht="13.5" customHeight="1" x14ac:dyDescent="0.25">
      <c r="D114" s="492" t="s">
        <v>124</v>
      </c>
      <c r="E114" s="466">
        <f t="shared" ref="E114:I114" si="87">E66*$J114</f>
        <v>0</v>
      </c>
      <c r="F114" s="449">
        <f t="shared" si="87"/>
        <v>0</v>
      </c>
      <c r="G114" s="449">
        <f t="shared" si="87"/>
        <v>1.5569643801294915E-2</v>
      </c>
      <c r="H114" s="449">
        <f t="shared" si="87"/>
        <v>0</v>
      </c>
      <c r="I114" s="449">
        <f t="shared" si="87"/>
        <v>0</v>
      </c>
      <c r="J114" s="463">
        <f>IFERROR(VLOOKUP($D114,'OCPLevers &amp; MS- P2O5'!$D$52:$H$66,2,FALSE),0)</f>
        <v>1.5569643801294915E-2</v>
      </c>
      <c r="K114" s="466">
        <f t="shared" ref="K114:O114" si="88">K66*$P114</f>
        <v>0</v>
      </c>
      <c r="L114" s="449">
        <f t="shared" si="88"/>
        <v>0</v>
      </c>
      <c r="M114" s="449">
        <f t="shared" si="88"/>
        <v>1.6045118408706482E-2</v>
      </c>
      <c r="N114" s="449">
        <f t="shared" si="88"/>
        <v>0</v>
      </c>
      <c r="O114" s="449">
        <f t="shared" si="88"/>
        <v>0</v>
      </c>
      <c r="P114" s="463">
        <f>IFERROR(VLOOKUP($D114,'OCPLevers &amp; MS- P2O5'!$D$52:$H$66,3,FALSE),0)</f>
        <v>1.6045118408706482E-2</v>
      </c>
      <c r="Q114" s="466">
        <f t="shared" ref="Q114:U114" si="89">Q66*$V114</f>
        <v>0</v>
      </c>
      <c r="R114" s="449">
        <f t="shared" si="89"/>
        <v>0</v>
      </c>
      <c r="S114" s="449">
        <f t="shared" si="89"/>
        <v>9.1888289286534808E-2</v>
      </c>
      <c r="T114" s="449">
        <f t="shared" si="89"/>
        <v>0</v>
      </c>
      <c r="U114" s="449">
        <f t="shared" si="89"/>
        <v>0</v>
      </c>
      <c r="V114" s="463">
        <f>IFERROR(VLOOKUP($D114,'OCPLevers &amp; MS- P2O5'!$D$52:$H$66,4,FALSE),0)</f>
        <v>9.1888289286534808E-2</v>
      </c>
      <c r="W114" s="466">
        <f t="shared" ref="W114:AA114" si="90">W66*$AB114</f>
        <v>0</v>
      </c>
      <c r="X114" s="449">
        <f t="shared" si="90"/>
        <v>0</v>
      </c>
      <c r="Y114" s="449">
        <f t="shared" si="90"/>
        <v>0.10044492244017821</v>
      </c>
      <c r="Z114" s="449">
        <f t="shared" si="90"/>
        <v>0</v>
      </c>
      <c r="AA114" s="449">
        <f t="shared" si="90"/>
        <v>0</v>
      </c>
      <c r="AB114" s="463">
        <f>IFERROR(VLOOKUP($D114,'OCPLevers &amp; MS- P2O5'!$D$52:$H$66,5,FALSE),0)</f>
        <v>0.10044492244017821</v>
      </c>
    </row>
    <row r="115" spans="4:28" ht="13.5" customHeight="1" x14ac:dyDescent="0.25">
      <c r="D115" s="492" t="s">
        <v>73</v>
      </c>
      <c r="E115" s="466">
        <f t="shared" ref="E115:I115" si="91">E67*$J115</f>
        <v>7.4889032955125959E-2</v>
      </c>
      <c r="F115" s="449">
        <f t="shared" si="91"/>
        <v>0</v>
      </c>
      <c r="G115" s="449">
        <f t="shared" si="91"/>
        <v>1.2481505492520993E-2</v>
      </c>
      <c r="H115" s="449">
        <f t="shared" si="91"/>
        <v>0</v>
      </c>
      <c r="I115" s="449">
        <f t="shared" si="91"/>
        <v>4.9926021970083972E-2</v>
      </c>
      <c r="J115" s="463">
        <f>IFERROR(VLOOKUP($D115,'OCPLevers &amp; MS- P2O5'!$D$52:$H$66,2,FALSE),0)</f>
        <v>0.13729656041773095</v>
      </c>
      <c r="K115" s="466">
        <f t="shared" ref="K115:O115" si="92">K67*$P115</f>
        <v>0.16670773890742333</v>
      </c>
      <c r="L115" s="449">
        <f t="shared" si="92"/>
        <v>0</v>
      </c>
      <c r="M115" s="449">
        <f t="shared" si="92"/>
        <v>2.7784623151237219E-2</v>
      </c>
      <c r="N115" s="449">
        <f t="shared" si="92"/>
        <v>0</v>
      </c>
      <c r="O115" s="449">
        <f t="shared" si="92"/>
        <v>0.11113849260494887</v>
      </c>
      <c r="P115" s="463">
        <f>IFERROR(VLOOKUP($D115,'OCPLevers &amp; MS- P2O5'!$D$52:$H$66,3,FALSE),0)</f>
        <v>0.30563085466360945</v>
      </c>
      <c r="Q115" s="466">
        <f t="shared" ref="Q115:U115" si="93">Q67*$V115</f>
        <v>0</v>
      </c>
      <c r="R115" s="449">
        <f t="shared" si="93"/>
        <v>0</v>
      </c>
      <c r="S115" s="449">
        <f t="shared" si="93"/>
        <v>0.86707231798085083</v>
      </c>
      <c r="T115" s="449">
        <f t="shared" si="93"/>
        <v>0</v>
      </c>
      <c r="U115" s="449">
        <f t="shared" si="93"/>
        <v>0.67533698307014833</v>
      </c>
      <c r="V115" s="463">
        <f>IFERROR(VLOOKUP($D115,'OCPLevers &amp; MS- P2O5'!$D$52:$H$66,4,FALSE),0)</f>
        <v>1.5424093010509992</v>
      </c>
      <c r="W115" s="466">
        <f t="shared" ref="W115:AA115" si="94">W67*$AB115</f>
        <v>0</v>
      </c>
      <c r="X115" s="449">
        <f t="shared" si="94"/>
        <v>0</v>
      </c>
      <c r="Y115" s="449">
        <f t="shared" si="94"/>
        <v>1.8370729142174791</v>
      </c>
      <c r="Z115" s="449">
        <f t="shared" si="94"/>
        <v>0</v>
      </c>
      <c r="AA115" s="449">
        <f t="shared" si="94"/>
        <v>1.4308417577631825</v>
      </c>
      <c r="AB115" s="463">
        <f>IFERROR(VLOOKUP($D115,'OCPLevers &amp; MS- P2O5'!$D$52:$H$66,5,FALSE),0)</f>
        <v>3.2679146719806615</v>
      </c>
    </row>
    <row r="116" spans="4:28" ht="13.5" customHeight="1" x14ac:dyDescent="0.25">
      <c r="D116" s="492" t="s">
        <v>156</v>
      </c>
      <c r="E116" s="466">
        <f t="shared" ref="E116:I116" si="95">E68*$J116</f>
        <v>0</v>
      </c>
      <c r="F116" s="449">
        <f t="shared" si="95"/>
        <v>0</v>
      </c>
      <c r="G116" s="449">
        <f t="shared" si="95"/>
        <v>0</v>
      </c>
      <c r="H116" s="449">
        <f t="shared" si="95"/>
        <v>0</v>
      </c>
      <c r="I116" s="449">
        <f t="shared" si="95"/>
        <v>0</v>
      </c>
      <c r="J116" s="463">
        <f>IFERROR(VLOOKUP($D116,'OCPLevers &amp; MS- P2O5'!$D$52:$H$66,2,FALSE),0)</f>
        <v>0</v>
      </c>
      <c r="K116" s="466">
        <f t="shared" ref="K116:O116" si="96">K68*$P116</f>
        <v>0</v>
      </c>
      <c r="L116" s="449">
        <f t="shared" si="96"/>
        <v>0</v>
      </c>
      <c r="M116" s="449">
        <f t="shared" si="96"/>
        <v>0</v>
      </c>
      <c r="N116" s="449">
        <f t="shared" si="96"/>
        <v>0.31571257022994714</v>
      </c>
      <c r="O116" s="449">
        <f t="shared" si="96"/>
        <v>7.4285310642340507E-2</v>
      </c>
      <c r="P116" s="463">
        <f>IFERROR(VLOOKUP($D116,'OCPLevers &amp; MS- P2O5'!$D$52:$H$66,3,FALSE),0)</f>
        <v>0.38999788087228765</v>
      </c>
      <c r="Q116" s="466">
        <f t="shared" ref="Q116:U116" si="97">Q68*$V116</f>
        <v>0</v>
      </c>
      <c r="R116" s="449">
        <f t="shared" si="97"/>
        <v>0</v>
      </c>
      <c r="S116" s="449">
        <f t="shared" si="97"/>
        <v>0</v>
      </c>
      <c r="T116" s="449">
        <f t="shared" si="97"/>
        <v>1.4853702127965172</v>
      </c>
      <c r="U116" s="449">
        <f t="shared" si="97"/>
        <v>0.26212415519938537</v>
      </c>
      <c r="V116" s="463">
        <f>IFERROR(VLOOKUP($D116,'OCPLevers &amp; MS- P2O5'!$D$52:$H$66,4,FALSE),0)</f>
        <v>1.7474943679959025</v>
      </c>
      <c r="W116" s="466">
        <f t="shared" ref="W116:AA116" si="98">W68*$AB116</f>
        <v>0</v>
      </c>
      <c r="X116" s="449">
        <f t="shared" si="98"/>
        <v>0</v>
      </c>
      <c r="Y116" s="449">
        <f t="shared" si="98"/>
        <v>0</v>
      </c>
      <c r="Z116" s="449">
        <f t="shared" si="98"/>
        <v>3.5824858779717013</v>
      </c>
      <c r="AA116" s="449">
        <f t="shared" si="98"/>
        <v>0.63220339023030026</v>
      </c>
      <c r="AB116" s="463">
        <f>IFERROR(VLOOKUP($D116,'OCPLevers &amp; MS- P2O5'!$D$52:$H$66,5,FALSE),0)</f>
        <v>4.2146892682020018</v>
      </c>
    </row>
    <row r="117" spans="4:28" ht="13.5" customHeight="1" x14ac:dyDescent="0.25">
      <c r="D117" s="492" t="s">
        <v>113</v>
      </c>
      <c r="E117" s="466">
        <f t="shared" ref="E117:I117" si="99">E69*$J117</f>
        <v>1.4924023931128128</v>
      </c>
      <c r="F117" s="449">
        <f t="shared" si="99"/>
        <v>0</v>
      </c>
      <c r="G117" s="449">
        <f t="shared" si="99"/>
        <v>0.95572567046633339</v>
      </c>
      <c r="H117" s="449">
        <f t="shared" si="99"/>
        <v>0</v>
      </c>
      <c r="I117" s="449">
        <f t="shared" si="99"/>
        <v>0</v>
      </c>
      <c r="J117" s="463">
        <f>IFERROR(VLOOKUP($D117,'OCPLevers &amp; MS- P2O5'!$D$52:$H$66,2,FALSE),0)</f>
        <v>2.4481280635791465</v>
      </c>
      <c r="K117" s="466">
        <f t="shared" ref="K117:O117" si="100">K69*$P117</f>
        <v>1.5027445901486038</v>
      </c>
      <c r="L117" s="449">
        <f t="shared" si="100"/>
        <v>0</v>
      </c>
      <c r="M117" s="449">
        <f t="shared" si="100"/>
        <v>0.96234875231191397</v>
      </c>
      <c r="N117" s="449">
        <f t="shared" si="100"/>
        <v>0</v>
      </c>
      <c r="O117" s="449">
        <f t="shared" si="100"/>
        <v>0</v>
      </c>
      <c r="P117" s="463">
        <f>IFERROR(VLOOKUP($D117,'OCPLevers &amp; MS- P2O5'!$D$52:$H$66,3,FALSE),0)</f>
        <v>2.4650933424605181</v>
      </c>
      <c r="Q117" s="466">
        <f t="shared" ref="Q117:U117" si="101">Q69*$V117</f>
        <v>1.3772216448195049</v>
      </c>
      <c r="R117" s="449">
        <f t="shared" si="101"/>
        <v>0</v>
      </c>
      <c r="S117" s="449">
        <f t="shared" si="101"/>
        <v>0.53009054094122943</v>
      </c>
      <c r="T117" s="449">
        <f t="shared" si="101"/>
        <v>0</v>
      </c>
      <c r="U117" s="449">
        <f t="shared" si="101"/>
        <v>0</v>
      </c>
      <c r="V117" s="463">
        <f>IFERROR(VLOOKUP($D117,'OCPLevers &amp; MS- P2O5'!$D$52:$H$66,4,FALSE),0)</f>
        <v>1.9073121857607345</v>
      </c>
      <c r="W117" s="466">
        <f t="shared" ref="W117:AA117" si="102">W69*$AB117</f>
        <v>0.86163361625044044</v>
      </c>
      <c r="X117" s="449">
        <f t="shared" si="102"/>
        <v>0</v>
      </c>
      <c r="Y117" s="449">
        <f t="shared" si="102"/>
        <v>0.33164148374331082</v>
      </c>
      <c r="Z117" s="449">
        <f t="shared" si="102"/>
        <v>0</v>
      </c>
      <c r="AA117" s="449">
        <f t="shared" si="102"/>
        <v>0</v>
      </c>
      <c r="AB117" s="463">
        <f>IFERROR(VLOOKUP($D117,'OCPLevers &amp; MS- P2O5'!$D$52:$H$66,5,FALSE),0)</f>
        <v>1.1932750999937514</v>
      </c>
    </row>
    <row r="118" spans="4:28" ht="13.5" customHeight="1" x14ac:dyDescent="0.25">
      <c r="D118" s="492" t="s">
        <v>182</v>
      </c>
      <c r="E118" s="466">
        <f t="shared" ref="E118:I118" si="103">E70*$J118</f>
        <v>0</v>
      </c>
      <c r="F118" s="449">
        <f t="shared" si="103"/>
        <v>0</v>
      </c>
      <c r="G118" s="449">
        <f t="shared" si="103"/>
        <v>0</v>
      </c>
      <c r="H118" s="449">
        <f t="shared" si="103"/>
        <v>0</v>
      </c>
      <c r="I118" s="449">
        <f t="shared" si="103"/>
        <v>0</v>
      </c>
      <c r="J118" s="463">
        <f>IFERROR(VLOOKUP($D118,'OCPLevers &amp; MS- P2O5'!$D$52:$H$66,2,FALSE),0)</f>
        <v>0</v>
      </c>
      <c r="K118" s="466">
        <f t="shared" ref="K118:O118" si="104">K70*$P118</f>
        <v>0</v>
      </c>
      <c r="L118" s="449">
        <f t="shared" si="104"/>
        <v>0</v>
      </c>
      <c r="M118" s="449">
        <f t="shared" si="104"/>
        <v>7.932454488830315E-2</v>
      </c>
      <c r="N118" s="449">
        <f t="shared" si="104"/>
        <v>0</v>
      </c>
      <c r="O118" s="449">
        <f t="shared" si="104"/>
        <v>0</v>
      </c>
      <c r="P118" s="463">
        <f>IFERROR(VLOOKUP($D118,'OCPLevers &amp; MS- P2O5'!$D$52:$H$66,3,FALSE),0)</f>
        <v>7.932454488830315E-2</v>
      </c>
      <c r="Q118" s="466">
        <f t="shared" ref="Q118:U118" si="105">Q70*$V118</f>
        <v>0</v>
      </c>
      <c r="R118" s="449">
        <f t="shared" si="105"/>
        <v>0</v>
      </c>
      <c r="S118" s="449">
        <f t="shared" si="105"/>
        <v>0.72697143982724965</v>
      </c>
      <c r="T118" s="449">
        <f t="shared" si="105"/>
        <v>0</v>
      </c>
      <c r="U118" s="449">
        <f t="shared" si="105"/>
        <v>0</v>
      </c>
      <c r="V118" s="463">
        <f>IFERROR(VLOOKUP($D118,'OCPLevers &amp; MS- P2O5'!$D$52:$H$66,4,FALSE),0)</f>
        <v>0.72697143982724965</v>
      </c>
      <c r="W118" s="466">
        <f t="shared" ref="W118:AA118" si="106">W70*$AB118</f>
        <v>0</v>
      </c>
      <c r="X118" s="449">
        <f t="shared" si="106"/>
        <v>0</v>
      </c>
      <c r="Y118" s="449">
        <f t="shared" si="106"/>
        <v>2.0275941032377736</v>
      </c>
      <c r="Z118" s="449">
        <f t="shared" si="106"/>
        <v>0</v>
      </c>
      <c r="AA118" s="449">
        <f t="shared" si="106"/>
        <v>0</v>
      </c>
      <c r="AB118" s="463">
        <f>IFERROR(VLOOKUP($D118,'OCPLevers &amp; MS- P2O5'!$D$52:$H$66,5,FALSE),0)</f>
        <v>2.0275941032377736</v>
      </c>
    </row>
    <row r="119" spans="4:28" ht="13.5" customHeight="1" x14ac:dyDescent="0.25">
      <c r="D119" s="492" t="s">
        <v>158</v>
      </c>
      <c r="E119" s="466">
        <f t="shared" ref="E119:I119" si="107">E71*$J119</f>
        <v>2.7494535026403457</v>
      </c>
      <c r="F119" s="449">
        <f t="shared" si="107"/>
        <v>0</v>
      </c>
      <c r="G119" s="449">
        <f t="shared" si="107"/>
        <v>2.7494535026403457</v>
      </c>
      <c r="H119" s="449">
        <f t="shared" si="107"/>
        <v>0</v>
      </c>
      <c r="I119" s="449">
        <f t="shared" si="107"/>
        <v>5.4989070052806914</v>
      </c>
      <c r="J119" s="463">
        <f>IFERROR(VLOOKUP($D119,'OCPLevers &amp; MS- P2O5'!$D$52:$H$66,2,FALSE),0)</f>
        <v>10.997814010561383</v>
      </c>
      <c r="K119" s="466">
        <f t="shared" ref="K119:O119" si="108">K71*$P119</f>
        <v>3.6259832121828275</v>
      </c>
      <c r="L119" s="449">
        <f t="shared" si="108"/>
        <v>0</v>
      </c>
      <c r="M119" s="449">
        <f t="shared" si="108"/>
        <v>3.6259832121828275</v>
      </c>
      <c r="N119" s="449">
        <f t="shared" si="108"/>
        <v>0</v>
      </c>
      <c r="O119" s="449">
        <f t="shared" si="108"/>
        <v>7.251966424365655</v>
      </c>
      <c r="P119" s="463">
        <f>IFERROR(VLOOKUP($D119,'OCPLevers &amp; MS- P2O5'!$D$52:$H$66,3,FALSE),0)</f>
        <v>14.50393284873131</v>
      </c>
      <c r="Q119" s="466">
        <f t="shared" ref="Q119:U119" si="109">Q71*$V119</f>
        <v>6.3801423348251749</v>
      </c>
      <c r="R119" s="449">
        <f t="shared" si="109"/>
        <v>0</v>
      </c>
      <c r="S119" s="449">
        <f t="shared" si="109"/>
        <v>0</v>
      </c>
      <c r="T119" s="449">
        <f t="shared" si="109"/>
        <v>0</v>
      </c>
      <c r="U119" s="449">
        <f t="shared" si="109"/>
        <v>11.848835764675327</v>
      </c>
      <c r="V119" s="463">
        <f>IFERROR(VLOOKUP($D119,'OCPLevers &amp; MS- P2O5'!$D$52:$H$66,4,FALSE),0)</f>
        <v>18.228978099500502</v>
      </c>
      <c r="W119" s="466">
        <f t="shared" ref="W119:AA119" si="110">W71*$AB119</f>
        <v>7.7881381787014217</v>
      </c>
      <c r="X119" s="449">
        <f t="shared" si="110"/>
        <v>0</v>
      </c>
      <c r="Y119" s="449">
        <f t="shared" si="110"/>
        <v>0</v>
      </c>
      <c r="Z119" s="449">
        <f t="shared" si="110"/>
        <v>0</v>
      </c>
      <c r="AA119" s="449">
        <f t="shared" si="110"/>
        <v>14.463685189016926</v>
      </c>
      <c r="AB119" s="463">
        <f>IFERROR(VLOOKUP($D119,'OCPLevers &amp; MS- P2O5'!$D$52:$H$66,5,FALSE),0)</f>
        <v>22.251823367718348</v>
      </c>
    </row>
    <row r="120" spans="4:28" ht="13.5" customHeight="1" x14ac:dyDescent="0.25">
      <c r="D120" s="492" t="s">
        <v>184</v>
      </c>
      <c r="E120" s="466">
        <f t="shared" ref="E120:I120" si="111">E72*$J120</f>
        <v>0</v>
      </c>
      <c r="F120" s="449">
        <f t="shared" si="111"/>
        <v>0</v>
      </c>
      <c r="G120" s="449">
        <f t="shared" si="111"/>
        <v>0</v>
      </c>
      <c r="H120" s="449">
        <f t="shared" si="111"/>
        <v>0</v>
      </c>
      <c r="I120" s="449">
        <f t="shared" si="111"/>
        <v>0</v>
      </c>
      <c r="J120" s="463">
        <f>IFERROR(VLOOKUP($D120,'OCPLevers &amp; MS- P2O5'!$D$52:$H$66,2,FALSE),0)</f>
        <v>0</v>
      </c>
      <c r="K120" s="466">
        <f t="shared" ref="K120:O120" si="112">K72*$P120</f>
        <v>4.8620230184398136E-2</v>
      </c>
      <c r="L120" s="449">
        <f t="shared" si="112"/>
        <v>0</v>
      </c>
      <c r="M120" s="449">
        <f t="shared" si="112"/>
        <v>0.21068766413239196</v>
      </c>
      <c r="N120" s="449">
        <f t="shared" si="112"/>
        <v>0</v>
      </c>
      <c r="O120" s="449">
        <f t="shared" si="112"/>
        <v>9.7240460368796272E-2</v>
      </c>
      <c r="P120" s="463">
        <f>IFERROR(VLOOKUP($D120,'OCPLevers &amp; MS- P2O5'!$D$52:$H$66,3,FALSE),0)</f>
        <v>0.35654835468558638</v>
      </c>
      <c r="Q120" s="466">
        <f t="shared" ref="Q120:U120" si="113">Q72*$V120</f>
        <v>0.12796876746433883</v>
      </c>
      <c r="R120" s="449">
        <f t="shared" si="113"/>
        <v>0</v>
      </c>
      <c r="S120" s="449">
        <f t="shared" si="113"/>
        <v>0.5545313256788017</v>
      </c>
      <c r="T120" s="449">
        <f t="shared" si="113"/>
        <v>0</v>
      </c>
      <c r="U120" s="449">
        <f t="shared" si="113"/>
        <v>0.1706250232857851</v>
      </c>
      <c r="V120" s="463">
        <f>IFERROR(VLOOKUP($D120,'OCPLevers &amp; MS- P2O5'!$D$52:$H$66,4,FALSE),0)</f>
        <v>0.85312511642892563</v>
      </c>
      <c r="W120" s="466">
        <f t="shared" ref="W120:AA120" si="114">W72*$AB120</f>
        <v>0.22782947822094621</v>
      </c>
      <c r="X120" s="449">
        <f t="shared" si="114"/>
        <v>0</v>
      </c>
      <c r="Y120" s="449">
        <f t="shared" si="114"/>
        <v>0.98726107229076698</v>
      </c>
      <c r="Z120" s="449">
        <f t="shared" si="114"/>
        <v>0</v>
      </c>
      <c r="AA120" s="449">
        <f t="shared" si="114"/>
        <v>0.30377263762792828</v>
      </c>
      <c r="AB120" s="463">
        <f>IFERROR(VLOOKUP($D120,'OCPLevers &amp; MS- P2O5'!$D$52:$H$66,5,FALSE),0)</f>
        <v>1.5188631881396415</v>
      </c>
    </row>
    <row r="121" spans="4:28" ht="13.5" customHeight="1" x14ac:dyDescent="0.25">
      <c r="D121" s="492" t="s">
        <v>125</v>
      </c>
      <c r="E121" s="466">
        <f t="shared" ref="E121:I121" si="115">E73*$J121</f>
        <v>0</v>
      </c>
      <c r="F121" s="449">
        <f t="shared" si="115"/>
        <v>0</v>
      </c>
      <c r="G121" s="449">
        <f t="shared" si="115"/>
        <v>2.9083424595168668E-3</v>
      </c>
      <c r="H121" s="449">
        <f t="shared" si="115"/>
        <v>0</v>
      </c>
      <c r="I121" s="449">
        <f t="shared" si="115"/>
        <v>0</v>
      </c>
      <c r="J121" s="463">
        <f>IFERROR(VLOOKUP($D121,'OCPLevers &amp; MS- P2O5'!$D$52:$H$66,2,FALSE),0)</f>
        <v>2.9083424595168668E-3</v>
      </c>
      <c r="K121" s="466">
        <f t="shared" ref="K121:O121" si="116">K73*$P121</f>
        <v>0</v>
      </c>
      <c r="L121" s="449">
        <f t="shared" si="116"/>
        <v>0</v>
      </c>
      <c r="M121" s="449">
        <f t="shared" si="116"/>
        <v>3.129249884922736E-3</v>
      </c>
      <c r="N121" s="449">
        <f t="shared" si="116"/>
        <v>0</v>
      </c>
      <c r="O121" s="449">
        <f t="shared" si="116"/>
        <v>0</v>
      </c>
      <c r="P121" s="463">
        <f>IFERROR(VLOOKUP($D121,'OCPLevers &amp; MS- P2O5'!$D$52:$H$66,3,FALSE),0)</f>
        <v>3.129249884922736E-3</v>
      </c>
      <c r="Q121" s="466">
        <f t="shared" ref="Q121:U121" si="117">Q73*$V121</f>
        <v>0</v>
      </c>
      <c r="R121" s="449">
        <f t="shared" si="117"/>
        <v>0</v>
      </c>
      <c r="S121" s="449">
        <f t="shared" si="117"/>
        <v>2.7647449593819449E-2</v>
      </c>
      <c r="T121" s="449">
        <f t="shared" si="117"/>
        <v>0</v>
      </c>
      <c r="U121" s="449">
        <f t="shared" si="117"/>
        <v>0</v>
      </c>
      <c r="V121" s="463">
        <f>IFERROR(VLOOKUP($D121,'OCPLevers &amp; MS- P2O5'!$D$52:$H$66,4,FALSE),0)</f>
        <v>2.7647449593819449E-2</v>
      </c>
      <c r="W121" s="466">
        <f t="shared" ref="W121:AA121" si="118">W73*$AB121</f>
        <v>0</v>
      </c>
      <c r="X121" s="449">
        <f t="shared" si="118"/>
        <v>0</v>
      </c>
      <c r="Y121" s="449">
        <f t="shared" si="118"/>
        <v>3.1625244439238566E-2</v>
      </c>
      <c r="Z121" s="449">
        <f t="shared" si="118"/>
        <v>0</v>
      </c>
      <c r="AA121" s="449">
        <f t="shared" si="118"/>
        <v>0</v>
      </c>
      <c r="AB121" s="463">
        <f>IFERROR(VLOOKUP($D121,'OCPLevers &amp; MS- P2O5'!$D$52:$H$66,5,FALSE),0)</f>
        <v>3.1625244439238566E-2</v>
      </c>
    </row>
    <row r="122" spans="4:28" ht="13.5" customHeight="1" x14ac:dyDescent="0.25">
      <c r="D122" s="492" t="s">
        <v>144</v>
      </c>
      <c r="E122" s="466">
        <f t="shared" ref="E122:I122" si="119">E74*$J122</f>
        <v>0</v>
      </c>
      <c r="F122" s="449">
        <f t="shared" si="119"/>
        <v>0</v>
      </c>
      <c r="G122" s="449">
        <f t="shared" si="119"/>
        <v>2.4118854705242631E-3</v>
      </c>
      <c r="H122" s="449">
        <f t="shared" si="119"/>
        <v>0</v>
      </c>
      <c r="I122" s="449">
        <f t="shared" si="119"/>
        <v>0</v>
      </c>
      <c r="J122" s="463">
        <f>IFERROR(VLOOKUP($D122,'OCPLevers &amp; MS- P2O5'!$D$52:$H$66,2,FALSE),0)</f>
        <v>2.4118854705242631E-3</v>
      </c>
      <c r="K122" s="466">
        <f t="shared" ref="K122:O122" si="120">K74*$P122</f>
        <v>0</v>
      </c>
      <c r="L122" s="449">
        <f t="shared" si="120"/>
        <v>0</v>
      </c>
      <c r="M122" s="449">
        <f t="shared" si="120"/>
        <v>2.5343200002426571E-3</v>
      </c>
      <c r="N122" s="449">
        <f t="shared" si="120"/>
        <v>0</v>
      </c>
      <c r="O122" s="449">
        <f t="shared" si="120"/>
        <v>0</v>
      </c>
      <c r="P122" s="463">
        <f>IFERROR(VLOOKUP($D122,'OCPLevers &amp; MS- P2O5'!$D$52:$H$66,3,FALSE),0)</f>
        <v>2.5343200002426571E-3</v>
      </c>
      <c r="Q122" s="466">
        <f t="shared" ref="Q122:U122" si="121">Q74*$V122</f>
        <v>0</v>
      </c>
      <c r="R122" s="449">
        <f t="shared" si="121"/>
        <v>0</v>
      </c>
      <c r="S122" s="449">
        <f t="shared" si="121"/>
        <v>1.950921543229004E-2</v>
      </c>
      <c r="T122" s="449">
        <f t="shared" si="121"/>
        <v>0</v>
      </c>
      <c r="U122" s="449">
        <f t="shared" si="121"/>
        <v>0</v>
      </c>
      <c r="V122" s="463">
        <f>IFERROR(VLOOKUP($D122,'OCPLevers &amp; MS- P2O5'!$D$52:$H$66,4,FALSE),0)</f>
        <v>1.950921543229004E-2</v>
      </c>
      <c r="W122" s="466">
        <f t="shared" ref="W122:AA122" si="122">W74*$AB122</f>
        <v>0</v>
      </c>
      <c r="X122" s="449">
        <f t="shared" si="122"/>
        <v>0</v>
      </c>
      <c r="Y122" s="449">
        <f t="shared" si="122"/>
        <v>2.1610436216805317E-2</v>
      </c>
      <c r="Z122" s="449">
        <f t="shared" si="122"/>
        <v>0</v>
      </c>
      <c r="AA122" s="449">
        <f t="shared" si="122"/>
        <v>0</v>
      </c>
      <c r="AB122" s="463">
        <f>IFERROR(VLOOKUP($D122,'OCPLevers &amp; MS- P2O5'!$D$52:$H$66,5,FALSE),0)</f>
        <v>2.1610436216805317E-2</v>
      </c>
    </row>
    <row r="123" spans="4:28" ht="13.5" customHeight="1" x14ac:dyDescent="0.25">
      <c r="D123" s="492" t="s">
        <v>68</v>
      </c>
      <c r="E123" s="466">
        <f t="shared" ref="E123:I123" si="123">E75*$J123</f>
        <v>0</v>
      </c>
      <c r="F123" s="449">
        <f t="shared" si="123"/>
        <v>0</v>
      </c>
      <c r="G123" s="449">
        <f t="shared" si="123"/>
        <v>1.5788087094109685E-3</v>
      </c>
      <c r="H123" s="449">
        <f t="shared" si="123"/>
        <v>0</v>
      </c>
      <c r="I123" s="449">
        <f t="shared" si="123"/>
        <v>0</v>
      </c>
      <c r="J123" s="463">
        <f>IFERROR(VLOOKUP($D123,'OCPLevers &amp; MS- P2O5'!$D$52:$H$66,2,FALSE),0)</f>
        <v>1.5788087094109685E-3</v>
      </c>
      <c r="K123" s="466">
        <f t="shared" ref="K123:O123" si="124">K75*$P123</f>
        <v>0</v>
      </c>
      <c r="L123" s="449">
        <f t="shared" si="124"/>
        <v>0</v>
      </c>
      <c r="M123" s="449">
        <f t="shared" si="124"/>
        <v>1.6407003848426685E-3</v>
      </c>
      <c r="N123" s="449">
        <f t="shared" si="124"/>
        <v>0</v>
      </c>
      <c r="O123" s="449">
        <f t="shared" si="124"/>
        <v>0</v>
      </c>
      <c r="P123" s="463">
        <f>IFERROR(VLOOKUP($D123,'OCPLevers &amp; MS- P2O5'!$D$52:$H$66,3,FALSE),0)</f>
        <v>1.6407003848426685E-3</v>
      </c>
      <c r="Q123" s="466">
        <f t="shared" ref="Q123:U123" si="125">Q75*$V123</f>
        <v>0</v>
      </c>
      <c r="R123" s="449">
        <f t="shared" si="125"/>
        <v>0</v>
      </c>
      <c r="S123" s="449">
        <f t="shared" si="125"/>
        <v>1.4264312557809987E-2</v>
      </c>
      <c r="T123" s="449">
        <f t="shared" si="125"/>
        <v>0</v>
      </c>
      <c r="U123" s="449">
        <f t="shared" si="125"/>
        <v>0</v>
      </c>
      <c r="V123" s="463">
        <f>IFERROR(VLOOKUP($D123,'OCPLevers &amp; MS- P2O5'!$D$52:$H$66,4,FALSE),0)</f>
        <v>1.4264312557809987E-2</v>
      </c>
      <c r="W123" s="466">
        <f t="shared" ref="W123:AA123" si="126">W75*$AB123</f>
        <v>0</v>
      </c>
      <c r="X123" s="449">
        <f t="shared" si="126"/>
        <v>0</v>
      </c>
      <c r="Y123" s="449">
        <f t="shared" si="126"/>
        <v>1.6098068801289087E-2</v>
      </c>
      <c r="Z123" s="449">
        <f t="shared" si="126"/>
        <v>0</v>
      </c>
      <c r="AA123" s="449">
        <f t="shared" si="126"/>
        <v>0</v>
      </c>
      <c r="AB123" s="463">
        <f>IFERROR(VLOOKUP($D123,'OCPLevers &amp; MS- P2O5'!$D$52:$H$66,5,FALSE),0)</f>
        <v>1.6098068801289087E-2</v>
      </c>
    </row>
    <row r="124" spans="4:28" ht="13.5" customHeight="1" thickBot="1" x14ac:dyDescent="0.3">
      <c r="D124" s="493" t="s">
        <v>119</v>
      </c>
      <c r="E124" s="502">
        <f t="shared" ref="E124:I124" si="127">E76*$J124</f>
        <v>0</v>
      </c>
      <c r="F124" s="503">
        <f t="shared" si="127"/>
        <v>0</v>
      </c>
      <c r="G124" s="503">
        <f t="shared" si="127"/>
        <v>0</v>
      </c>
      <c r="H124" s="503">
        <f t="shared" si="127"/>
        <v>0</v>
      </c>
      <c r="I124" s="503">
        <f t="shared" si="127"/>
        <v>0</v>
      </c>
      <c r="J124" s="463">
        <f>IFERROR(VLOOKUP($D124,'OCPLevers &amp; MS- P2O5'!$D$52:$H$66,2,FALSE),0)</f>
        <v>0</v>
      </c>
      <c r="K124" s="502">
        <f t="shared" ref="K124:O124" si="128">K76*$P124</f>
        <v>0</v>
      </c>
      <c r="L124" s="503">
        <f t="shared" si="128"/>
        <v>0</v>
      </c>
      <c r="M124" s="503">
        <f t="shared" si="128"/>
        <v>0.91227548398600766</v>
      </c>
      <c r="N124" s="503">
        <f t="shared" si="128"/>
        <v>0</v>
      </c>
      <c r="O124" s="503">
        <f t="shared" si="128"/>
        <v>2.0420765091657592E-2</v>
      </c>
      <c r="P124" s="463">
        <f>IFERROR(VLOOKUP($D124,'OCPLevers &amp; MS- P2O5'!$D$52:$H$66,3,FALSE),0)</f>
        <v>0.93269624907766535</v>
      </c>
      <c r="Q124" s="502">
        <f t="shared" ref="Q124:U124" si="129">Q76*$V124</f>
        <v>0</v>
      </c>
      <c r="R124" s="503">
        <f t="shared" si="129"/>
        <v>0</v>
      </c>
      <c r="S124" s="503">
        <f t="shared" si="129"/>
        <v>1.9449261589505418</v>
      </c>
      <c r="T124" s="503">
        <f t="shared" si="129"/>
        <v>0</v>
      </c>
      <c r="U124" s="503">
        <f t="shared" si="129"/>
        <v>8.2387347011638426E-2</v>
      </c>
      <c r="V124" s="463">
        <f>IFERROR(VLOOKUP($D124,'OCPLevers &amp; MS- P2O5'!$D$52:$H$66,4,FALSE),0)</f>
        <v>2.0273135059621801</v>
      </c>
      <c r="W124" s="502">
        <f t="shared" ref="W124:AA124" si="130">W76*$AB124</f>
        <v>0</v>
      </c>
      <c r="X124" s="503">
        <f t="shared" si="130"/>
        <v>0</v>
      </c>
      <c r="Y124" s="503">
        <f t="shared" si="130"/>
        <v>3.1706263486414388</v>
      </c>
      <c r="Z124" s="503">
        <f t="shared" si="130"/>
        <v>0</v>
      </c>
      <c r="AA124" s="503">
        <f t="shared" si="130"/>
        <v>0.13430818030167124</v>
      </c>
      <c r="AB124" s="463">
        <f>IFERROR(VLOOKUP($D124,'OCPLevers &amp; MS- P2O5'!$D$52:$H$66,5,FALSE),0)</f>
        <v>3.30493452894311</v>
      </c>
    </row>
    <row r="125" spans="4:28" ht="13.5" customHeight="1" thickBot="1" x14ac:dyDescent="0.3">
      <c r="D125" s="88" t="s">
        <v>13</v>
      </c>
      <c r="E125" s="468">
        <f>SUM(E111:E124)</f>
        <v>4.3167449287082844</v>
      </c>
      <c r="F125" s="469">
        <f t="shared" ref="F125" si="131">SUM(F111:F124)</f>
        <v>0.84558527095351399</v>
      </c>
      <c r="G125" s="469">
        <f t="shared" ref="G125" si="132">SUM(G111:G124)</f>
        <v>4.1786482515739873</v>
      </c>
      <c r="H125" s="469">
        <f t="shared" ref="H125" si="133">SUM(H111:H124)</f>
        <v>0</v>
      </c>
      <c r="I125" s="469">
        <f t="shared" ref="I125" si="134">SUM(I111:I124)</f>
        <v>24.433570745212585</v>
      </c>
      <c r="J125" s="470">
        <f>SUM(J111:J124)</f>
        <v>33.774549196448376</v>
      </c>
      <c r="K125" s="468">
        <f>SUM(K111:K124)</f>
        <v>5.3440557714232533</v>
      </c>
      <c r="L125" s="469">
        <f t="shared" ref="L125" si="135">SUM(L111:L124)</f>
        <v>1.3353280719136587</v>
      </c>
      <c r="M125" s="469">
        <f t="shared" ref="M125" si="136">SUM(M111:M124)</f>
        <v>6.5173165069088528</v>
      </c>
      <c r="N125" s="469">
        <f t="shared" ref="N125" si="137">SUM(N111:N124)</f>
        <v>0.31571257022994714</v>
      </c>
      <c r="O125" s="469">
        <f t="shared" ref="O125" si="138">SUM(O111:O124)</f>
        <v>37.377378392478434</v>
      </c>
      <c r="P125" s="470">
        <f>SUM(P111:P124)</f>
        <v>50.889791312954145</v>
      </c>
      <c r="Q125" s="468">
        <f>SUM(Q111:Q124)</f>
        <v>7.8853327471090182</v>
      </c>
      <c r="R125" s="469">
        <f t="shared" ref="R125" si="139">SUM(R111:R124)</f>
        <v>2.78608378240309</v>
      </c>
      <c r="S125" s="469">
        <f t="shared" ref="S125" si="140">SUM(S111:S124)</f>
        <v>6.4013408020506617</v>
      </c>
      <c r="T125" s="469">
        <f t="shared" ref="T125" si="141">SUM(T111:T124)</f>
        <v>1.4853702127965172</v>
      </c>
      <c r="U125" s="469">
        <f t="shared" ref="U125" si="142">SUM(U111:U124)</f>
        <v>78.512278159714882</v>
      </c>
      <c r="V125" s="470">
        <f>SUM(V111:V124)</f>
        <v>97.070405704074176</v>
      </c>
      <c r="W125" s="469">
        <f>SUM(W111:W124)</f>
        <v>8.8776012731728073</v>
      </c>
      <c r="X125" s="469">
        <f t="shared" ref="X125" si="143">SUM(X111:X124)</f>
        <v>4.8389483068416013</v>
      </c>
      <c r="Y125" s="469">
        <f t="shared" ref="Y125" si="144">SUM(Y111:Y124)</f>
        <v>11.199663682627591</v>
      </c>
      <c r="Z125" s="469">
        <f t="shared" ref="Z125" si="145">SUM(Z111:Z124)</f>
        <v>3.5824858779717013</v>
      </c>
      <c r="AA125" s="469">
        <f t="shared" ref="AA125" si="146">SUM(AA111:AA124)</f>
        <v>130.68009636571762</v>
      </c>
      <c r="AB125" s="470">
        <f>SUM(AB111:AB124)</f>
        <v>159.17879550633128</v>
      </c>
    </row>
    <row r="126" spans="4:28" ht="13.5" customHeight="1" thickTop="1" thickBot="1" x14ac:dyDescent="0.3">
      <c r="D126" s="472" t="s">
        <v>792</v>
      </c>
      <c r="E126" s="473">
        <f>E125/(E53/E54)</f>
        <v>28.778299524721898</v>
      </c>
      <c r="F126" s="474">
        <f>F125/(F53/F54)</f>
        <v>3.6764576997978868</v>
      </c>
      <c r="G126" s="474">
        <f>G125/(G53/G54)</f>
        <v>13.928827505246625</v>
      </c>
      <c r="H126" s="474">
        <f>H125/(H53/H54)</f>
        <v>0</v>
      </c>
      <c r="I126" s="474">
        <f>I125/(I53/I54)</f>
        <v>53.116458141766486</v>
      </c>
      <c r="J126" s="475">
        <f>SUM(E126:I126)</f>
        <v>99.500042871532898</v>
      </c>
      <c r="K126" s="473">
        <f>K125/(K53/K54)</f>
        <v>35.627038476155022</v>
      </c>
      <c r="L126" s="474">
        <f>L125/(L53/L54)</f>
        <v>5.8057742257115592</v>
      </c>
      <c r="M126" s="474">
        <f>M125/(M53/M54)</f>
        <v>21.724388356362844</v>
      </c>
      <c r="N126" s="474">
        <f>N125/(N53/N54)</f>
        <v>0.95670475827256707</v>
      </c>
      <c r="O126" s="474">
        <f>O125/(O53/O54)</f>
        <v>81.255170418431376</v>
      </c>
      <c r="P126" s="475">
        <f>SUM(K126:O126)</f>
        <v>145.36907623493337</v>
      </c>
      <c r="Q126" s="473">
        <f>Q125/(Q53/Q54)</f>
        <v>52.568884980726793</v>
      </c>
      <c r="R126" s="474">
        <f>R125/(R53/R54)</f>
        <v>12.113407749578652</v>
      </c>
      <c r="S126" s="474">
        <f>S125/(S53/S54)</f>
        <v>21.337802673502207</v>
      </c>
      <c r="T126" s="474">
        <f>T125/(T53/T54)</f>
        <v>4.5011218569591422</v>
      </c>
      <c r="U126" s="474">
        <f>U125/(U53/U54)</f>
        <v>170.67886556459757</v>
      </c>
      <c r="V126" s="475">
        <f>SUM(Q126:U126)</f>
        <v>261.20008282536435</v>
      </c>
      <c r="W126" s="473">
        <f>W125/(W53/W54)</f>
        <v>59.184008487818716</v>
      </c>
      <c r="X126" s="474">
        <f>X125/(X53/X54)</f>
        <v>21.038905681920003</v>
      </c>
      <c r="Y126" s="474">
        <f>Y125/(Y53/Y54)</f>
        <v>37.332212275425306</v>
      </c>
      <c r="Z126" s="474">
        <f>Z125/(Z53/Z54)</f>
        <v>10.856017812035457</v>
      </c>
      <c r="AA126" s="474">
        <f>AA125/(AA53/AA54)</f>
        <v>284.08716601242958</v>
      </c>
      <c r="AB126" s="475">
        <f>SUM(W126:AA126)</f>
        <v>412.49831026962909</v>
      </c>
    </row>
    <row r="127" spans="4:28" ht="13.5" customHeight="1" thickTop="1" x14ac:dyDescent="0.25">
      <c r="E127" s="437">
        <v>70</v>
      </c>
      <c r="F127" s="437">
        <v>4</v>
      </c>
      <c r="G127" s="437">
        <v>32</v>
      </c>
      <c r="H127" s="437">
        <v>0</v>
      </c>
      <c r="I127" s="437">
        <v>9</v>
      </c>
    </row>
    <row r="131" spans="2:14" ht="13.5" customHeight="1" x14ac:dyDescent="0.35">
      <c r="B131" s="29">
        <v>3</v>
      </c>
      <c r="C131" s="2"/>
      <c r="D131" s="28" t="s">
        <v>812</v>
      </c>
    </row>
    <row r="133" spans="2:14" ht="13.5" customHeight="1" x14ac:dyDescent="0.3">
      <c r="D133" s="32" t="s">
        <v>819</v>
      </c>
      <c r="J133" s="32" t="s">
        <v>813</v>
      </c>
    </row>
    <row r="134" spans="2:14" ht="13.5" customHeight="1" x14ac:dyDescent="0.3">
      <c r="D134" s="33" t="s">
        <v>787</v>
      </c>
      <c r="J134" s="33" t="s">
        <v>790</v>
      </c>
    </row>
    <row r="136" spans="2:14" ht="13.5" customHeight="1" x14ac:dyDescent="0.3">
      <c r="D136" s="505" t="s">
        <v>201</v>
      </c>
      <c r="E136" s="506">
        <v>2022</v>
      </c>
      <c r="F136" s="506">
        <v>2023</v>
      </c>
      <c r="G136" s="506">
        <v>2024</v>
      </c>
      <c r="H136" s="506">
        <v>2025</v>
      </c>
      <c r="J136" s="505" t="s">
        <v>201</v>
      </c>
      <c r="K136" s="506">
        <v>2022</v>
      </c>
      <c r="L136" s="506">
        <v>2023</v>
      </c>
      <c r="M136" s="506">
        <v>2024</v>
      </c>
      <c r="N136" s="506">
        <v>2025</v>
      </c>
    </row>
    <row r="137" spans="2:14" ht="13.5" customHeight="1" x14ac:dyDescent="0.25">
      <c r="D137" s="437" t="str" cm="1">
        <f t="array" ref="D137:D141">TRANSPOSE(K110:O110)</f>
        <v>15-15-15</v>
      </c>
      <c r="E137" s="437" cm="1">
        <f t="array" ref="E137:E141">TRANSPOSE(E101:I101)</f>
        <v>4.3167449287082844</v>
      </c>
      <c r="F137" s="437" cm="1">
        <f t="array" ref="F137:F141">TRANSPOSE(K101:O101)</f>
        <v>5.3440557714232533</v>
      </c>
      <c r="G137" s="437" cm="1">
        <f t="array" ref="G137:G141">TRANSPOSE(Q101:U101)</f>
        <v>7.1169265541007176</v>
      </c>
      <c r="H137" s="437" cm="1">
        <f t="array" ref="H137:H141">TRANSPOSE(W101:AA101)</f>
        <v>7.2797434153386931</v>
      </c>
      <c r="J137" s="437" t="str" cm="1">
        <f t="array" ref="J137:J141">TRANSPOSE(E110:I110)</f>
        <v>15-15-15</v>
      </c>
      <c r="K137" s="437" cm="1">
        <f t="array" ref="K137:K141">TRANSPOSE(E102:I102)</f>
        <v>28.778299524721898</v>
      </c>
      <c r="L137" s="437" cm="1">
        <f t="array" ref="L137:L141">TRANSPOSE(K102:O102)</f>
        <v>35.627038476155022</v>
      </c>
      <c r="M137" s="437" cm="1">
        <f t="array" ref="M137:M141">TRANSPOSE(Q102:U102)</f>
        <v>47.446177027338116</v>
      </c>
      <c r="N137" s="437" cm="1">
        <f t="array" ref="N137:N141">TRANSPOSE(W102:AA102)</f>
        <v>48.53162276892462</v>
      </c>
    </row>
    <row r="138" spans="2:14" ht="13.5" customHeight="1" x14ac:dyDescent="0.25">
      <c r="D138" s="437" t="str">
        <v>0-23-19</v>
      </c>
      <c r="E138" s="437">
        <v>0.84558527095351399</v>
      </c>
      <c r="F138" s="437">
        <v>1.3353280719136587</v>
      </c>
      <c r="G138" s="437">
        <v>1.6262898753528476</v>
      </c>
      <c r="H138" s="437">
        <v>2.030460176827523</v>
      </c>
      <c r="J138" s="437" t="str">
        <v>0-23-19</v>
      </c>
      <c r="K138" s="437">
        <v>3.6764576997978868</v>
      </c>
      <c r="L138" s="437">
        <v>5.8057742257115592</v>
      </c>
      <c r="M138" s="437">
        <v>7.0708255450123811</v>
      </c>
      <c r="N138" s="437">
        <v>8.8280877253370562</v>
      </c>
    </row>
    <row r="139" spans="2:14" ht="13.5" customHeight="1" x14ac:dyDescent="0.25">
      <c r="D139" s="437" t="str">
        <v>Other NPK</v>
      </c>
      <c r="E139" s="437">
        <v>4.1786482515739873</v>
      </c>
      <c r="F139" s="437">
        <v>6.5173165069088528</v>
      </c>
      <c r="G139" s="437">
        <v>4.3218848103330956</v>
      </c>
      <c r="H139" s="437">
        <v>6.1630711437666088</v>
      </c>
      <c r="J139" s="437" t="str">
        <v>Other NPK</v>
      </c>
      <c r="K139" s="437">
        <v>13.928827505246625</v>
      </c>
      <c r="L139" s="437">
        <v>21.724388356362844</v>
      </c>
      <c r="M139" s="437">
        <v>14.406282701110319</v>
      </c>
      <c r="N139" s="437">
        <v>20.54357047922203</v>
      </c>
    </row>
    <row r="140" spans="2:14" ht="13.5" customHeight="1" x14ac:dyDescent="0.25">
      <c r="D140" s="437" t="str">
        <v>Phosphate rocks</v>
      </c>
      <c r="E140" s="437">
        <v>0</v>
      </c>
      <c r="F140" s="437">
        <v>0.31571257022994714</v>
      </c>
      <c r="G140" s="437">
        <v>0.7467325806894336</v>
      </c>
      <c r="H140" s="437">
        <v>1.2615669161554361</v>
      </c>
      <c r="J140" s="437" t="str">
        <v>Phosphate rocks</v>
      </c>
      <c r="K140" s="437">
        <v>0</v>
      </c>
      <c r="L140" s="437">
        <v>0.95670475827256707</v>
      </c>
      <c r="M140" s="437">
        <v>2.2628260020891928</v>
      </c>
      <c r="N140" s="437">
        <v>3.8229300489558669</v>
      </c>
    </row>
    <row r="141" spans="2:14" ht="13.5" customHeight="1" x14ac:dyDescent="0.25">
      <c r="D141" s="437" t="str">
        <v>TSP</v>
      </c>
      <c r="E141" s="437">
        <v>24.433570745212585</v>
      </c>
      <c r="F141" s="437">
        <v>37.377378392478434</v>
      </c>
      <c r="G141" s="437">
        <v>49.240381264930363</v>
      </c>
      <c r="H141" s="437">
        <v>60.192734432663016</v>
      </c>
      <c r="J141" s="437" t="str">
        <v>TSP</v>
      </c>
      <c r="K141" s="437">
        <v>53.116458141766486</v>
      </c>
      <c r="L141" s="437">
        <v>81.255170418431376</v>
      </c>
      <c r="M141" s="437">
        <v>107.0443070976747</v>
      </c>
      <c r="N141" s="437">
        <v>130.85377050578916</v>
      </c>
    </row>
    <row r="142" spans="2:14" ht="13.5" customHeight="1" thickBot="1" x14ac:dyDescent="0.35">
      <c r="D142" s="508" t="s">
        <v>817</v>
      </c>
      <c r="E142" s="507">
        <f>SUM(E137:E141)</f>
        <v>33.774549196448369</v>
      </c>
      <c r="F142" s="507">
        <f t="shared" ref="F142" si="147">SUM(F137:F141)</f>
        <v>50.889791312954145</v>
      </c>
      <c r="G142" s="507">
        <f t="shared" ref="G142" si="148">SUM(G137:G141)</f>
        <v>63.052215085406459</v>
      </c>
      <c r="H142" s="507">
        <f t="shared" ref="H142" si="149">SUM(H137:H141)</f>
        <v>76.92757608475128</v>
      </c>
      <c r="J142" s="508" t="s">
        <v>814</v>
      </c>
      <c r="K142" s="507">
        <f>SUM(K137:K141)</f>
        <v>99.500042871532898</v>
      </c>
      <c r="L142" s="507">
        <f t="shared" ref="L142" si="150">SUM(L137:L141)</f>
        <v>145.36907623493337</v>
      </c>
      <c r="M142" s="507">
        <f t="shared" ref="M142" si="151">SUM(M137:M141)</f>
        <v>178.23041837322472</v>
      </c>
      <c r="N142" s="507">
        <f t="shared" ref="N142" si="152">SUM(N137:N141)</f>
        <v>212.57998152822873</v>
      </c>
    </row>
    <row r="143" spans="2:14" ht="13.5" customHeight="1" thickTop="1" x14ac:dyDescent="0.25">
      <c r="D143" s="435" t="s">
        <v>818</v>
      </c>
      <c r="E143" s="443">
        <f>E142/J29</f>
        <v>0.46782842457770912</v>
      </c>
      <c r="F143" s="443">
        <f t="shared" ref="F143" si="153">F157</f>
        <v>0.5433653636131992</v>
      </c>
      <c r="G143" s="443">
        <f>G142/V29</f>
        <v>0.61685121832605827</v>
      </c>
      <c r="H143" s="443">
        <f>H142/AB29</f>
        <v>0.68889056150189187</v>
      </c>
      <c r="J143" s="435" t="s">
        <v>816</v>
      </c>
      <c r="K143" s="443">
        <f>K142/J30</f>
        <v>0.46032577062081653</v>
      </c>
      <c r="L143" s="443">
        <f>L142/P30</f>
        <v>0.51767282456756902</v>
      </c>
      <c r="M143" s="443">
        <f>M142/V30</f>
        <v>0.56855112360208904</v>
      </c>
      <c r="N143" s="443">
        <f>N142/AB30</f>
        <v>0.619829987549807</v>
      </c>
    </row>
    <row r="146" spans="4:16" ht="13.5" customHeight="1" x14ac:dyDescent="0.3">
      <c r="D146" s="32" t="s">
        <v>820</v>
      </c>
      <c r="J146" s="32" t="s">
        <v>815</v>
      </c>
    </row>
    <row r="147" spans="4:16" ht="13.5" customHeight="1" x14ac:dyDescent="0.3">
      <c r="D147" s="33" t="s">
        <v>787</v>
      </c>
      <c r="J147" s="33" t="s">
        <v>790</v>
      </c>
    </row>
    <row r="150" spans="4:16" ht="13.5" customHeight="1" x14ac:dyDescent="0.3">
      <c r="D150" s="505" t="s">
        <v>201</v>
      </c>
      <c r="E150" s="506">
        <v>2022</v>
      </c>
      <c r="F150" s="506">
        <v>2023</v>
      </c>
      <c r="G150" s="506">
        <v>2024</v>
      </c>
      <c r="H150" s="506">
        <v>2025</v>
      </c>
      <c r="J150" s="505" t="s">
        <v>201</v>
      </c>
      <c r="K150" s="506">
        <v>2022</v>
      </c>
      <c r="L150" s="506">
        <v>2023</v>
      </c>
      <c r="M150" s="506">
        <v>2024</v>
      </c>
      <c r="N150" s="506">
        <v>2025</v>
      </c>
    </row>
    <row r="151" spans="4:16" ht="13.5" customHeight="1" x14ac:dyDescent="0.25">
      <c r="D151" s="437" t="str" cm="1">
        <f t="array" ref="D151:D155">TRANSPOSE(K110:O110)</f>
        <v>15-15-15</v>
      </c>
      <c r="E151" s="437" cm="1">
        <f t="array" ref="E151:E155">TRANSPOSE(E125:I125)</f>
        <v>4.3167449287082844</v>
      </c>
      <c r="F151" s="437" cm="1">
        <f t="array" ref="F151:F155">TRANSPOSE(K125:O125)</f>
        <v>5.3440557714232533</v>
      </c>
      <c r="G151" s="437" cm="1">
        <f t="array" ref="G151:G155">TRANSPOSE(Q125:U125)</f>
        <v>7.8853327471090182</v>
      </c>
      <c r="H151" s="437" cm="1">
        <f t="array" ref="H151:H155">TRANSPOSE(W125:AA125)</f>
        <v>8.8776012731728073</v>
      </c>
      <c r="J151" s="437" t="str" cm="1">
        <f t="array" ref="J151:J155">TRANSPOSE(E110:I110)</f>
        <v>15-15-15</v>
      </c>
      <c r="K151" s="437" cm="1">
        <f t="array" ref="K151:K155">TRANSPOSE(E126:I126)</f>
        <v>28.778299524721898</v>
      </c>
      <c r="L151" s="437" cm="1">
        <f t="array" ref="L151:L155">TRANSPOSE(K126:O126)</f>
        <v>35.627038476155022</v>
      </c>
      <c r="M151" s="437" cm="1">
        <f t="array" ref="M151:M155">TRANSPOSE(Q126:U126)</f>
        <v>52.568884980726793</v>
      </c>
      <c r="N151" s="437" cm="1">
        <f t="array" ref="N151:N155">TRANSPOSE(W126:AA126)</f>
        <v>59.184008487818716</v>
      </c>
    </row>
    <row r="152" spans="4:16" ht="13.5" customHeight="1" x14ac:dyDescent="0.25">
      <c r="D152" s="437" t="str">
        <v>0-23-19</v>
      </c>
      <c r="E152" s="437">
        <v>0.84558527095351399</v>
      </c>
      <c r="F152" s="437">
        <v>1.3353280719136587</v>
      </c>
      <c r="G152" s="437">
        <v>2.78608378240309</v>
      </c>
      <c r="H152" s="437">
        <v>4.8389483068416013</v>
      </c>
      <c r="J152" s="437" t="str">
        <v>0-23-19</v>
      </c>
      <c r="K152" s="437">
        <v>3.6764576997978868</v>
      </c>
      <c r="L152" s="437">
        <v>5.8057742257115592</v>
      </c>
      <c r="M152" s="437">
        <v>12.113407749578652</v>
      </c>
      <c r="N152" s="437">
        <v>21.038905681920003</v>
      </c>
    </row>
    <row r="153" spans="4:16" ht="13.5" customHeight="1" x14ac:dyDescent="0.25">
      <c r="D153" s="437" t="str">
        <v>Other NPK</v>
      </c>
      <c r="E153" s="437">
        <v>4.1786482515739873</v>
      </c>
      <c r="F153" s="437">
        <v>6.5173165069088528</v>
      </c>
      <c r="G153" s="437">
        <v>6.4013408020506617</v>
      </c>
      <c r="H153" s="437">
        <v>11.199663682627591</v>
      </c>
      <c r="J153" s="437" t="str">
        <v>Other NPK</v>
      </c>
      <c r="K153" s="437">
        <v>13.928827505246625</v>
      </c>
      <c r="L153" s="437">
        <v>21.724388356362844</v>
      </c>
      <c r="M153" s="437">
        <v>21.337802673502207</v>
      </c>
      <c r="N153" s="437">
        <v>37.332212275425306</v>
      </c>
    </row>
    <row r="154" spans="4:16" ht="13.5" customHeight="1" x14ac:dyDescent="0.25">
      <c r="D154" s="437" t="str">
        <v>Phosphate rocks</v>
      </c>
      <c r="E154" s="437">
        <v>0</v>
      </c>
      <c r="F154" s="437">
        <v>0.31571257022994714</v>
      </c>
      <c r="G154" s="437">
        <v>1.4853702127965172</v>
      </c>
      <c r="H154" s="437">
        <v>3.5824858779717013</v>
      </c>
      <c r="J154" s="437" t="str">
        <v>Phosphate rocks</v>
      </c>
      <c r="K154" s="437">
        <v>0</v>
      </c>
      <c r="L154" s="437">
        <v>0.95670475827256707</v>
      </c>
      <c r="M154" s="437">
        <v>4.5011218569591422</v>
      </c>
      <c r="N154" s="437">
        <v>10.856017812035457</v>
      </c>
    </row>
    <row r="155" spans="4:16" ht="13.5" customHeight="1" x14ac:dyDescent="0.25">
      <c r="D155" s="437" t="str">
        <v>TSP</v>
      </c>
      <c r="E155" s="437">
        <v>24.433570745212585</v>
      </c>
      <c r="F155" s="437">
        <v>37.377378392478434</v>
      </c>
      <c r="G155" s="437">
        <v>78.512278159714882</v>
      </c>
      <c r="H155" s="437">
        <v>130.68009636571762</v>
      </c>
      <c r="J155" s="437" t="str">
        <v>TSP</v>
      </c>
      <c r="K155" s="437">
        <v>53.116458141766486</v>
      </c>
      <c r="L155" s="437">
        <v>81.255170418431376</v>
      </c>
      <c r="M155" s="437">
        <v>170.67886556459757</v>
      </c>
      <c r="N155" s="437">
        <v>284.08716601242958</v>
      </c>
    </row>
    <row r="156" spans="4:16" ht="13.5" customHeight="1" thickBot="1" x14ac:dyDescent="0.35">
      <c r="D156" s="508" t="s">
        <v>817</v>
      </c>
      <c r="E156" s="507">
        <f>SUM(E151:E155)</f>
        <v>33.774549196448369</v>
      </c>
      <c r="F156" s="507">
        <f t="shared" ref="F156" si="154">SUM(F151:F155)</f>
        <v>50.889791312954145</v>
      </c>
      <c r="G156" s="507">
        <f t="shared" ref="G156" si="155">SUM(G151:G155)</f>
        <v>97.070405704074176</v>
      </c>
      <c r="H156" s="507">
        <f t="shared" ref="H156" si="156">SUM(H151:H155)</f>
        <v>159.17879550633131</v>
      </c>
      <c r="J156" s="508" t="s">
        <v>814</v>
      </c>
      <c r="K156" s="507">
        <f>SUM(K151:K155)</f>
        <v>99.500042871532898</v>
      </c>
      <c r="L156" s="507">
        <f t="shared" ref="L156:N156" si="157">SUM(L151:L155)</f>
        <v>145.36907623493337</v>
      </c>
      <c r="M156" s="507">
        <f t="shared" si="157"/>
        <v>261.20008282536435</v>
      </c>
      <c r="N156" s="507">
        <f t="shared" si="157"/>
        <v>412.49831026962909</v>
      </c>
      <c r="P156" s="434"/>
    </row>
    <row r="157" spans="4:16" ht="13.5" customHeight="1" thickTop="1" x14ac:dyDescent="0.25">
      <c r="D157" s="435" t="s">
        <v>818</v>
      </c>
      <c r="E157" s="443">
        <f>E156/J53</f>
        <v>0.46782842457770912</v>
      </c>
      <c r="F157" s="443">
        <f>F156/P53</f>
        <v>0.5433653636131992</v>
      </c>
      <c r="G157" s="443">
        <f>G156/V53</f>
        <v>0.59140652951082129</v>
      </c>
      <c r="H157" s="443">
        <f>H156/AB53</f>
        <v>0.66533449926500765</v>
      </c>
      <c r="J157" s="435" t="s">
        <v>816</v>
      </c>
      <c r="K157" s="443">
        <f>K156/J54</f>
        <v>0.46032577062081653</v>
      </c>
      <c r="L157" s="443">
        <f>L156/P54</f>
        <v>0.51767282456756902</v>
      </c>
      <c r="M157" s="443">
        <f>M156/V54</f>
        <v>0.52915006830812039</v>
      </c>
      <c r="N157" s="443">
        <f>N156/AB54</f>
        <v>0.57604464523821575</v>
      </c>
    </row>
  </sheetData>
  <dataConsolidate/>
  <mergeCells count="22">
    <mergeCell ref="E109:J109"/>
    <mergeCell ref="K109:P109"/>
    <mergeCell ref="Q109:V109"/>
    <mergeCell ref="W109:AB109"/>
    <mergeCell ref="Q61:V61"/>
    <mergeCell ref="W61:AB61"/>
    <mergeCell ref="H79:I79"/>
    <mergeCell ref="E85:J85"/>
    <mergeCell ref="K85:P85"/>
    <mergeCell ref="Q85:V85"/>
    <mergeCell ref="W85:AB85"/>
    <mergeCell ref="W13:AB13"/>
    <mergeCell ref="Q13:V13"/>
    <mergeCell ref="K13:P13"/>
    <mergeCell ref="K37:P37"/>
    <mergeCell ref="Q37:V37"/>
    <mergeCell ref="W37:AB37"/>
    <mergeCell ref="E13:J13"/>
    <mergeCell ref="E37:J37"/>
    <mergeCell ref="H7:I7"/>
    <mergeCell ref="E61:J61"/>
    <mergeCell ref="K61:P61"/>
  </mergeCells>
  <dataValidations disablePrompts="1" count="1">
    <dataValidation type="list" allowBlank="1" showInputMessage="1" showErrorMessage="1" sqref="L35 F35" xr:uid="{478CF634-FA67-43DC-AA45-7299AB2FAFCD}">
      <formula1>$K$14:$P$14</formula1>
    </dataValidation>
  </dataValidations>
  <pageMargins left="0.75" right="0.75" top="1" bottom="1" header="0.5" footer="0.5"/>
  <pageSetup orientation="portrait" r:id="rId1"/>
  <headerFooter alignWithMargins="0"/>
  <ignoredErrors>
    <ignoredError sqref="M15:M28 P15:P28 Y39:Y52 M39:M52"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249977111117893"/>
  </sheetPr>
  <dimension ref="A1:Q19"/>
  <sheetViews>
    <sheetView showGridLines="0" zoomScaleNormal="100" workbookViewId="0">
      <pane ySplit="5" topLeftCell="A7" activePane="bottomLeft" state="frozen"/>
      <selection pane="bottomLeft" activeCell="D27" sqref="D27"/>
    </sheetView>
  </sheetViews>
  <sheetFormatPr defaultRowHeight="12.5" x14ac:dyDescent="0.25"/>
  <cols>
    <col min="1" max="1" width="1.7265625" customWidth="1"/>
    <col min="2" max="2" width="38.7265625" customWidth="1"/>
    <col min="3" max="10" width="11" customWidth="1"/>
    <col min="11" max="11" width="1.26953125" style="2" customWidth="1"/>
    <col min="12" max="12" width="0.7265625" customWidth="1"/>
    <col min="13" max="13" width="16.7265625" customWidth="1"/>
    <col min="14" max="14" width="2.26953125" customWidth="1"/>
    <col min="15" max="15" width="10" bestFit="1" customWidth="1"/>
  </cols>
  <sheetData>
    <row r="1" spans="1:17" s="7" customFormat="1" ht="11.25" customHeight="1" x14ac:dyDescent="0.25">
      <c r="A1" s="5"/>
      <c r="B1" s="6"/>
      <c r="C1" s="25"/>
      <c r="E1" s="6"/>
      <c r="F1" s="6"/>
      <c r="G1" s="6"/>
      <c r="H1" s="6"/>
      <c r="I1" s="6"/>
      <c r="J1" s="6"/>
      <c r="K1" s="6"/>
      <c r="L1" s="6"/>
      <c r="M1" s="6"/>
      <c r="N1" s="6"/>
      <c r="O1" s="6"/>
      <c r="P1" s="6"/>
    </row>
    <row r="2" spans="1:17" s="7" customFormat="1" ht="15.75" customHeight="1" x14ac:dyDescent="0.25">
      <c r="A2" s="5"/>
      <c r="B2" s="6"/>
      <c r="C2" s="26" t="str">
        <f>C9&amp;" - "&amp;C11</f>
        <v>OCP Africa - CIV P205</v>
      </c>
      <c r="E2" s="6"/>
      <c r="F2" s="6"/>
      <c r="G2" s="6"/>
      <c r="H2" s="6"/>
      <c r="I2" s="6"/>
      <c r="J2" s="6"/>
      <c r="K2" s="6"/>
      <c r="L2" s="6"/>
      <c r="M2" s="6"/>
      <c r="N2" s="6"/>
      <c r="O2" s="6"/>
      <c r="P2" s="6"/>
    </row>
    <row r="3" spans="1:17" s="7" customFormat="1" ht="12.75" customHeight="1" x14ac:dyDescent="0.25">
      <c r="A3" s="5"/>
      <c r="B3" s="6"/>
      <c r="C3" s="27" t="str">
        <f ca="1">MID(CELL("filename",C3),FIND("]",CELL("filename",C3))+1,256)</f>
        <v>Couverture</v>
      </c>
      <c r="E3" s="6"/>
      <c r="F3" s="6"/>
      <c r="G3" s="6"/>
      <c r="H3" s="6"/>
      <c r="I3" s="6"/>
      <c r="J3" s="6"/>
      <c r="K3" s="6"/>
      <c r="L3" s="6"/>
      <c r="M3" s="6"/>
      <c r="N3" s="6"/>
      <c r="O3" s="6"/>
      <c r="P3" s="6"/>
    </row>
    <row r="4" spans="1:17" s="7" customFormat="1" ht="15.75" customHeight="1" x14ac:dyDescent="0.25">
      <c r="A4" s="5"/>
      <c r="B4" s="6"/>
      <c r="C4" s="25"/>
      <c r="E4" s="6"/>
      <c r="F4" s="6"/>
      <c r="G4" s="6"/>
      <c r="H4" s="6"/>
      <c r="I4" s="6"/>
      <c r="J4" s="6"/>
      <c r="K4" s="6"/>
      <c r="L4" s="6"/>
      <c r="M4" s="6"/>
      <c r="N4" s="6"/>
      <c r="O4" s="6"/>
      <c r="P4" s="6"/>
    </row>
    <row r="5" spans="1:17" s="11" customFormat="1" ht="9" customHeight="1" x14ac:dyDescent="0.3">
      <c r="A5" s="8"/>
      <c r="B5" s="9"/>
      <c r="C5" s="10"/>
      <c r="D5" s="10"/>
      <c r="E5" s="10"/>
      <c r="F5" s="10"/>
      <c r="G5" s="10"/>
      <c r="H5" s="10"/>
      <c r="I5" s="10"/>
      <c r="J5" s="10"/>
      <c r="K5" s="10"/>
      <c r="L5" s="10"/>
      <c r="M5" s="10"/>
      <c r="N5" s="10"/>
      <c r="O5" s="10"/>
      <c r="P5" s="10"/>
    </row>
    <row r="6" spans="1:17" x14ac:dyDescent="0.25">
      <c r="Q6" s="2"/>
    </row>
    <row r="7" spans="1:17" s="2" customFormat="1" ht="13" thickBot="1" x14ac:dyDescent="0.3">
      <c r="Q7" s="7"/>
    </row>
    <row r="8" spans="1:17" ht="15.5" x14ac:dyDescent="0.35">
      <c r="B8" s="12" t="s">
        <v>0</v>
      </c>
      <c r="C8" s="13"/>
      <c r="D8" s="14"/>
      <c r="E8" s="14"/>
      <c r="F8" s="14"/>
      <c r="G8" s="14"/>
      <c r="H8" s="14"/>
      <c r="I8" s="14"/>
      <c r="J8" s="15"/>
      <c r="L8" s="12" t="s">
        <v>1</v>
      </c>
      <c r="M8" s="22"/>
      <c r="N8" s="14"/>
      <c r="O8" s="14"/>
      <c r="P8" s="15"/>
    </row>
    <row r="9" spans="1:17" x14ac:dyDescent="0.25">
      <c r="B9" s="16" t="s">
        <v>2</v>
      </c>
      <c r="C9" s="1" t="s">
        <v>3</v>
      </c>
      <c r="D9" s="2"/>
      <c r="E9" s="2"/>
      <c r="F9" s="2"/>
      <c r="G9" s="2"/>
      <c r="H9" s="2"/>
      <c r="I9" s="2"/>
      <c r="J9" s="17"/>
      <c r="L9" s="23"/>
      <c r="M9" s="148" t="s">
        <v>4</v>
      </c>
      <c r="N9" s="2"/>
      <c r="O9" s="2" t="s">
        <v>5</v>
      </c>
      <c r="P9" s="17"/>
    </row>
    <row r="10" spans="1:17" x14ac:dyDescent="0.25">
      <c r="B10" s="16"/>
      <c r="C10" s="1"/>
      <c r="D10" s="2"/>
      <c r="E10" s="2"/>
      <c r="F10" s="2"/>
      <c r="G10" s="2"/>
      <c r="H10" s="2"/>
      <c r="I10" s="2"/>
      <c r="J10" s="17"/>
      <c r="L10" s="23"/>
      <c r="M10" s="3" t="s">
        <v>4</v>
      </c>
      <c r="N10" s="2"/>
      <c r="O10" s="2" t="s">
        <v>6</v>
      </c>
      <c r="P10" s="17"/>
    </row>
    <row r="11" spans="1:17" x14ac:dyDescent="0.25">
      <c r="B11" s="16" t="s">
        <v>7</v>
      </c>
      <c r="C11" s="1" t="s">
        <v>419</v>
      </c>
      <c r="D11" s="2"/>
      <c r="E11" s="2"/>
      <c r="F11" s="2"/>
      <c r="G11" s="2"/>
      <c r="H11" s="2"/>
      <c r="I11" s="2"/>
      <c r="J11" s="17"/>
      <c r="L11" s="23"/>
      <c r="M11" s="4" t="s">
        <v>4</v>
      </c>
      <c r="N11" s="2"/>
      <c r="O11" s="2" t="s">
        <v>8</v>
      </c>
      <c r="P11" s="17"/>
    </row>
    <row r="12" spans="1:17" x14ac:dyDescent="0.25">
      <c r="B12" s="16"/>
      <c r="C12" s="1"/>
      <c r="D12" s="2"/>
      <c r="E12" s="2"/>
      <c r="F12" s="2"/>
      <c r="G12" s="2"/>
      <c r="H12" s="2"/>
      <c r="I12" s="2"/>
      <c r="J12" s="17"/>
      <c r="L12" s="23"/>
      <c r="M12" s="84"/>
      <c r="N12" s="2"/>
      <c r="O12" s="1" t="s">
        <v>9</v>
      </c>
      <c r="P12" s="17"/>
    </row>
    <row r="13" spans="1:17" ht="13" thickBot="1" x14ac:dyDescent="0.3">
      <c r="B13" s="18"/>
      <c r="C13" s="19"/>
      <c r="D13" s="20"/>
      <c r="E13" s="20"/>
      <c r="F13" s="20"/>
      <c r="G13" s="20"/>
      <c r="H13" s="20"/>
      <c r="I13" s="20"/>
      <c r="J13" s="21"/>
      <c r="L13" s="24"/>
      <c r="M13" s="85"/>
      <c r="N13" s="20"/>
      <c r="O13" s="19"/>
      <c r="P13" s="21"/>
    </row>
    <row r="14" spans="1:17" ht="4.9000000000000004" customHeight="1" x14ac:dyDescent="0.25"/>
    <row r="15" spans="1:17" x14ac:dyDescent="0.25">
      <c r="K15"/>
    </row>
    <row r="16" spans="1:17" x14ac:dyDescent="0.25">
      <c r="K16"/>
    </row>
    <row r="17" spans="11:11" x14ac:dyDescent="0.25">
      <c r="K17"/>
    </row>
    <row r="18" spans="11:11" x14ac:dyDescent="0.25">
      <c r="K18"/>
    </row>
    <row r="19" spans="11:11" x14ac:dyDescent="0.25">
      <c r="K19"/>
    </row>
  </sheetData>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887DC-6A21-436C-844C-955E0444723D}">
  <dimension ref="A1:L40"/>
  <sheetViews>
    <sheetView workbookViewId="0">
      <selection activeCell="A4" sqref="A4:A8"/>
    </sheetView>
  </sheetViews>
  <sheetFormatPr defaultRowHeight="12.5" x14ac:dyDescent="0.25"/>
  <cols>
    <col min="1" max="1" width="30.6328125" bestFit="1" customWidth="1"/>
    <col min="2" max="2" width="11.81640625" bestFit="1" customWidth="1"/>
    <col min="3" max="3" width="6.54296875" bestFit="1" customWidth="1"/>
    <col min="4" max="10" width="6.90625" bestFit="1" customWidth="1"/>
  </cols>
  <sheetData>
    <row r="1" spans="1:12" ht="13" x14ac:dyDescent="0.3">
      <c r="A1" s="2"/>
      <c r="B1" s="134" t="s">
        <v>12</v>
      </c>
      <c r="C1" s="142">
        <v>0.43854879812557934</v>
      </c>
      <c r="D1" s="7"/>
      <c r="E1" s="7"/>
      <c r="F1" s="7"/>
      <c r="G1" s="2"/>
      <c r="H1" s="2"/>
      <c r="I1" s="2"/>
      <c r="J1" s="2"/>
    </row>
    <row r="2" spans="1:12" ht="13" x14ac:dyDescent="0.3">
      <c r="A2" s="30"/>
      <c r="B2" s="34">
        <v>2017</v>
      </c>
      <c r="C2" s="34">
        <v>2018</v>
      </c>
      <c r="D2" s="34">
        <v>2019</v>
      </c>
      <c r="E2" s="34">
        <v>2020</v>
      </c>
      <c r="F2" s="34">
        <v>2021</v>
      </c>
      <c r="G2" s="34">
        <v>2022</v>
      </c>
      <c r="H2" s="34">
        <v>2023</v>
      </c>
      <c r="I2" s="34">
        <v>2024</v>
      </c>
      <c r="J2" s="34">
        <v>2025</v>
      </c>
      <c r="K2" s="103" t="s">
        <v>859</v>
      </c>
    </row>
    <row r="3" spans="1:12" x14ac:dyDescent="0.25">
      <c r="A3" s="578" t="s">
        <v>13</v>
      </c>
      <c r="B3" s="434">
        <v>43.69602016460717</v>
      </c>
      <c r="C3" s="434">
        <v>27.492269999999998</v>
      </c>
      <c r="D3" s="434">
        <v>64.356252000000012</v>
      </c>
      <c r="E3" s="434">
        <v>50.392649000000013</v>
      </c>
      <c r="F3" s="434">
        <v>81.218757999999994</v>
      </c>
      <c r="G3" s="581">
        <v>72.194307618087478</v>
      </c>
      <c r="H3" s="581">
        <v>93.656671405320964</v>
      </c>
      <c r="I3" s="581">
        <v>215.30028995402216</v>
      </c>
      <c r="J3" s="581">
        <v>347.82014997730903</v>
      </c>
      <c r="K3" s="577">
        <f t="shared" ref="K3:K17" si="0">J3-G3</f>
        <v>275.62584235922156</v>
      </c>
      <c r="L3" s="577">
        <f>K3-SUM(K4:K7,K8)</f>
        <v>12.495164348439971</v>
      </c>
    </row>
    <row r="4" spans="1:12" x14ac:dyDescent="0.25">
      <c r="A4" s="86" t="s">
        <v>167</v>
      </c>
      <c r="B4" s="135">
        <v>20.542000000000002</v>
      </c>
      <c r="C4" s="135">
        <v>12.899370628460177</v>
      </c>
      <c r="D4" s="135">
        <v>30.195947690262816</v>
      </c>
      <c r="E4" s="135">
        <v>23.644226409856419</v>
      </c>
      <c r="F4" s="135">
        <v>38.107833999346553</v>
      </c>
      <c r="G4" s="111">
        <v>33.554971069583885</v>
      </c>
      <c r="H4" s="111">
        <v>43.354807529664242</v>
      </c>
      <c r="I4" s="111">
        <v>137.97432887787375</v>
      </c>
      <c r="J4" s="111">
        <v>241.94741534208006</v>
      </c>
      <c r="K4" s="577">
        <f t="shared" si="0"/>
        <v>208.39244427249616</v>
      </c>
      <c r="L4">
        <f>SUM(K4:K8)/K3</f>
        <v>0.95466620893930876</v>
      </c>
    </row>
    <row r="5" spans="1:12" x14ac:dyDescent="0.25">
      <c r="A5" s="86" t="s">
        <v>156</v>
      </c>
      <c r="B5" s="135">
        <v>3.4101400000000002</v>
      </c>
      <c r="C5" s="135">
        <v>2.141401020102093</v>
      </c>
      <c r="D5" s="135">
        <v>5.0127742701038294</v>
      </c>
      <c r="E5" s="135">
        <v>3.9251349551800101</v>
      </c>
      <c r="F5" s="135">
        <v>6.3262121037158829</v>
      </c>
      <c r="G5" s="111">
        <v>5.8369826553011048</v>
      </c>
      <c r="H5" s="111">
        <v>7.7999576174457532</v>
      </c>
      <c r="I5" s="111">
        <v>17.474943679959026</v>
      </c>
      <c r="J5" s="111">
        <v>28.097928454680012</v>
      </c>
      <c r="K5" s="577">
        <f t="shared" si="0"/>
        <v>22.260945799378909</v>
      </c>
    </row>
    <row r="6" spans="1:12" x14ac:dyDescent="0.25">
      <c r="A6" s="86" t="s">
        <v>182</v>
      </c>
      <c r="B6" s="135">
        <v>0.84787999999999997</v>
      </c>
      <c r="C6" s="135">
        <v>0.53242714285166082</v>
      </c>
      <c r="D6" s="135">
        <v>1.246350897070394</v>
      </c>
      <c r="E6" s="135">
        <v>0.97592574668430843</v>
      </c>
      <c r="F6" s="135">
        <v>1.5729174516291482</v>
      </c>
      <c r="G6" s="111">
        <v>1.2907401183436182</v>
      </c>
      <c r="H6" s="111">
        <v>1.586490897766063</v>
      </c>
      <c r="I6" s="111">
        <v>7.2697143982724972</v>
      </c>
      <c r="J6" s="111">
        <v>13.517294021585158</v>
      </c>
      <c r="K6" s="577">
        <f t="shared" si="0"/>
        <v>12.226553903241539</v>
      </c>
    </row>
    <row r="7" spans="1:12" x14ac:dyDescent="0.25">
      <c r="A7" s="86" t="s">
        <v>158</v>
      </c>
      <c r="B7" s="135">
        <v>9.8249999999999993</v>
      </c>
      <c r="C7" s="135">
        <v>6.1696191424701237</v>
      </c>
      <c r="D7" s="135">
        <v>14.442371047455566</v>
      </c>
      <c r="E7" s="135">
        <v>11.308758858769316</v>
      </c>
      <c r="F7" s="135">
        <v>18.226534370732153</v>
      </c>
      <c r="G7" s="111">
        <v>15.711162872230549</v>
      </c>
      <c r="H7" s="111">
        <v>19.778090248269969</v>
      </c>
      <c r="I7" s="111">
        <v>23.776927955870221</v>
      </c>
      <c r="J7" s="111">
        <v>27.814779209647934</v>
      </c>
      <c r="K7" s="577">
        <f t="shared" si="0"/>
        <v>12.103616337417385</v>
      </c>
    </row>
    <row r="8" spans="1:12" x14ac:dyDescent="0.25">
      <c r="A8" s="86" t="s">
        <v>73</v>
      </c>
      <c r="B8" s="135">
        <v>1.5569999999999999</v>
      </c>
      <c r="C8" s="135">
        <v>0.97771979692885302</v>
      </c>
      <c r="D8" s="135">
        <v>2.2887299461463932</v>
      </c>
      <c r="E8" s="135">
        <v>1.7921361367026796</v>
      </c>
      <c r="F8" s="135">
        <v>2.8884187292854926</v>
      </c>
      <c r="G8" s="111">
        <v>2.745931208354619</v>
      </c>
      <c r="H8" s="111">
        <v>3.6675702559633128</v>
      </c>
      <c r="I8" s="111">
        <v>7.480283386052033</v>
      </c>
      <c r="J8" s="111">
        <v>10.893048906602205</v>
      </c>
      <c r="K8" s="577">
        <f t="shared" si="0"/>
        <v>8.1471176982475857</v>
      </c>
    </row>
    <row r="9" spans="1:12" x14ac:dyDescent="0.25">
      <c r="A9" s="86" t="s">
        <v>184</v>
      </c>
      <c r="B9" s="135">
        <v>2.8690000000000002</v>
      </c>
      <c r="C9" s="135">
        <v>1.8015915847070518</v>
      </c>
      <c r="D9" s="135">
        <v>4.2173193420000024</v>
      </c>
      <c r="E9" s="135">
        <v>3.3022726886319771</v>
      </c>
      <c r="F9" s="135">
        <v>5.3223335480540017</v>
      </c>
      <c r="G9" s="111">
        <v>5.1265044929183459</v>
      </c>
      <c r="H9" s="111">
        <v>7.1309670937117282</v>
      </c>
      <c r="I9" s="111">
        <v>8.531251164289257</v>
      </c>
      <c r="J9" s="111">
        <v>10.12575458759761</v>
      </c>
      <c r="K9" s="577">
        <f t="shared" si="0"/>
        <v>4.9992500946792644</v>
      </c>
    </row>
    <row r="10" spans="1:12" x14ac:dyDescent="0.25">
      <c r="A10" s="86" t="s">
        <v>113</v>
      </c>
      <c r="B10" s="135">
        <v>2.8889999999999998</v>
      </c>
      <c r="C10" s="135">
        <v>1.814150605862207</v>
      </c>
      <c r="D10" s="135">
        <v>4.2467185705953296</v>
      </c>
      <c r="E10" s="135">
        <v>3.3252930628991915</v>
      </c>
      <c r="F10" s="135">
        <v>5.3594359080962013</v>
      </c>
      <c r="G10" s="111">
        <v>4.8962561271582929</v>
      </c>
      <c r="H10" s="111">
        <v>6.4306782846796127</v>
      </c>
      <c r="I10" s="111">
        <v>6.771889161912644</v>
      </c>
      <c r="J10" s="111">
        <v>7.1168191528078326</v>
      </c>
      <c r="K10" s="577">
        <f t="shared" si="0"/>
        <v>2.2205630256495397</v>
      </c>
    </row>
    <row r="11" spans="1:12" x14ac:dyDescent="0.25">
      <c r="A11" s="86" t="s">
        <v>117</v>
      </c>
      <c r="B11" s="135">
        <v>4.1687205130721063E-8</v>
      </c>
      <c r="C11" s="135">
        <v>1.350039931912282E-2</v>
      </c>
      <c r="D11" s="135">
        <v>3.1602886945388528E-2</v>
      </c>
      <c r="E11" s="135">
        <v>2.4745897092106086E-2</v>
      </c>
      <c r="F11" s="135">
        <v>3.9883416873295705E-2</v>
      </c>
      <c r="G11" s="111">
        <v>1.6280391067800024E-2</v>
      </c>
      <c r="H11" s="111">
        <v>1.2867831541542925E-2</v>
      </c>
      <c r="I11" s="111">
        <v>0.84383322582256937</v>
      </c>
      <c r="J11" s="111">
        <v>1.7290015335716062</v>
      </c>
      <c r="K11" s="577">
        <f t="shared" si="0"/>
        <v>1.7127211425038062</v>
      </c>
    </row>
    <row r="12" spans="1:12" x14ac:dyDescent="0.25">
      <c r="A12" s="86" t="s">
        <v>136</v>
      </c>
      <c r="B12" s="135">
        <v>7.3132153874146308E-8</v>
      </c>
      <c r="C12" s="135">
        <v>2.368384441395226E-2</v>
      </c>
      <c r="D12" s="135">
        <v>5.5441164350310268E-2</v>
      </c>
      <c r="E12" s="135">
        <v>4.3411899363817799E-2</v>
      </c>
      <c r="F12" s="135">
        <v>6.996775558971452E-2</v>
      </c>
      <c r="G12" s="111">
        <v>7.1718479398068927E-2</v>
      </c>
      <c r="H12" s="111">
        <v>0.10354520124099365</v>
      </c>
      <c r="I12" s="111">
        <v>0.86774197724995938</v>
      </c>
      <c r="J12" s="111">
        <v>1.708099567856719</v>
      </c>
      <c r="K12" s="577">
        <f t="shared" si="0"/>
        <v>1.63638108845865</v>
      </c>
    </row>
    <row r="13" spans="1:12" x14ac:dyDescent="0.25">
      <c r="A13" s="86" t="s">
        <v>119</v>
      </c>
      <c r="B13" s="135">
        <v>1.7559999999999998</v>
      </c>
      <c r="C13" s="135">
        <v>1.1026820574226499</v>
      </c>
      <c r="D13" s="135">
        <v>2.5812522706699204</v>
      </c>
      <c r="E13" s="135">
        <v>2.0211888606614679</v>
      </c>
      <c r="F13" s="135">
        <v>3.257587211705411</v>
      </c>
      <c r="G13" s="111">
        <v>2.8988228428496847</v>
      </c>
      <c r="H13" s="111">
        <v>3.7307849963106614</v>
      </c>
      <c r="I13" s="111">
        <v>3.7344663759559644</v>
      </c>
      <c r="J13" s="111">
        <v>3.7381513882298183</v>
      </c>
      <c r="K13" s="577">
        <f t="shared" si="0"/>
        <v>0.83932854538013357</v>
      </c>
    </row>
    <row r="14" spans="1:12" x14ac:dyDescent="0.25">
      <c r="A14" s="86" t="s">
        <v>124</v>
      </c>
      <c r="B14" s="135">
        <v>3.4850243793729825E-8</v>
      </c>
      <c r="C14" s="135">
        <v>1.1286249728394693E-2</v>
      </c>
      <c r="D14" s="135">
        <v>2.6419816612287764E-2</v>
      </c>
      <c r="E14" s="135">
        <v>2.0687415811402231E-2</v>
      </c>
      <c r="F14" s="135">
        <v>3.3342288047442228E-2</v>
      </c>
      <c r="G14" s="111">
        <v>3.113928760258983E-2</v>
      </c>
      <c r="H14" s="111">
        <v>4.1856830631408208E-2</v>
      </c>
      <c r="I14" s="111">
        <v>0.34458108482450545</v>
      </c>
      <c r="J14" s="111">
        <v>0.66963281626785476</v>
      </c>
      <c r="K14" s="577">
        <f t="shared" si="0"/>
        <v>0.63849352866526488</v>
      </c>
    </row>
    <row r="15" spans="1:12" x14ac:dyDescent="0.25">
      <c r="A15" s="86" t="s">
        <v>125</v>
      </c>
      <c r="B15" s="135">
        <v>6.1823521530896976E-9</v>
      </c>
      <c r="C15" s="135">
        <v>2.0021544389081949E-3</v>
      </c>
      <c r="D15" s="135">
        <v>4.6868139885609455E-3</v>
      </c>
      <c r="E15" s="135">
        <v>3.6698994256819323E-3</v>
      </c>
      <c r="F15" s="135">
        <v>5.9148443126853653E-3</v>
      </c>
      <c r="G15" s="111">
        <v>5.8166849190337336E-3</v>
      </c>
      <c r="H15" s="111">
        <v>8.163260569363659E-3</v>
      </c>
      <c r="I15" s="111">
        <v>0.10367793597682291</v>
      </c>
      <c r="J15" s="111">
        <v>0.2108349629282571</v>
      </c>
      <c r="K15" s="577">
        <f t="shared" si="0"/>
        <v>0.20501827800922337</v>
      </c>
    </row>
    <row r="16" spans="1:12" x14ac:dyDescent="0.25">
      <c r="A16" s="86" t="s">
        <v>144</v>
      </c>
      <c r="B16" s="135">
        <v>5.2508013261889291E-9</v>
      </c>
      <c r="C16" s="135">
        <v>1.7004717497045617E-3</v>
      </c>
      <c r="D16" s="135">
        <v>3.9806094019470828E-3</v>
      </c>
      <c r="E16" s="135">
        <v>3.1169225392184002E-3</v>
      </c>
      <c r="F16" s="135">
        <v>5.023601307752739E-3</v>
      </c>
      <c r="G16" s="111">
        <v>4.8237709410485262E-3</v>
      </c>
      <c r="H16" s="111">
        <v>6.6112695658504094E-3</v>
      </c>
      <c r="I16" s="111">
        <v>7.3159557871087633E-2</v>
      </c>
      <c r="J16" s="111">
        <v>0.14406957477870211</v>
      </c>
      <c r="K16" s="577">
        <f t="shared" si="0"/>
        <v>0.13924580383765359</v>
      </c>
    </row>
    <row r="17" spans="1:12" ht="13" thickBot="1" x14ac:dyDescent="0.3">
      <c r="A17" s="579" t="s">
        <v>68</v>
      </c>
      <c r="B17" s="580">
        <v>3.5044054916743168E-9</v>
      </c>
      <c r="C17" s="580">
        <v>1.1349015450993819E-3</v>
      </c>
      <c r="D17" s="580">
        <v>2.6566743972616736E-3</v>
      </c>
      <c r="E17" s="580">
        <v>2.0802463824104315E-3</v>
      </c>
      <c r="F17" s="580">
        <v>3.3527713042703568E-3</v>
      </c>
      <c r="G17" s="582">
        <v>3.1576174188219369E-3</v>
      </c>
      <c r="H17" s="582">
        <v>4.2800879604591351E-3</v>
      </c>
      <c r="I17" s="582">
        <v>5.3491172091787442E-2</v>
      </c>
      <c r="J17" s="582">
        <v>0.10732045867526058</v>
      </c>
      <c r="K17" s="577">
        <f t="shared" si="0"/>
        <v>0.10416284125643864</v>
      </c>
    </row>
    <row r="18" spans="1:12" ht="14" thickTop="1" thickBot="1" x14ac:dyDescent="0.35">
      <c r="A18" s="133" t="s">
        <v>17</v>
      </c>
      <c r="B18" s="137">
        <v>94.991348183928622</v>
      </c>
      <c r="C18" s="137">
        <v>59.765804347826077</v>
      </c>
      <c r="D18" s="137">
        <v>139.90489565217393</v>
      </c>
      <c r="E18" s="137">
        <v>109.54923695652177</v>
      </c>
      <c r="F18" s="137">
        <v>176.56251739130434</v>
      </c>
      <c r="G18" s="112">
        <v>156.94414699584235</v>
      </c>
      <c r="H18" s="112">
        <v>203.60145957678469</v>
      </c>
      <c r="I18" s="112">
        <v>468.04410859570032</v>
      </c>
      <c r="J18" s="112">
        <v>756.13076082023701</v>
      </c>
    </row>
    <row r="19" spans="1:12" ht="13" thickTop="1" x14ac:dyDescent="0.25"/>
    <row r="23" spans="1:12" ht="13" x14ac:dyDescent="0.3">
      <c r="A23" s="30"/>
      <c r="B23" s="34">
        <v>2017</v>
      </c>
      <c r="C23" s="34">
        <v>2018</v>
      </c>
      <c r="D23" s="34">
        <v>2019</v>
      </c>
      <c r="E23" s="34">
        <v>2020</v>
      </c>
      <c r="F23" s="34">
        <v>2021</v>
      </c>
      <c r="G23" s="34">
        <v>2022</v>
      </c>
      <c r="H23" s="34">
        <v>2023</v>
      </c>
      <c r="I23" s="34">
        <v>2024</v>
      </c>
      <c r="J23" s="34">
        <v>2025</v>
      </c>
      <c r="K23" s="103" t="s">
        <v>859</v>
      </c>
    </row>
    <row r="24" spans="1:12" x14ac:dyDescent="0.25">
      <c r="A24" s="578" t="s">
        <v>13</v>
      </c>
      <c r="B24" s="583">
        <v>43.69602016460717</v>
      </c>
      <c r="C24" s="583">
        <v>27.492269999999998</v>
      </c>
      <c r="D24" s="583">
        <v>64.356252000000012</v>
      </c>
      <c r="E24" s="583">
        <v>50.392649000000013</v>
      </c>
      <c r="F24" s="583">
        <v>81.218757999999994</v>
      </c>
      <c r="G24" s="581">
        <v>72.194307618087478</v>
      </c>
      <c r="H24" s="581">
        <v>93.656671405320964</v>
      </c>
      <c r="I24" s="581">
        <v>102.21624471539587</v>
      </c>
      <c r="J24" s="581">
        <v>111.66879092817999</v>
      </c>
      <c r="K24" s="577">
        <f t="shared" ref="K24:K38" si="1">J24-G24</f>
        <v>39.474483310092509</v>
      </c>
      <c r="L24" s="577">
        <f>K24-SUM(K25:K28,K30)</f>
        <v>5.0330270151636824</v>
      </c>
    </row>
    <row r="25" spans="1:12" x14ac:dyDescent="0.25">
      <c r="A25" s="86" t="s">
        <v>167</v>
      </c>
      <c r="B25" s="130">
        <v>20.542000000000002</v>
      </c>
      <c r="C25" s="130">
        <v>12.899370628460177</v>
      </c>
      <c r="D25" s="130">
        <v>30.195947690262816</v>
      </c>
      <c r="E25" s="130">
        <v>23.644226409856419</v>
      </c>
      <c r="F25" s="130">
        <v>38.107833999346553</v>
      </c>
      <c r="G25" s="106">
        <v>33.554971069583885</v>
      </c>
      <c r="H25" s="106">
        <v>43.354807529664242</v>
      </c>
      <c r="I25" s="106">
        <v>46.912207942870602</v>
      </c>
      <c r="J25" s="106">
        <v>50.76150442068807</v>
      </c>
      <c r="K25" s="577">
        <f t="shared" si="1"/>
        <v>17.206533351104184</v>
      </c>
      <c r="L25">
        <f>SUM(K25:K28,2.1)/K24</f>
        <v>0.87326671367181286</v>
      </c>
    </row>
    <row r="26" spans="1:12" x14ac:dyDescent="0.25">
      <c r="A26" s="86" t="s">
        <v>158</v>
      </c>
      <c r="B26" s="130">
        <v>9.8249999999999993</v>
      </c>
      <c r="C26" s="130">
        <v>6.1696191424701237</v>
      </c>
      <c r="D26" s="130">
        <v>14.442371047455566</v>
      </c>
      <c r="E26" s="130">
        <v>11.308758858769316</v>
      </c>
      <c r="F26" s="130">
        <v>18.226534370732153</v>
      </c>
      <c r="G26" s="106">
        <v>15.711162872230549</v>
      </c>
      <c r="H26" s="106">
        <v>19.778090248269969</v>
      </c>
      <c r="I26" s="106">
        <v>20.922613254685228</v>
      </c>
      <c r="J26" s="106">
        <v>22.133367777681237</v>
      </c>
      <c r="K26" s="577">
        <f t="shared" si="1"/>
        <v>6.4222049054506876</v>
      </c>
    </row>
    <row r="27" spans="1:12" x14ac:dyDescent="0.25">
      <c r="A27" s="86" t="s">
        <v>184</v>
      </c>
      <c r="B27" s="130">
        <v>2.8690000000000002</v>
      </c>
      <c r="C27" s="130">
        <v>1.8015915847070518</v>
      </c>
      <c r="D27" s="130">
        <v>4.2173193420000024</v>
      </c>
      <c r="E27" s="130">
        <v>3.3022726886319771</v>
      </c>
      <c r="F27" s="130">
        <v>5.3223335480540017</v>
      </c>
      <c r="G27" s="106">
        <v>5.1265044929183459</v>
      </c>
      <c r="H27" s="106">
        <v>7.1309670937117282</v>
      </c>
      <c r="I27" s="106">
        <v>8.3646901738228596</v>
      </c>
      <c r="J27" s="106">
        <v>9.811858726111403</v>
      </c>
      <c r="K27" s="577">
        <f t="shared" si="1"/>
        <v>4.6853542331930571</v>
      </c>
    </row>
    <row r="28" spans="1:12" x14ac:dyDescent="0.25">
      <c r="A28" s="86" t="s">
        <v>156</v>
      </c>
      <c r="B28" s="130">
        <v>3.4101400000000002</v>
      </c>
      <c r="C28" s="130">
        <v>2.141401020102093</v>
      </c>
      <c r="D28" s="130">
        <v>5.0127742701038294</v>
      </c>
      <c r="E28" s="130">
        <v>3.9251349551800101</v>
      </c>
      <c r="F28" s="130">
        <v>6.3262121037158829</v>
      </c>
      <c r="G28" s="106">
        <v>5.8369826553011048</v>
      </c>
      <c r="H28" s="106">
        <v>7.7999576174457532</v>
      </c>
      <c r="I28" s="106">
        <v>8.7850891845815724</v>
      </c>
      <c r="J28" s="106">
        <v>9.8946424796504804</v>
      </c>
      <c r="K28" s="577">
        <f t="shared" si="1"/>
        <v>4.0576598243493756</v>
      </c>
    </row>
    <row r="29" spans="1:12" x14ac:dyDescent="0.25">
      <c r="A29" s="86" t="s">
        <v>113</v>
      </c>
      <c r="B29" s="130">
        <v>2.8889999999999998</v>
      </c>
      <c r="C29" s="130">
        <v>1.814150605862207</v>
      </c>
      <c r="D29" s="130">
        <v>4.2467185705953296</v>
      </c>
      <c r="E29" s="130">
        <v>3.3252930628991915</v>
      </c>
      <c r="F29" s="130">
        <v>5.3594359080962013</v>
      </c>
      <c r="G29" s="106">
        <v>4.8962561271582929</v>
      </c>
      <c r="H29" s="106">
        <v>6.4306782846796127</v>
      </c>
      <c r="I29" s="106">
        <v>7.1524206966027526</v>
      </c>
      <c r="J29" s="106">
        <v>7.9551673332916755</v>
      </c>
      <c r="K29" s="577">
        <f t="shared" si="1"/>
        <v>3.0589112061333825</v>
      </c>
    </row>
    <row r="30" spans="1:12" x14ac:dyDescent="0.25">
      <c r="A30" s="86" t="s">
        <v>73</v>
      </c>
      <c r="B30" s="130">
        <v>1.5569999999999999</v>
      </c>
      <c r="C30" s="130">
        <v>0.97771979692885302</v>
      </c>
      <c r="D30" s="130">
        <v>2.2887299461463932</v>
      </c>
      <c r="E30" s="130">
        <v>1.7921361367026796</v>
      </c>
      <c r="F30" s="130">
        <v>2.8884187292854926</v>
      </c>
      <c r="G30" s="106">
        <v>2.745931208354619</v>
      </c>
      <c r="H30" s="106">
        <v>3.6675702559633128</v>
      </c>
      <c r="I30" s="106">
        <v>4.2025802054725059</v>
      </c>
      <c r="J30" s="106">
        <v>4.8156351891861355</v>
      </c>
      <c r="K30" s="577">
        <f t="shared" si="1"/>
        <v>2.0697039808315165</v>
      </c>
    </row>
    <row r="31" spans="1:12" x14ac:dyDescent="0.25">
      <c r="A31" s="86" t="s">
        <v>119</v>
      </c>
      <c r="B31" s="130">
        <v>1.7559999999999998</v>
      </c>
      <c r="C31" s="130">
        <v>1.1026820574226499</v>
      </c>
      <c r="D31" s="130">
        <v>2.5812522706699204</v>
      </c>
      <c r="E31" s="130">
        <v>2.0211888606614679</v>
      </c>
      <c r="F31" s="130">
        <v>3.257587211705411</v>
      </c>
      <c r="G31" s="106">
        <v>2.8988228428496847</v>
      </c>
      <c r="H31" s="106">
        <v>3.7307849963106614</v>
      </c>
      <c r="I31" s="106">
        <v>4.0546270119243601</v>
      </c>
      <c r="J31" s="106">
        <v>4.4065793719241464</v>
      </c>
      <c r="K31" s="577">
        <f t="shared" si="1"/>
        <v>1.5077565290744617</v>
      </c>
    </row>
    <row r="32" spans="1:12" x14ac:dyDescent="0.25">
      <c r="A32" s="86" t="s">
        <v>182</v>
      </c>
      <c r="B32" s="130">
        <v>0.84787999999999997</v>
      </c>
      <c r="C32" s="130">
        <v>0.53242714285166082</v>
      </c>
      <c r="D32" s="130">
        <v>1.246350897070394</v>
      </c>
      <c r="E32" s="130">
        <v>0.97592574668430843</v>
      </c>
      <c r="F32" s="130">
        <v>1.5729174516291482</v>
      </c>
      <c r="G32" s="106">
        <v>1.2907401183436182</v>
      </c>
      <c r="H32" s="106">
        <v>1.586490897766063</v>
      </c>
      <c r="I32" s="106">
        <v>1.616844765819021</v>
      </c>
      <c r="J32" s="106">
        <v>1.6477793855845002</v>
      </c>
      <c r="K32" s="577">
        <f t="shared" si="1"/>
        <v>0.35703926724088197</v>
      </c>
    </row>
    <row r="33" spans="1:11" x14ac:dyDescent="0.25">
      <c r="A33" s="86" t="s">
        <v>136</v>
      </c>
      <c r="B33" s="130">
        <v>7.3132153874146308E-8</v>
      </c>
      <c r="C33" s="130">
        <v>2.368384441395226E-2</v>
      </c>
      <c r="D33" s="130">
        <v>5.5441164350310268E-2</v>
      </c>
      <c r="E33" s="130">
        <v>4.3411899363817799E-2</v>
      </c>
      <c r="F33" s="130">
        <v>6.996775558971452E-2</v>
      </c>
      <c r="G33" s="106">
        <v>7.1718479398068927E-2</v>
      </c>
      <c r="H33" s="106">
        <v>0.10354520124099365</v>
      </c>
      <c r="I33" s="106">
        <v>0.12775126936211417</v>
      </c>
      <c r="J33" s="106">
        <v>0.15761606166225881</v>
      </c>
      <c r="K33" s="577">
        <f t="shared" si="1"/>
        <v>8.5897582264189878E-2</v>
      </c>
    </row>
    <row r="34" spans="1:11" x14ac:dyDescent="0.25">
      <c r="A34" s="86" t="s">
        <v>124</v>
      </c>
      <c r="B34" s="130">
        <v>3.4850243793729825E-8</v>
      </c>
      <c r="C34" s="130">
        <v>1.1286249728394693E-2</v>
      </c>
      <c r="D34" s="130">
        <v>2.6419816612287764E-2</v>
      </c>
      <c r="E34" s="130">
        <v>2.0687415811402231E-2</v>
      </c>
      <c r="F34" s="130">
        <v>3.3342288047442228E-2</v>
      </c>
      <c r="G34" s="106">
        <v>3.113928760258983E-2</v>
      </c>
      <c r="H34" s="106">
        <v>4.1856830631408208E-2</v>
      </c>
      <c r="I34" s="106">
        <v>4.7582272569704633E-2</v>
      </c>
      <c r="J34" s="106">
        <v>5.4090876656073615E-2</v>
      </c>
      <c r="K34" s="577">
        <f t="shared" si="1"/>
        <v>2.2951589053483785E-2</v>
      </c>
    </row>
    <row r="35" spans="1:11" x14ac:dyDescent="0.25">
      <c r="A35" s="86" t="s">
        <v>125</v>
      </c>
      <c r="B35" s="130">
        <v>6.1823521530896976E-9</v>
      </c>
      <c r="C35" s="130">
        <v>2.0021544389081949E-3</v>
      </c>
      <c r="D35" s="130">
        <v>4.6868139885609455E-3</v>
      </c>
      <c r="E35" s="130">
        <v>3.6698994256819323E-3</v>
      </c>
      <c r="F35" s="130">
        <v>5.9148443126853653E-3</v>
      </c>
      <c r="G35" s="106">
        <v>5.8166849190337336E-3</v>
      </c>
      <c r="H35" s="106">
        <v>8.163260569363659E-3</v>
      </c>
      <c r="I35" s="106">
        <v>9.7240800690663026E-3</v>
      </c>
      <c r="J35" s="106">
        <v>1.1583329036988398E-2</v>
      </c>
      <c r="K35" s="577">
        <f t="shared" si="1"/>
        <v>5.7666441179546647E-3</v>
      </c>
    </row>
    <row r="36" spans="1:11" x14ac:dyDescent="0.25">
      <c r="A36" s="86" t="s">
        <v>144</v>
      </c>
      <c r="B36" s="130">
        <v>5.2508013261889291E-9</v>
      </c>
      <c r="C36" s="130">
        <v>1.7004717497045617E-3</v>
      </c>
      <c r="D36" s="130">
        <v>3.9806094019470828E-3</v>
      </c>
      <c r="E36" s="130">
        <v>3.1169225392184002E-3</v>
      </c>
      <c r="F36" s="130">
        <v>5.023601307752739E-3</v>
      </c>
      <c r="G36" s="106">
        <v>4.8237709410485262E-3</v>
      </c>
      <c r="H36" s="106">
        <v>6.6112695658504094E-3</v>
      </c>
      <c r="I36" s="106">
        <v>7.6954879770370624E-3</v>
      </c>
      <c r="J36" s="106">
        <v>8.9575133209841267E-3</v>
      </c>
      <c r="K36" s="577">
        <f t="shared" si="1"/>
        <v>4.1337423799356005E-3</v>
      </c>
    </row>
    <row r="37" spans="1:11" x14ac:dyDescent="0.25">
      <c r="A37" s="86" t="s">
        <v>68</v>
      </c>
      <c r="B37" s="130">
        <v>3.5044054916743168E-9</v>
      </c>
      <c r="C37" s="130">
        <v>1.1349015450993819E-3</v>
      </c>
      <c r="D37" s="130">
        <v>2.6566743972616736E-3</v>
      </c>
      <c r="E37" s="130">
        <v>2.0802463824104315E-3</v>
      </c>
      <c r="F37" s="130">
        <v>3.3527713042703568E-3</v>
      </c>
      <c r="G37" s="106">
        <v>3.1576174188219369E-3</v>
      </c>
      <c r="H37" s="106">
        <v>4.2800879604591351E-3</v>
      </c>
      <c r="I37" s="106">
        <v>4.9053083078671655E-3</v>
      </c>
      <c r="J37" s="106">
        <v>5.6218586668133428E-3</v>
      </c>
      <c r="K37" s="577">
        <f t="shared" si="1"/>
        <v>2.4642412479914059E-3</v>
      </c>
    </row>
    <row r="38" spans="1:11" ht="13" thickBot="1" x14ac:dyDescent="0.3">
      <c r="A38" s="579" t="s">
        <v>117</v>
      </c>
      <c r="B38" s="136">
        <v>4.1687205130721063E-8</v>
      </c>
      <c r="C38" s="136">
        <v>1.350039931912282E-2</v>
      </c>
      <c r="D38" s="136">
        <v>3.1602886945388528E-2</v>
      </c>
      <c r="E38" s="136">
        <v>2.4745897092106086E-2</v>
      </c>
      <c r="F38" s="136">
        <v>3.9883416873295705E-2</v>
      </c>
      <c r="G38" s="108">
        <v>1.6280391067800024E-2</v>
      </c>
      <c r="H38" s="108">
        <v>1.2867831541542925E-2</v>
      </c>
      <c r="I38" s="108">
        <v>7.5130613311701032E-3</v>
      </c>
      <c r="J38" s="108">
        <v>4.386604719193837E-3</v>
      </c>
      <c r="K38" s="577">
        <f t="shared" si="1"/>
        <v>-1.1893786348606187E-2</v>
      </c>
    </row>
    <row r="39" spans="1:11" ht="14" thickTop="1" thickBot="1" x14ac:dyDescent="0.35">
      <c r="A39" s="133" t="s">
        <v>17</v>
      </c>
      <c r="B39" s="109">
        <v>94.991348183928622</v>
      </c>
      <c r="C39" s="109">
        <v>59.765804347826077</v>
      </c>
      <c r="D39" s="109">
        <v>139.90489565217393</v>
      </c>
      <c r="E39" s="109">
        <v>109.54923695652177</v>
      </c>
      <c r="F39" s="109">
        <v>176.56251739130434</v>
      </c>
      <c r="G39" s="110">
        <v>156.94414699584235</v>
      </c>
      <c r="H39" s="110">
        <v>203.60145957678469</v>
      </c>
      <c r="I39" s="110">
        <v>222.20922764216493</v>
      </c>
      <c r="J39" s="110">
        <v>242.75824114821737</v>
      </c>
    </row>
    <row r="40" spans="1:11" ht="13" thickTop="1" x14ac:dyDescent="0.25"/>
  </sheetData>
  <autoFilter ref="A23:K39" xr:uid="{C83887DC-6A21-436C-844C-955E0444723D}">
    <sortState xmlns:xlrd2="http://schemas.microsoft.com/office/spreadsheetml/2017/richdata2" ref="A24:K39">
      <sortCondition descending="1" ref="K23:K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0A8EF-9386-4DE3-9654-92BCD7AAD4FB}">
  <sheetPr>
    <tabColor rgb="FF0070C0"/>
  </sheetPr>
  <dimension ref="A1:W149"/>
  <sheetViews>
    <sheetView showGridLines="0" topLeftCell="D1" zoomScale="55" zoomScaleNormal="55" workbookViewId="0">
      <pane ySplit="10" topLeftCell="A68" activePane="bottomLeft" state="frozen"/>
      <selection activeCell="G39" sqref="G39"/>
      <selection pane="bottomLeft" activeCell="K90" sqref="K90"/>
    </sheetView>
  </sheetViews>
  <sheetFormatPr defaultColWidth="9.26953125" defaultRowHeight="13.5" customHeight="1" outlineLevelRow="1" x14ac:dyDescent="0.25"/>
  <cols>
    <col min="1" max="1" width="1.7265625" style="2" customWidth="1"/>
    <col min="2" max="2" width="2.7265625" style="2" customWidth="1"/>
    <col min="3" max="3" width="2" style="2" customWidth="1"/>
    <col min="4" max="4" width="53.453125" style="2" customWidth="1"/>
    <col min="5" max="5" width="20.26953125" style="2" customWidth="1"/>
    <col min="6" max="6" width="35" style="2" bestFit="1" customWidth="1"/>
    <col min="7" max="7" width="20.26953125" style="2" customWidth="1"/>
    <col min="8" max="8" width="13.7265625" style="2" customWidth="1"/>
    <col min="9" max="13" width="20.26953125" style="2" customWidth="1"/>
    <col min="14" max="14" width="9.26953125" style="2"/>
    <col min="15" max="15" width="32.453125" style="2" bestFit="1" customWidth="1"/>
    <col min="16" max="16" width="24.7265625" style="2" bestFit="1" customWidth="1"/>
    <col min="17" max="17" width="34.54296875" style="2" bestFit="1" customWidth="1"/>
    <col min="18" max="18" width="48.7265625" style="2" customWidth="1"/>
    <col min="19" max="19" width="35.7265625" style="2" customWidth="1"/>
    <col min="20" max="20" width="30.54296875" style="2" bestFit="1" customWidth="1"/>
    <col min="21" max="22" width="9.26953125" style="2"/>
    <col min="23" max="23" width="0" style="2" hidden="1" customWidth="1"/>
    <col min="24" max="16384" width="9.26953125" style="2"/>
  </cols>
  <sheetData>
    <row r="1" spans="1:19" s="7" customFormat="1" ht="13.5" customHeight="1" x14ac:dyDescent="0.25">
      <c r="A1" s="5"/>
      <c r="B1" s="5"/>
      <c r="C1" s="5"/>
      <c r="D1" s="6"/>
      <c r="E1" s="25"/>
    </row>
    <row r="2" spans="1:19" s="7" customFormat="1" ht="13.5" customHeight="1" x14ac:dyDescent="0.25">
      <c r="A2" s="5"/>
      <c r="B2" s="5"/>
      <c r="C2" s="5"/>
      <c r="D2" s="6"/>
      <c r="E2" s="26" t="str">
        <f>Title</f>
        <v>OCP Africa - CIV P205</v>
      </c>
    </row>
    <row r="3" spans="1:19" s="7" customFormat="1" ht="13.5" customHeight="1" x14ac:dyDescent="0.25">
      <c r="A3" s="5"/>
      <c r="B3" s="5"/>
      <c r="C3" s="5"/>
      <c r="D3" s="6"/>
      <c r="E3" s="27" t="str">
        <f ca="1">MID(CELL("filename",E3),FIND("]",CELL("filename",E3))+1,256)</f>
        <v>ProjectedP205_Consumption</v>
      </c>
    </row>
    <row r="4" spans="1:19" s="7" customFormat="1" ht="13.5" customHeight="1" x14ac:dyDescent="0.25">
      <c r="A4" s="5"/>
      <c r="B4" s="5"/>
      <c r="C4" s="5"/>
      <c r="D4" s="6"/>
      <c r="E4" s="25"/>
    </row>
    <row r="5" spans="1:19" s="11" customFormat="1" ht="13.5" customHeight="1" x14ac:dyDescent="0.3">
      <c r="A5" s="8"/>
      <c r="B5" s="8"/>
      <c r="C5" s="8"/>
      <c r="D5" s="9"/>
      <c r="E5" s="10"/>
    </row>
    <row r="6" spans="1:19" ht="13.5" customHeight="1" thickBot="1" x14ac:dyDescent="0.3">
      <c r="F6" s="7"/>
      <c r="G6" s="7"/>
      <c r="H6" s="59"/>
      <c r="I6" s="59"/>
    </row>
    <row r="7" spans="1:19" ht="13.5" customHeight="1" x14ac:dyDescent="0.35">
      <c r="B7" s="29">
        <v>1</v>
      </c>
      <c r="D7" s="28" t="s">
        <v>10</v>
      </c>
      <c r="F7" s="156"/>
      <c r="G7" s="157"/>
      <c r="H7" s="634" t="s">
        <v>11</v>
      </c>
      <c r="I7" s="635"/>
      <c r="L7" s="166" t="s">
        <v>12</v>
      </c>
    </row>
    <row r="8" spans="1:19" ht="13.5" customHeight="1" x14ac:dyDescent="0.3">
      <c r="F8" s="158" t="s">
        <v>13</v>
      </c>
      <c r="G8" s="159" t="s">
        <v>14</v>
      </c>
      <c r="H8" s="160">
        <f>M27</f>
        <v>111.66879092817999</v>
      </c>
      <c r="I8" s="164">
        <f>M48</f>
        <v>239.24626737704941</v>
      </c>
      <c r="K8" s="169" t="s">
        <v>15</v>
      </c>
      <c r="L8" s="167">
        <f>P27</f>
        <v>8.2851412791986156E-2</v>
      </c>
    </row>
    <row r="9" spans="1:19" ht="13.5" customHeight="1" thickBot="1" x14ac:dyDescent="0.35">
      <c r="D9" s="32" t="s">
        <v>16</v>
      </c>
      <c r="E9" s="7"/>
      <c r="F9" s="161" t="s">
        <v>17</v>
      </c>
      <c r="G9" s="162" t="s">
        <v>14</v>
      </c>
      <c r="H9" s="163">
        <f>M28</f>
        <v>242.75824114821737</v>
      </c>
      <c r="I9" s="165">
        <f>M49</f>
        <v>520.10058125445516</v>
      </c>
      <c r="K9" s="170" t="s">
        <v>18</v>
      </c>
      <c r="L9" s="168">
        <f>P48</f>
        <v>0.31007816009788747</v>
      </c>
    </row>
    <row r="10" spans="1:19" ht="13.5" customHeight="1" x14ac:dyDescent="0.3">
      <c r="D10" s="33" t="s">
        <v>19</v>
      </c>
      <c r="E10" s="7"/>
      <c r="F10" s="7"/>
      <c r="G10" s="7"/>
      <c r="H10" s="7"/>
      <c r="I10" s="7"/>
    </row>
    <row r="11" spans="1:19" ht="13.5" customHeight="1" outlineLevel="1" x14ac:dyDescent="0.25">
      <c r="E11" s="7"/>
      <c r="F11" s="7"/>
      <c r="G11" s="7"/>
      <c r="H11" s="7"/>
      <c r="I11" s="7"/>
    </row>
    <row r="12" spans="1:19" ht="13.5" customHeight="1" outlineLevel="1" x14ac:dyDescent="0.3">
      <c r="D12" s="30"/>
      <c r="E12" s="34">
        <v>2017</v>
      </c>
      <c r="F12" s="34">
        <v>2018</v>
      </c>
      <c r="G12" s="34">
        <v>2019</v>
      </c>
      <c r="H12" s="34">
        <v>2020</v>
      </c>
      <c r="I12" s="34">
        <v>2021</v>
      </c>
      <c r="J12" s="34">
        <v>2022</v>
      </c>
      <c r="K12" s="34">
        <v>2023</v>
      </c>
      <c r="L12" s="34">
        <v>2024</v>
      </c>
      <c r="M12" s="34">
        <v>2025</v>
      </c>
      <c r="O12" s="30" t="s">
        <v>20</v>
      </c>
      <c r="P12" s="30" t="s">
        <v>12</v>
      </c>
    </row>
    <row r="13" spans="1:19" ht="13.5" customHeight="1" outlineLevel="1" x14ac:dyDescent="0.25">
      <c r="D13" s="86" t="str">
        <f t="shared" ref="D13:D26" si="0">D58</f>
        <v>Cocoa beans</v>
      </c>
      <c r="E13" s="130">
        <f t="shared" ref="E13:M13" si="1">(E58*E80)/1000000</f>
        <v>20.542000000000002</v>
      </c>
      <c r="F13" s="130">
        <f t="shared" si="1"/>
        <v>12.899370628460177</v>
      </c>
      <c r="G13" s="130">
        <f t="shared" si="1"/>
        <v>30.195947690262816</v>
      </c>
      <c r="H13" s="130">
        <f t="shared" si="1"/>
        <v>23.644226409856419</v>
      </c>
      <c r="I13" s="130">
        <f t="shared" si="1"/>
        <v>38.107833999346553</v>
      </c>
      <c r="J13" s="106">
        <f t="shared" si="1"/>
        <v>33.554971069583885</v>
      </c>
      <c r="K13" s="106">
        <f t="shared" si="1"/>
        <v>43.354807529664242</v>
      </c>
      <c r="L13" s="106">
        <f t="shared" si="1"/>
        <v>46.912207942870602</v>
      </c>
      <c r="M13" s="106">
        <f t="shared" si="1"/>
        <v>50.76150442068807</v>
      </c>
      <c r="O13" s="152">
        <f>IFERROR(_xlfn.RRI($H$12-$E$12,E13,H13),0)</f>
        <v>4.7998822838481781E-2</v>
      </c>
      <c r="P13" s="152">
        <f>IFERROR(_xlfn.RRI($M$12-$I$12,I13,M13),0)</f>
        <v>7.4311080329811707E-2</v>
      </c>
      <c r="Q13" s="2">
        <f>M13-J13</f>
        <v>17.206533351104184</v>
      </c>
      <c r="R13" s="177">
        <f t="shared" ref="R13:R27" si="2">J13/$J$27</f>
        <v>0.46478693648662489</v>
      </c>
      <c r="S13" s="178">
        <f>R13+R18+R20+R22</f>
        <v>0.6345264584914444</v>
      </c>
    </row>
    <row r="14" spans="1:19" ht="13.5" customHeight="1" outlineLevel="1" x14ac:dyDescent="0.25">
      <c r="D14" s="86" t="str">
        <f t="shared" si="0"/>
        <v>Cashew nuts, in shell</v>
      </c>
      <c r="E14" s="130">
        <f t="shared" ref="E14:M14" si="3">(E59*E81)/1000000</f>
        <v>7.3132153874146308E-8</v>
      </c>
      <c r="F14" s="130">
        <f t="shared" si="3"/>
        <v>2.368384441395226E-2</v>
      </c>
      <c r="G14" s="130">
        <f t="shared" si="3"/>
        <v>5.5441164350310268E-2</v>
      </c>
      <c r="H14" s="130">
        <f t="shared" si="3"/>
        <v>4.3411899363817799E-2</v>
      </c>
      <c r="I14" s="130">
        <f t="shared" si="3"/>
        <v>6.996775558971452E-2</v>
      </c>
      <c r="J14" s="106">
        <f t="shared" si="3"/>
        <v>7.1718479398068927E-2</v>
      </c>
      <c r="K14" s="106">
        <f t="shared" si="3"/>
        <v>0.10354520124099365</v>
      </c>
      <c r="L14" s="106">
        <f t="shared" si="3"/>
        <v>0.12775126936211417</v>
      </c>
      <c r="M14" s="106">
        <f t="shared" si="3"/>
        <v>0.15761606166225881</v>
      </c>
      <c r="O14" s="152">
        <f t="shared" ref="O14:O26" si="4">IFERROR(_xlfn.RRI($I$57-$E$57,E14,I14),0)</f>
        <v>30.275005492828672</v>
      </c>
      <c r="P14" s="152">
        <f t="shared" ref="P14:P28" si="5">IFERROR(_xlfn.RRI($M$12-$I$12,I14,M14),0)</f>
        <v>0.22511154403922129</v>
      </c>
      <c r="Q14" s="2">
        <f t="shared" ref="Q14:Q26" si="6">M14-J14</f>
        <v>8.5897582264189878E-2</v>
      </c>
      <c r="R14" s="177">
        <f t="shared" si="2"/>
        <v>9.9340906179839388E-4</v>
      </c>
      <c r="S14" s="177">
        <f>R14+R16+R19+R21</f>
        <v>0.28686855584166271</v>
      </c>
    </row>
    <row r="15" spans="1:19" ht="13.5" customHeight="1" outlineLevel="1" x14ac:dyDescent="0.25">
      <c r="D15" s="86" t="str">
        <f t="shared" si="0"/>
        <v>Coffee, green</v>
      </c>
      <c r="E15" s="130">
        <f t="shared" ref="E15:M15" si="7">(E60*E82)/1000000</f>
        <v>4.1687205130721063E-8</v>
      </c>
      <c r="F15" s="130">
        <f t="shared" si="7"/>
        <v>1.350039931912282E-2</v>
      </c>
      <c r="G15" s="130">
        <f t="shared" si="7"/>
        <v>3.1602886945388528E-2</v>
      </c>
      <c r="H15" s="130">
        <f t="shared" si="7"/>
        <v>2.4745897092106086E-2</v>
      </c>
      <c r="I15" s="130">
        <f t="shared" si="7"/>
        <v>3.9883416873295705E-2</v>
      </c>
      <c r="J15" s="106">
        <f t="shared" si="7"/>
        <v>1.6280391067800024E-2</v>
      </c>
      <c r="K15" s="106">
        <f t="shared" si="7"/>
        <v>1.2867831541542925E-2</v>
      </c>
      <c r="L15" s="106">
        <f t="shared" si="7"/>
        <v>7.5130613311701032E-3</v>
      </c>
      <c r="M15" s="106">
        <f t="shared" si="7"/>
        <v>4.386604719193837E-3</v>
      </c>
      <c r="O15" s="152">
        <f t="shared" si="4"/>
        <v>30.275005492828672</v>
      </c>
      <c r="P15" s="152">
        <f t="shared" si="5"/>
        <v>-0.42411729503222806</v>
      </c>
      <c r="Q15" s="2">
        <f t="shared" si="6"/>
        <v>-1.1893786348606187E-2</v>
      </c>
      <c r="R15" s="177">
        <f t="shared" si="2"/>
        <v>2.2550796046032242E-4</v>
      </c>
    </row>
    <row r="16" spans="1:19" ht="13.5" customHeight="1" outlineLevel="1" x14ac:dyDescent="0.25">
      <c r="D16" s="86" t="str">
        <f t="shared" si="0"/>
        <v>Cassava, fresh</v>
      </c>
      <c r="E16" s="130">
        <f t="shared" ref="E16:M16" si="8">(E61*E83)/1000000</f>
        <v>3.4850243793729825E-8</v>
      </c>
      <c r="F16" s="130">
        <f t="shared" si="8"/>
        <v>1.1286249728394693E-2</v>
      </c>
      <c r="G16" s="130">
        <f t="shared" si="8"/>
        <v>2.6419816612287764E-2</v>
      </c>
      <c r="H16" s="130">
        <f t="shared" si="8"/>
        <v>2.0687415811402231E-2</v>
      </c>
      <c r="I16" s="130">
        <f t="shared" si="8"/>
        <v>3.3342288047442228E-2</v>
      </c>
      <c r="J16" s="106">
        <f t="shared" si="8"/>
        <v>3.113928760258983E-2</v>
      </c>
      <c r="K16" s="106">
        <f t="shared" si="8"/>
        <v>4.1856830631408208E-2</v>
      </c>
      <c r="L16" s="106">
        <f t="shared" si="8"/>
        <v>4.7582272569704633E-2</v>
      </c>
      <c r="M16" s="106">
        <f t="shared" si="8"/>
        <v>5.4090876656073615E-2</v>
      </c>
      <c r="O16" s="152">
        <f t="shared" si="4"/>
        <v>30.275005492828672</v>
      </c>
      <c r="P16" s="152">
        <f t="shared" si="5"/>
        <v>0.12857949471897445</v>
      </c>
      <c r="Q16" s="2">
        <f t="shared" si="6"/>
        <v>2.2951589053483785E-2</v>
      </c>
      <c r="R16" s="177">
        <f t="shared" si="2"/>
        <v>4.3132607860606767E-4</v>
      </c>
    </row>
    <row r="17" spans="4:18" ht="13.15" customHeight="1" outlineLevel="1" x14ac:dyDescent="0.25">
      <c r="D17" s="86" t="str">
        <f t="shared" si="0"/>
        <v>Rice</v>
      </c>
      <c r="E17" s="130">
        <f t="shared" ref="E17:M17" si="9">(E62*E84)/1000000</f>
        <v>1.5569999999999999</v>
      </c>
      <c r="F17" s="130">
        <f t="shared" si="9"/>
        <v>0.97771979692885302</v>
      </c>
      <c r="G17" s="130">
        <f t="shared" si="9"/>
        <v>2.2887299461463932</v>
      </c>
      <c r="H17" s="130">
        <f t="shared" si="9"/>
        <v>1.7921361367026796</v>
      </c>
      <c r="I17" s="130">
        <f t="shared" si="9"/>
        <v>2.8884187292854926</v>
      </c>
      <c r="J17" s="106">
        <f t="shared" si="9"/>
        <v>2.745931208354619</v>
      </c>
      <c r="K17" s="106">
        <f t="shared" si="9"/>
        <v>3.6675702559633128</v>
      </c>
      <c r="L17" s="106">
        <f t="shared" si="9"/>
        <v>4.2025802054725059</v>
      </c>
      <c r="M17" s="106">
        <f t="shared" si="9"/>
        <v>4.8156351891861355</v>
      </c>
      <c r="O17" s="152">
        <f t="shared" si="4"/>
        <v>0.16705919577207839</v>
      </c>
      <c r="P17" s="152">
        <f t="shared" si="5"/>
        <v>0.13631399808948363</v>
      </c>
      <c r="Q17" s="2">
        <f t="shared" si="6"/>
        <v>2.0697039808315165</v>
      </c>
      <c r="R17" s="177">
        <f t="shared" si="2"/>
        <v>3.8035286976928588E-2</v>
      </c>
    </row>
    <row r="18" spans="4:18" ht="13.5" customHeight="1" outlineLevel="1" x14ac:dyDescent="0.25">
      <c r="D18" s="86" t="str">
        <f t="shared" si="0"/>
        <v>Plantains and cooking bananas</v>
      </c>
      <c r="E18" s="130">
        <f t="shared" ref="E18:M18" si="10">(E63*E85)/1000000</f>
        <v>3.4101400000000002</v>
      </c>
      <c r="F18" s="130">
        <f t="shared" si="10"/>
        <v>2.141401020102093</v>
      </c>
      <c r="G18" s="130">
        <f t="shared" si="10"/>
        <v>5.0127742701038294</v>
      </c>
      <c r="H18" s="130">
        <f t="shared" si="10"/>
        <v>3.9251349551800101</v>
      </c>
      <c r="I18" s="130">
        <f t="shared" si="10"/>
        <v>6.3262121037158829</v>
      </c>
      <c r="J18" s="106">
        <f t="shared" si="10"/>
        <v>5.8369826553011048</v>
      </c>
      <c r="K18" s="106">
        <f t="shared" si="10"/>
        <v>7.7999576174457532</v>
      </c>
      <c r="L18" s="106">
        <f t="shared" si="10"/>
        <v>8.7850891845815724</v>
      </c>
      <c r="M18" s="106">
        <f t="shared" si="10"/>
        <v>9.8946424796504804</v>
      </c>
      <c r="O18" s="152">
        <f t="shared" si="4"/>
        <v>0.16705919577207839</v>
      </c>
      <c r="P18" s="152">
        <f t="shared" si="5"/>
        <v>0.11831484373453338</v>
      </c>
      <c r="Q18" s="2">
        <f t="shared" si="6"/>
        <v>4.0576598243493756</v>
      </c>
      <c r="R18" s="177">
        <f t="shared" si="2"/>
        <v>8.0851009558525269E-2</v>
      </c>
    </row>
    <row r="19" spans="4:18" ht="13.5" customHeight="1" outlineLevel="1" x14ac:dyDescent="0.25">
      <c r="D19" s="86" t="str">
        <f t="shared" si="0"/>
        <v>Maize (corn)</v>
      </c>
      <c r="E19" s="130">
        <f t="shared" ref="E19:M19" si="11">(E64*E86)/1000000</f>
        <v>2.8889999999999998</v>
      </c>
      <c r="F19" s="130">
        <f t="shared" si="11"/>
        <v>1.814150605862207</v>
      </c>
      <c r="G19" s="130">
        <f t="shared" si="11"/>
        <v>4.2467185705953296</v>
      </c>
      <c r="H19" s="130">
        <f t="shared" si="11"/>
        <v>3.3252930628991915</v>
      </c>
      <c r="I19" s="130">
        <f t="shared" si="11"/>
        <v>5.3594359080962013</v>
      </c>
      <c r="J19" s="106">
        <f t="shared" si="11"/>
        <v>4.8962561271582929</v>
      </c>
      <c r="K19" s="106">
        <f t="shared" si="11"/>
        <v>6.4306782846796127</v>
      </c>
      <c r="L19" s="106">
        <f t="shared" si="11"/>
        <v>7.1524206966027526</v>
      </c>
      <c r="M19" s="106">
        <f t="shared" si="11"/>
        <v>7.9551673332916755</v>
      </c>
      <c r="O19" s="152">
        <f t="shared" si="4"/>
        <v>0.16705919577207817</v>
      </c>
      <c r="P19" s="152">
        <f t="shared" si="5"/>
        <v>0.10378009864914284</v>
      </c>
      <c r="Q19" s="2">
        <f t="shared" si="6"/>
        <v>3.0589112061333825</v>
      </c>
      <c r="R19" s="177">
        <f t="shared" si="2"/>
        <v>6.7820528912886077E-2</v>
      </c>
    </row>
    <row r="20" spans="4:18" ht="13.5" customHeight="1" outlineLevel="1" x14ac:dyDescent="0.25">
      <c r="D20" s="86" t="str">
        <f t="shared" si="0"/>
        <v>Natural rubber in primary forms</v>
      </c>
      <c r="E20" s="130">
        <f t="shared" ref="E20:M20" si="12">(E65*E87)/1000000</f>
        <v>0.84787999999999997</v>
      </c>
      <c r="F20" s="130">
        <f t="shared" si="12"/>
        <v>0.53242714285166082</v>
      </c>
      <c r="G20" s="130">
        <f t="shared" si="12"/>
        <v>1.246350897070394</v>
      </c>
      <c r="H20" s="130">
        <f t="shared" si="12"/>
        <v>0.97592574668430843</v>
      </c>
      <c r="I20" s="130">
        <f t="shared" si="12"/>
        <v>1.5729174516291482</v>
      </c>
      <c r="J20" s="106">
        <f t="shared" si="12"/>
        <v>1.2907401183436182</v>
      </c>
      <c r="K20" s="106">
        <f t="shared" si="12"/>
        <v>1.586490897766063</v>
      </c>
      <c r="L20" s="106">
        <f t="shared" si="12"/>
        <v>1.616844765819021</v>
      </c>
      <c r="M20" s="106">
        <f t="shared" si="12"/>
        <v>1.6477793855845002</v>
      </c>
      <c r="O20" s="152">
        <f t="shared" si="4"/>
        <v>0.16705919577207839</v>
      </c>
      <c r="P20" s="152">
        <f t="shared" si="5"/>
        <v>1.1691924956656718E-2</v>
      </c>
      <c r="Q20" s="2">
        <f t="shared" si="6"/>
        <v>0.35703926724088197</v>
      </c>
      <c r="R20" s="177">
        <f t="shared" si="2"/>
        <v>1.7878696547264036E-2</v>
      </c>
    </row>
    <row r="21" spans="4:18" ht="13.5" customHeight="1" outlineLevel="1" x14ac:dyDescent="0.25">
      <c r="D21" s="86" t="str">
        <f t="shared" si="0"/>
        <v>Seed cotton, unginned</v>
      </c>
      <c r="E21" s="130">
        <f t="shared" ref="E21:M21" si="13">(E66*E88)/1000000</f>
        <v>9.8249999999999993</v>
      </c>
      <c r="F21" s="130">
        <f t="shared" si="13"/>
        <v>6.1696191424701237</v>
      </c>
      <c r="G21" s="130">
        <f t="shared" si="13"/>
        <v>14.442371047455566</v>
      </c>
      <c r="H21" s="130">
        <f t="shared" si="13"/>
        <v>11.308758858769316</v>
      </c>
      <c r="I21" s="130">
        <f t="shared" si="13"/>
        <v>18.226534370732153</v>
      </c>
      <c r="J21" s="106">
        <f t="shared" si="13"/>
        <v>15.711162872230549</v>
      </c>
      <c r="K21" s="106">
        <f t="shared" si="13"/>
        <v>19.778090248269969</v>
      </c>
      <c r="L21" s="106">
        <f t="shared" si="13"/>
        <v>20.922613254685228</v>
      </c>
      <c r="M21" s="106">
        <f t="shared" si="13"/>
        <v>22.133367777681237</v>
      </c>
      <c r="O21" s="152">
        <f t="shared" si="4"/>
        <v>0.16705919577207839</v>
      </c>
      <c r="P21" s="152">
        <f t="shared" si="5"/>
        <v>4.9749920459411179E-2</v>
      </c>
      <c r="Q21" s="2">
        <f t="shared" si="6"/>
        <v>6.4222049054506876</v>
      </c>
      <c r="R21" s="177">
        <f t="shared" si="2"/>
        <v>0.21762329178837214</v>
      </c>
    </row>
    <row r="22" spans="4:18" ht="13.5" customHeight="1" outlineLevel="1" x14ac:dyDescent="0.25">
      <c r="D22" s="86" t="str">
        <f t="shared" si="0"/>
        <v>Oil palm fruit</v>
      </c>
      <c r="E22" s="130">
        <f t="shared" ref="E22:M22" si="14">(E67*E89)/1000000</f>
        <v>2.8690000000000002</v>
      </c>
      <c r="F22" s="130">
        <f t="shared" si="14"/>
        <v>1.8015915847070518</v>
      </c>
      <c r="G22" s="130">
        <f t="shared" si="14"/>
        <v>4.2173193420000024</v>
      </c>
      <c r="H22" s="130">
        <f t="shared" si="14"/>
        <v>3.3022726886319771</v>
      </c>
      <c r="I22" s="130">
        <f t="shared" si="14"/>
        <v>5.3223335480540017</v>
      </c>
      <c r="J22" s="106">
        <f t="shared" si="14"/>
        <v>5.1265044929183459</v>
      </c>
      <c r="K22" s="106">
        <f t="shared" si="14"/>
        <v>7.1309670937117282</v>
      </c>
      <c r="L22" s="106">
        <f t="shared" si="14"/>
        <v>8.3646901738228596</v>
      </c>
      <c r="M22" s="106">
        <f t="shared" si="14"/>
        <v>9.811858726111403</v>
      </c>
      <c r="O22" s="152">
        <f t="shared" si="4"/>
        <v>0.16705919577207839</v>
      </c>
      <c r="P22" s="152">
        <f t="shared" si="5"/>
        <v>0.16523172293616883</v>
      </c>
      <c r="Q22" s="2">
        <f t="shared" si="6"/>
        <v>4.6853542331930571</v>
      </c>
      <c r="R22" s="177">
        <f t="shared" si="2"/>
        <v>7.1009815899030201E-2</v>
      </c>
    </row>
    <row r="23" spans="4:18" ht="13.5" customHeight="1" outlineLevel="1" x14ac:dyDescent="0.25">
      <c r="D23" s="86" t="str">
        <f t="shared" si="0"/>
        <v>Mangoes, guavas and mangosteens</v>
      </c>
      <c r="E23" s="130">
        <f t="shared" ref="E23:M23" si="15">(E68*E90)/1000000</f>
        <v>6.1823521530896976E-9</v>
      </c>
      <c r="F23" s="130">
        <f t="shared" si="15"/>
        <v>2.0021544389081949E-3</v>
      </c>
      <c r="G23" s="130">
        <f t="shared" si="15"/>
        <v>4.6868139885609455E-3</v>
      </c>
      <c r="H23" s="130">
        <f t="shared" si="15"/>
        <v>3.6698994256819323E-3</v>
      </c>
      <c r="I23" s="130">
        <f t="shared" si="15"/>
        <v>5.9148443126853653E-3</v>
      </c>
      <c r="J23" s="106">
        <f t="shared" si="15"/>
        <v>5.8166849190337336E-3</v>
      </c>
      <c r="K23" s="106">
        <f t="shared" si="15"/>
        <v>8.163260569363659E-3</v>
      </c>
      <c r="L23" s="106">
        <f t="shared" si="15"/>
        <v>9.7240800690663026E-3</v>
      </c>
      <c r="M23" s="106">
        <f t="shared" si="15"/>
        <v>1.1583329036988398E-2</v>
      </c>
      <c r="O23" s="152">
        <f t="shared" si="4"/>
        <v>30.275005492828672</v>
      </c>
      <c r="P23" s="152">
        <f t="shared" si="5"/>
        <v>0.18296669787402942</v>
      </c>
      <c r="Q23" s="2">
        <f t="shared" si="6"/>
        <v>5.7666441179546647E-3</v>
      </c>
      <c r="R23" s="177">
        <f t="shared" si="2"/>
        <v>8.0569855310537369E-5</v>
      </c>
    </row>
    <row r="24" spans="4:18" ht="13.5" customHeight="1" outlineLevel="1" x14ac:dyDescent="0.25">
      <c r="D24" s="86" t="str">
        <f t="shared" si="0"/>
        <v>Groundnuts, excluding shelled</v>
      </c>
      <c r="E24" s="130">
        <f t="shared" ref="E24:M24" si="16">(E69*E91)/1000000</f>
        <v>5.2508013261889291E-9</v>
      </c>
      <c r="F24" s="130">
        <f t="shared" si="16"/>
        <v>1.7004717497045617E-3</v>
      </c>
      <c r="G24" s="130">
        <f t="shared" si="16"/>
        <v>3.9806094019470828E-3</v>
      </c>
      <c r="H24" s="130">
        <f t="shared" si="16"/>
        <v>3.1169225392184002E-3</v>
      </c>
      <c r="I24" s="130">
        <f t="shared" si="16"/>
        <v>5.023601307752739E-3</v>
      </c>
      <c r="J24" s="106">
        <f t="shared" si="16"/>
        <v>4.8237709410485262E-3</v>
      </c>
      <c r="K24" s="106">
        <f t="shared" si="16"/>
        <v>6.6112695658504094E-3</v>
      </c>
      <c r="L24" s="106">
        <f t="shared" si="16"/>
        <v>7.6954879770370624E-3</v>
      </c>
      <c r="M24" s="106">
        <f t="shared" si="16"/>
        <v>8.9575133209841267E-3</v>
      </c>
      <c r="O24" s="152">
        <f t="shared" si="4"/>
        <v>30.275005492828672</v>
      </c>
      <c r="P24" s="152">
        <f t="shared" si="5"/>
        <v>0.15556152794424216</v>
      </c>
      <c r="Q24" s="2">
        <f t="shared" si="6"/>
        <v>4.1337423799356005E-3</v>
      </c>
      <c r="R24" s="177">
        <f t="shared" si="2"/>
        <v>6.681649980725051E-5</v>
      </c>
    </row>
    <row r="25" spans="4:18" ht="13.5" customHeight="1" outlineLevel="1" x14ac:dyDescent="0.25">
      <c r="D25" s="86" t="str">
        <f t="shared" si="0"/>
        <v>Sorghum</v>
      </c>
      <c r="E25" s="130">
        <f t="shared" ref="E25:M25" si="17">(E70*E92)/1000000</f>
        <v>3.5044054916743168E-9</v>
      </c>
      <c r="F25" s="130">
        <f t="shared" si="17"/>
        <v>1.1349015450993819E-3</v>
      </c>
      <c r="G25" s="130">
        <f t="shared" si="17"/>
        <v>2.6566743972616736E-3</v>
      </c>
      <c r="H25" s="130">
        <f t="shared" si="17"/>
        <v>2.0802463824104315E-3</v>
      </c>
      <c r="I25" s="130">
        <f t="shared" si="17"/>
        <v>3.3527713042703568E-3</v>
      </c>
      <c r="J25" s="106">
        <f t="shared" si="17"/>
        <v>3.1576174188219369E-3</v>
      </c>
      <c r="K25" s="106">
        <f t="shared" si="17"/>
        <v>4.2800879604591351E-3</v>
      </c>
      <c r="L25" s="106">
        <f t="shared" si="17"/>
        <v>4.9053083078671655E-3</v>
      </c>
      <c r="M25" s="106">
        <f t="shared" si="17"/>
        <v>5.6218586668133428E-3</v>
      </c>
      <c r="O25" s="152">
        <f t="shared" si="4"/>
        <v>30.275005492828672</v>
      </c>
      <c r="P25" s="152">
        <f t="shared" si="5"/>
        <v>0.13793904215569452</v>
      </c>
      <c r="Q25" s="2">
        <f t="shared" si="6"/>
        <v>2.4642412479914059E-3</v>
      </c>
      <c r="R25" s="177">
        <f t="shared" si="2"/>
        <v>4.373776164633278E-5</v>
      </c>
    </row>
    <row r="26" spans="4:18" ht="13.5" customHeight="1" outlineLevel="1" x14ac:dyDescent="0.25">
      <c r="D26" s="86" t="str">
        <f t="shared" si="0"/>
        <v>Sugar cane</v>
      </c>
      <c r="E26" s="130">
        <f t="shared" ref="E26:M26" si="18">(E71*E93)/1000000</f>
        <v>1.7559999999999998</v>
      </c>
      <c r="F26" s="130">
        <f t="shared" si="18"/>
        <v>1.1026820574226499</v>
      </c>
      <c r="G26" s="130">
        <f t="shared" si="18"/>
        <v>2.5812522706699204</v>
      </c>
      <c r="H26" s="130">
        <f t="shared" si="18"/>
        <v>2.0211888606614679</v>
      </c>
      <c r="I26" s="130">
        <f t="shared" si="18"/>
        <v>3.257587211705411</v>
      </c>
      <c r="J26" s="106">
        <f t="shared" si="18"/>
        <v>2.8988228428496847</v>
      </c>
      <c r="K26" s="106">
        <f t="shared" si="18"/>
        <v>3.7307849963106614</v>
      </c>
      <c r="L26" s="106">
        <f t="shared" si="18"/>
        <v>4.0546270119243601</v>
      </c>
      <c r="M26" s="106">
        <f t="shared" si="18"/>
        <v>4.4065793719241464</v>
      </c>
      <c r="O26" s="152">
        <f t="shared" si="4"/>
        <v>0.16705919577207839</v>
      </c>
      <c r="P26" s="152">
        <f t="shared" si="5"/>
        <v>7.8453406092410694E-2</v>
      </c>
      <c r="Q26" s="2">
        <f t="shared" si="6"/>
        <v>1.5077565290744617</v>
      </c>
      <c r="R26" s="177">
        <f t="shared" si="2"/>
        <v>4.0153066612739659E-2</v>
      </c>
    </row>
    <row r="27" spans="4:18" ht="13.5" customHeight="1" outlineLevel="1" thickBot="1" x14ac:dyDescent="0.3">
      <c r="D27" s="88" t="s">
        <v>13</v>
      </c>
      <c r="E27" s="107">
        <f t="shared" ref="E27:M27" si="19">SUM(E13:E26)</f>
        <v>43.69602016460717</v>
      </c>
      <c r="F27" s="107">
        <f t="shared" si="19"/>
        <v>27.492269999999998</v>
      </c>
      <c r="G27" s="107">
        <f t="shared" si="19"/>
        <v>64.356252000000012</v>
      </c>
      <c r="H27" s="107">
        <f t="shared" si="19"/>
        <v>50.392649000000013</v>
      </c>
      <c r="I27" s="107">
        <f t="shared" si="19"/>
        <v>81.218757999999994</v>
      </c>
      <c r="J27" s="108">
        <f t="shared" si="19"/>
        <v>72.194307618087478</v>
      </c>
      <c r="K27" s="108">
        <f t="shared" si="19"/>
        <v>93.656671405320964</v>
      </c>
      <c r="L27" s="108">
        <f t="shared" si="19"/>
        <v>102.21624471539587</v>
      </c>
      <c r="M27" s="108">
        <f t="shared" si="19"/>
        <v>111.66879092817999</v>
      </c>
      <c r="O27" s="153">
        <f>IFERROR(_xlfn.RRI($H$12-$E$12,E27,H27),0)</f>
        <v>4.8677061505936425E-2</v>
      </c>
      <c r="P27" s="185">
        <f>IFERROR(_xlfn.RRI($M$12-$I$12,I27,M27),0)</f>
        <v>8.2851412791986156E-2</v>
      </c>
      <c r="Q27" s="177">
        <f>_xlfn.RRI(3,J27,M27)</f>
        <v>0.15649285177636352</v>
      </c>
      <c r="R27" s="177">
        <f t="shared" si="2"/>
        <v>1</v>
      </c>
    </row>
    <row r="28" spans="4:18" ht="13.5" customHeight="1" outlineLevel="1" thickTop="1" thickBot="1" x14ac:dyDescent="0.35">
      <c r="D28" s="133" t="s">
        <v>17</v>
      </c>
      <c r="E28" s="109">
        <f>E27/46%</f>
        <v>94.991348183928622</v>
      </c>
      <c r="F28" s="109">
        <f t="shared" ref="F28:M28" si="20">F27/46%</f>
        <v>59.765804347826077</v>
      </c>
      <c r="G28" s="109">
        <f t="shared" si="20"/>
        <v>139.90489565217393</v>
      </c>
      <c r="H28" s="109">
        <f t="shared" si="20"/>
        <v>109.54923695652177</v>
      </c>
      <c r="I28" s="109">
        <f>I27/46%</f>
        <v>176.56251739130434</v>
      </c>
      <c r="J28" s="110">
        <f t="shared" si="20"/>
        <v>156.94414699584235</v>
      </c>
      <c r="K28" s="110">
        <f t="shared" si="20"/>
        <v>203.60145957678469</v>
      </c>
      <c r="L28" s="110">
        <f t="shared" si="20"/>
        <v>222.20922764216493</v>
      </c>
      <c r="M28" s="110">
        <f t="shared" si="20"/>
        <v>242.75824114821737</v>
      </c>
      <c r="O28" s="153">
        <f>IFERROR(_xlfn.RRI($H$57-$E$57,E28,H28),0)</f>
        <v>4.8677061505936425E-2</v>
      </c>
      <c r="P28" s="153">
        <f t="shared" si="5"/>
        <v>8.2851412791986156E-2</v>
      </c>
      <c r="Q28" s="1"/>
    </row>
    <row r="29" spans="4:18" ht="13.5" customHeight="1" thickTop="1" x14ac:dyDescent="0.25">
      <c r="E29" s="37"/>
      <c r="F29" s="37"/>
      <c r="G29" s="37"/>
      <c r="H29" s="37"/>
      <c r="I29" s="37"/>
      <c r="J29" s="37"/>
      <c r="K29" s="37"/>
      <c r="L29" s="37"/>
      <c r="M29" s="37"/>
    </row>
    <row r="30" spans="4:18" ht="13.5" customHeight="1" x14ac:dyDescent="0.3">
      <c r="D30" s="32" t="s">
        <v>21</v>
      </c>
      <c r="E30" s="7"/>
      <c r="F30" s="7"/>
      <c r="G30" s="7"/>
      <c r="H30" s="7"/>
      <c r="I30" s="7"/>
      <c r="J30" s="7"/>
      <c r="K30" s="7"/>
      <c r="L30" s="7"/>
      <c r="M30" s="7"/>
    </row>
    <row r="31" spans="4:18" ht="13.5" customHeight="1" x14ac:dyDescent="0.3">
      <c r="D31" s="33" t="s">
        <v>19</v>
      </c>
      <c r="F31" s="64"/>
      <c r="G31" s="7"/>
      <c r="H31" s="7"/>
      <c r="I31" s="7"/>
    </row>
    <row r="32" spans="4:18" ht="13.5" customHeight="1" outlineLevel="1" x14ac:dyDescent="0.3">
      <c r="E32" s="134" t="s">
        <v>12</v>
      </c>
      <c r="F32" s="142">
        <f>_xlfn.RRI(M33-I33,I48,M48)</f>
        <v>0.31007816009788747</v>
      </c>
      <c r="G32" s="7"/>
      <c r="H32" s="7"/>
      <c r="I32" s="7"/>
      <c r="R32" s="1"/>
    </row>
    <row r="33" spans="4:17" ht="13.5" customHeight="1" outlineLevel="1" x14ac:dyDescent="0.3">
      <c r="D33" s="30"/>
      <c r="E33" s="34">
        <v>2017</v>
      </c>
      <c r="F33" s="34">
        <v>2018</v>
      </c>
      <c r="G33" s="34">
        <v>2019</v>
      </c>
      <c r="H33" s="34">
        <v>2020</v>
      </c>
      <c r="I33" s="34">
        <v>2021</v>
      </c>
      <c r="J33" s="34">
        <v>2022</v>
      </c>
      <c r="K33" s="34">
        <v>2023</v>
      </c>
      <c r="L33" s="34">
        <v>2024</v>
      </c>
      <c r="M33" s="34">
        <v>2025</v>
      </c>
      <c r="O33" s="30" t="s">
        <v>20</v>
      </c>
      <c r="P33" s="30" t="s">
        <v>12</v>
      </c>
    </row>
    <row r="34" spans="4:17" ht="13.5" customHeight="1" outlineLevel="1" x14ac:dyDescent="0.25">
      <c r="D34" s="86" t="str">
        <f t="shared" ref="D34:D47" si="21">D58</f>
        <v>Cocoa beans</v>
      </c>
      <c r="E34" s="135">
        <f t="shared" ref="E34:M34" si="22">(E58*E113)/1000000</f>
        <v>20.542000000000002</v>
      </c>
      <c r="F34" s="135">
        <f t="shared" si="22"/>
        <v>12.899370628460177</v>
      </c>
      <c r="G34" s="135">
        <f t="shared" si="22"/>
        <v>30.195947690262816</v>
      </c>
      <c r="H34" s="135">
        <f t="shared" si="22"/>
        <v>23.644226409856419</v>
      </c>
      <c r="I34" s="135">
        <f t="shared" si="22"/>
        <v>38.107833999346553</v>
      </c>
      <c r="J34" s="111">
        <f>J13</f>
        <v>33.554971069583885</v>
      </c>
      <c r="K34" s="111">
        <f t="shared" si="22"/>
        <v>43.354807529664242</v>
      </c>
      <c r="L34" s="111">
        <f t="shared" si="22"/>
        <v>80.36780141547375</v>
      </c>
      <c r="M34" s="111">
        <f t="shared" si="22"/>
        <v>120.97370767104003</v>
      </c>
      <c r="O34" s="152">
        <f>IFERROR(_xlfn.RRI($H$12-$E$12,E34,H34),0)</f>
        <v>4.7998822838481781E-2</v>
      </c>
      <c r="P34" s="152">
        <f>IFERROR(_xlfn.RRI($M$12-$I$12,I34,M34),0)</f>
        <v>0.33480917032542168</v>
      </c>
    </row>
    <row r="35" spans="4:17" ht="13.5" customHeight="1" outlineLevel="1" x14ac:dyDescent="0.25">
      <c r="D35" s="86" t="str">
        <f t="shared" si="21"/>
        <v>Cashew nuts, in shell</v>
      </c>
      <c r="E35" s="135">
        <f t="shared" ref="E35:M35" si="23">(E59*E114)/1000000</f>
        <v>7.3132153874146308E-8</v>
      </c>
      <c r="F35" s="135">
        <f t="shared" si="23"/>
        <v>2.368384441395226E-2</v>
      </c>
      <c r="G35" s="135">
        <f t="shared" si="23"/>
        <v>5.5441164350310268E-2</v>
      </c>
      <c r="H35" s="135">
        <f t="shared" si="23"/>
        <v>4.3411899363817799E-2</v>
      </c>
      <c r="I35" s="135">
        <f t="shared" si="23"/>
        <v>6.996775558971452E-2</v>
      </c>
      <c r="J35" s="111">
        <f t="shared" si="23"/>
        <v>7.1718479398068927E-2</v>
      </c>
      <c r="K35" s="111">
        <f t="shared" si="23"/>
        <v>0.10354520124099365</v>
      </c>
      <c r="L35" s="111">
        <f t="shared" si="23"/>
        <v>0.86774197724995938</v>
      </c>
      <c r="M35" s="111">
        <f t="shared" si="23"/>
        <v>1.708099567856719</v>
      </c>
      <c r="O35" s="152">
        <f t="shared" ref="O35:O49" si="24">IFERROR(_xlfn.RRI($I$57-$E$57,E35,I35),0)</f>
        <v>30.275005492828672</v>
      </c>
      <c r="P35" s="152">
        <f t="shared" ref="P35:P49" si="25">IFERROR(_xlfn.RRI($M$12-$I$12,I35,M35),0)</f>
        <v>1.2228175137663255</v>
      </c>
    </row>
    <row r="36" spans="4:17" ht="13.5" customHeight="1" outlineLevel="1" x14ac:dyDescent="0.25">
      <c r="D36" s="86" t="str">
        <f t="shared" si="21"/>
        <v>Coffee, green</v>
      </c>
      <c r="E36" s="135">
        <f t="shared" ref="E36:M36" si="26">(E60*E115)/1000000</f>
        <v>4.1687205130721063E-8</v>
      </c>
      <c r="F36" s="135">
        <f t="shared" si="26"/>
        <v>1.350039931912282E-2</v>
      </c>
      <c r="G36" s="135">
        <f t="shared" si="26"/>
        <v>3.1602886945388528E-2</v>
      </c>
      <c r="H36" s="135">
        <f t="shared" si="26"/>
        <v>2.4745897092106086E-2</v>
      </c>
      <c r="I36" s="135">
        <f t="shared" si="26"/>
        <v>3.9883416873295705E-2</v>
      </c>
      <c r="J36" s="111">
        <f t="shared" si="26"/>
        <v>1.6280391067800024E-2</v>
      </c>
      <c r="K36" s="111">
        <f t="shared" si="26"/>
        <v>1.2867831541542925E-2</v>
      </c>
      <c r="L36" s="111">
        <f t="shared" si="26"/>
        <v>0.84383322582256937</v>
      </c>
      <c r="M36" s="111">
        <f t="shared" si="26"/>
        <v>1.7290015335716062</v>
      </c>
      <c r="O36" s="152">
        <f t="shared" si="24"/>
        <v>30.275005492828672</v>
      </c>
      <c r="P36" s="152">
        <f t="shared" si="25"/>
        <v>1.5659651588235879</v>
      </c>
    </row>
    <row r="37" spans="4:17" ht="13.5" customHeight="1" outlineLevel="1" x14ac:dyDescent="0.25">
      <c r="D37" s="86" t="str">
        <f t="shared" si="21"/>
        <v>Cassava, fresh</v>
      </c>
      <c r="E37" s="135">
        <f t="shared" ref="E37:M37" si="27">(E61*E116)/1000000</f>
        <v>3.4850243793729825E-8</v>
      </c>
      <c r="F37" s="135">
        <f t="shared" si="27"/>
        <v>1.1286249728394693E-2</v>
      </c>
      <c r="G37" s="135">
        <f t="shared" si="27"/>
        <v>2.6419816612287764E-2</v>
      </c>
      <c r="H37" s="135">
        <f t="shared" si="27"/>
        <v>2.0687415811402231E-2</v>
      </c>
      <c r="I37" s="135">
        <f t="shared" si="27"/>
        <v>3.3342288047442228E-2</v>
      </c>
      <c r="J37" s="111">
        <f t="shared" si="27"/>
        <v>3.113928760258983E-2</v>
      </c>
      <c r="K37" s="111">
        <f t="shared" si="27"/>
        <v>4.1856830631408208E-2</v>
      </c>
      <c r="L37" s="111">
        <f t="shared" si="27"/>
        <v>0.34458108482450545</v>
      </c>
      <c r="M37" s="111">
        <f t="shared" si="27"/>
        <v>0.66963281626785476</v>
      </c>
      <c r="O37" s="152">
        <f t="shared" si="24"/>
        <v>30.275005492828672</v>
      </c>
      <c r="P37" s="152">
        <f t="shared" si="25"/>
        <v>1.1169486927245265</v>
      </c>
    </row>
    <row r="38" spans="4:17" ht="13.5" customHeight="1" outlineLevel="1" x14ac:dyDescent="0.25">
      <c r="D38" s="86" t="str">
        <f t="shared" si="21"/>
        <v>Rice</v>
      </c>
      <c r="E38" s="135">
        <f t="shared" ref="E38:M38" si="28">(E62*E117)/1000000</f>
        <v>1.5569999999999999</v>
      </c>
      <c r="F38" s="135">
        <f t="shared" si="28"/>
        <v>0.97771979692885302</v>
      </c>
      <c r="G38" s="135">
        <f t="shared" si="28"/>
        <v>2.2887299461463932</v>
      </c>
      <c r="H38" s="135">
        <f t="shared" si="28"/>
        <v>1.7921361367026796</v>
      </c>
      <c r="I38" s="135">
        <f t="shared" si="28"/>
        <v>2.8884187292854926</v>
      </c>
      <c r="J38" s="111">
        <f t="shared" si="28"/>
        <v>2.745931208354619</v>
      </c>
      <c r="K38" s="111">
        <f t="shared" si="28"/>
        <v>3.6675702559633128</v>
      </c>
      <c r="L38" s="111">
        <f t="shared" si="28"/>
        <v>13.220651151865708</v>
      </c>
      <c r="M38" s="111">
        <f t="shared" si="28"/>
        <v>21.78609781320441</v>
      </c>
      <c r="O38" s="152">
        <f t="shared" si="24"/>
        <v>0.16705919577207839</v>
      </c>
      <c r="P38" s="152">
        <f t="shared" si="25"/>
        <v>0.65721869605909977</v>
      </c>
    </row>
    <row r="39" spans="4:17" ht="13.5" customHeight="1" outlineLevel="1" x14ac:dyDescent="0.25">
      <c r="D39" s="86" t="str">
        <f t="shared" si="21"/>
        <v>Plantains and cooking bananas</v>
      </c>
      <c r="E39" s="135">
        <f t="shared" ref="E39:M39" si="29">(E63*E118)/1000000</f>
        <v>3.4101400000000002</v>
      </c>
      <c r="F39" s="135">
        <f t="shared" si="29"/>
        <v>2.141401020102093</v>
      </c>
      <c r="G39" s="135">
        <f t="shared" si="29"/>
        <v>5.0127742701038294</v>
      </c>
      <c r="H39" s="135">
        <f t="shared" si="29"/>
        <v>3.9251349551800101</v>
      </c>
      <c r="I39" s="135">
        <f t="shared" si="29"/>
        <v>6.3262121037158829</v>
      </c>
      <c r="J39" s="111">
        <f t="shared" si="29"/>
        <v>5.8369826553011048</v>
      </c>
      <c r="K39" s="111">
        <f t="shared" si="29"/>
        <v>7.7999576174457532</v>
      </c>
      <c r="L39" s="111">
        <f t="shared" si="29"/>
        <v>17.474943679959026</v>
      </c>
      <c r="M39" s="111">
        <f t="shared" si="29"/>
        <v>28.097928454680012</v>
      </c>
      <c r="O39" s="152">
        <f t="shared" si="24"/>
        <v>0.16705919577207839</v>
      </c>
      <c r="P39" s="152">
        <f t="shared" si="25"/>
        <v>0.45171925910671207</v>
      </c>
    </row>
    <row r="40" spans="4:17" ht="13.5" customHeight="1" outlineLevel="1" x14ac:dyDescent="0.25">
      <c r="D40" s="86" t="str">
        <f t="shared" si="21"/>
        <v>Maize (corn)</v>
      </c>
      <c r="E40" s="135">
        <f t="shared" ref="E40:M40" si="30">(E64*E119)/1000000</f>
        <v>2.8889999999999998</v>
      </c>
      <c r="F40" s="135">
        <f t="shared" si="30"/>
        <v>1.814150605862207</v>
      </c>
      <c r="G40" s="135">
        <f t="shared" si="30"/>
        <v>4.2467185705953296</v>
      </c>
      <c r="H40" s="135">
        <f t="shared" si="30"/>
        <v>3.3252930628991915</v>
      </c>
      <c r="I40" s="135">
        <f t="shared" si="30"/>
        <v>5.3594359080962013</v>
      </c>
      <c r="J40" s="111">
        <f t="shared" si="30"/>
        <v>4.8962561271582929</v>
      </c>
      <c r="K40" s="111">
        <f t="shared" si="30"/>
        <v>6.4306782846796127</v>
      </c>
      <c r="L40" s="111">
        <f t="shared" si="30"/>
        <v>7.1524206966027526</v>
      </c>
      <c r="M40" s="111">
        <f t="shared" si="30"/>
        <v>7.9551673332916755</v>
      </c>
      <c r="O40" s="152">
        <f t="shared" si="24"/>
        <v>0.16705919577207817</v>
      </c>
      <c r="P40" s="152">
        <f t="shared" si="25"/>
        <v>0.10378009864914284</v>
      </c>
    </row>
    <row r="41" spans="4:17" ht="13.5" customHeight="1" outlineLevel="1" x14ac:dyDescent="0.25">
      <c r="D41" s="86" t="str">
        <f t="shared" si="21"/>
        <v>Natural rubber in primary forms</v>
      </c>
      <c r="E41" s="135">
        <f t="shared" ref="E41:M41" si="31">(E65*E120)/1000000</f>
        <v>0.84787999999999997</v>
      </c>
      <c r="F41" s="135">
        <f t="shared" si="31"/>
        <v>0.53242714285166082</v>
      </c>
      <c r="G41" s="135">
        <f t="shared" si="31"/>
        <v>1.246350897070394</v>
      </c>
      <c r="H41" s="135">
        <f t="shared" si="31"/>
        <v>0.97592574668430843</v>
      </c>
      <c r="I41" s="135">
        <f t="shared" si="31"/>
        <v>1.5729174516291482</v>
      </c>
      <c r="J41" s="111">
        <f t="shared" si="31"/>
        <v>1.2907401183436182</v>
      </c>
      <c r="K41" s="111">
        <f t="shared" si="31"/>
        <v>1.586490897766063</v>
      </c>
      <c r="L41" s="111">
        <f t="shared" si="31"/>
        <v>7.2697143982724972</v>
      </c>
      <c r="M41" s="111">
        <f t="shared" si="31"/>
        <v>13.517294021585158</v>
      </c>
      <c r="O41" s="152">
        <f t="shared" si="24"/>
        <v>0.16705919577207839</v>
      </c>
      <c r="P41" s="152">
        <f t="shared" si="25"/>
        <v>0.71216634984316585</v>
      </c>
    </row>
    <row r="42" spans="4:17" ht="13.5" customHeight="1" outlineLevel="1" x14ac:dyDescent="0.25">
      <c r="D42" s="86" t="str">
        <f t="shared" si="21"/>
        <v>Seed cotton, unginned</v>
      </c>
      <c r="E42" s="135">
        <f t="shared" ref="E42:M42" si="32">(E66*E121)/1000000</f>
        <v>9.8249999999999993</v>
      </c>
      <c r="F42" s="135">
        <f t="shared" si="32"/>
        <v>6.1696191424701237</v>
      </c>
      <c r="G42" s="135">
        <f t="shared" si="32"/>
        <v>14.442371047455566</v>
      </c>
      <c r="H42" s="135">
        <f t="shared" si="32"/>
        <v>11.308758858769316</v>
      </c>
      <c r="I42" s="135">
        <f t="shared" si="32"/>
        <v>18.226534370732153</v>
      </c>
      <c r="J42" s="111">
        <f t="shared" si="32"/>
        <v>15.711162872230549</v>
      </c>
      <c r="K42" s="111">
        <f t="shared" si="32"/>
        <v>19.778090248269969</v>
      </c>
      <c r="L42" s="111">
        <f t="shared" si="32"/>
        <v>23.776927955870221</v>
      </c>
      <c r="M42" s="111">
        <f t="shared" si="32"/>
        <v>27.814779209647934</v>
      </c>
      <c r="O42" s="152">
        <f t="shared" si="24"/>
        <v>0.16705919577207839</v>
      </c>
      <c r="P42" s="152">
        <f t="shared" si="25"/>
        <v>0.11145754795808571</v>
      </c>
    </row>
    <row r="43" spans="4:17" ht="13.5" customHeight="1" outlineLevel="1" x14ac:dyDescent="0.25">
      <c r="D43" s="86" t="str">
        <f t="shared" si="21"/>
        <v>Oil palm fruit</v>
      </c>
      <c r="E43" s="135">
        <f t="shared" ref="E43:M43" si="33">(E67*E122)/1000000</f>
        <v>2.8690000000000002</v>
      </c>
      <c r="F43" s="135">
        <f t="shared" si="33"/>
        <v>1.8015915847070518</v>
      </c>
      <c r="G43" s="135">
        <f t="shared" si="33"/>
        <v>4.2173193420000024</v>
      </c>
      <c r="H43" s="135">
        <f t="shared" si="33"/>
        <v>3.3022726886319771</v>
      </c>
      <c r="I43" s="135">
        <f t="shared" si="33"/>
        <v>5.3223335480540017</v>
      </c>
      <c r="J43" s="111">
        <f t="shared" si="33"/>
        <v>5.1265044929183459</v>
      </c>
      <c r="K43" s="111">
        <f t="shared" si="33"/>
        <v>7.1309670937117282</v>
      </c>
      <c r="L43" s="111">
        <f t="shared" si="33"/>
        <v>8.531251164289257</v>
      </c>
      <c r="M43" s="111">
        <f t="shared" si="33"/>
        <v>10.12575458759761</v>
      </c>
      <c r="O43" s="152">
        <f t="shared" si="24"/>
        <v>0.16705919577207839</v>
      </c>
      <c r="P43" s="152">
        <f t="shared" si="25"/>
        <v>0.17444133310130927</v>
      </c>
    </row>
    <row r="44" spans="4:17" ht="13.5" customHeight="1" outlineLevel="1" x14ac:dyDescent="0.25">
      <c r="D44" s="86" t="str">
        <f t="shared" si="21"/>
        <v>Mangoes, guavas and mangosteens</v>
      </c>
      <c r="E44" s="135">
        <f t="shared" ref="E44:M44" si="34">(E68*E123)/1000000</f>
        <v>6.1823521530896976E-9</v>
      </c>
      <c r="F44" s="135">
        <f t="shared" si="34"/>
        <v>2.0021544389081949E-3</v>
      </c>
      <c r="G44" s="135">
        <f t="shared" si="34"/>
        <v>4.6868139885609455E-3</v>
      </c>
      <c r="H44" s="135">
        <f t="shared" si="34"/>
        <v>3.6698994256819323E-3</v>
      </c>
      <c r="I44" s="135">
        <f t="shared" si="34"/>
        <v>5.9148443126853653E-3</v>
      </c>
      <c r="J44" s="111">
        <f t="shared" si="34"/>
        <v>5.8166849190337336E-3</v>
      </c>
      <c r="K44" s="111">
        <f t="shared" si="34"/>
        <v>8.163260569363659E-3</v>
      </c>
      <c r="L44" s="111">
        <f t="shared" si="34"/>
        <v>0.10367793597682291</v>
      </c>
      <c r="M44" s="111">
        <f t="shared" si="34"/>
        <v>0.2108349629282571</v>
      </c>
      <c r="O44" s="152">
        <f t="shared" si="24"/>
        <v>30.275005492828672</v>
      </c>
      <c r="P44" s="152">
        <f t="shared" si="25"/>
        <v>1.4434295878813095</v>
      </c>
    </row>
    <row r="45" spans="4:17" ht="13.5" customHeight="1" outlineLevel="1" x14ac:dyDescent="0.25">
      <c r="D45" s="86" t="str">
        <f t="shared" si="21"/>
        <v>Groundnuts, excluding shelled</v>
      </c>
      <c r="E45" s="135">
        <f t="shared" ref="E45:M45" si="35">(E69*E124)/1000000</f>
        <v>5.2508013261889291E-9</v>
      </c>
      <c r="F45" s="135">
        <f t="shared" si="35"/>
        <v>1.7004717497045617E-3</v>
      </c>
      <c r="G45" s="135">
        <f t="shared" si="35"/>
        <v>3.9806094019470828E-3</v>
      </c>
      <c r="H45" s="135">
        <f t="shared" si="35"/>
        <v>3.1169225392184002E-3</v>
      </c>
      <c r="I45" s="135">
        <f t="shared" si="35"/>
        <v>5.023601307752739E-3</v>
      </c>
      <c r="J45" s="111">
        <f t="shared" si="35"/>
        <v>4.8237709410485262E-3</v>
      </c>
      <c r="K45" s="111">
        <f t="shared" si="35"/>
        <v>6.6112695658504094E-3</v>
      </c>
      <c r="L45" s="111">
        <f t="shared" si="35"/>
        <v>7.3159557871087633E-2</v>
      </c>
      <c r="M45" s="111">
        <f t="shared" si="35"/>
        <v>0.14406957477870211</v>
      </c>
      <c r="O45" s="152">
        <f t="shared" si="24"/>
        <v>30.275005492828672</v>
      </c>
      <c r="P45" s="152">
        <f t="shared" si="25"/>
        <v>1.3141381253409512</v>
      </c>
    </row>
    <row r="46" spans="4:17" ht="13.5" customHeight="1" outlineLevel="1" x14ac:dyDescent="0.25">
      <c r="D46" s="86" t="str">
        <f t="shared" si="21"/>
        <v>Sorghum</v>
      </c>
      <c r="E46" s="135">
        <f t="shared" ref="E46:M46" si="36">(E70*E125)/1000000</f>
        <v>3.5044054916743168E-9</v>
      </c>
      <c r="F46" s="135">
        <f t="shared" si="36"/>
        <v>1.1349015450993819E-3</v>
      </c>
      <c r="G46" s="135">
        <f t="shared" si="36"/>
        <v>2.6566743972616736E-3</v>
      </c>
      <c r="H46" s="135">
        <f t="shared" si="36"/>
        <v>2.0802463824104315E-3</v>
      </c>
      <c r="I46" s="135">
        <f t="shared" si="36"/>
        <v>3.3527713042703568E-3</v>
      </c>
      <c r="J46" s="111">
        <f t="shared" si="36"/>
        <v>3.1576174188219369E-3</v>
      </c>
      <c r="K46" s="111">
        <f t="shared" si="36"/>
        <v>4.2800879604591351E-3</v>
      </c>
      <c r="L46" s="111">
        <f t="shared" si="36"/>
        <v>5.3491172091787442E-2</v>
      </c>
      <c r="M46" s="111">
        <f t="shared" si="36"/>
        <v>0.10732045867526058</v>
      </c>
      <c r="O46" s="152">
        <f t="shared" si="24"/>
        <v>30.275005492828672</v>
      </c>
      <c r="P46" s="152">
        <f t="shared" si="25"/>
        <v>1.3785903211103339</v>
      </c>
    </row>
    <row r="47" spans="4:17" ht="13.5" customHeight="1" outlineLevel="1" x14ac:dyDescent="0.25">
      <c r="D47" s="86" t="str">
        <f t="shared" si="21"/>
        <v>Sugar cane</v>
      </c>
      <c r="E47" s="135">
        <f t="shared" ref="E47:M47" si="37">(E71*E126)/1000000</f>
        <v>1.7559999999999998</v>
      </c>
      <c r="F47" s="135">
        <f t="shared" si="37"/>
        <v>1.1026820574226499</v>
      </c>
      <c r="G47" s="135">
        <f t="shared" si="37"/>
        <v>2.5812522706699204</v>
      </c>
      <c r="H47" s="135">
        <f t="shared" si="37"/>
        <v>2.0211888606614679</v>
      </c>
      <c r="I47" s="135">
        <f t="shared" si="37"/>
        <v>3.257587211705411</v>
      </c>
      <c r="J47" s="111">
        <f t="shared" si="37"/>
        <v>2.8988228428496847</v>
      </c>
      <c r="K47" s="111">
        <f t="shared" si="37"/>
        <v>3.7307849963106614</v>
      </c>
      <c r="L47" s="111">
        <f t="shared" si="37"/>
        <v>4.0546270119243601</v>
      </c>
      <c r="M47" s="111">
        <f t="shared" si="37"/>
        <v>4.4065793719241464</v>
      </c>
      <c r="O47" s="152">
        <f t="shared" si="24"/>
        <v>0.16705919577207839</v>
      </c>
      <c r="P47" s="152">
        <f t="shared" si="25"/>
        <v>7.8453406092410694E-2</v>
      </c>
    </row>
    <row r="48" spans="4:17" ht="13.5" customHeight="1" outlineLevel="1" thickBot="1" x14ac:dyDescent="0.3">
      <c r="D48" s="88" t="s">
        <v>13</v>
      </c>
      <c r="E48" s="136">
        <f t="shared" ref="E48:M48" si="38">SUM(E34:E47)</f>
        <v>43.69602016460717</v>
      </c>
      <c r="F48" s="136">
        <f t="shared" si="38"/>
        <v>27.492269999999998</v>
      </c>
      <c r="G48" s="136">
        <f t="shared" si="38"/>
        <v>64.356252000000012</v>
      </c>
      <c r="H48" s="136">
        <f t="shared" si="38"/>
        <v>50.392649000000013</v>
      </c>
      <c r="I48" s="136">
        <f t="shared" si="38"/>
        <v>81.218757999999994</v>
      </c>
      <c r="J48" s="108">
        <f t="shared" si="38"/>
        <v>72.194307618087478</v>
      </c>
      <c r="K48" s="108">
        <f t="shared" si="38"/>
        <v>93.656671405320964</v>
      </c>
      <c r="L48" s="108">
        <f t="shared" si="38"/>
        <v>164.13482242809431</v>
      </c>
      <c r="M48" s="108">
        <f t="shared" si="38"/>
        <v>239.24626737704941</v>
      </c>
      <c r="O48" s="153">
        <f t="shared" si="24"/>
        <v>0.16762561863460923</v>
      </c>
      <c r="P48" s="185">
        <f t="shared" si="25"/>
        <v>0.31007816009788747</v>
      </c>
      <c r="Q48" s="177">
        <f>_xlfn.RRI(3,J48,M48)</f>
        <v>0.49089619054118039</v>
      </c>
    </row>
    <row r="49" spans="2:20" ht="13.5" customHeight="1" outlineLevel="1" thickTop="1" thickBot="1" x14ac:dyDescent="0.35">
      <c r="D49" s="133" t="s">
        <v>17</v>
      </c>
      <c r="E49" s="137">
        <f>E48/46%</f>
        <v>94.991348183928622</v>
      </c>
      <c r="F49" s="137">
        <f t="shared" ref="F49:M49" si="39">F48/46%</f>
        <v>59.765804347826077</v>
      </c>
      <c r="G49" s="137">
        <f t="shared" si="39"/>
        <v>139.90489565217393</v>
      </c>
      <c r="H49" s="137">
        <f t="shared" si="39"/>
        <v>109.54923695652177</v>
      </c>
      <c r="I49" s="137">
        <f t="shared" si="39"/>
        <v>176.56251739130434</v>
      </c>
      <c r="J49" s="112">
        <f t="shared" si="39"/>
        <v>156.94414699584235</v>
      </c>
      <c r="K49" s="112">
        <f t="shared" si="39"/>
        <v>203.60145957678469</v>
      </c>
      <c r="L49" s="112">
        <f t="shared" si="39"/>
        <v>356.81483136542238</v>
      </c>
      <c r="M49" s="112">
        <f t="shared" si="39"/>
        <v>520.10058125445516</v>
      </c>
      <c r="O49" s="153">
        <f t="shared" si="24"/>
        <v>0.16762561863460923</v>
      </c>
      <c r="P49" s="153">
        <f t="shared" si="25"/>
        <v>0.31007816009788747</v>
      </c>
    </row>
    <row r="50" spans="2:20" ht="13.5" customHeight="1" thickTop="1" x14ac:dyDescent="0.25">
      <c r="E50" s="81"/>
      <c r="F50" s="81"/>
      <c r="G50" s="81"/>
      <c r="H50" s="81"/>
      <c r="I50" s="81"/>
      <c r="J50" s="81"/>
      <c r="K50" s="81"/>
      <c r="L50" s="81"/>
      <c r="M50" s="81"/>
    </row>
    <row r="52" spans="2:20" ht="13.5" customHeight="1" x14ac:dyDescent="0.35">
      <c r="B52" s="29">
        <v>2</v>
      </c>
      <c r="D52" s="28" t="s">
        <v>22</v>
      </c>
    </row>
    <row r="54" spans="2:20" ht="13.5" customHeight="1" x14ac:dyDescent="0.3">
      <c r="D54" s="32" t="s">
        <v>23</v>
      </c>
    </row>
    <row r="55" spans="2:20" ht="13.5" customHeight="1" x14ac:dyDescent="0.3">
      <c r="D55" s="33" t="s">
        <v>24</v>
      </c>
      <c r="O55" s="39" t="s">
        <v>25</v>
      </c>
    </row>
    <row r="56" spans="2:20" ht="13.5" customHeight="1" outlineLevel="1" x14ac:dyDescent="0.25">
      <c r="E56" s="631" t="s">
        <v>26</v>
      </c>
      <c r="F56" s="632"/>
      <c r="G56" s="632"/>
      <c r="H56" s="632"/>
      <c r="I56" s="633"/>
      <c r="J56" s="138" t="s">
        <v>9</v>
      </c>
      <c r="K56" s="139"/>
      <c r="L56" s="139"/>
      <c r="M56" s="140"/>
      <c r="Q56" s="7" t="s">
        <v>27</v>
      </c>
      <c r="R56" s="266"/>
    </row>
    <row r="57" spans="2:20" ht="13.5" customHeight="1" outlineLevel="1" x14ac:dyDescent="0.3">
      <c r="D57" s="44"/>
      <c r="E57" s="45">
        <v>2017</v>
      </c>
      <c r="F57" s="45">
        <v>2018</v>
      </c>
      <c r="G57" s="45">
        <v>2019</v>
      </c>
      <c r="H57" s="45">
        <v>2020</v>
      </c>
      <c r="I57" s="45">
        <v>2021</v>
      </c>
      <c r="J57" s="45">
        <v>2022</v>
      </c>
      <c r="K57" s="45">
        <v>2023</v>
      </c>
      <c r="L57" s="45">
        <v>2024</v>
      </c>
      <c r="M57" s="45">
        <v>2025</v>
      </c>
      <c r="O57" s="30" t="s">
        <v>28</v>
      </c>
      <c r="P57" s="30" t="s">
        <v>29</v>
      </c>
      <c r="Q57" s="30" t="s">
        <v>30</v>
      </c>
      <c r="R57" s="30" t="s">
        <v>31</v>
      </c>
      <c r="S57" s="30" t="s">
        <v>32</v>
      </c>
      <c r="T57" s="30" t="s">
        <v>33</v>
      </c>
    </row>
    <row r="58" spans="2:20" ht="13.5" customHeight="1" outlineLevel="1" x14ac:dyDescent="0.25">
      <c r="D58" s="86" t="str">
        <f>HarvestedAreas_TCD!E10</f>
        <v>Cocoa beans</v>
      </c>
      <c r="E58" s="174">
        <f>HarvestedAreas_TCD!F10</f>
        <v>3458163</v>
      </c>
      <c r="F58" s="174">
        <f>HarvestedAreas_TCD!G10</f>
        <v>3168749</v>
      </c>
      <c r="G58" s="174">
        <f>HarvestedAreas_TCD!H10</f>
        <v>3982695</v>
      </c>
      <c r="H58" s="174">
        <f>HarvestedAreas_TCD!I10</f>
        <v>4267698</v>
      </c>
      <c r="I58" s="174">
        <f>HarvestedAreas_TCD!J10</f>
        <v>4732864</v>
      </c>
      <c r="J58" s="113">
        <f t="shared" ref="J58:J71" si="40">I58*(1+$Q58-5%)</f>
        <v>4732864</v>
      </c>
      <c r="K58" s="113">
        <f t="shared" ref="K58:M71" si="41">J58*(1+$Q58)</f>
        <v>4969507.2</v>
      </c>
      <c r="L58" s="113">
        <f t="shared" si="41"/>
        <v>5217982.5600000005</v>
      </c>
      <c r="M58" s="113">
        <f t="shared" si="41"/>
        <v>5478881.688000001</v>
      </c>
      <c r="O58" s="115">
        <f t="shared" ref="O58:O72" si="42">IFERROR(_xlfn.RRI($I$57-$E$57,E58,I58),0)</f>
        <v>8.1607378603961722E-2</v>
      </c>
      <c r="P58" s="115">
        <f t="shared" ref="P58:P72" si="43">IFERROR(_xlfn.RRI($I$57-$H$57,H58,I58),0)</f>
        <v>0.10899693464720328</v>
      </c>
      <c r="Q58" s="116">
        <v>0.05</v>
      </c>
      <c r="R58" s="59"/>
      <c r="S58" s="179"/>
      <c r="T58" s="144"/>
    </row>
    <row r="59" spans="2:20" ht="13.5" customHeight="1" outlineLevel="1" x14ac:dyDescent="0.25">
      <c r="D59" s="86" t="str">
        <f>HarvestedAreas_TCD!E11</f>
        <v>Cashew nuts, in shell</v>
      </c>
      <c r="E59" s="174">
        <f>HarvestedAreas_TCD!F11</f>
        <v>1675000</v>
      </c>
      <c r="F59" s="174">
        <f>HarvestedAreas_TCD!G11</f>
        <v>1530804</v>
      </c>
      <c r="G59" s="174">
        <f>HarvestedAreas_TCD!H11</f>
        <v>1660327</v>
      </c>
      <c r="H59" s="174">
        <f>HarvestedAreas_TCD!I11</f>
        <v>1790861</v>
      </c>
      <c r="I59" s="174">
        <f>HarvestedAreas_TCD!J11</f>
        <v>1517635</v>
      </c>
      <c r="J59" s="113">
        <f t="shared" si="40"/>
        <v>1517635</v>
      </c>
      <c r="K59" s="113">
        <f t="shared" si="41"/>
        <v>1593516.75</v>
      </c>
      <c r="L59" s="113">
        <f t="shared" si="41"/>
        <v>1673192.5875000001</v>
      </c>
      <c r="M59" s="113">
        <f t="shared" si="41"/>
        <v>1756852.2168750002</v>
      </c>
      <c r="O59" s="115">
        <f t="shared" si="42"/>
        <v>-2.4363295435670396E-2</v>
      </c>
      <c r="P59" s="115">
        <f t="shared" si="43"/>
        <v>-0.15256683796229853</v>
      </c>
      <c r="Q59" s="116">
        <v>0.05</v>
      </c>
      <c r="R59" s="59"/>
      <c r="S59" s="143"/>
      <c r="T59" s="144"/>
    </row>
    <row r="60" spans="2:20" ht="13.5" customHeight="1" outlineLevel="1" x14ac:dyDescent="0.25">
      <c r="D60" s="86" t="str">
        <f>HarvestedAreas_TCD!E12</f>
        <v>Coffee, green</v>
      </c>
      <c r="E60" s="174">
        <f>HarvestedAreas_TCD!F12</f>
        <v>954793</v>
      </c>
      <c r="F60" s="174">
        <f>HarvestedAreas_TCD!G12</f>
        <v>830166</v>
      </c>
      <c r="G60" s="174">
        <f>HarvestedAreas_TCD!H12</f>
        <v>275011</v>
      </c>
      <c r="H60" s="174">
        <f>HarvestedAreas_TCD!I12</f>
        <v>1096915</v>
      </c>
      <c r="I60" s="174">
        <f>HarvestedAreas_TCD!J12</f>
        <v>1085615</v>
      </c>
      <c r="J60" s="113">
        <f t="shared" si="40"/>
        <v>1066749.9022016048</v>
      </c>
      <c r="K60" s="113">
        <f t="shared" si="41"/>
        <v>1101550.1246768543</v>
      </c>
      <c r="L60" s="113">
        <f t="shared" si="41"/>
        <v>1137485.6230793176</v>
      </c>
      <c r="M60" s="113">
        <f t="shared" si="41"/>
        <v>1174593.4331328846</v>
      </c>
      <c r="O60" s="115">
        <f t="shared" si="42"/>
        <v>3.262266291604754E-2</v>
      </c>
      <c r="P60" s="115">
        <f t="shared" si="43"/>
        <v>-1.0301618630431664E-2</v>
      </c>
      <c r="Q60" s="116">
        <f>O60</f>
        <v>3.262266291604754E-2</v>
      </c>
      <c r="R60" s="59"/>
      <c r="S60" s="179"/>
      <c r="T60" s="146"/>
    </row>
    <row r="61" spans="2:20" ht="13.5" customHeight="1" outlineLevel="1" x14ac:dyDescent="0.25">
      <c r="D61" s="86" t="str">
        <f>HarvestedAreas_TCD!E13</f>
        <v>Cassava, fresh</v>
      </c>
      <c r="E61" s="174">
        <f>HarvestedAreas_TCD!F13</f>
        <v>798201</v>
      </c>
      <c r="F61" s="174">
        <f>HarvestedAreas_TCD!G13</f>
        <v>726829</v>
      </c>
      <c r="G61" s="174">
        <f>HarvestedAreas_TCD!H13</f>
        <v>878898</v>
      </c>
      <c r="H61" s="174">
        <f>HarvestedAreas_TCD!I13</f>
        <v>991677</v>
      </c>
      <c r="I61" s="174">
        <f>HarvestedAreas_TCD!J13</f>
        <v>922955</v>
      </c>
      <c r="J61" s="113">
        <f t="shared" si="40"/>
        <v>910930.81933943299</v>
      </c>
      <c r="K61" s="113">
        <f t="shared" si="41"/>
        <v>944609.82966729917</v>
      </c>
      <c r="L61" s="113">
        <f t="shared" si="41"/>
        <v>979534.02317766764</v>
      </c>
      <c r="M61" s="113">
        <f t="shared" si="41"/>
        <v>1015749.4368871518</v>
      </c>
      <c r="O61" s="115">
        <f t="shared" si="42"/>
        <v>3.697208351374992E-2</v>
      </c>
      <c r="P61" s="115">
        <f t="shared" si="43"/>
        <v>-6.929877369345061E-2</v>
      </c>
      <c r="Q61" s="116">
        <f>O61</f>
        <v>3.697208351374992E-2</v>
      </c>
      <c r="R61" s="59"/>
      <c r="S61" s="179"/>
      <c r="T61" s="146"/>
    </row>
    <row r="62" spans="2:20" ht="13.5" customHeight="1" outlineLevel="1" x14ac:dyDescent="0.25">
      <c r="D62" s="86" t="str">
        <f>HarvestedAreas_TCD!E14</f>
        <v>Rice</v>
      </c>
      <c r="E62" s="174">
        <f>HarvestedAreas_TCD!F14</f>
        <v>844023</v>
      </c>
      <c r="F62" s="174">
        <f>HarvestedAreas_TCD!G14</f>
        <v>780575</v>
      </c>
      <c r="G62" s="174">
        <f>HarvestedAreas_TCD!H14</f>
        <v>790539</v>
      </c>
      <c r="H62" s="174">
        <f>HarvestedAreas_TCD!I14</f>
        <v>729793</v>
      </c>
      <c r="I62" s="174">
        <f>HarvestedAreas_TCD!J14</f>
        <v>684027</v>
      </c>
      <c r="J62" s="113">
        <f t="shared" si="40"/>
        <v>614811.03635014675</v>
      </c>
      <c r="K62" s="113">
        <f t="shared" si="41"/>
        <v>583339.51416539936</v>
      </c>
      <c r="L62" s="113">
        <f t="shared" si="41"/>
        <v>553478.98568451405</v>
      </c>
      <c r="M62" s="113">
        <f t="shared" si="41"/>
        <v>525146.98585547821</v>
      </c>
      <c r="O62" s="115">
        <f t="shared" si="42"/>
        <v>-5.1188935012584591E-2</v>
      </c>
      <c r="P62" s="115">
        <f t="shared" si="43"/>
        <v>-6.2710933100207922E-2</v>
      </c>
      <c r="Q62" s="116">
        <f>O62</f>
        <v>-5.1188935012584591E-2</v>
      </c>
      <c r="R62" s="59"/>
      <c r="S62" s="147"/>
      <c r="T62" s="146"/>
    </row>
    <row r="63" spans="2:20" ht="13.5" customHeight="1" outlineLevel="1" x14ac:dyDescent="0.25">
      <c r="D63" s="86" t="str">
        <f>HarvestedAreas_TCD!E15</f>
        <v>Plantains and cooking bananas</v>
      </c>
      <c r="E63" s="174">
        <f>HarvestedAreas_TCD!F15</f>
        <v>453217</v>
      </c>
      <c r="F63" s="174">
        <f>HarvestedAreas_TCD!G15</f>
        <v>469746</v>
      </c>
      <c r="G63" s="174">
        <f>HarvestedAreas_TCD!H15</f>
        <v>482543</v>
      </c>
      <c r="H63" s="174">
        <f>HarvestedAreas_TCD!I15</f>
        <v>507519</v>
      </c>
      <c r="I63" s="174">
        <f>HarvestedAreas_TCD!J15</f>
        <v>529264</v>
      </c>
      <c r="J63" s="113">
        <f t="shared" si="40"/>
        <v>529264</v>
      </c>
      <c r="K63" s="113">
        <f t="shared" si="41"/>
        <v>555727.20000000007</v>
      </c>
      <c r="L63" s="113">
        <f t="shared" si="41"/>
        <v>583513.56000000006</v>
      </c>
      <c r="M63" s="113">
        <f t="shared" si="41"/>
        <v>612689.23800000013</v>
      </c>
      <c r="O63" s="115">
        <f t="shared" si="42"/>
        <v>3.9540803630480292E-2</v>
      </c>
      <c r="P63" s="115">
        <f t="shared" si="43"/>
        <v>4.2845686565428975E-2</v>
      </c>
      <c r="Q63" s="116">
        <v>0.05</v>
      </c>
      <c r="R63" s="59"/>
      <c r="S63" s="179"/>
      <c r="T63" s="146"/>
    </row>
    <row r="64" spans="2:20" ht="13.5" customHeight="1" outlineLevel="1" x14ac:dyDescent="0.25">
      <c r="D64" s="86" t="str">
        <f>HarvestedAreas_TCD!E16</f>
        <v>Maize (corn)</v>
      </c>
      <c r="E64" s="174">
        <f>HarvestedAreas_TCD!F16</f>
        <v>497864</v>
      </c>
      <c r="F64" s="174">
        <f>HarvestedAreas_TCD!G16</f>
        <v>472032</v>
      </c>
      <c r="G64" s="174">
        <f>HarvestedAreas_TCD!H16</f>
        <v>493661</v>
      </c>
      <c r="H64" s="174">
        <f>HarvestedAreas_TCD!I16</f>
        <v>489900</v>
      </c>
      <c r="I64" s="174">
        <f>HarvestedAreas_TCD!J16</f>
        <v>509440</v>
      </c>
      <c r="J64" s="113">
        <f t="shared" si="40"/>
        <v>486903.81383444264</v>
      </c>
      <c r="K64" s="113">
        <f t="shared" si="41"/>
        <v>489709.7555600591</v>
      </c>
      <c r="L64" s="113">
        <f t="shared" si="41"/>
        <v>492531.86743826803</v>
      </c>
      <c r="M64" s="113">
        <f t="shared" si="41"/>
        <v>495370.24265483749</v>
      </c>
      <c r="O64" s="115">
        <f t="shared" si="42"/>
        <v>5.7628255230108838E-3</v>
      </c>
      <c r="P64" s="115">
        <f t="shared" si="43"/>
        <v>3.9885690957338182E-2</v>
      </c>
      <c r="Q64" s="116">
        <f>O64</f>
        <v>5.7628255230108838E-3</v>
      </c>
      <c r="R64" s="59"/>
      <c r="S64" s="147"/>
      <c r="T64" s="146"/>
    </row>
    <row r="65" spans="2:20" ht="13.5" customHeight="1" outlineLevel="1" x14ac:dyDescent="0.25">
      <c r="D65" s="86" t="str">
        <f>HarvestedAreas_TCD!E17</f>
        <v>Natural rubber in primary forms</v>
      </c>
      <c r="E65" s="174">
        <f>HarvestedAreas_TCD!F17</f>
        <v>215583</v>
      </c>
      <c r="F65" s="174">
        <f>HarvestedAreas_TCD!G17</f>
        <v>280018</v>
      </c>
      <c r="G65" s="174">
        <f>HarvestedAreas_TCD!H17</f>
        <v>358609</v>
      </c>
      <c r="H65" s="174">
        <f>HarvestedAreas_TCD!I17</f>
        <v>385060</v>
      </c>
      <c r="I65" s="174">
        <f>HarvestedAreas_TCD!J17</f>
        <v>480401</v>
      </c>
      <c r="J65" s="113">
        <f t="shared" si="40"/>
        <v>480401</v>
      </c>
      <c r="K65" s="113">
        <f t="shared" si="41"/>
        <v>504421.05000000005</v>
      </c>
      <c r="L65" s="113">
        <f t="shared" si="41"/>
        <v>529642.10250000004</v>
      </c>
      <c r="M65" s="113">
        <f t="shared" si="41"/>
        <v>556124.20762500004</v>
      </c>
      <c r="O65" s="115">
        <f t="shared" si="42"/>
        <v>0.22179219903468583</v>
      </c>
      <c r="P65" s="115">
        <f t="shared" si="43"/>
        <v>0.2476003739676933</v>
      </c>
      <c r="Q65" s="116">
        <v>0.05</v>
      </c>
      <c r="R65" s="59"/>
      <c r="S65" s="147"/>
      <c r="T65" s="146"/>
    </row>
    <row r="66" spans="2:20" ht="13.5" customHeight="1" outlineLevel="1" x14ac:dyDescent="0.25">
      <c r="D66" s="86" t="str">
        <f>HarvestedAreas_TCD!E18</f>
        <v>Seed cotton, unginned</v>
      </c>
      <c r="E66" s="174">
        <f>HarvestedAreas_TCD!F18</f>
        <v>402000</v>
      </c>
      <c r="F66" s="174">
        <f>HarvestedAreas_TCD!G18</f>
        <v>345000</v>
      </c>
      <c r="G66" s="174">
        <f>HarvestedAreas_TCD!H18</f>
        <v>360000</v>
      </c>
      <c r="H66" s="174">
        <f>HarvestedAreas_TCD!I18</f>
        <v>370000</v>
      </c>
      <c r="I66" s="174">
        <f>HarvestedAreas_TCD!J18</f>
        <v>410000</v>
      </c>
      <c r="J66" s="113">
        <f t="shared" si="40"/>
        <v>391524.75292843522</v>
      </c>
      <c r="K66" s="113">
        <f t="shared" si="41"/>
        <v>393458.26729440282</v>
      </c>
      <c r="L66" s="113">
        <f t="shared" si="41"/>
        <v>395401.33016982081</v>
      </c>
      <c r="M66" s="113">
        <f t="shared" si="41"/>
        <v>397353.98870925623</v>
      </c>
      <c r="O66" s="115">
        <f t="shared" si="42"/>
        <v>4.9384217766712535E-3</v>
      </c>
      <c r="P66" s="115">
        <f t="shared" si="43"/>
        <v>0.10810810810810811</v>
      </c>
      <c r="Q66" s="116">
        <f t="shared" ref="Q66:Q71" si="44">O66</f>
        <v>4.9384217766712535E-3</v>
      </c>
      <c r="R66" s="59"/>
      <c r="S66" s="147"/>
      <c r="T66" s="146"/>
    </row>
    <row r="67" spans="2:20" ht="13.5" customHeight="1" outlineLevel="1" x14ac:dyDescent="0.25">
      <c r="D67" s="86" t="str">
        <f>HarvestedAreas_TCD!E19</f>
        <v>Oil palm fruit</v>
      </c>
      <c r="E67" s="174">
        <f>HarvestedAreas_TCD!F19</f>
        <v>274000</v>
      </c>
      <c r="F67" s="174">
        <f>HarvestedAreas_TCD!G19</f>
        <v>314294</v>
      </c>
      <c r="G67" s="174">
        <f>HarvestedAreas_TCD!H19</f>
        <v>354898</v>
      </c>
      <c r="H67" s="174">
        <f>HarvestedAreas_TCD!I19</f>
        <v>336777</v>
      </c>
      <c r="I67" s="174">
        <f>HarvestedAreas_TCD!J19</f>
        <v>386707</v>
      </c>
      <c r="J67" s="113">
        <f t="shared" si="40"/>
        <v>402157.19852861104</v>
      </c>
      <c r="K67" s="113">
        <f t="shared" si="41"/>
        <v>438332.5425113868</v>
      </c>
      <c r="L67" s="113">
        <f t="shared" si="41"/>
        <v>477761.97598220402</v>
      </c>
      <c r="M67" s="113">
        <f t="shared" si="41"/>
        <v>520738.21484173863</v>
      </c>
      <c r="O67" s="115">
        <f t="shared" si="42"/>
        <v>8.9953242451290105E-2</v>
      </c>
      <c r="P67" s="115">
        <f t="shared" si="43"/>
        <v>0.14825834305786922</v>
      </c>
      <c r="Q67" s="116">
        <f t="shared" si="44"/>
        <v>8.9953242451290105E-2</v>
      </c>
      <c r="R67" s="59"/>
      <c r="S67" s="145"/>
      <c r="T67" s="145"/>
    </row>
    <row r="68" spans="2:20" ht="13.5" customHeight="1" outlineLevel="1" x14ac:dyDescent="0.25">
      <c r="D68" s="86" t="str">
        <f>HarvestedAreas_TCD!E20</f>
        <v>Mangoes, guavas and mangosteens</v>
      </c>
      <c r="E68" s="174">
        <f>HarvestedAreas_TCD!F20</f>
        <v>141599</v>
      </c>
      <c r="F68" s="174">
        <f>HarvestedAreas_TCD!G20</f>
        <v>178479</v>
      </c>
      <c r="G68" s="174">
        <f>HarvestedAreas_TCD!H20</f>
        <v>179259</v>
      </c>
      <c r="H68" s="174">
        <f>HarvestedAreas_TCD!I20</f>
        <v>179430</v>
      </c>
      <c r="I68" s="174">
        <f>HarvestedAreas_TCD!J20</f>
        <v>179512</v>
      </c>
      <c r="J68" s="113">
        <f t="shared" si="40"/>
        <v>181505.46490547861</v>
      </c>
      <c r="K68" s="113">
        <f t="shared" si="41"/>
        <v>192596.34030794346</v>
      </c>
      <c r="L68" s="113">
        <f t="shared" si="41"/>
        <v>204364.92267232848</v>
      </c>
      <c r="M68" s="113">
        <f t="shared" si="41"/>
        <v>216852.62322268664</v>
      </c>
      <c r="O68" s="115">
        <f t="shared" si="42"/>
        <v>6.1104911679880081E-2</v>
      </c>
      <c r="P68" s="115">
        <f t="shared" si="43"/>
        <v>4.5700273086990428E-4</v>
      </c>
      <c r="Q68" s="116">
        <f t="shared" si="44"/>
        <v>6.1104911679880081E-2</v>
      </c>
      <c r="R68" s="59"/>
      <c r="S68" s="147"/>
      <c r="T68" s="146"/>
    </row>
    <row r="69" spans="2:20" ht="13.5" customHeight="1" outlineLevel="1" x14ac:dyDescent="0.25">
      <c r="D69" s="86" t="str">
        <f>HarvestedAreas_TCD!E21</f>
        <v>Groundnuts, excluding shelled</v>
      </c>
      <c r="E69" s="174">
        <f>HarvestedAreas_TCD!F21</f>
        <v>120263</v>
      </c>
      <c r="F69" s="174">
        <f>HarvestedAreas_TCD!G21</f>
        <v>130629</v>
      </c>
      <c r="G69" s="174">
        <f>HarvestedAreas_TCD!H21</f>
        <v>137728</v>
      </c>
      <c r="H69" s="174">
        <f>HarvestedAreas_TCD!I21</f>
        <v>136549</v>
      </c>
      <c r="I69" s="174">
        <f>HarvestedAreas_TCD!J21</f>
        <v>136848</v>
      </c>
      <c r="J69" s="113">
        <f t="shared" si="40"/>
        <v>134497.59123305386</v>
      </c>
      <c r="K69" s="113">
        <f t="shared" si="41"/>
        <v>138912.43106034939</v>
      </c>
      <c r="L69" s="113">
        <f t="shared" si="41"/>
        <v>143472.18657365823</v>
      </c>
      <c r="M69" s="113">
        <f t="shared" si="41"/>
        <v>148181.6145833912</v>
      </c>
      <c r="O69" s="115">
        <f t="shared" si="42"/>
        <v>3.2824675793974745E-2</v>
      </c>
      <c r="P69" s="115">
        <f t="shared" si="43"/>
        <v>2.1896901478590802E-3</v>
      </c>
      <c r="Q69" s="116">
        <f t="shared" si="44"/>
        <v>3.2824675793974745E-2</v>
      </c>
      <c r="R69" s="59"/>
      <c r="S69" s="145"/>
      <c r="T69" s="146"/>
    </row>
    <row r="70" spans="2:20" ht="13.5" customHeight="1" outlineLevel="1" x14ac:dyDescent="0.25">
      <c r="D70" s="86" t="str">
        <f>HarvestedAreas_TCD!E22</f>
        <v>Sorghum</v>
      </c>
      <c r="E70" s="174">
        <f>HarvestedAreas_TCD!F22</f>
        <v>80264</v>
      </c>
      <c r="F70" s="174">
        <f>HarvestedAreas_TCD!G22</f>
        <v>85796</v>
      </c>
      <c r="G70" s="174">
        <f>HarvestedAreas_TCD!H22</f>
        <v>91578</v>
      </c>
      <c r="H70" s="174">
        <f>HarvestedAreas_TCD!I22</f>
        <v>93835</v>
      </c>
      <c r="I70" s="174">
        <f>HarvestedAreas_TCD!J22</f>
        <v>96458</v>
      </c>
      <c r="J70" s="113">
        <f t="shared" si="40"/>
        <v>96170.412335377187</v>
      </c>
      <c r="K70" s="113">
        <f t="shared" si="41"/>
        <v>100692.20272459267</v>
      </c>
      <c r="L70" s="113">
        <f t="shared" si="41"/>
        <v>105426.60100252862</v>
      </c>
      <c r="M70" s="113">
        <f t="shared" si="41"/>
        <v>110383.60367730581</v>
      </c>
      <c r="O70" s="115">
        <f t="shared" si="42"/>
        <v>4.7018519307648887E-2</v>
      </c>
      <c r="P70" s="115">
        <f t="shared" si="43"/>
        <v>2.7953322321095486E-2</v>
      </c>
      <c r="Q70" s="116">
        <f t="shared" si="44"/>
        <v>4.7018519307648887E-2</v>
      </c>
      <c r="R70" s="59"/>
      <c r="S70" s="147"/>
      <c r="T70" s="145"/>
    </row>
    <row r="71" spans="2:20" ht="13.5" customHeight="1" outlineLevel="1" x14ac:dyDescent="0.25">
      <c r="D71" s="86" t="str">
        <f>HarvestedAreas_TCD!E23</f>
        <v>Sugar cane</v>
      </c>
      <c r="E71" s="174">
        <f>HarvestedAreas_TCD!F23</f>
        <v>25804</v>
      </c>
      <c r="F71" s="174">
        <f>HarvestedAreas_TCD!G23</f>
        <v>23542</v>
      </c>
      <c r="G71" s="174">
        <f>HarvestedAreas_TCD!H23</f>
        <v>24198</v>
      </c>
      <c r="H71" s="174">
        <f>HarvestedAreas_TCD!I23</f>
        <v>25388</v>
      </c>
      <c r="I71" s="174">
        <f>HarvestedAreas_TCD!J23</f>
        <v>25906</v>
      </c>
      <c r="J71" s="113">
        <f t="shared" si="40"/>
        <v>24636.262936804327</v>
      </c>
      <c r="K71" s="113">
        <f t="shared" si="41"/>
        <v>24660.572951185102</v>
      </c>
      <c r="L71" s="113">
        <f t="shared" si="41"/>
        <v>24684.906953652084</v>
      </c>
      <c r="M71" s="113">
        <f t="shared" si="41"/>
        <v>24709.264967875697</v>
      </c>
      <c r="O71" s="115">
        <f t="shared" si="42"/>
        <v>9.8675738455678008E-4</v>
      </c>
      <c r="P71" s="115">
        <f t="shared" si="43"/>
        <v>2.0403340160705774E-2</v>
      </c>
      <c r="Q71" s="116">
        <f t="shared" si="44"/>
        <v>9.8675738455678008E-4</v>
      </c>
      <c r="R71" s="59"/>
      <c r="S71" s="147"/>
      <c r="T71" s="146"/>
    </row>
    <row r="72" spans="2:20" ht="13.5" customHeight="1" outlineLevel="1" thickBot="1" x14ac:dyDescent="0.3">
      <c r="D72" s="88" t="s">
        <v>35</v>
      </c>
      <c r="E72" s="175">
        <f t="shared" ref="E72:M72" si="45">SUM(E58:E71)</f>
        <v>9940774</v>
      </c>
      <c r="F72" s="175">
        <f t="shared" si="45"/>
        <v>9336659</v>
      </c>
      <c r="G72" s="175">
        <f t="shared" si="45"/>
        <v>10069944</v>
      </c>
      <c r="H72" s="175">
        <f t="shared" si="45"/>
        <v>11401402</v>
      </c>
      <c r="I72" s="175">
        <f t="shared" si="45"/>
        <v>11697632</v>
      </c>
      <c r="J72" s="114">
        <f t="shared" si="45"/>
        <v>11570051.254593385</v>
      </c>
      <c r="K72" s="114">
        <f t="shared" si="45"/>
        <v>12031033.780919474</v>
      </c>
      <c r="L72" s="114">
        <f t="shared" si="45"/>
        <v>12518473.232733959</v>
      </c>
      <c r="M72" s="114">
        <f t="shared" si="45"/>
        <v>13033626.759032609</v>
      </c>
      <c r="O72" s="117">
        <f t="shared" si="42"/>
        <v>4.1524375666145197E-2</v>
      </c>
      <c r="P72" s="117">
        <f t="shared" si="43"/>
        <v>2.5981892402355378E-2</v>
      </c>
      <c r="Q72" s="128">
        <f>IFERROR(_xlfn.RRI($M$57-$I$57,I72,M72),0)</f>
        <v>2.7405370025623599E-2</v>
      </c>
    </row>
    <row r="73" spans="2:20" ht="13.5" customHeight="1" thickTop="1" x14ac:dyDescent="0.25">
      <c r="E73" s="1"/>
      <c r="J73" s="2" t="s">
        <v>36</v>
      </c>
      <c r="Q73" s="7"/>
    </row>
    <row r="74" spans="2:20" ht="13.5" customHeight="1" x14ac:dyDescent="0.35">
      <c r="B74" s="29">
        <v>3</v>
      </c>
      <c r="C74" s="29" t="s">
        <v>37</v>
      </c>
      <c r="D74" s="28" t="s">
        <v>38</v>
      </c>
    </row>
    <row r="76" spans="2:20" ht="13.5" customHeight="1" x14ac:dyDescent="0.3">
      <c r="D76" s="32" t="s">
        <v>23</v>
      </c>
      <c r="R76" s="89"/>
    </row>
    <row r="77" spans="2:20" ht="13.5" customHeight="1" x14ac:dyDescent="0.3">
      <c r="D77" s="33" t="s">
        <v>39</v>
      </c>
      <c r="F77" s="275"/>
      <c r="G77" s="275"/>
      <c r="H77" s="275"/>
      <c r="I77" s="275"/>
      <c r="O77" s="39" t="s">
        <v>25</v>
      </c>
    </row>
    <row r="78" spans="2:20" ht="13.5" customHeight="1" outlineLevel="1" x14ac:dyDescent="0.25">
      <c r="E78" s="637" t="s">
        <v>379</v>
      </c>
      <c r="F78" s="638"/>
      <c r="G78" s="638"/>
      <c r="H78" s="638"/>
      <c r="I78" s="639"/>
      <c r="J78" s="138" t="s">
        <v>41</v>
      </c>
      <c r="K78" s="139"/>
      <c r="L78" s="139"/>
      <c r="M78" s="140"/>
      <c r="Q78" s="151" t="s">
        <v>42</v>
      </c>
    </row>
    <row r="79" spans="2:20" ht="13.5" customHeight="1" outlineLevel="1" x14ac:dyDescent="0.3">
      <c r="D79" s="44"/>
      <c r="E79" s="34">
        <v>2017</v>
      </c>
      <c r="F79" s="34">
        <v>2018</v>
      </c>
      <c r="G79" s="34">
        <v>2019</v>
      </c>
      <c r="H79" s="34">
        <v>2020</v>
      </c>
      <c r="I79" s="34">
        <v>2021</v>
      </c>
      <c r="J79" s="34">
        <v>2022</v>
      </c>
      <c r="K79" s="34">
        <v>2023</v>
      </c>
      <c r="L79" s="34">
        <v>2024</v>
      </c>
      <c r="M79" s="34">
        <v>2025</v>
      </c>
      <c r="O79" s="30" t="s">
        <v>20</v>
      </c>
      <c r="P79" s="30" t="s">
        <v>381</v>
      </c>
      <c r="Q79" s="38" t="s">
        <v>30</v>
      </c>
      <c r="R79" s="38" t="s">
        <v>60</v>
      </c>
      <c r="S79" s="35"/>
    </row>
    <row r="80" spans="2:20" ht="13.5" customHeight="1" outlineLevel="1" x14ac:dyDescent="0.25">
      <c r="C80" s="2" t="s">
        <v>382</v>
      </c>
      <c r="D80" s="92" t="str">
        <f t="shared" ref="D80:D93" si="46">D58</f>
        <v>Cocoa beans</v>
      </c>
      <c r="E80" s="149">
        <f>VLOOKUP(D80,'Argus - Consumption per crop'!$A$10:$F$24,6,FALSE)</f>
        <v>5.9401479918673585</v>
      </c>
      <c r="F80" s="149">
        <f>VLOOKUP($D80,'Argus - Consumption per crop'!$A$10:$G$24,7,FALSE)*F$102*1000/F58</f>
        <v>4.0708085835956647</v>
      </c>
      <c r="G80" s="149">
        <f>VLOOKUP($D80,'Argus - Consumption per crop'!$A$10:$G$24,7,FALSE)*G$102*1000/G58</f>
        <v>7.58178763130564</v>
      </c>
      <c r="H80" s="149">
        <f>VLOOKUP($D80,'Argus - Consumption per crop'!$A$10:$G$24,7,FALSE)*H$102*1000/H58</f>
        <v>5.5402763761298059</v>
      </c>
      <c r="I80" s="149">
        <f>VLOOKUP($D80,'Argus - Consumption per crop'!$A$10:$G$24,7,FALSE)*I$102*1000/I58</f>
        <v>8.0517492155588144</v>
      </c>
      <c r="J80" s="118">
        <f>I80*(1+$Q80-15%)</f>
        <v>7.089781381756139</v>
      </c>
      <c r="K80" s="118">
        <f>J80*(1+$Q80+20%)</f>
        <v>8.7241663579165838</v>
      </c>
      <c r="L80" s="118">
        <f t="shared" ref="L80:M93" si="47">K80*(1+$Q80)</f>
        <v>8.9904876843571895</v>
      </c>
      <c r="M80" s="118">
        <f t="shared" si="47"/>
        <v>9.2649389622461324</v>
      </c>
      <c r="N80" s="177"/>
      <c r="O80" s="119">
        <f t="shared" ref="O80:O93" si="48">IFERROR(_xlfn.RRI($H$79-$E$79,E80,H80),0)</f>
        <v>-2.2962150221395916E-2</v>
      </c>
      <c r="P80" s="119">
        <f>IFERROR(_xlfn.RRI($I$79-$G$79,G80,I80),0)</f>
        <v>3.0526850992351529E-2</v>
      </c>
      <c r="Q80" s="155">
        <f>P80</f>
        <v>3.0526850992351529E-2</v>
      </c>
      <c r="R80" s="2" t="s">
        <v>383</v>
      </c>
      <c r="S80" s="42"/>
    </row>
    <row r="81" spans="3:20" ht="13.5" customHeight="1" outlineLevel="1" x14ac:dyDescent="0.25">
      <c r="D81" s="92" t="str">
        <f t="shared" si="46"/>
        <v>Cashew nuts, in shell</v>
      </c>
      <c r="E81" s="149">
        <f>VLOOKUP(D81,'Argus - Consumption per crop'!$A$10:$F$24,6,FALSE)</f>
        <v>4.3660987387550034E-8</v>
      </c>
      <c r="F81" s="149">
        <f>VLOOKUP($D81,'Argus - Consumption per crop'!$A$10:$G$24,7,FALSE)*F$102*1000/F59</f>
        <v>1.5471506746750244E-2</v>
      </c>
      <c r="G81" s="149">
        <f>VLOOKUP($D81,'Argus - Consumption per crop'!$A$10:$G$24,7,FALSE)*G$102*1000/G59</f>
        <v>3.3391714011944795E-2</v>
      </c>
      <c r="H81" s="149">
        <f>VLOOKUP($D81,'Argus - Consumption per crop'!$A$10:$G$24,7,FALSE)*H$102*1000/H59</f>
        <v>2.4240797785991097E-2</v>
      </c>
      <c r="I81" s="149">
        <f>VLOOKUP($D81,'Argus - Consumption per crop'!$A$10:$G$24,7,FALSE)*I$102*1000/I59</f>
        <v>4.6103151014383906E-2</v>
      </c>
      <c r="J81" s="118">
        <f t="shared" ref="J81:J93" si="49">I81*(1+$Q81-15%)</f>
        <v>4.7256737883660388E-2</v>
      </c>
      <c r="K81" s="118">
        <f t="shared" ref="K81:K93" si="50">J81*(1+$Q81+20%)</f>
        <v>6.4979047908340873E-2</v>
      </c>
      <c r="L81" s="118">
        <f t="shared" si="47"/>
        <v>7.6351802127568397E-2</v>
      </c>
      <c r="M81" s="118">
        <f t="shared" si="47"/>
        <v>8.9715037012400675E-2</v>
      </c>
      <c r="N81" s="177"/>
      <c r="O81" s="119">
        <f t="shared" si="48"/>
        <v>81.189773809553813</v>
      </c>
      <c r="P81" s="119">
        <f t="shared" ref="P81:P93" si="51">IFERROR(_xlfn.RRI($I$79-$G$79,G81,I81),0)</f>
        <v>0.17502186605242165</v>
      </c>
      <c r="Q81" s="155">
        <f t="shared" ref="Q81:Q93" si="52">P81</f>
        <v>0.17502186605242165</v>
      </c>
      <c r="R81" s="2" t="s">
        <v>384</v>
      </c>
      <c r="S81" s="42"/>
    </row>
    <row r="82" spans="3:20" ht="13.5" customHeight="1" outlineLevel="1" x14ac:dyDescent="0.25">
      <c r="D82" s="92" t="str">
        <f t="shared" si="46"/>
        <v>Coffee, green</v>
      </c>
      <c r="E82" s="149">
        <f>VLOOKUP(D82,'Argus - Consumption per crop'!$A$10:$F$24,6,FALSE)</f>
        <v>4.3660987387550041E-8</v>
      </c>
      <c r="F82" s="149">
        <f>VLOOKUP($D82,'Argus - Consumption per crop'!$A$10:$G$24,7,FALSE)*F$102*1000/F60</f>
        <v>1.6262288890562634E-2</v>
      </c>
      <c r="G82" s="149">
        <f>VLOOKUP($D82,'Argus - Consumption per crop'!$A$10:$G$24,7,FALSE)*G$102*1000/G60</f>
        <v>0.11491499229263022</v>
      </c>
      <c r="H82" s="149">
        <f>VLOOKUP($D82,'Argus - Consumption per crop'!$A$10:$G$24,7,FALSE)*H$102*1000/H60</f>
        <v>2.2559539337237696E-2</v>
      </c>
      <c r="I82" s="149">
        <f>VLOOKUP($D82,'Argus - Consumption per crop'!$A$10:$G$24,7,FALSE)*I$102*1000/I60</f>
        <v>3.6738085668764436E-2</v>
      </c>
      <c r="J82" s="118">
        <f t="shared" si="49"/>
        <v>1.526167570692985E-2</v>
      </c>
      <c r="K82" s="118">
        <f t="shared" si="50"/>
        <v>1.1681566960303119E-2</v>
      </c>
      <c r="L82" s="118">
        <f t="shared" si="47"/>
        <v>6.6049725629334071E-3</v>
      </c>
      <c r="M82" s="118">
        <f t="shared" si="47"/>
        <v>3.734572827888073E-3</v>
      </c>
      <c r="N82" s="177"/>
      <c r="O82" s="119">
        <f t="shared" si="48"/>
        <v>79.243936342727864</v>
      </c>
      <c r="P82" s="119">
        <f t="shared" si="51"/>
        <v>-0.43458162887061702</v>
      </c>
      <c r="Q82" s="155">
        <f t="shared" si="52"/>
        <v>-0.43458162887061702</v>
      </c>
      <c r="R82" s="2" t="s">
        <v>384</v>
      </c>
      <c r="S82" s="42"/>
    </row>
    <row r="83" spans="3:20" ht="13.5" customHeight="1" outlineLevel="1" x14ac:dyDescent="0.25">
      <c r="D83" s="92" t="str">
        <f t="shared" si="46"/>
        <v>Cassava, fresh</v>
      </c>
      <c r="E83" s="149">
        <f>VLOOKUP(D83,'Argus - Consumption per crop'!$A$10:$F$24,6,FALSE)</f>
        <v>4.3660987387550041E-8</v>
      </c>
      <c r="F83" s="149">
        <f>VLOOKUP($D83,'Argus - Consumption per crop'!$A$10:$G$24,7,FALSE)*F$102*1000/F61</f>
        <v>1.5528067438688734E-2</v>
      </c>
      <c r="G83" s="149">
        <f>VLOOKUP($D83,'Argus - Consumption per crop'!$A$10:$G$24,7,FALSE)*G$102*1000/G61</f>
        <v>3.0060162399149576E-2</v>
      </c>
      <c r="H83" s="149">
        <f>VLOOKUP($D83,'Argus - Consumption per crop'!$A$10:$G$24,7,FALSE)*H$102*1000/H61</f>
        <v>2.0861042266183679E-2</v>
      </c>
      <c r="I83" s="149">
        <f>VLOOKUP($D83,'Argus - Consumption per crop'!$A$10:$G$24,7,FALSE)*I$102*1000/I61</f>
        <v>3.6125583638901386E-2</v>
      </c>
      <c r="J83" s="118">
        <f t="shared" si="49"/>
        <v>3.4184031258455691E-2</v>
      </c>
      <c r="K83" s="118">
        <f t="shared" si="50"/>
        <v>4.4311237631468006E-2</v>
      </c>
      <c r="L83" s="118">
        <f t="shared" si="47"/>
        <v>4.8576436799351655E-2</v>
      </c>
      <c r="M83" s="118">
        <f t="shared" si="47"/>
        <v>5.3252184733510254E-2</v>
      </c>
      <c r="N83" s="177"/>
      <c r="O83" s="119">
        <f t="shared" si="48"/>
        <v>77.177326909111471</v>
      </c>
      <c r="P83" s="119">
        <f t="shared" si="51"/>
        <v>9.6255473687213877E-2</v>
      </c>
      <c r="Q83" s="155">
        <f t="shared" si="52"/>
        <v>9.6255473687213877E-2</v>
      </c>
      <c r="R83" s="2" t="s">
        <v>384</v>
      </c>
      <c r="S83" s="42"/>
    </row>
    <row r="84" spans="3:20" ht="13.5" customHeight="1" outlineLevel="1" x14ac:dyDescent="0.25">
      <c r="C84" s="2" t="s">
        <v>382</v>
      </c>
      <c r="D84" s="92" t="str">
        <f t="shared" si="46"/>
        <v>Rice</v>
      </c>
      <c r="E84" s="149">
        <f>VLOOKUP(D84,'Argus - Consumption per crop'!$A$10:$F$24,6,FALSE)</f>
        <v>1.8447364586036163</v>
      </c>
      <c r="F84" s="149">
        <f>VLOOKUP($D84,'Argus - Consumption per crop'!$A$10:$G$24,7,FALSE)*F$102*1000/F62</f>
        <v>1.252563554980435</v>
      </c>
      <c r="G84" s="149">
        <f>VLOOKUP($D84,'Argus - Consumption per crop'!$A$10:$G$24,7,FALSE)*G$102*1000/G62</f>
        <v>2.8951512147362664</v>
      </c>
      <c r="H84" s="149">
        <f>VLOOKUP($D84,'Argus - Consumption per crop'!$A$10:$G$24,7,FALSE)*H$102*1000/H62</f>
        <v>2.4556773450864555</v>
      </c>
      <c r="I84" s="149">
        <f>VLOOKUP($D84,'Argus - Consumption per crop'!$A$10:$G$24,7,FALSE)*I$102*1000/I62</f>
        <v>4.2226677152882743</v>
      </c>
      <c r="J84" s="118">
        <f t="shared" si="49"/>
        <v>4.4663011006698294</v>
      </c>
      <c r="K84" s="118">
        <f t="shared" si="50"/>
        <v>6.2871966786111022</v>
      </c>
      <c r="L84" s="118">
        <f t="shared" si="47"/>
        <v>7.5930257772568783</v>
      </c>
      <c r="M84" s="118">
        <f t="shared" si="47"/>
        <v>9.1700710827490308</v>
      </c>
      <c r="N84" s="177"/>
      <c r="O84" s="119">
        <f t="shared" si="48"/>
        <v>0.10004974373579856</v>
      </c>
      <c r="P84" s="119">
        <f t="shared" si="51"/>
        <v>0.20769655625505989</v>
      </c>
      <c r="Q84" s="155">
        <f t="shared" si="52"/>
        <v>0.20769655625505989</v>
      </c>
      <c r="R84" s="2" t="s">
        <v>383</v>
      </c>
      <c r="S84" s="42"/>
    </row>
    <row r="85" spans="3:20" ht="13.5" customHeight="1" outlineLevel="1" x14ac:dyDescent="0.25">
      <c r="C85" s="2" t="s">
        <v>382</v>
      </c>
      <c r="D85" s="92" t="str">
        <f t="shared" si="46"/>
        <v>Plantains and cooking bananas</v>
      </c>
      <c r="E85" s="149">
        <f>VLOOKUP(D85,'Argus - Consumption per crop'!$A$10:$F$24,6,FALSE)</f>
        <v>7.5242985148394697</v>
      </c>
      <c r="F85" s="149">
        <f>VLOOKUP($D85,'Argus - Consumption per crop'!$A$10:$G$24,7,FALSE)*F$102*1000/F63</f>
        <v>4.5586359864737389</v>
      </c>
      <c r="G85" s="149">
        <f>VLOOKUP($D85,'Argus - Consumption per crop'!$A$10:$G$24,7,FALSE)*G$102*1000/G63</f>
        <v>10.38824368005303</v>
      </c>
      <c r="H85" s="149">
        <f>VLOOKUP($D85,'Argus - Consumption per crop'!$A$10:$G$24,7,FALSE)*H$102*1000/H63</f>
        <v>7.7339665218051152</v>
      </c>
      <c r="I85" s="149">
        <f>VLOOKUP($D85,'Argus - Consumption per crop'!$A$10:$G$24,7,FALSE)*I$102*1000/I63</f>
        <v>11.952847924128379</v>
      </c>
      <c r="J85" s="118">
        <f t="shared" si="49"/>
        <v>11.028489856293088</v>
      </c>
      <c r="K85" s="118">
        <f t="shared" si="50"/>
        <v>14.03558727635745</v>
      </c>
      <c r="L85" s="118">
        <f t="shared" si="47"/>
        <v>15.055501340160065</v>
      </c>
      <c r="M85" s="118">
        <f t="shared" si="47"/>
        <v>16.149528775712685</v>
      </c>
      <c r="N85" s="177"/>
      <c r="O85" s="119">
        <f t="shared" si="48"/>
        <v>9.2035205826430655E-3</v>
      </c>
      <c r="P85" s="119">
        <f t="shared" si="51"/>
        <v>7.2666290602647621E-2</v>
      </c>
      <c r="Q85" s="155">
        <f t="shared" si="52"/>
        <v>7.2666290602647621E-2</v>
      </c>
      <c r="R85" s="2" t="s">
        <v>383</v>
      </c>
      <c r="S85" s="42"/>
    </row>
    <row r="86" spans="3:20" ht="13.5" customHeight="1" outlineLevel="1" x14ac:dyDescent="0.25">
      <c r="C86" s="2" t="s">
        <v>382</v>
      </c>
      <c r="D86" s="92" t="str">
        <f t="shared" si="46"/>
        <v>Maize (corn)</v>
      </c>
      <c r="E86" s="149">
        <f>VLOOKUP(D86,'Argus - Consumption per crop'!$A$10:$F$24,6,FALSE)</f>
        <v>5.802789516815837</v>
      </c>
      <c r="F86" s="149">
        <f>VLOOKUP($D86,'Argus - Consumption per crop'!$A$10:$G$24,7,FALSE)*F$102*1000/F64</f>
        <v>3.8432788579210881</v>
      </c>
      <c r="G86" s="149">
        <f>VLOOKUP($D86,'Argus - Consumption per crop'!$A$10:$G$24,7,FALSE)*G$102*1000/G64</f>
        <v>8.6024996315190574</v>
      </c>
      <c r="H86" s="149">
        <f>VLOOKUP($D86,'Argus - Consumption per crop'!$A$10:$G$24,7,FALSE)*H$102*1000/H64</f>
        <v>6.787697617675426</v>
      </c>
      <c r="I86" s="149">
        <f>VLOOKUP($D86,'Argus - Consumption per crop'!$A$10:$G$24,7,FALSE)*I$102*1000/I64</f>
        <v>10.520249505528033</v>
      </c>
      <c r="J86" s="118">
        <f t="shared" si="49"/>
        <v>10.055900134771015</v>
      </c>
      <c r="K86" s="118">
        <f t="shared" si="50"/>
        <v>13.131611554940608</v>
      </c>
      <c r="L86" s="118">
        <f t="shared" si="47"/>
        <v>14.52174198149566</v>
      </c>
      <c r="M86" s="118">
        <f t="shared" si="47"/>
        <v>16.059033523405748</v>
      </c>
      <c r="N86" s="177"/>
      <c r="O86" s="119">
        <f t="shared" si="48"/>
        <v>5.3647213692417317E-2</v>
      </c>
      <c r="P86" s="119">
        <f t="shared" si="51"/>
        <v>0.10586137282076646</v>
      </c>
      <c r="Q86" s="155">
        <f t="shared" si="52"/>
        <v>0.10586137282076646</v>
      </c>
      <c r="R86" s="2" t="s">
        <v>383</v>
      </c>
      <c r="S86" s="42"/>
    </row>
    <row r="87" spans="3:20" ht="13.5" customHeight="1" outlineLevel="1" x14ac:dyDescent="0.25">
      <c r="C87" s="2" t="s">
        <v>382</v>
      </c>
      <c r="D87" s="92" t="str">
        <f t="shared" si="46"/>
        <v>Natural rubber in primary forms</v>
      </c>
      <c r="E87" s="149">
        <f>VLOOKUP(D87,'Argus - Consumption per crop'!$A$10:$F$24,6,FALSE)</f>
        <v>3.932963174276265</v>
      </c>
      <c r="F87" s="149">
        <f>VLOOKUP($D87,'Argus - Consumption per crop'!$A$10:$G$24,7,FALSE)*F$102*1000/F65</f>
        <v>1.9014032771166884</v>
      </c>
      <c r="G87" s="149">
        <f>VLOOKUP($D87,'Argus - Consumption per crop'!$A$10:$G$24,7,FALSE)*G$102*1000/G65</f>
        <v>3.4755148283238686</v>
      </c>
      <c r="H87" s="149">
        <f>VLOOKUP($D87,'Argus - Consumption per crop'!$A$10:$G$24,7,FALSE)*H$102*1000/H65</f>
        <v>2.5344770858679384</v>
      </c>
      <c r="I87" s="149">
        <f>VLOOKUP($D87,'Argus - Consumption per crop'!$A$10:$G$24,7,FALSE)*I$102*1000/I65</f>
        <v>3.2741760563136797</v>
      </c>
      <c r="J87" s="118">
        <f t="shared" si="49"/>
        <v>2.6867973179564952</v>
      </c>
      <c r="K87" s="118">
        <f t="shared" si="50"/>
        <v>3.1451718713286505</v>
      </c>
      <c r="L87" s="118">
        <f t="shared" si="47"/>
        <v>3.0527119316746933</v>
      </c>
      <c r="M87" s="118">
        <f t="shared" si="47"/>
        <v>2.9629700757346167</v>
      </c>
      <c r="N87" s="177"/>
      <c r="O87" s="119">
        <f t="shared" si="48"/>
        <v>-0.13624714398822402</v>
      </c>
      <c r="P87" s="119">
        <f t="shared" si="51"/>
        <v>-2.9397420375280814E-2</v>
      </c>
      <c r="Q87" s="155">
        <f t="shared" si="52"/>
        <v>-2.9397420375280814E-2</v>
      </c>
      <c r="R87" s="2" t="s">
        <v>383</v>
      </c>
      <c r="S87" s="42"/>
    </row>
    <row r="88" spans="3:20" ht="13.5" customHeight="1" outlineLevel="1" x14ac:dyDescent="0.25">
      <c r="C88" s="2" t="s">
        <v>382</v>
      </c>
      <c r="D88" s="92" t="str">
        <f t="shared" si="46"/>
        <v>Seed cotton, unginned</v>
      </c>
      <c r="E88" s="149">
        <f>VLOOKUP(D88,'Argus - Consumption per crop'!$A$10:$F$24,6,FALSE)</f>
        <v>24.440298507462686</v>
      </c>
      <c r="F88" s="149">
        <f>VLOOKUP($D88,'Argus - Consumption per crop'!$A$10:$G$24,7,FALSE)*F$102*1000/F66</f>
        <v>17.882954036145286</v>
      </c>
      <c r="G88" s="149">
        <f>VLOOKUP($D88,'Argus - Consumption per crop'!$A$10:$G$24,7,FALSE)*G$102*1000/G66</f>
        <v>40.117697354043237</v>
      </c>
      <c r="H88" s="149">
        <f>VLOOKUP($D88,'Argus - Consumption per crop'!$A$10:$G$24,7,FALSE)*H$102*1000/H66</f>
        <v>30.564213131808962</v>
      </c>
      <c r="I88" s="149">
        <f>VLOOKUP($D88,'Argus - Consumption per crop'!$A$10:$G$24,7,FALSE)*I$102*1000/I66</f>
        <v>44.454961879834521</v>
      </c>
      <c r="J88" s="118">
        <f t="shared" si="49"/>
        <v>40.128147083212156</v>
      </c>
      <c r="K88" s="118">
        <f t="shared" si="50"/>
        <v>50.267313949896312</v>
      </c>
      <c r="L88" s="118">
        <f t="shared" si="47"/>
        <v>52.914878272410412</v>
      </c>
      <c r="M88" s="118">
        <f t="shared" si="47"/>
        <v>55.701889012308904</v>
      </c>
      <c r="N88" s="177"/>
      <c r="O88" s="119">
        <f t="shared" si="48"/>
        <v>7.7379988251319531E-2</v>
      </c>
      <c r="P88" s="119">
        <f t="shared" si="51"/>
        <v>5.2669699541794568E-2</v>
      </c>
      <c r="Q88" s="155">
        <f t="shared" si="52"/>
        <v>5.2669699541794568E-2</v>
      </c>
      <c r="R88" s="2" t="s">
        <v>383</v>
      </c>
      <c r="S88" s="42"/>
    </row>
    <row r="89" spans="3:20" ht="13.5" customHeight="1" outlineLevel="1" x14ac:dyDescent="0.25">
      <c r="C89" s="2" t="s">
        <v>382</v>
      </c>
      <c r="D89" s="92" t="str">
        <f t="shared" si="46"/>
        <v>Oil palm fruit</v>
      </c>
      <c r="E89" s="149">
        <f>VLOOKUP(D89,'Argus - Consumption per crop'!$A$10:$F$24,6,FALSE)</f>
        <v>10.47080291970803</v>
      </c>
      <c r="F89" s="149">
        <f>VLOOKUP($D89,'Argus - Consumption per crop'!$A$10:$G$24,7,FALSE)*F$102*1000/F67</f>
        <v>5.7321857391711317</v>
      </c>
      <c r="G89" s="149">
        <f>VLOOKUP($D89,'Argus - Consumption per crop'!$A$10:$G$24,7,FALSE)*G$102*1000/G67</f>
        <v>11.883187118552378</v>
      </c>
      <c r="H89" s="149">
        <f>VLOOKUP($D89,'Argus - Consumption per crop'!$A$10:$G$24,7,FALSE)*H$102*1000/H67</f>
        <v>9.8055172670104458</v>
      </c>
      <c r="I89" s="149">
        <f>VLOOKUP($D89,'Argus - Consumption per crop'!$A$10:$G$24,7,FALSE)*I$102*1000/I67</f>
        <v>13.763220081493227</v>
      </c>
      <c r="J89" s="118">
        <f t="shared" si="49"/>
        <v>12.74751393652755</v>
      </c>
      <c r="K89" s="118">
        <f t="shared" si="50"/>
        <v>16.26839534399042</v>
      </c>
      <c r="L89" s="118">
        <f t="shared" si="47"/>
        <v>17.508070115095204</v>
      </c>
      <c r="M89" s="118">
        <f t="shared" si="47"/>
        <v>18.842209859887845</v>
      </c>
      <c r="N89" s="177"/>
      <c r="O89" s="119">
        <f t="shared" si="48"/>
        <v>-2.1644161395377837E-2</v>
      </c>
      <c r="P89" s="119">
        <f t="shared" si="51"/>
        <v>7.6201416605155448E-2</v>
      </c>
      <c r="Q89" s="155">
        <f t="shared" si="52"/>
        <v>7.6201416605155448E-2</v>
      </c>
      <c r="R89" s="2" t="s">
        <v>383</v>
      </c>
      <c r="S89" s="42"/>
    </row>
    <row r="90" spans="3:20" ht="13.5" customHeight="1" outlineLevel="1" x14ac:dyDescent="0.25">
      <c r="D90" s="92" t="str">
        <f t="shared" si="46"/>
        <v>Mangoes, guavas and mangosteens</v>
      </c>
      <c r="E90" s="149">
        <f>VLOOKUP(D90,'Argus - Consumption per crop'!$A$10:$F$24,6,FALSE)</f>
        <v>4.3660987387550034E-8</v>
      </c>
      <c r="F90" s="149">
        <f>VLOOKUP($D90,'Argus - Consumption per crop'!$A$10:$G$24,7,FALSE)*F$102*1000/F68</f>
        <v>1.1217871228033522E-2</v>
      </c>
      <c r="G90" s="149">
        <f>VLOOKUP($D90,'Argus - Consumption per crop'!$A$10:$G$24,7,FALSE)*G$102*1000/G68</f>
        <v>2.6145487749909043E-2</v>
      </c>
      <c r="H90" s="149">
        <f>VLOOKUP($D90,'Argus - Consumption per crop'!$A$10:$G$24,7,FALSE)*H$102*1000/H68</f>
        <v>2.0453098287253706E-2</v>
      </c>
      <c r="I90" s="149">
        <f>VLOOKUP($D90,'Argus - Consumption per crop'!$A$10:$G$24,7,FALSE)*I$102*1000/I68</f>
        <v>3.2949576143574612E-2</v>
      </c>
      <c r="J90" s="118">
        <f t="shared" si="49"/>
        <v>3.2046885872350175E-2</v>
      </c>
      <c r="K90" s="118">
        <f t="shared" si="50"/>
        <v>4.2385335860023986E-2</v>
      </c>
      <c r="L90" s="118">
        <f t="shared" si="47"/>
        <v>4.7581942839855888E-2</v>
      </c>
      <c r="M90" s="118">
        <f t="shared" si="47"/>
        <v>5.3415674040951953E-2</v>
      </c>
      <c r="N90" s="177"/>
      <c r="O90" s="119">
        <f t="shared" si="48"/>
        <v>76.664374848438939</v>
      </c>
      <c r="P90" s="119">
        <f t="shared" si="51"/>
        <v>0.12260388821722468</v>
      </c>
      <c r="Q90" s="155">
        <f t="shared" si="52"/>
        <v>0.12260388821722468</v>
      </c>
      <c r="R90" s="2" t="s">
        <v>384</v>
      </c>
      <c r="S90" s="42"/>
    </row>
    <row r="91" spans="3:20" ht="13.5" customHeight="1" outlineLevel="1" x14ac:dyDescent="0.25">
      <c r="D91" s="92" t="str">
        <f t="shared" si="46"/>
        <v>Groundnuts, excluding shelled</v>
      </c>
      <c r="E91" s="149">
        <f>VLOOKUP(D91,'Argus - Consumption per crop'!$A$10:$F$24,6,FALSE)</f>
        <v>4.3660987387550034E-8</v>
      </c>
      <c r="F91" s="149">
        <f>VLOOKUP($D91,'Argus - Consumption per crop'!$A$10:$G$24,7,FALSE)*F$102*1000/F69</f>
        <v>1.3017566923918592E-2</v>
      </c>
      <c r="G91" s="149">
        <f>VLOOKUP($D91,'Argus - Consumption per crop'!$A$10:$G$24,7,FALSE)*G$102*1000/G69</f>
        <v>2.8901961851962435E-2</v>
      </c>
      <c r="H91" s="149">
        <f>VLOOKUP($D91,'Argus - Consumption per crop'!$A$10:$G$24,7,FALSE)*H$102*1000/H69</f>
        <v>2.2826403263432177E-2</v>
      </c>
      <c r="I91" s="149">
        <f>VLOOKUP($D91,'Argus - Consumption per crop'!$A$10:$G$24,7,FALSE)*I$102*1000/I69</f>
        <v>3.670935130767522E-2</v>
      </c>
      <c r="J91" s="118">
        <f t="shared" si="49"/>
        <v>3.5865110273164844E-2</v>
      </c>
      <c r="K91" s="118">
        <f t="shared" si="50"/>
        <v>4.7593073675157235E-2</v>
      </c>
      <c r="L91" s="118">
        <f t="shared" si="47"/>
        <v>5.3637490030767884E-2</v>
      </c>
      <c r="M91" s="118">
        <f t="shared" si="47"/>
        <v>6.0449559455590662E-2</v>
      </c>
      <c r="N91" s="177"/>
      <c r="O91" s="119">
        <f t="shared" si="48"/>
        <v>79.559107139872182</v>
      </c>
      <c r="P91" s="119">
        <f t="shared" si="51"/>
        <v>0.12700201707639924</v>
      </c>
      <c r="Q91" s="155">
        <f t="shared" si="52"/>
        <v>0.12700201707639924</v>
      </c>
      <c r="R91" s="2" t="s">
        <v>384</v>
      </c>
      <c r="S91" s="42"/>
    </row>
    <row r="92" spans="3:20" ht="13.5" customHeight="1" outlineLevel="1" x14ac:dyDescent="0.25">
      <c r="D92" s="92" t="str">
        <f t="shared" si="46"/>
        <v>Sorghum</v>
      </c>
      <c r="E92" s="149">
        <f>VLOOKUP(D92,'Argus - Consumption per crop'!$A$10:$F$24,6,FALSE)</f>
        <v>4.3660987387550041E-8</v>
      </c>
      <c r="F92" s="149">
        <f>VLOOKUP($D92,'Argus - Consumption per crop'!$A$10:$G$24,7,FALSE)*F$102*1000/F70</f>
        <v>1.3227907421084687E-2</v>
      </c>
      <c r="G92" s="149">
        <f>VLOOKUP($D92,'Argus - Consumption per crop'!$A$10:$G$24,7,FALSE)*G$102*1000/G70</f>
        <v>2.9009963061670637E-2</v>
      </c>
      <c r="H92" s="149">
        <f>VLOOKUP($D92,'Argus - Consumption per crop'!$A$10:$G$24,7,FALSE)*H$102*1000/H70</f>
        <v>2.2169194675871813E-2</v>
      </c>
      <c r="I92" s="149">
        <f>VLOOKUP($D92,'Argus - Consumption per crop'!$A$10:$G$24,7,FALSE)*I$102*1000/I70</f>
        <v>3.475887229955376E-2</v>
      </c>
      <c r="J92" s="118">
        <f t="shared" si="49"/>
        <v>3.2833564317165539E-2</v>
      </c>
      <c r="K92" s="118">
        <f t="shared" si="50"/>
        <v>4.2506647432927626E-2</v>
      </c>
      <c r="L92" s="118">
        <f t="shared" si="47"/>
        <v>4.65281841700418E-2</v>
      </c>
      <c r="M92" s="118">
        <f t="shared" si="47"/>
        <v>5.0930196872791191E-2</v>
      </c>
      <c r="N92" s="177"/>
      <c r="O92" s="119">
        <f t="shared" si="48"/>
        <v>78.778424368646711</v>
      </c>
      <c r="P92" s="119">
        <f t="shared" si="51"/>
        <v>9.460959590990714E-2</v>
      </c>
      <c r="Q92" s="155">
        <f t="shared" si="52"/>
        <v>9.460959590990714E-2</v>
      </c>
      <c r="R92" s="2" t="s">
        <v>384</v>
      </c>
      <c r="S92" s="42"/>
    </row>
    <row r="93" spans="3:20" ht="13.5" customHeight="1" outlineLevel="1" x14ac:dyDescent="0.25">
      <c r="C93" s="2" t="s">
        <v>382</v>
      </c>
      <c r="D93" s="92" t="str">
        <f t="shared" si="46"/>
        <v>Sugar cane</v>
      </c>
      <c r="E93" s="149">
        <f>VLOOKUP(D93,'Argus - Consumption per crop'!$A$10:$F$24,6,FALSE)</f>
        <v>68.051464889164464</v>
      </c>
      <c r="F93" s="149">
        <f>VLOOKUP($D93,'Argus - Consumption per crop'!$A$10:$G$24,7,FALSE)*F$102*1000/F71</f>
        <v>46.838928613654311</v>
      </c>
      <c r="G93" s="149">
        <f>VLOOKUP($D93,'Argus - Consumption per crop'!$A$10:$G$24,7,FALSE)*G$102*1000/G71</f>
        <v>106.67213284857924</v>
      </c>
      <c r="H93" s="149">
        <f>VLOOKUP($D93,'Argus - Consumption per crop'!$A$10:$G$24,7,FALSE)*H$102*1000/H71</f>
        <v>79.611976550396562</v>
      </c>
      <c r="I93" s="149">
        <f>VLOOKUP($D93,'Argus - Consumption per crop'!$A$10:$G$24,7,FALSE)*I$102*1000/I71</f>
        <v>125.74643757065587</v>
      </c>
      <c r="J93" s="118">
        <f t="shared" si="49"/>
        <v>117.66487678287879</v>
      </c>
      <c r="K93" s="118">
        <f t="shared" si="50"/>
        <v>151.28541432089366</v>
      </c>
      <c r="L93" s="118">
        <f t="shared" si="47"/>
        <v>164.25530870086936</v>
      </c>
      <c r="M93" s="118">
        <f t="shared" si="47"/>
        <v>178.33712891310617</v>
      </c>
      <c r="N93" s="177"/>
      <c r="O93" s="119">
        <f t="shared" si="48"/>
        <v>5.3691902807860403E-2</v>
      </c>
      <c r="P93" s="119">
        <f t="shared" si="51"/>
        <v>8.573129431013804E-2</v>
      </c>
      <c r="Q93" s="155">
        <f t="shared" si="52"/>
        <v>8.573129431013804E-2</v>
      </c>
      <c r="R93" s="2" t="s">
        <v>383</v>
      </c>
      <c r="S93" s="42"/>
    </row>
    <row r="94" spans="3:20" ht="13.5" customHeight="1" x14ac:dyDescent="0.3">
      <c r="D94" s="1"/>
      <c r="E94" s="212"/>
      <c r="F94" s="212"/>
      <c r="G94" s="82"/>
      <c r="H94" s="82"/>
      <c r="I94" s="82"/>
      <c r="J94" s="1" t="s">
        <v>795</v>
      </c>
      <c r="K94" s="1" t="s">
        <v>796</v>
      </c>
      <c r="L94" s="60"/>
      <c r="M94" s="60"/>
      <c r="O94" s="69"/>
      <c r="P94" s="70"/>
      <c r="Q94" s="83"/>
      <c r="R94" s="63"/>
      <c r="S94" s="42"/>
    </row>
    <row r="95" spans="3:20" ht="13.5" customHeight="1" x14ac:dyDescent="0.3">
      <c r="D95" s="1"/>
      <c r="E95" s="82"/>
      <c r="F95" s="82"/>
      <c r="G95" s="82"/>
      <c r="H95" s="82"/>
      <c r="I95" s="82"/>
      <c r="J95" s="60"/>
      <c r="K95" s="60"/>
      <c r="L95" s="60"/>
      <c r="M95" s="60"/>
      <c r="O95" s="69"/>
      <c r="P95" s="70"/>
      <c r="Q95" s="83"/>
      <c r="R95" s="90"/>
      <c r="S95" s="63"/>
      <c r="T95" s="42"/>
    </row>
    <row r="96" spans="3:20" ht="13.5" customHeight="1" x14ac:dyDescent="0.3">
      <c r="J96" s="43"/>
      <c r="K96" s="43"/>
      <c r="L96" s="43"/>
      <c r="M96" s="43"/>
      <c r="O96" s="54"/>
      <c r="P96" s="54"/>
      <c r="Q96" s="47"/>
      <c r="R96" s="91"/>
      <c r="S96" s="41"/>
    </row>
    <row r="97" spans="2:23" ht="13.5" customHeight="1" x14ac:dyDescent="0.3">
      <c r="D97" s="32" t="s">
        <v>43</v>
      </c>
      <c r="J97" s="43"/>
      <c r="K97" s="43"/>
      <c r="L97" s="43"/>
      <c r="M97" s="43"/>
      <c r="O97" s="54"/>
      <c r="P97" s="54"/>
      <c r="Q97" s="47"/>
      <c r="R97" s="43"/>
      <c r="S97" s="41"/>
    </row>
    <row r="98" spans="2:23" ht="13.5" customHeight="1" x14ac:dyDescent="0.3">
      <c r="D98" s="33" t="s">
        <v>44</v>
      </c>
      <c r="E98" s="2">
        <f>SUMPRODUCT(E80:E93,E58:E71)/E72-E101</f>
        <v>-8.5397611285458197E-3</v>
      </c>
      <c r="F98" s="2">
        <f>SUMPRODUCT(F80:F93,F58:F71)/F72-F101</f>
        <v>0</v>
      </c>
      <c r="G98" s="2">
        <f>SUMPRODUCT(G80:G93,G58:G71)/G72-G101</f>
        <v>0</v>
      </c>
      <c r="H98" s="2">
        <f>SUMPRODUCT(H80:H93,H58:H71)/H72-H101</f>
        <v>0</v>
      </c>
      <c r="I98" s="2">
        <f>SUMPRODUCT(I80:I93,I58:I71)/I72-I101</f>
        <v>0</v>
      </c>
      <c r="J98" s="190" t="s">
        <v>45</v>
      </c>
      <c r="K98" s="43"/>
      <c r="L98" s="43"/>
      <c r="M98" s="43"/>
      <c r="O98" s="54"/>
      <c r="P98" s="54"/>
      <c r="Q98" s="47"/>
      <c r="R98" s="43"/>
      <c r="S98" s="41"/>
    </row>
    <row r="99" spans="2:23" ht="13.5" customHeight="1" x14ac:dyDescent="0.25">
      <c r="E99" s="31"/>
      <c r="F99" s="31"/>
      <c r="G99" s="31"/>
      <c r="H99" s="31"/>
      <c r="I99" s="31"/>
      <c r="Q99" s="47"/>
    </row>
    <row r="100" spans="2:23" ht="13.5" customHeight="1" outlineLevel="1" x14ac:dyDescent="0.3">
      <c r="D100" s="44"/>
      <c r="E100" s="120">
        <v>2017</v>
      </c>
      <c r="F100" s="120">
        <v>2018</v>
      </c>
      <c r="G100" s="120">
        <v>2019</v>
      </c>
      <c r="H100" s="120">
        <v>2020</v>
      </c>
      <c r="I100" s="120">
        <v>2021</v>
      </c>
      <c r="J100" s="55"/>
      <c r="K100" s="50"/>
      <c r="L100" s="50"/>
      <c r="M100" s="50"/>
      <c r="O100" s="35"/>
      <c r="P100" s="35"/>
      <c r="Q100" s="48"/>
      <c r="R100" s="48"/>
      <c r="S100" s="48"/>
      <c r="T100" s="7"/>
    </row>
    <row r="101" spans="2:23" ht="13.5" customHeight="1" outlineLevel="1" x14ac:dyDescent="0.3">
      <c r="D101" s="46" t="s">
        <v>46</v>
      </c>
      <c r="E101" s="176">
        <f>'VIFAA - Consumption per product'!T10*1000/E72</f>
        <v>4.404175369040682</v>
      </c>
      <c r="F101" s="176">
        <f>'VIFAA - Consumption per product'!U10*1000/F72</f>
        <v>2.9445511504704194</v>
      </c>
      <c r="G101" s="176">
        <f>'VIFAA - Consumption per product'!V10*1000/G72</f>
        <v>6.3909245175544172</v>
      </c>
      <c r="H101" s="176">
        <f>'VIFAA - Consumption per product'!W10*1000/H72</f>
        <v>4.4198642412573479</v>
      </c>
      <c r="I101" s="176">
        <f>'VIFAA - Consumption per product'!X10*1000/I72</f>
        <v>6.9431794400781284</v>
      </c>
      <c r="J101" s="56"/>
      <c r="K101" s="49"/>
      <c r="L101" s="49"/>
      <c r="M101" s="49"/>
      <c r="O101" s="35"/>
      <c r="P101" s="35"/>
      <c r="Q101" s="35"/>
      <c r="R101" s="47"/>
      <c r="S101" s="47"/>
      <c r="T101" s="7"/>
    </row>
    <row r="102" spans="2:23" ht="13.5" customHeight="1" outlineLevel="1" x14ac:dyDescent="0.3">
      <c r="D102" s="276" t="s">
        <v>380</v>
      </c>
      <c r="E102" s="277">
        <f>'VIFAA - Consumption per product'!T10</f>
        <v>43780.912000000011</v>
      </c>
      <c r="F102" s="277">
        <f>'VIFAA - Consumption per product'!U10</f>
        <v>27492.269999999997</v>
      </c>
      <c r="G102" s="277">
        <f>'VIFAA - Consumption per product'!V10</f>
        <v>64356.252</v>
      </c>
      <c r="H102" s="277">
        <f>'VIFAA - Consumption per product'!W10</f>
        <v>50392.649000000005</v>
      </c>
      <c r="I102" s="277">
        <f>'VIFAA - Consumption per product'!X10</f>
        <v>81218.758000000002</v>
      </c>
      <c r="J102" s="56"/>
      <c r="K102" s="49"/>
      <c r="L102" s="49"/>
      <c r="M102" s="49"/>
      <c r="O102" s="119"/>
      <c r="P102" s="35"/>
      <c r="Q102" s="35"/>
      <c r="R102" s="47"/>
      <c r="S102" s="47"/>
      <c r="T102" s="7"/>
    </row>
    <row r="103" spans="2:23" ht="13.5" customHeight="1" outlineLevel="1" x14ac:dyDescent="0.3">
      <c r="D103" s="93" t="s">
        <v>47</v>
      </c>
      <c r="E103" s="121">
        <f>E101/46%</f>
        <v>9.5742942805232207</v>
      </c>
      <c r="F103" s="121">
        <f>F101/46%</f>
        <v>6.4011981531965638</v>
      </c>
      <c r="G103" s="121">
        <f>G101/46%</f>
        <v>13.893314168596559</v>
      </c>
      <c r="H103" s="121">
        <f>H101/46%</f>
        <v>9.6084005244724953</v>
      </c>
      <c r="I103" s="121">
        <f>I101/46%</f>
        <v>15.093868347995931</v>
      </c>
      <c r="J103" s="56"/>
      <c r="K103" s="49"/>
      <c r="L103" s="49"/>
      <c r="M103" s="49"/>
      <c r="O103" s="35"/>
      <c r="P103" s="35"/>
      <c r="Q103" s="35"/>
      <c r="R103" s="47"/>
      <c r="S103" s="47"/>
      <c r="T103" s="7"/>
    </row>
    <row r="104" spans="2:23" ht="13.5" customHeight="1" outlineLevel="1" x14ac:dyDescent="0.3">
      <c r="D104" s="99" t="s">
        <v>48</v>
      </c>
      <c r="E104" s="100" t="s">
        <v>369</v>
      </c>
      <c r="F104" s="100" t="s">
        <v>369</v>
      </c>
      <c r="G104" s="100" t="s">
        <v>369</v>
      </c>
      <c r="H104" s="100" t="s">
        <v>369</v>
      </c>
      <c r="I104" s="100" t="s">
        <v>369</v>
      </c>
      <c r="J104" s="47"/>
      <c r="K104" s="47"/>
      <c r="L104" s="47"/>
      <c r="M104" s="47"/>
      <c r="O104" s="47"/>
      <c r="P104" s="47"/>
      <c r="Q104" s="47"/>
      <c r="R104" s="47"/>
      <c r="S104" s="47"/>
      <c r="T104" s="7"/>
    </row>
    <row r="105" spans="2:23" ht="13.5" customHeight="1" x14ac:dyDescent="0.25">
      <c r="O105" s="47"/>
      <c r="P105" s="47"/>
      <c r="Q105" s="47"/>
      <c r="R105" s="47"/>
      <c r="S105" s="47"/>
      <c r="T105" s="7"/>
    </row>
    <row r="106" spans="2:23" ht="13.5" customHeight="1" x14ac:dyDescent="0.25">
      <c r="O106" s="47"/>
      <c r="P106" s="47"/>
      <c r="Q106" s="47"/>
      <c r="R106" s="47"/>
      <c r="S106" s="47"/>
      <c r="T106" s="7"/>
    </row>
    <row r="107" spans="2:23" ht="13.5" customHeight="1" x14ac:dyDescent="0.35">
      <c r="B107" s="29">
        <v>3</v>
      </c>
      <c r="C107" s="29" t="s">
        <v>49</v>
      </c>
      <c r="D107" s="28" t="s">
        <v>50</v>
      </c>
      <c r="O107" s="7"/>
      <c r="P107" s="7"/>
      <c r="Q107" s="7"/>
      <c r="R107" s="7"/>
      <c r="S107" s="7"/>
      <c r="T107" s="7"/>
    </row>
    <row r="108" spans="2:23" ht="13.5" customHeight="1" x14ac:dyDescent="0.35">
      <c r="B108" s="28"/>
      <c r="C108" s="28"/>
      <c r="D108" s="28"/>
      <c r="O108" s="7"/>
      <c r="P108" s="7"/>
      <c r="Q108" s="7"/>
      <c r="R108" s="7"/>
      <c r="S108" s="7"/>
      <c r="T108" s="7"/>
    </row>
    <row r="109" spans="2:23" ht="13.5" customHeight="1" x14ac:dyDescent="0.35">
      <c r="B109" s="28"/>
      <c r="C109" s="28"/>
      <c r="D109" s="32" t="s">
        <v>23</v>
      </c>
      <c r="J109" s="636" t="s">
        <v>51</v>
      </c>
      <c r="K109" s="636"/>
      <c r="L109" s="636"/>
      <c r="M109" s="636"/>
      <c r="T109" s="7"/>
    </row>
    <row r="110" spans="2:23" ht="13.5" customHeight="1" x14ac:dyDescent="0.35">
      <c r="B110" s="28"/>
      <c r="C110" s="28"/>
      <c r="D110" s="33" t="s">
        <v>52</v>
      </c>
      <c r="J110" s="171"/>
      <c r="K110" s="171"/>
      <c r="L110" s="171">
        <v>0.5</v>
      </c>
      <c r="M110" s="171">
        <v>1</v>
      </c>
      <c r="O110" s="39" t="s">
        <v>25</v>
      </c>
      <c r="T110" s="7"/>
    </row>
    <row r="111" spans="2:23" ht="13.5" customHeight="1" outlineLevel="1" x14ac:dyDescent="0.35">
      <c r="B111" s="28"/>
      <c r="C111" s="28"/>
      <c r="E111" s="138" t="s">
        <v>26</v>
      </c>
      <c r="F111" s="139"/>
      <c r="G111" s="139"/>
      <c r="H111" s="140"/>
      <c r="I111" s="141" t="s">
        <v>40</v>
      </c>
      <c r="J111" s="138" t="s">
        <v>53</v>
      </c>
      <c r="K111" s="139"/>
      <c r="L111" s="139"/>
      <c r="M111" s="140"/>
      <c r="Q111" s="132"/>
      <c r="T111" s="279"/>
    </row>
    <row r="112" spans="2:23" ht="13.5" customHeight="1" outlineLevel="1" x14ac:dyDescent="0.35">
      <c r="B112" s="28"/>
      <c r="C112" s="28"/>
      <c r="D112" s="44" t="s">
        <v>54</v>
      </c>
      <c r="E112" s="45">
        <v>2017</v>
      </c>
      <c r="F112" s="45">
        <v>2018</v>
      </c>
      <c r="G112" s="45">
        <v>2019</v>
      </c>
      <c r="H112" s="45">
        <v>2020</v>
      </c>
      <c r="I112" s="45">
        <v>2021</v>
      </c>
      <c r="J112" s="45">
        <v>2022</v>
      </c>
      <c r="K112" s="45">
        <v>2023</v>
      </c>
      <c r="L112" s="45">
        <v>2024</v>
      </c>
      <c r="M112" s="45">
        <v>2025</v>
      </c>
      <c r="O112" s="30" t="s">
        <v>55</v>
      </c>
      <c r="P112" s="38" t="s">
        <v>56</v>
      </c>
      <c r="Q112" s="38" t="s">
        <v>57</v>
      </c>
      <c r="R112" s="38" t="s">
        <v>58</v>
      </c>
      <c r="S112" s="30" t="s">
        <v>59</v>
      </c>
      <c r="T112" s="38" t="s">
        <v>60</v>
      </c>
      <c r="W112" s="1" t="s">
        <v>61</v>
      </c>
    </row>
    <row r="113" spans="2:23" ht="13.15" customHeight="1" outlineLevel="1" x14ac:dyDescent="0.35">
      <c r="B113" s="28"/>
      <c r="C113" s="28"/>
      <c r="D113" s="2" t="str">
        <f t="shared" ref="D113:D126" si="53">D58</f>
        <v>Cocoa beans</v>
      </c>
      <c r="E113" s="122">
        <f t="shared" ref="E113:J126" si="54">E80</f>
        <v>5.9401479918673585</v>
      </c>
      <c r="F113" s="105">
        <f t="shared" si="54"/>
        <v>4.0708085835956647</v>
      </c>
      <c r="G113" s="105">
        <f t="shared" si="54"/>
        <v>7.58178763130564</v>
      </c>
      <c r="H113" s="123">
        <f t="shared" si="54"/>
        <v>5.5402763761298059</v>
      </c>
      <c r="I113" s="123">
        <f t="shared" si="54"/>
        <v>8.0517492155588144</v>
      </c>
      <c r="J113" s="106">
        <f>J80</f>
        <v>7.089781381756139</v>
      </c>
      <c r="K113" s="106">
        <f t="shared" ref="K113:K126" si="55">K80</f>
        <v>8.7241663579165838</v>
      </c>
      <c r="L113" s="106">
        <f>IF(IF($P113&lt;K113,K113,K113+($P113-K113)*L$110)&lt;L80,L80,IF($P113&lt;K113,K113,K113+($P113-K113)*L$110))</f>
        <v>15.402083178958293</v>
      </c>
      <c r="M113" s="278">
        <f t="shared" ref="M113:M126" si="56">IF(IF($P113&lt;L113,L113,L113+($P113-L113)*M$110)&lt;M80,M80,IF($P113&lt;L113,L113,L113+($P113-L113)*M$110))</f>
        <v>22.080000000000002</v>
      </c>
      <c r="O113" s="1" t="s">
        <v>71</v>
      </c>
      <c r="P113" s="40">
        <f t="shared" ref="P113:P126" si="57">S113*Q113</f>
        <v>22.080000000000002</v>
      </c>
      <c r="Q113" s="150">
        <v>0.15</v>
      </c>
      <c r="R113" s="98" t="s">
        <v>63</v>
      </c>
      <c r="S113" s="2">
        <f t="shared" ref="S113:S126" si="58">_xlfn.XLOOKUP(O113,$D$133:$D$144,$G$133:$G$144)</f>
        <v>147.20000000000002</v>
      </c>
      <c r="T113" s="1"/>
      <c r="W113" s="154">
        <f>80%</f>
        <v>0.8</v>
      </c>
    </row>
    <row r="114" spans="2:23" ht="13.15" customHeight="1" outlineLevel="1" x14ac:dyDescent="0.35">
      <c r="B114" s="28"/>
      <c r="C114" s="28"/>
      <c r="D114" s="2" t="str">
        <f t="shared" si="53"/>
        <v>Cashew nuts, in shell</v>
      </c>
      <c r="E114" s="122">
        <f t="shared" si="54"/>
        <v>4.3660987387550034E-8</v>
      </c>
      <c r="F114" s="105">
        <f t="shared" si="54"/>
        <v>1.5471506746750244E-2</v>
      </c>
      <c r="G114" s="105">
        <f t="shared" si="54"/>
        <v>3.3391714011944795E-2</v>
      </c>
      <c r="H114" s="123">
        <f t="shared" si="54"/>
        <v>2.4240797785991097E-2</v>
      </c>
      <c r="I114" s="123">
        <f t="shared" si="54"/>
        <v>4.6103151014383906E-2</v>
      </c>
      <c r="J114" s="106">
        <f t="shared" si="54"/>
        <v>4.7256737883660388E-2</v>
      </c>
      <c r="K114" s="106">
        <f t="shared" si="55"/>
        <v>6.4979047908340873E-2</v>
      </c>
      <c r="L114" s="106">
        <f t="shared" ref="L114" si="59">IF(IF($P114&lt;K114,K114,K114+($P114-K114)*L$110)&lt;L81,L81,IF($P114&lt;K114,K114,K114+($P114-K114)*L$110))</f>
        <v>0.51861452395417051</v>
      </c>
      <c r="M114" s="278">
        <f t="shared" si="56"/>
        <v>0.97225000000000006</v>
      </c>
      <c r="O114" s="2" t="s">
        <v>66</v>
      </c>
      <c r="P114" s="40">
        <f t="shared" si="57"/>
        <v>0.97225000000000006</v>
      </c>
      <c r="Q114" s="150">
        <v>0.02</v>
      </c>
      <c r="R114" s="98" t="s">
        <v>65</v>
      </c>
      <c r="S114" s="2">
        <f t="shared" si="58"/>
        <v>48.612500000000004</v>
      </c>
      <c r="T114" s="1"/>
      <c r="W114" s="154">
        <f>80%</f>
        <v>0.8</v>
      </c>
    </row>
    <row r="115" spans="2:23" ht="13.5" customHeight="1" outlineLevel="1" x14ac:dyDescent="0.35">
      <c r="B115" s="28"/>
      <c r="C115" s="28"/>
      <c r="D115" s="2" t="str">
        <f t="shared" si="53"/>
        <v>Coffee, green</v>
      </c>
      <c r="E115" s="122">
        <f t="shared" si="54"/>
        <v>4.3660987387550041E-8</v>
      </c>
      <c r="F115" s="105">
        <f t="shared" si="54"/>
        <v>1.6262288890562634E-2</v>
      </c>
      <c r="G115" s="105">
        <f t="shared" si="54"/>
        <v>0.11491499229263022</v>
      </c>
      <c r="H115" s="123">
        <f t="shared" si="54"/>
        <v>2.2559539337237696E-2</v>
      </c>
      <c r="I115" s="123">
        <f t="shared" si="54"/>
        <v>3.6738085668764436E-2</v>
      </c>
      <c r="J115" s="106">
        <f t="shared" si="54"/>
        <v>1.526167570692985E-2</v>
      </c>
      <c r="K115" s="106">
        <f t="shared" si="55"/>
        <v>1.1681566960303119E-2</v>
      </c>
      <c r="L115" s="106">
        <f t="shared" ref="L115" si="60">IF(IF($P115&lt;K115,K115,K115+($P115-K115)*L$110)&lt;L82,L82,IF($P115&lt;K115,K115,K115+($P115-K115)*L$110))</f>
        <v>0.74184078348015159</v>
      </c>
      <c r="M115" s="278">
        <f t="shared" si="56"/>
        <v>1.4720000000000002</v>
      </c>
      <c r="O115" s="2" t="s">
        <v>71</v>
      </c>
      <c r="P115" s="40">
        <f t="shared" si="57"/>
        <v>1.4720000000000002</v>
      </c>
      <c r="Q115" s="150">
        <v>0.01</v>
      </c>
      <c r="R115" s="98" t="s">
        <v>63</v>
      </c>
      <c r="S115" s="2">
        <f t="shared" si="58"/>
        <v>147.20000000000002</v>
      </c>
      <c r="T115" s="1"/>
      <c r="W115" s="154">
        <f>80%</f>
        <v>0.8</v>
      </c>
    </row>
    <row r="116" spans="2:23" ht="13.15" customHeight="1" outlineLevel="1" x14ac:dyDescent="0.35">
      <c r="B116" s="28"/>
      <c r="C116" s="28"/>
      <c r="D116" s="2" t="str">
        <f t="shared" si="53"/>
        <v>Cassava, fresh</v>
      </c>
      <c r="E116" s="122">
        <f t="shared" si="54"/>
        <v>4.3660987387550041E-8</v>
      </c>
      <c r="F116" s="105">
        <f t="shared" si="54"/>
        <v>1.5528067438688734E-2</v>
      </c>
      <c r="G116" s="105">
        <f t="shared" si="54"/>
        <v>3.0060162399149576E-2</v>
      </c>
      <c r="H116" s="123">
        <f t="shared" si="54"/>
        <v>2.0861042266183679E-2</v>
      </c>
      <c r="I116" s="123">
        <f t="shared" si="54"/>
        <v>3.6125583638901386E-2</v>
      </c>
      <c r="J116" s="106">
        <f t="shared" si="54"/>
        <v>3.4184031258455691E-2</v>
      </c>
      <c r="K116" s="106">
        <f t="shared" si="55"/>
        <v>4.4311237631468006E-2</v>
      </c>
      <c r="L116" s="106">
        <f t="shared" ref="L116" si="61">IF(IF($P116&lt;K116,K116,K116+($P116-K116)*L$110)&lt;L83,L83,IF($P116&lt;K116,K116,K116+($P116-K116)*L$110))</f>
        <v>0.35178061881573397</v>
      </c>
      <c r="M116" s="278">
        <f t="shared" si="56"/>
        <v>0.65925</v>
      </c>
      <c r="O116" s="2" t="s">
        <v>67</v>
      </c>
      <c r="P116" s="40">
        <f t="shared" si="57"/>
        <v>0.65925</v>
      </c>
      <c r="Q116" s="150">
        <v>0.01</v>
      </c>
      <c r="R116" s="98" t="s">
        <v>63</v>
      </c>
      <c r="S116" s="2">
        <f t="shared" si="58"/>
        <v>65.924999999999997</v>
      </c>
      <c r="T116" s="1"/>
      <c r="W116" s="154">
        <f>80%</f>
        <v>0.8</v>
      </c>
    </row>
    <row r="117" spans="2:23" ht="13.5" customHeight="1" outlineLevel="1" x14ac:dyDescent="0.35">
      <c r="B117" s="28"/>
      <c r="C117" s="28"/>
      <c r="D117" s="2" t="str">
        <f t="shared" si="53"/>
        <v>Rice</v>
      </c>
      <c r="E117" s="122">
        <f t="shared" si="54"/>
        <v>1.8447364586036163</v>
      </c>
      <c r="F117" s="105">
        <f t="shared" si="54"/>
        <v>1.252563554980435</v>
      </c>
      <c r="G117" s="105">
        <f t="shared" si="54"/>
        <v>2.8951512147362664</v>
      </c>
      <c r="H117" s="123">
        <f t="shared" si="54"/>
        <v>2.4556773450864555</v>
      </c>
      <c r="I117" s="123">
        <f t="shared" si="54"/>
        <v>4.2226677152882743</v>
      </c>
      <c r="J117" s="106">
        <f t="shared" si="54"/>
        <v>4.4663011006698294</v>
      </c>
      <c r="K117" s="106">
        <f t="shared" si="55"/>
        <v>6.2871966786111022</v>
      </c>
      <c r="L117" s="106">
        <f t="shared" ref="L117" si="62">IF(IF($P117&lt;K117,K117,K117+($P117-K117)*L$110)&lt;L84,L84,IF($P117&lt;K117,K117,K117+($P117-K117)*L$110))</f>
        <v>23.886455482162695</v>
      </c>
      <c r="M117" s="278">
        <f t="shared" si="56"/>
        <v>41.485714285714288</v>
      </c>
      <c r="O117" s="2" t="s">
        <v>73</v>
      </c>
      <c r="P117" s="40">
        <f t="shared" si="57"/>
        <v>41.485714285714288</v>
      </c>
      <c r="Q117" s="150">
        <v>1</v>
      </c>
      <c r="R117" s="98" t="s">
        <v>63</v>
      </c>
      <c r="S117" s="2">
        <f t="shared" si="58"/>
        <v>41.485714285714288</v>
      </c>
      <c r="T117" s="1"/>
      <c r="W117" s="154">
        <v>0.6</v>
      </c>
    </row>
    <row r="118" spans="2:23" ht="13.15" customHeight="1" outlineLevel="1" x14ac:dyDescent="0.35">
      <c r="B118" s="28"/>
      <c r="C118" s="28"/>
      <c r="D118" s="2" t="str">
        <f t="shared" si="53"/>
        <v>Plantains and cooking bananas</v>
      </c>
      <c r="E118" s="122">
        <f t="shared" si="54"/>
        <v>7.5242985148394697</v>
      </c>
      <c r="F118" s="105">
        <f t="shared" si="54"/>
        <v>4.5586359864737389</v>
      </c>
      <c r="G118" s="105">
        <f t="shared" si="54"/>
        <v>10.38824368005303</v>
      </c>
      <c r="H118" s="123">
        <f t="shared" si="54"/>
        <v>7.7339665218051152</v>
      </c>
      <c r="I118" s="123">
        <f t="shared" si="54"/>
        <v>11.952847924128379</v>
      </c>
      <c r="J118" s="106">
        <f t="shared" si="54"/>
        <v>11.028489856293088</v>
      </c>
      <c r="K118" s="106">
        <f t="shared" si="55"/>
        <v>14.03558727635745</v>
      </c>
      <c r="L118" s="106">
        <f t="shared" ref="L118" si="63">IF(IF($P118&lt;K118,K118,K118+($P118-K118)*L$110)&lt;L85,L85,IF($P118&lt;K118,K118,K118+($P118-K118)*L$110))</f>
        <v>29.94779363817873</v>
      </c>
      <c r="M118" s="278">
        <f t="shared" si="56"/>
        <v>45.860000000000007</v>
      </c>
      <c r="O118" s="2" t="s">
        <v>72</v>
      </c>
      <c r="P118" s="40">
        <f t="shared" si="57"/>
        <v>45.860000000000007</v>
      </c>
      <c r="Q118" s="150">
        <v>0.4</v>
      </c>
      <c r="R118" s="98" t="s">
        <v>65</v>
      </c>
      <c r="S118" s="2">
        <f t="shared" si="58"/>
        <v>114.65</v>
      </c>
      <c r="T118" s="1"/>
      <c r="W118" s="154">
        <f>80%</f>
        <v>0.8</v>
      </c>
    </row>
    <row r="119" spans="2:23" ht="13.15" customHeight="1" outlineLevel="1" x14ac:dyDescent="0.35">
      <c r="B119" s="28"/>
      <c r="C119" s="28"/>
      <c r="D119" s="2" t="str">
        <f t="shared" si="53"/>
        <v>Maize (corn)</v>
      </c>
      <c r="E119" s="122">
        <f t="shared" si="54"/>
        <v>5.802789516815837</v>
      </c>
      <c r="F119" s="105">
        <f t="shared" si="54"/>
        <v>3.8432788579210881</v>
      </c>
      <c r="G119" s="105">
        <f t="shared" si="54"/>
        <v>8.6024996315190574</v>
      </c>
      <c r="H119" s="123">
        <f t="shared" si="54"/>
        <v>6.787697617675426</v>
      </c>
      <c r="I119" s="123">
        <f t="shared" si="54"/>
        <v>10.520249505528033</v>
      </c>
      <c r="J119" s="106">
        <f t="shared" si="54"/>
        <v>10.055900134771015</v>
      </c>
      <c r="K119" s="106">
        <f t="shared" si="55"/>
        <v>13.131611554940608</v>
      </c>
      <c r="L119" s="106">
        <f t="shared" ref="L119" si="64">IF(IF($P119&lt;K119,K119,K119+($P119-K119)*L$110)&lt;L86,L86,IF($P119&lt;K119,K119,K119+($P119-K119)*L$110))</f>
        <v>14.52174198149566</v>
      </c>
      <c r="M119" s="278">
        <f t="shared" si="56"/>
        <v>16.059033523405748</v>
      </c>
      <c r="O119" s="2" t="s">
        <v>62</v>
      </c>
      <c r="P119" s="40">
        <f t="shared" si="57"/>
        <v>14.366666666666669</v>
      </c>
      <c r="Q119" s="150">
        <v>0.4</v>
      </c>
      <c r="R119" s="98" t="s">
        <v>63</v>
      </c>
      <c r="S119" s="2">
        <f t="shared" si="58"/>
        <v>35.916666666666671</v>
      </c>
      <c r="T119" s="1"/>
      <c r="W119" s="154">
        <f>80%</f>
        <v>0.8</v>
      </c>
    </row>
    <row r="120" spans="2:23" ht="13.15" customHeight="1" outlineLevel="1" x14ac:dyDescent="0.35">
      <c r="B120" s="28"/>
      <c r="C120" s="28"/>
      <c r="D120" s="2" t="str">
        <f t="shared" si="53"/>
        <v>Natural rubber in primary forms</v>
      </c>
      <c r="E120" s="122">
        <f t="shared" si="54"/>
        <v>3.932963174276265</v>
      </c>
      <c r="F120" s="105">
        <f t="shared" si="54"/>
        <v>1.9014032771166884</v>
      </c>
      <c r="G120" s="105">
        <f t="shared" si="54"/>
        <v>3.4755148283238686</v>
      </c>
      <c r="H120" s="123">
        <f t="shared" si="54"/>
        <v>2.5344770858679384</v>
      </c>
      <c r="I120" s="123">
        <f t="shared" si="54"/>
        <v>3.2741760563136797</v>
      </c>
      <c r="J120" s="106">
        <f t="shared" si="54"/>
        <v>2.6867973179564952</v>
      </c>
      <c r="K120" s="106">
        <f t="shared" si="55"/>
        <v>3.1451718713286505</v>
      </c>
      <c r="L120" s="106">
        <f t="shared" ref="L120" si="65">IF(IF($P120&lt;K120,K120,K120+($P120-K120)*L$110)&lt;L87,L87,IF($P120&lt;K120,K120,K120+($P120-K120)*L$110))</f>
        <v>13.725710935664328</v>
      </c>
      <c r="M120" s="278">
        <f t="shared" si="56"/>
        <v>24.306250000000002</v>
      </c>
      <c r="O120" s="2" t="s">
        <v>66</v>
      </c>
      <c r="P120" s="40">
        <f t="shared" si="57"/>
        <v>24.306250000000002</v>
      </c>
      <c r="Q120" s="150">
        <v>0.5</v>
      </c>
      <c r="R120" s="98" t="s">
        <v>63</v>
      </c>
      <c r="S120" s="2">
        <f t="shared" si="58"/>
        <v>48.612500000000004</v>
      </c>
      <c r="T120" s="1"/>
      <c r="W120" s="154">
        <f>80%</f>
        <v>0.8</v>
      </c>
    </row>
    <row r="121" spans="2:23" ht="13.5" customHeight="1" outlineLevel="1" x14ac:dyDescent="0.35">
      <c r="B121" s="28"/>
      <c r="C121" s="28"/>
      <c r="D121" s="2" t="str">
        <f t="shared" si="53"/>
        <v>Seed cotton, unginned</v>
      </c>
      <c r="E121" s="122">
        <f t="shared" si="54"/>
        <v>24.440298507462686</v>
      </c>
      <c r="F121" s="105">
        <f t="shared" si="54"/>
        <v>17.882954036145286</v>
      </c>
      <c r="G121" s="105">
        <f t="shared" si="54"/>
        <v>40.117697354043237</v>
      </c>
      <c r="H121" s="123">
        <f t="shared" si="54"/>
        <v>30.564213131808962</v>
      </c>
      <c r="I121" s="123">
        <f t="shared" si="54"/>
        <v>44.454961879834521</v>
      </c>
      <c r="J121" s="106">
        <f t="shared" si="54"/>
        <v>40.128147083212156</v>
      </c>
      <c r="K121" s="106">
        <f t="shared" si="55"/>
        <v>50.267313949896312</v>
      </c>
      <c r="L121" s="106">
        <f t="shared" ref="L121" si="66">IF(IF($P121&lt;K121,K121,K121+($P121-K121)*L$110)&lt;L88,L88,IF($P121&lt;K121,K121,K121+($P121-K121)*L$110))</f>
        <v>60.133656974948153</v>
      </c>
      <c r="M121" s="278">
        <f t="shared" si="56"/>
        <v>70</v>
      </c>
      <c r="O121" s="2" t="s">
        <v>77</v>
      </c>
      <c r="P121" s="40">
        <f t="shared" si="57"/>
        <v>70</v>
      </c>
      <c r="Q121" s="150">
        <v>1</v>
      </c>
      <c r="R121" s="98" t="s">
        <v>63</v>
      </c>
      <c r="S121" s="2">
        <f t="shared" si="58"/>
        <v>70</v>
      </c>
      <c r="T121" s="1"/>
      <c r="W121" s="154">
        <f>80%</f>
        <v>0.8</v>
      </c>
    </row>
    <row r="122" spans="2:23" ht="13.15" customHeight="1" outlineLevel="1" x14ac:dyDescent="0.35">
      <c r="B122" s="28"/>
      <c r="C122" s="28"/>
      <c r="D122" s="2" t="str">
        <f t="shared" si="53"/>
        <v>Oil palm fruit</v>
      </c>
      <c r="E122" s="122">
        <f t="shared" si="54"/>
        <v>10.47080291970803</v>
      </c>
      <c r="F122" s="105">
        <f t="shared" si="54"/>
        <v>5.7321857391711317</v>
      </c>
      <c r="G122" s="105">
        <f t="shared" si="54"/>
        <v>11.883187118552378</v>
      </c>
      <c r="H122" s="123">
        <f t="shared" si="54"/>
        <v>9.8055172670104458</v>
      </c>
      <c r="I122" s="123">
        <f t="shared" si="54"/>
        <v>13.763220081493227</v>
      </c>
      <c r="J122" s="106">
        <f t="shared" si="54"/>
        <v>12.74751393652755</v>
      </c>
      <c r="K122" s="106">
        <f t="shared" si="55"/>
        <v>16.26839534399042</v>
      </c>
      <c r="L122" s="106">
        <f t="shared" ref="L122" si="67">IF(IF($P122&lt;K122,K122,K122+($P122-K122)*L$110)&lt;L89,L89,IF($P122&lt;K122,K122,K122+($P122-K122)*L$110))</f>
        <v>17.856697671995214</v>
      </c>
      <c r="M122" s="278">
        <f t="shared" si="56"/>
        <v>19.445000000000004</v>
      </c>
      <c r="O122" s="2" t="s">
        <v>66</v>
      </c>
      <c r="P122" s="40">
        <f t="shared" si="57"/>
        <v>19.445000000000004</v>
      </c>
      <c r="Q122" s="150">
        <v>0.4</v>
      </c>
      <c r="R122" s="98" t="s">
        <v>65</v>
      </c>
      <c r="S122" s="2">
        <f t="shared" si="58"/>
        <v>48.612500000000004</v>
      </c>
      <c r="T122" s="1"/>
      <c r="W122" s="154">
        <f>80%</f>
        <v>0.8</v>
      </c>
    </row>
    <row r="123" spans="2:23" ht="13.15" customHeight="1" outlineLevel="1" x14ac:dyDescent="0.35">
      <c r="B123" s="28"/>
      <c r="C123" s="28"/>
      <c r="D123" s="2" t="str">
        <f t="shared" si="53"/>
        <v>Mangoes, guavas and mangosteens</v>
      </c>
      <c r="E123" s="122">
        <f t="shared" si="54"/>
        <v>4.3660987387550034E-8</v>
      </c>
      <c r="F123" s="105">
        <f t="shared" si="54"/>
        <v>1.1217871228033522E-2</v>
      </c>
      <c r="G123" s="105">
        <f t="shared" si="54"/>
        <v>2.6145487749909043E-2</v>
      </c>
      <c r="H123" s="123">
        <f t="shared" si="54"/>
        <v>2.0453098287253706E-2</v>
      </c>
      <c r="I123" s="123">
        <f t="shared" si="54"/>
        <v>3.2949576143574612E-2</v>
      </c>
      <c r="J123" s="106">
        <f t="shared" si="54"/>
        <v>3.2046885872350175E-2</v>
      </c>
      <c r="K123" s="106">
        <f t="shared" si="55"/>
        <v>4.2385335860023986E-2</v>
      </c>
      <c r="L123" s="106">
        <f t="shared" ref="L123" si="68">IF(IF($P123&lt;K123,K123,K123+($P123-K123)*L$110)&lt;L90,L90,IF($P123&lt;K123,K123,K123+($P123-K123)*L$110))</f>
        <v>0.50731766793001198</v>
      </c>
      <c r="M123" s="278">
        <f t="shared" si="56"/>
        <v>0.97225000000000006</v>
      </c>
      <c r="O123" s="2" t="s">
        <v>66</v>
      </c>
      <c r="P123" s="40">
        <f t="shared" si="57"/>
        <v>0.97225000000000006</v>
      </c>
      <c r="Q123" s="150">
        <v>0.02</v>
      </c>
      <c r="R123" s="98" t="s">
        <v>63</v>
      </c>
      <c r="S123" s="2">
        <f t="shared" si="58"/>
        <v>48.612500000000004</v>
      </c>
      <c r="T123" s="1"/>
      <c r="W123" s="154">
        <v>0.6</v>
      </c>
    </row>
    <row r="124" spans="2:23" ht="13.5" customHeight="1" outlineLevel="1" x14ac:dyDescent="0.35">
      <c r="B124" s="28"/>
      <c r="C124" s="28"/>
      <c r="D124" s="2" t="str">
        <f t="shared" si="53"/>
        <v>Groundnuts, excluding shelled</v>
      </c>
      <c r="E124" s="122">
        <f t="shared" si="54"/>
        <v>4.3660987387550034E-8</v>
      </c>
      <c r="F124" s="105">
        <f t="shared" si="54"/>
        <v>1.3017566923918592E-2</v>
      </c>
      <c r="G124" s="105">
        <f t="shared" si="54"/>
        <v>2.8901961851962435E-2</v>
      </c>
      <c r="H124" s="123">
        <f t="shared" si="54"/>
        <v>2.2826403263432177E-2</v>
      </c>
      <c r="I124" s="123">
        <f t="shared" si="54"/>
        <v>3.670935130767522E-2</v>
      </c>
      <c r="J124" s="106">
        <f t="shared" si="54"/>
        <v>3.5865110273164844E-2</v>
      </c>
      <c r="K124" s="106">
        <f t="shared" si="55"/>
        <v>4.7593073675157235E-2</v>
      </c>
      <c r="L124" s="106">
        <f t="shared" ref="L124" si="69">IF(IF($P124&lt;K124,K124,K124+($P124-K124)*L$110)&lt;L91,L91,IF($P124&lt;K124,K124,K124+($P124-K124)*L$110))</f>
        <v>0.50992153683757868</v>
      </c>
      <c r="M124" s="278">
        <f t="shared" si="56"/>
        <v>0.97225000000000006</v>
      </c>
      <c r="O124" s="2" t="s">
        <v>66</v>
      </c>
      <c r="P124" s="40">
        <f t="shared" si="57"/>
        <v>0.97225000000000006</v>
      </c>
      <c r="Q124" s="150">
        <v>0.02</v>
      </c>
      <c r="R124" s="98" t="s">
        <v>63</v>
      </c>
      <c r="S124" s="2">
        <f t="shared" si="58"/>
        <v>48.612500000000004</v>
      </c>
      <c r="T124" s="1"/>
      <c r="W124" s="154">
        <f>80%</f>
        <v>0.8</v>
      </c>
    </row>
    <row r="125" spans="2:23" ht="13.5" customHeight="1" outlineLevel="1" x14ac:dyDescent="0.35">
      <c r="B125" s="28"/>
      <c r="C125" s="28"/>
      <c r="D125" s="2" t="str">
        <f t="shared" si="53"/>
        <v>Sorghum</v>
      </c>
      <c r="E125" s="122">
        <f t="shared" si="54"/>
        <v>4.3660987387550041E-8</v>
      </c>
      <c r="F125" s="105">
        <f t="shared" si="54"/>
        <v>1.3227907421084687E-2</v>
      </c>
      <c r="G125" s="105">
        <f t="shared" si="54"/>
        <v>2.9009963061670637E-2</v>
      </c>
      <c r="H125" s="123">
        <f t="shared" si="54"/>
        <v>2.2169194675871813E-2</v>
      </c>
      <c r="I125" s="123">
        <f t="shared" si="54"/>
        <v>3.475887229955376E-2</v>
      </c>
      <c r="J125" s="106">
        <f t="shared" si="54"/>
        <v>3.2833564317165539E-2</v>
      </c>
      <c r="K125" s="106">
        <f t="shared" si="55"/>
        <v>4.2506647432927626E-2</v>
      </c>
      <c r="L125" s="106">
        <f t="shared" ref="L125" si="70">IF(IF($P125&lt;K125,K125,K125+($P125-K125)*L$110)&lt;L92,L92,IF($P125&lt;K125,K125,K125+($P125-K125)*L$110))</f>
        <v>0.50737832371646385</v>
      </c>
      <c r="M125" s="278">
        <f t="shared" si="56"/>
        <v>0.97225000000000006</v>
      </c>
      <c r="O125" s="2" t="s">
        <v>66</v>
      </c>
      <c r="P125" s="40">
        <f t="shared" si="57"/>
        <v>0.97225000000000006</v>
      </c>
      <c r="Q125" s="150">
        <v>0.02</v>
      </c>
      <c r="R125" s="98" t="s">
        <v>63</v>
      </c>
      <c r="S125" s="2">
        <f t="shared" si="58"/>
        <v>48.612500000000004</v>
      </c>
      <c r="T125" s="1"/>
      <c r="W125" s="154">
        <f>80%</f>
        <v>0.8</v>
      </c>
    </row>
    <row r="126" spans="2:23" ht="13.5" customHeight="1" outlineLevel="1" x14ac:dyDescent="0.35">
      <c r="B126" s="28"/>
      <c r="C126" s="28"/>
      <c r="D126" s="2" t="str">
        <f t="shared" si="53"/>
        <v>Sugar cane</v>
      </c>
      <c r="E126" s="122">
        <f t="shared" si="54"/>
        <v>68.051464889164464</v>
      </c>
      <c r="F126" s="105">
        <f t="shared" si="54"/>
        <v>46.838928613654311</v>
      </c>
      <c r="G126" s="105">
        <f t="shared" si="54"/>
        <v>106.67213284857924</v>
      </c>
      <c r="H126" s="123">
        <f t="shared" si="54"/>
        <v>79.611976550396562</v>
      </c>
      <c r="I126" s="123">
        <f t="shared" si="54"/>
        <v>125.74643757065587</v>
      </c>
      <c r="J126" s="106">
        <f t="shared" si="54"/>
        <v>117.66487678287879</v>
      </c>
      <c r="K126" s="106">
        <f t="shared" si="55"/>
        <v>151.28541432089366</v>
      </c>
      <c r="L126" s="106">
        <f t="shared" ref="L126" si="71">IF(IF($P126&lt;K126,K126,K126+($P126-K126)*L$110)&lt;L93,L93,IF($P126&lt;K126,K126,K126+($P126-K126)*L$110))</f>
        <v>164.25530870086936</v>
      </c>
      <c r="M126" s="278">
        <f t="shared" si="56"/>
        <v>178.33712891310617</v>
      </c>
      <c r="O126" s="2" t="s">
        <v>66</v>
      </c>
      <c r="P126" s="40">
        <f t="shared" si="57"/>
        <v>48.612500000000004</v>
      </c>
      <c r="Q126" s="150">
        <v>1</v>
      </c>
      <c r="R126" s="98" t="s">
        <v>63</v>
      </c>
      <c r="S126" s="2">
        <f t="shared" si="58"/>
        <v>48.612500000000004</v>
      </c>
      <c r="T126" s="1"/>
      <c r="W126" s="154">
        <v>0.6</v>
      </c>
    </row>
    <row r="127" spans="2:23" ht="13.5" customHeight="1" x14ac:dyDescent="0.35">
      <c r="B127" s="28"/>
      <c r="C127" s="28"/>
      <c r="E127" s="80"/>
      <c r="F127" s="81"/>
      <c r="G127" s="81"/>
      <c r="H127" s="68"/>
      <c r="I127" s="68"/>
      <c r="K127" s="95"/>
      <c r="L127" s="95"/>
      <c r="M127" s="96"/>
      <c r="N127" s="47"/>
      <c r="O127" s="97"/>
      <c r="P127" s="94"/>
      <c r="Q127" s="35"/>
      <c r="R127" s="1"/>
      <c r="T127" s="7"/>
    </row>
    <row r="128" spans="2:23" ht="13.5" customHeight="1" x14ac:dyDescent="0.35">
      <c r="B128" s="28"/>
      <c r="C128" s="28"/>
      <c r="E128" s="80"/>
      <c r="F128" s="81"/>
      <c r="G128" s="81"/>
      <c r="H128" s="68"/>
      <c r="I128" s="68"/>
      <c r="J128" s="95"/>
      <c r="K128" s="95"/>
      <c r="L128" s="95"/>
      <c r="M128" s="96"/>
      <c r="N128" s="47"/>
      <c r="O128" s="97"/>
      <c r="P128" s="94"/>
      <c r="Q128" s="35"/>
      <c r="R128" s="1"/>
      <c r="T128" s="7"/>
    </row>
    <row r="129" spans="4:18" ht="13.5" customHeight="1" x14ac:dyDescent="0.3">
      <c r="D129" s="32" t="s">
        <v>74</v>
      </c>
      <c r="J129" s="31"/>
      <c r="K129" s="31"/>
      <c r="L129" s="31"/>
      <c r="M129" s="31"/>
      <c r="O129" s="40"/>
      <c r="R129" s="31"/>
    </row>
    <row r="130" spans="4:18" ht="13.5" customHeight="1" x14ac:dyDescent="0.3">
      <c r="D130" s="33" t="s">
        <v>52</v>
      </c>
      <c r="J130" s="31"/>
      <c r="K130" s="31"/>
      <c r="L130" s="31"/>
      <c r="M130" s="31"/>
      <c r="O130" s="40"/>
      <c r="R130" s="31"/>
    </row>
    <row r="131" spans="4:18" ht="13.5" customHeight="1" x14ac:dyDescent="0.3">
      <c r="F131" s="172" t="s">
        <v>75</v>
      </c>
      <c r="J131" s="31"/>
      <c r="K131" s="31"/>
      <c r="L131" s="31"/>
      <c r="M131" s="31"/>
      <c r="O131" s="40"/>
      <c r="P131" s="40"/>
      <c r="Q131" s="40"/>
      <c r="R131" s="31"/>
    </row>
    <row r="132" spans="4:18" ht="13.5" customHeight="1" outlineLevel="1" x14ac:dyDescent="0.3">
      <c r="D132" s="44"/>
      <c r="E132" s="45" t="s">
        <v>18</v>
      </c>
      <c r="F132" s="102" t="s">
        <v>76</v>
      </c>
      <c r="G132" s="45" t="s">
        <v>59</v>
      </c>
      <c r="H132" s="50"/>
      <c r="J132" s="31"/>
      <c r="K132" s="31"/>
      <c r="L132" s="31"/>
      <c r="M132" s="31"/>
      <c r="O132" s="40"/>
      <c r="P132" s="40"/>
      <c r="Q132" s="40"/>
      <c r="R132" s="31"/>
    </row>
    <row r="133" spans="4:18" ht="13.5" customHeight="1" outlineLevel="1" x14ac:dyDescent="0.3">
      <c r="D133" s="1" t="s">
        <v>64</v>
      </c>
      <c r="E133" s="124">
        <f>RAR_OCP!G8</f>
        <v>31.05</v>
      </c>
      <c r="F133" s="125">
        <v>0.8</v>
      </c>
      <c r="G133" s="126">
        <f>F133*E133</f>
        <v>24.840000000000003</v>
      </c>
      <c r="Q133" s="40"/>
    </row>
    <row r="134" spans="4:18" ht="13.5" customHeight="1" outlineLevel="1" x14ac:dyDescent="0.25">
      <c r="D134" s="1" t="str">
        <f>RAR_OCP!E9</f>
        <v>Cacao, Coffee</v>
      </c>
      <c r="E134" s="124">
        <f>RAR_OCP!G9</f>
        <v>184</v>
      </c>
      <c r="F134" s="125">
        <v>0.8</v>
      </c>
      <c r="G134" s="126">
        <f t="shared" ref="G134:G144" si="72">F134*E134</f>
        <v>147.20000000000002</v>
      </c>
    </row>
    <row r="135" spans="4:18" ht="13.5" customHeight="1" outlineLevel="1" x14ac:dyDescent="0.25">
      <c r="D135" s="1" t="str">
        <f>RAR_OCP!E10</f>
        <v>Maize</v>
      </c>
      <c r="E135" s="124">
        <f>RAR_OCP!G10</f>
        <v>44.895833333333336</v>
      </c>
      <c r="F135" s="125">
        <v>0.8</v>
      </c>
      <c r="G135" s="126">
        <f t="shared" si="72"/>
        <v>35.916666666666671</v>
      </c>
    </row>
    <row r="136" spans="4:18" ht="13.5" customHeight="1" outlineLevel="1" x14ac:dyDescent="0.25">
      <c r="D136" s="1" t="str">
        <f>RAR_OCP!E11</f>
        <v>Rice</v>
      </c>
      <c r="E136" s="124">
        <f>RAR_OCP!G11</f>
        <v>51.857142857142854</v>
      </c>
      <c r="F136" s="125">
        <v>0.8</v>
      </c>
      <c r="G136" s="126">
        <f t="shared" si="72"/>
        <v>41.485714285714288</v>
      </c>
    </row>
    <row r="137" spans="4:18" ht="13.5" customHeight="1" outlineLevel="1" x14ac:dyDescent="0.25">
      <c r="D137" s="1" t="str">
        <f>RAR_OCP!E12</f>
        <v>Wheat</v>
      </c>
      <c r="E137" s="124">
        <f>RAR_OCP!G12</f>
        <v>53.5</v>
      </c>
      <c r="F137" s="125">
        <v>0.8</v>
      </c>
      <c r="G137" s="126">
        <f t="shared" si="72"/>
        <v>42.800000000000004</v>
      </c>
    </row>
    <row r="138" spans="4:18" ht="13.5" customHeight="1" outlineLevel="1" x14ac:dyDescent="0.25">
      <c r="D138" s="1" t="str">
        <f>RAR_OCP!E13</f>
        <v>Sorghum</v>
      </c>
      <c r="E138" s="124">
        <f>RAR_OCP!G13</f>
        <v>22.75</v>
      </c>
      <c r="F138" s="125">
        <v>0.8</v>
      </c>
      <c r="G138" s="126">
        <f t="shared" si="72"/>
        <v>18.2</v>
      </c>
    </row>
    <row r="139" spans="4:18" ht="13.5" customHeight="1" outlineLevel="1" x14ac:dyDescent="0.25">
      <c r="D139" s="1" t="str">
        <f>RAR_OCP!E14</f>
        <v xml:space="preserve">Fonio </v>
      </c>
      <c r="E139" s="124">
        <f>RAR_OCP!G14</f>
        <v>22.5</v>
      </c>
      <c r="F139" s="125">
        <v>0.8</v>
      </c>
      <c r="G139" s="126">
        <f t="shared" si="72"/>
        <v>18</v>
      </c>
    </row>
    <row r="140" spans="4:18" ht="13.5" customHeight="1" outlineLevel="1" x14ac:dyDescent="0.25">
      <c r="D140" s="1" t="s">
        <v>70</v>
      </c>
      <c r="E140" s="124">
        <f>RAR_OCP!G15</f>
        <v>20.75</v>
      </c>
      <c r="F140" s="125">
        <v>0.8</v>
      </c>
      <c r="G140" s="126">
        <f t="shared" si="72"/>
        <v>16.600000000000001</v>
      </c>
    </row>
    <row r="141" spans="4:18" ht="13.5" customHeight="1" outlineLevel="1" x14ac:dyDescent="0.25">
      <c r="D141" s="1" t="s">
        <v>77</v>
      </c>
      <c r="E141" s="124">
        <f>RAR_OCP!G16</f>
        <v>70</v>
      </c>
      <c r="F141" s="125">
        <v>1</v>
      </c>
      <c r="G141" s="126">
        <f t="shared" si="72"/>
        <v>70</v>
      </c>
    </row>
    <row r="142" spans="4:18" ht="13.5" customHeight="1" outlineLevel="1" x14ac:dyDescent="0.25">
      <c r="D142" s="1" t="str">
        <f>RAR_OCP!E17</f>
        <v>Tubercules</v>
      </c>
      <c r="E142" s="124">
        <f>RAR_OCP!G17</f>
        <v>82.40625</v>
      </c>
      <c r="F142" s="125">
        <v>0.8</v>
      </c>
      <c r="G142" s="126">
        <f t="shared" si="72"/>
        <v>65.924999999999997</v>
      </c>
    </row>
    <row r="143" spans="4:18" ht="13.5" customHeight="1" outlineLevel="1" x14ac:dyDescent="0.25">
      <c r="D143" s="1" t="s">
        <v>72</v>
      </c>
      <c r="E143" s="124">
        <f>RAR_OCP!G18</f>
        <v>143.3125</v>
      </c>
      <c r="F143" s="125">
        <v>0.8</v>
      </c>
      <c r="G143" s="126">
        <f t="shared" si="72"/>
        <v>114.65</v>
      </c>
    </row>
    <row r="144" spans="4:18" ht="13.5" customHeight="1" outlineLevel="1" x14ac:dyDescent="0.25">
      <c r="D144" s="1" t="str">
        <f>RAR_OCP!E19</f>
        <v>Others</v>
      </c>
      <c r="E144" s="124">
        <f>RAR_OCP!G19</f>
        <v>60.765625</v>
      </c>
      <c r="F144" s="125">
        <v>0.8</v>
      </c>
      <c r="G144" s="126">
        <f t="shared" si="72"/>
        <v>48.612500000000004</v>
      </c>
    </row>
    <row r="145" spans="4:7" ht="13.5" customHeight="1" outlineLevel="1" x14ac:dyDescent="0.3">
      <c r="D145" s="101" t="s">
        <v>48</v>
      </c>
      <c r="E145" s="101" t="s">
        <v>78</v>
      </c>
      <c r="F145" s="101" t="s">
        <v>79</v>
      </c>
      <c r="G145" s="101"/>
    </row>
    <row r="146" spans="4:7" ht="13.5" customHeight="1" x14ac:dyDescent="0.25">
      <c r="D146" s="1"/>
    </row>
    <row r="147" spans="4:7" ht="13.5" customHeight="1" x14ac:dyDescent="0.3">
      <c r="D147" s="35"/>
    </row>
    <row r="148" spans="4:7" ht="13.5" customHeight="1" x14ac:dyDescent="0.3">
      <c r="D148" s="35"/>
    </row>
    <row r="149" spans="4:7" ht="13.5" customHeight="1" x14ac:dyDescent="0.25">
      <c r="D149" s="7"/>
    </row>
  </sheetData>
  <dataConsolidate/>
  <mergeCells count="4">
    <mergeCell ref="E56:I56"/>
    <mergeCell ref="H7:I7"/>
    <mergeCell ref="J109:M109"/>
    <mergeCell ref="E78:I78"/>
  </mergeCells>
  <phoneticPr fontId="47" type="noConversion"/>
  <dataValidations disablePrompts="1" count="1">
    <dataValidation type="list" allowBlank="1" showInputMessage="1" showErrorMessage="1" sqref="F31" xr:uid="{E4FC6BAF-3C57-4A68-A176-11D423EA78C7}">
      <formula1>$E$12:$M$12</formula1>
    </dataValidation>
  </dataValidations>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55F52-0858-4851-AE8E-9847376A5966}">
  <sheetPr>
    <tabColor rgb="FF0070C0"/>
  </sheetPr>
  <dimension ref="A1:L174"/>
  <sheetViews>
    <sheetView tabSelected="1" topLeftCell="A37" zoomScale="70" zoomScaleNormal="70" workbookViewId="0">
      <selection activeCell="D37" sqref="D37:F37"/>
    </sheetView>
  </sheetViews>
  <sheetFormatPr defaultRowHeight="12.5" x14ac:dyDescent="0.25"/>
  <cols>
    <col min="1" max="1" width="8.7265625" style="280"/>
    <col min="2" max="2" width="30.6328125" style="280" bestFit="1" customWidth="1"/>
    <col min="3" max="7" width="17.90625" style="280" customWidth="1"/>
    <col min="8" max="8" width="21" style="280" bestFit="1" customWidth="1"/>
    <col min="9" max="9" width="22.453125" style="280" bestFit="1" customWidth="1"/>
    <col min="10" max="14" width="17.90625" style="280" customWidth="1"/>
    <col min="15" max="16384" width="8.7265625" style="280"/>
  </cols>
  <sheetData>
    <row r="1" spans="1:12" s="7" customFormat="1" ht="13.5" customHeight="1" x14ac:dyDescent="0.25">
      <c r="A1" s="5"/>
      <c r="B1" s="5"/>
      <c r="C1" s="5"/>
      <c r="D1" s="6"/>
      <c r="E1" s="25"/>
    </row>
    <row r="2" spans="1:12" s="7" customFormat="1" ht="13.5" customHeight="1" x14ac:dyDescent="0.25">
      <c r="A2" s="5"/>
      <c r="B2" s="5"/>
      <c r="C2" s="5"/>
      <c r="D2" s="6"/>
      <c r="E2" s="26" t="str">
        <f>Title</f>
        <v>OCP Africa - CIV P205</v>
      </c>
    </row>
    <row r="3" spans="1:12" s="7" customFormat="1" ht="13.5" customHeight="1" x14ac:dyDescent="0.25">
      <c r="A3" s="5"/>
      <c r="B3" s="5"/>
      <c r="C3" s="5"/>
      <c r="D3" s="6"/>
      <c r="E3" s="27" t="str">
        <f ca="1">MID(CELL("filename",E3),FIND("]",CELL("filename",E3))+1,256)</f>
        <v>Synthesis - Market &amp; OCP CIV</v>
      </c>
    </row>
    <row r="4" spans="1:12" s="7" customFormat="1" ht="13.5" customHeight="1" x14ac:dyDescent="0.25">
      <c r="A4" s="5"/>
      <c r="B4" s="5"/>
      <c r="C4" s="5"/>
      <c r="D4" s="6"/>
      <c r="E4" s="25"/>
    </row>
    <row r="5" spans="1:12" s="11" customFormat="1" ht="13.5" customHeight="1" x14ac:dyDescent="0.3">
      <c r="A5" s="8"/>
      <c r="B5" s="8"/>
      <c r="C5" s="8"/>
      <c r="D5" s="9"/>
      <c r="E5" s="10"/>
    </row>
    <row r="6" spans="1:12" s="2" customFormat="1" ht="13.5" customHeight="1" x14ac:dyDescent="0.25">
      <c r="A6" s="7"/>
      <c r="B6" s="7"/>
      <c r="C6" s="7"/>
      <c r="D6" s="7"/>
      <c r="E6" s="437"/>
      <c r="F6" s="437"/>
      <c r="G6" s="437"/>
      <c r="H6" s="435"/>
      <c r="I6" s="435"/>
      <c r="J6" s="437"/>
      <c r="K6" s="437"/>
      <c r="L6" s="437"/>
    </row>
    <row r="7" spans="1:12" s="2" customFormat="1" ht="13.5" customHeight="1" x14ac:dyDescent="0.35">
      <c r="A7" s="29">
        <v>1</v>
      </c>
      <c r="B7" s="52" t="s">
        <v>855</v>
      </c>
      <c r="C7" s="7"/>
      <c r="D7" s="52"/>
      <c r="E7" s="437"/>
      <c r="F7" s="437"/>
      <c r="G7" s="437"/>
      <c r="H7" s="630"/>
      <c r="I7" s="630"/>
      <c r="J7" s="437"/>
      <c r="K7" s="437"/>
      <c r="L7" s="456"/>
    </row>
    <row r="9" spans="1:12" ht="14" x14ac:dyDescent="0.3">
      <c r="B9" s="573" t="s">
        <v>793</v>
      </c>
      <c r="C9" s="574"/>
      <c r="D9" s="574"/>
      <c r="E9" s="574"/>
      <c r="F9" s="574"/>
      <c r="G9" s="574"/>
      <c r="H9" s="574"/>
      <c r="I9" s="574"/>
      <c r="J9" s="574"/>
      <c r="K9" s="574"/>
      <c r="L9" s="574"/>
    </row>
    <row r="10" spans="1:12" ht="14" x14ac:dyDescent="0.3">
      <c r="B10" s="575"/>
      <c r="C10" s="576"/>
      <c r="D10" s="576"/>
      <c r="E10" s="576"/>
      <c r="F10" s="576"/>
      <c r="G10" s="576"/>
      <c r="H10" s="576"/>
      <c r="I10" s="576"/>
      <c r="J10" s="576"/>
      <c r="K10" s="576"/>
      <c r="L10" s="576"/>
    </row>
    <row r="11" spans="1:12" x14ac:dyDescent="0.25">
      <c r="B11" s="420" t="s">
        <v>849</v>
      </c>
      <c r="C11" s="280">
        <v>2022</v>
      </c>
      <c r="D11" s="280">
        <v>2023</v>
      </c>
      <c r="E11" s="280">
        <v>2024</v>
      </c>
      <c r="F11" s="280">
        <v>2025</v>
      </c>
      <c r="H11" s="420" t="s">
        <v>850</v>
      </c>
      <c r="I11" s="280">
        <v>2022</v>
      </c>
      <c r="J11" s="280">
        <v>2023</v>
      </c>
      <c r="K11" s="280">
        <v>2024</v>
      </c>
      <c r="L11" s="280">
        <v>2025</v>
      </c>
    </row>
    <row r="13" spans="1:12" ht="13" x14ac:dyDescent="0.3">
      <c r="B13" s="570" t="s">
        <v>220</v>
      </c>
      <c r="C13" s="76" cm="1">
        <f t="array" ref="C13:C15">TRANSPOSE('Projection Mkt product mix'!C29:E29)</f>
        <v>98.112479753803669</v>
      </c>
      <c r="D13" s="76" cm="1">
        <f t="array" ref="D13:D15">TRANSPOSE('Projection Mkt product mix'!F29:H29)</f>
        <v>127.16330749506517</v>
      </c>
      <c r="E13" s="76" cm="1">
        <f t="array" ref="E13:E15">TRANSPOSE('Projection Mkt product mix'!I29:K29)</f>
        <v>138.44149744419528</v>
      </c>
      <c r="F13" s="76" cm="1">
        <f t="array" ref="F13:F15">TRANSPOSE('Projection Mkt product mix'!L29:N29)</f>
        <v>150.81172874177389</v>
      </c>
      <c r="H13" s="570" t="s">
        <v>220</v>
      </c>
      <c r="I13" s="76" cm="1">
        <f t="array" ref="I13:I15">TRANSPOSE('Projection Mkt product mix'!C28:E28)</f>
        <v>45.131740686749687</v>
      </c>
      <c r="J13" s="76" cm="1">
        <f t="array" ref="J13:J15">TRANSPOSE('Projection Mkt product mix'!F28:H28)</f>
        <v>58.495121447729979</v>
      </c>
      <c r="K13" s="76" cm="1">
        <f t="array" ref="K13:K15">TRANSPOSE('Projection Mkt product mix'!I28:K28)</f>
        <v>63.683088824329829</v>
      </c>
      <c r="L13" s="76" cm="1">
        <f t="array" ref="L13:L15">TRANSPOSE('Projection Mkt product mix'!L28:N28)</f>
        <v>69.373395221215986</v>
      </c>
    </row>
    <row r="14" spans="1:12" ht="13" x14ac:dyDescent="0.3">
      <c r="B14" s="570" t="s">
        <v>407</v>
      </c>
      <c r="C14" s="76">
        <v>54.465364623732576</v>
      </c>
      <c r="D14" s="76">
        <v>68.564046194002572</v>
      </c>
      <c r="E14" s="76">
        <v>72.53172594957546</v>
      </c>
      <c r="F14" s="76">
        <v>76.729008295961634</v>
      </c>
      <c r="H14" s="570" t="s">
        <v>407</v>
      </c>
      <c r="I14" s="76">
        <v>8.169804693559886</v>
      </c>
      <c r="J14" s="76">
        <v>10.284606929100384</v>
      </c>
      <c r="K14" s="76">
        <v>10.879758892436319</v>
      </c>
      <c r="L14" s="76">
        <v>11.509351244394244</v>
      </c>
    </row>
    <row r="15" spans="1:12" ht="13" x14ac:dyDescent="0.3">
      <c r="B15" s="570" t="s">
        <v>651</v>
      </c>
      <c r="C15" s="76">
        <v>68.999616333827518</v>
      </c>
      <c r="D15" s="76">
        <v>90.854873571214981</v>
      </c>
      <c r="E15" s="76">
        <v>100.99496088597832</v>
      </c>
      <c r="F15" s="76">
        <v>112.43592808815814</v>
      </c>
      <c r="H15" s="570" t="s">
        <v>651</v>
      </c>
      <c r="I15" s="76">
        <v>18.892762237777905</v>
      </c>
      <c r="J15" s="76">
        <v>24.876943028490594</v>
      </c>
      <c r="K15" s="76">
        <v>27.653396998629713</v>
      </c>
      <c r="L15" s="76">
        <v>30.786044462569723</v>
      </c>
    </row>
    <row r="17" spans="1:12" ht="13" x14ac:dyDescent="0.3">
      <c r="B17" s="570" t="s">
        <v>848</v>
      </c>
      <c r="C17" s="571">
        <f>SUM(_xlfn.ANCHORARRAY(C13))</f>
        <v>221.57746071136376</v>
      </c>
      <c r="D17" s="571">
        <f>SUM(_xlfn.ANCHORARRAY(D13))</f>
        <v>286.58222726028271</v>
      </c>
      <c r="E17" s="571">
        <f>SUM(_xlfn.ANCHORARRAY(E13))</f>
        <v>311.96818427974904</v>
      </c>
      <c r="F17" s="571">
        <f>SUM(_xlfn.ANCHORARRAY(F13))</f>
        <v>339.97666512589365</v>
      </c>
      <c r="H17" s="570" t="s">
        <v>851</v>
      </c>
      <c r="I17" s="571">
        <f>SUM(_xlfn.ANCHORARRAY(I13))</f>
        <v>72.194307618087478</v>
      </c>
      <c r="J17" s="571">
        <f>SUM(_xlfn.ANCHORARRAY(J13))</f>
        <v>93.656671405320964</v>
      </c>
      <c r="K17" s="571">
        <f>SUM(_xlfn.ANCHORARRAY(K13))</f>
        <v>102.21624471539586</v>
      </c>
      <c r="L17" s="571">
        <f>SUM(_xlfn.ANCHORARRAY(L13))</f>
        <v>111.66879092817994</v>
      </c>
    </row>
    <row r="20" spans="1:12" ht="15.5" x14ac:dyDescent="0.35">
      <c r="A20" s="51"/>
      <c r="B20" s="573" t="s">
        <v>856</v>
      </c>
      <c r="C20" s="574"/>
      <c r="D20" s="574"/>
      <c r="E20" s="574"/>
      <c r="F20" s="574"/>
      <c r="G20" s="574"/>
      <c r="H20" s="574"/>
      <c r="I20" s="574"/>
      <c r="J20" s="574"/>
      <c r="K20" s="574"/>
      <c r="L20" s="574"/>
    </row>
    <row r="23" spans="1:12" x14ac:dyDescent="0.25">
      <c r="B23" s="420" t="s">
        <v>849</v>
      </c>
      <c r="C23" s="280">
        <v>2022</v>
      </c>
      <c r="D23" s="280">
        <v>2023</v>
      </c>
      <c r="E23" s="280">
        <v>2024</v>
      </c>
      <c r="F23" s="280">
        <v>2025</v>
      </c>
      <c r="H23" s="420" t="s">
        <v>850</v>
      </c>
      <c r="I23" s="280">
        <v>2022</v>
      </c>
      <c r="J23" s="280">
        <v>2023</v>
      </c>
      <c r="K23" s="280">
        <v>2024</v>
      </c>
      <c r="L23" s="280">
        <v>2025</v>
      </c>
    </row>
    <row r="25" spans="1:12" ht="13" x14ac:dyDescent="0.3">
      <c r="B25" s="570" t="s">
        <v>853</v>
      </c>
      <c r="C25" s="76">
        <f>C17-C26</f>
        <v>98.614767650847739</v>
      </c>
      <c r="D25" s="76">
        <f>D17-D26</f>
        <v>95.843496585703491</v>
      </c>
      <c r="E25" s="76">
        <f>E17-E26</f>
        <v>82.852329797108439</v>
      </c>
      <c r="F25" s="76">
        <f>F17-F26</f>
        <v>69.735136880349614</v>
      </c>
      <c r="H25" s="570" t="s">
        <v>853</v>
      </c>
      <c r="I25" s="76">
        <f>I17-I26</f>
        <v>43.43573392802255</v>
      </c>
      <c r="J25" s="76">
        <f>J17-J26</f>
        <v>44.08800842942361</v>
      </c>
      <c r="K25" s="76">
        <f>K17-K26</f>
        <v>40.888525676809017</v>
      </c>
      <c r="L25" s="76">
        <f>L17-L26</f>
        <v>32.078162964960825</v>
      </c>
    </row>
    <row r="26" spans="1:12" ht="13" x14ac:dyDescent="0.3">
      <c r="B26" s="570" t="s">
        <v>852</v>
      </c>
      <c r="C26" s="76">
        <f>SUM('OCP Levers'!D74:F74)</f>
        <v>122.96269306051602</v>
      </c>
      <c r="D26" s="76">
        <f>SUM('OCP Levers'!G74:I74)</f>
        <v>190.73873067457922</v>
      </c>
      <c r="E26" s="76">
        <f>SUM('OCP Levers'!J74:L74)</f>
        <v>229.1158544826406</v>
      </c>
      <c r="F26" s="76">
        <f>SUM('OCP Levers'!M74:O74)</f>
        <v>270.24152824554403</v>
      </c>
      <c r="H26" s="570" t="s">
        <v>852</v>
      </c>
      <c r="I26" s="76">
        <f>SUM('OCP Levers'!D28:F28)</f>
        <v>28.758573690064928</v>
      </c>
      <c r="J26" s="76">
        <f>SUM('OCP Levers'!G28:I28)</f>
        <v>49.568662975897354</v>
      </c>
      <c r="K26" s="76">
        <f>SUM('OCP Levers'!I28:K28)</f>
        <v>61.327719038586842</v>
      </c>
      <c r="L26" s="76">
        <f>SUM('OCP Levers'!M28:O28)</f>
        <v>79.59062796321912</v>
      </c>
    </row>
    <row r="28" spans="1:12" ht="13" x14ac:dyDescent="0.3">
      <c r="B28" s="570" t="s">
        <v>848</v>
      </c>
      <c r="C28" s="571">
        <f>SUM(C25:C26)</f>
        <v>221.57746071136376</v>
      </c>
      <c r="D28" s="571">
        <f t="shared" ref="D28:F28" si="0">SUM(D25:D26)</f>
        <v>286.58222726028271</v>
      </c>
      <c r="E28" s="571">
        <f t="shared" si="0"/>
        <v>311.96818427974904</v>
      </c>
      <c r="F28" s="571">
        <f t="shared" si="0"/>
        <v>339.97666512589365</v>
      </c>
      <c r="H28" s="570" t="s">
        <v>851</v>
      </c>
      <c r="I28" s="571">
        <f>SUM(I25:I26)</f>
        <v>72.194307618087478</v>
      </c>
      <c r="J28" s="571">
        <f t="shared" ref="J28:L28" si="1">SUM(J25:J26)</f>
        <v>93.656671405320964</v>
      </c>
      <c r="K28" s="571">
        <f t="shared" si="1"/>
        <v>102.21624471539586</v>
      </c>
      <c r="L28" s="571">
        <f t="shared" si="1"/>
        <v>111.66879092817994</v>
      </c>
    </row>
    <row r="30" spans="1:12" s="597" customFormat="1" ht="12" x14ac:dyDescent="0.3">
      <c r="B30" s="597" t="s">
        <v>854</v>
      </c>
      <c r="C30" s="598">
        <f>C26/C28</f>
        <v>0.5549422430681813</v>
      </c>
      <c r="D30" s="598">
        <f t="shared" ref="D30:F30" si="2">D26/D28</f>
        <v>0.66556371097410894</v>
      </c>
      <c r="E30" s="598">
        <f t="shared" si="2"/>
        <v>0.73442057885360246</v>
      </c>
      <c r="F30" s="598">
        <f t="shared" si="2"/>
        <v>0.79488257861895717</v>
      </c>
      <c r="H30" s="597" t="s">
        <v>854</v>
      </c>
      <c r="I30" s="598">
        <f t="shared" ref="I30:L30" si="3">I26/I28</f>
        <v>0.39834960177469431</v>
      </c>
      <c r="J30" s="598">
        <f t="shared" si="3"/>
        <v>0.52925928534634192</v>
      </c>
      <c r="K30" s="598">
        <f t="shared" si="3"/>
        <v>0.59998016175749447</v>
      </c>
      <c r="L30" s="598">
        <f t="shared" si="3"/>
        <v>0.71273833361738492</v>
      </c>
    </row>
    <row r="33" spans="1:12" ht="14.5" customHeight="1" x14ac:dyDescent="0.35">
      <c r="A33" s="51"/>
      <c r="B33" s="573" t="s">
        <v>857</v>
      </c>
      <c r="C33" s="574"/>
      <c r="D33" s="574"/>
      <c r="E33" s="574"/>
      <c r="F33" s="574"/>
      <c r="G33" s="574"/>
      <c r="H33" s="574"/>
      <c r="I33" s="574"/>
      <c r="J33" s="574"/>
      <c r="K33" s="574"/>
      <c r="L33" s="574"/>
    </row>
    <row r="35" spans="1:12" x14ac:dyDescent="0.25">
      <c r="B35" s="420" t="s">
        <v>849</v>
      </c>
      <c r="C35" s="280">
        <v>2022</v>
      </c>
      <c r="D35" s="280">
        <v>2023</v>
      </c>
      <c r="E35" s="280">
        <v>2024</v>
      </c>
      <c r="F35" s="280">
        <v>2025</v>
      </c>
      <c r="H35" s="420" t="s">
        <v>850</v>
      </c>
      <c r="I35" s="280">
        <v>2022</v>
      </c>
      <c r="J35" s="280">
        <v>2023</v>
      </c>
      <c r="K35" s="280">
        <v>2024</v>
      </c>
      <c r="L35" s="280">
        <v>2025</v>
      </c>
    </row>
    <row r="37" spans="1:12" ht="13" x14ac:dyDescent="0.3">
      <c r="B37" s="570" t="s">
        <v>220</v>
      </c>
      <c r="C37" s="76" cm="1">
        <f t="array" ref="C37:C39">TRANSPOSE('OCP Levers'!D74:F74)</f>
        <v>9.8476545530300523</v>
      </c>
      <c r="D37" s="76" cm="1">
        <f t="array" ref="D37:D39">TRANSPOSE('OCP Levers'!G74:I74)</f>
        <v>31.319810909361674</v>
      </c>
      <c r="E37" s="76" cm="1">
        <f t="array" ref="E37:E39">TRANSPOSE('OCP Levers'!J29:L29)</f>
        <v>55.589167647086796</v>
      </c>
      <c r="F37" s="76" cm="1">
        <f t="array" ref="F37:F39">TRANSPOSE('OCP Levers'!M29:O29)</f>
        <v>81.076591861424248</v>
      </c>
      <c r="H37" s="570" t="s">
        <v>220</v>
      </c>
      <c r="I37" s="76" cm="1">
        <f t="array" ref="I37:I39">TRANSPOSE('OCP Levers'!D28:F28)</f>
        <v>4.5299210943938242</v>
      </c>
      <c r="J37" s="76" cm="1">
        <f t="array" ref="J37:J39">TRANSPOSE('OCP Levers'!G28:I28)</f>
        <v>14.407113018306372</v>
      </c>
      <c r="K37" s="76" cm="1">
        <f t="array" ref="K37:K39">TRANSPOSE('OCP Levers'!J28:L28)</f>
        <v>25.571017117659927</v>
      </c>
      <c r="L37" s="76" cm="1">
        <f t="array" ref="L37:L39">TRANSPOSE('OCP Levers'!M28:O28)</f>
        <v>37.295232256255154</v>
      </c>
    </row>
    <row r="38" spans="1:12" ht="13" x14ac:dyDescent="0.3">
      <c r="B38" s="570" t="s">
        <v>407</v>
      </c>
      <c r="C38" s="76">
        <v>54.465364623732576</v>
      </c>
      <c r="D38" s="76">
        <v>68.564046194002572</v>
      </c>
      <c r="E38" s="76">
        <v>72.53172594957546</v>
      </c>
      <c r="F38" s="76">
        <v>76.729008295961634</v>
      </c>
      <c r="H38" s="570" t="s">
        <v>407</v>
      </c>
      <c r="I38" s="76">
        <v>8.169804693559886</v>
      </c>
      <c r="J38" s="76">
        <v>10.284606929100384</v>
      </c>
      <c r="K38" s="76">
        <v>10.879758892436319</v>
      </c>
      <c r="L38" s="76">
        <v>11.509351244394244</v>
      </c>
    </row>
    <row r="39" spans="1:12" ht="13" x14ac:dyDescent="0.3">
      <c r="B39" s="570" t="s">
        <v>651</v>
      </c>
      <c r="C39" s="76">
        <v>58.649673883753387</v>
      </c>
      <c r="D39" s="76">
        <v>90.854873571214966</v>
      </c>
      <c r="E39" s="76">
        <v>100.99496088597832</v>
      </c>
      <c r="F39" s="76">
        <v>112.43592808815814</v>
      </c>
      <c r="H39" s="570" t="s">
        <v>651</v>
      </c>
      <c r="I39" s="76">
        <v>16.058847902111218</v>
      </c>
      <c r="J39" s="76">
        <v>24.876943028490594</v>
      </c>
      <c r="K39" s="76">
        <v>27.653396998629713</v>
      </c>
      <c r="L39" s="76">
        <v>30.786044462569723</v>
      </c>
    </row>
    <row r="41" spans="1:12" ht="13" x14ac:dyDescent="0.3">
      <c r="B41" s="570" t="s">
        <v>848</v>
      </c>
      <c r="C41" s="571">
        <f>SUM(_xlfn.ANCHORARRAY(C37))</f>
        <v>122.96269306051602</v>
      </c>
      <c r="D41" s="571">
        <f t="shared" ref="D41:F41" si="4">SUM(_xlfn.ANCHORARRAY(D37))</f>
        <v>190.73873067457922</v>
      </c>
      <c r="E41" s="571">
        <f t="shared" si="4"/>
        <v>229.11585448264057</v>
      </c>
      <c r="F41" s="571">
        <f t="shared" si="4"/>
        <v>270.24152824554403</v>
      </c>
      <c r="H41" s="570" t="s">
        <v>851</v>
      </c>
      <c r="I41" s="571">
        <f>SUM(_xlfn.ANCHORARRAY(I37))</f>
        <v>28.758573690064928</v>
      </c>
      <c r="J41" s="571">
        <f t="shared" ref="J41:L41" si="5">SUM(_xlfn.ANCHORARRAY(J37))</f>
        <v>49.568662975897354</v>
      </c>
      <c r="K41" s="571">
        <f t="shared" si="5"/>
        <v>64.104173008725965</v>
      </c>
      <c r="L41" s="571">
        <f t="shared" si="5"/>
        <v>79.59062796321912</v>
      </c>
    </row>
    <row r="44" spans="1:12" ht="14.5" customHeight="1" x14ac:dyDescent="0.35">
      <c r="A44" s="51"/>
      <c r="B44" s="573" t="s">
        <v>857</v>
      </c>
      <c r="C44" s="574"/>
      <c r="D44" s="574"/>
      <c r="E44" s="574"/>
      <c r="F44" s="574"/>
      <c r="G44" s="574"/>
      <c r="H44" s="574"/>
      <c r="I44" s="574"/>
      <c r="J44" s="574"/>
      <c r="K44" s="574"/>
      <c r="L44" s="574"/>
    </row>
    <row r="46" spans="1:12" x14ac:dyDescent="0.25">
      <c r="B46" s="420" t="s">
        <v>849</v>
      </c>
      <c r="C46" s="280">
        <v>2022</v>
      </c>
      <c r="D46" s="280">
        <v>2023</v>
      </c>
      <c r="E46" s="280">
        <v>2024</v>
      </c>
      <c r="F46" s="280">
        <v>2025</v>
      </c>
      <c r="H46" s="420"/>
    </row>
    <row r="48" spans="1:12" ht="13" x14ac:dyDescent="0.3">
      <c r="B48" s="420" t="s">
        <v>837</v>
      </c>
      <c r="C48" s="76">
        <f>SUMIFS('OCP Levers'!$D$60:$D$73,'OCP Levers'!$B$14:$B$27,$B48)+SUMIFS('OCP Levers'!$E$60:$E$73,'OCP Levers'!$B$14:$B$27,$B48)+SUMIFS('OCP Levers'!$F$60:$F$73,'OCP Levers'!$B$14:$B$27,$B48)</f>
        <v>20.264279108198018</v>
      </c>
      <c r="D48" s="76">
        <f>SUMIFS('OCP Levers'!$G$60:$G$73,'OCP Levers'!$B$14:$B$27,$B48)+SUMIFS('OCP Levers'!$H$60:$H$73,'OCP Levers'!$B$14:$B$27,$B48)+SUMIFS('OCP Levers'!$I$60:$I$73,'OCP Levers'!$B$14:$B$27,$B48)</f>
        <v>41.281308231142901</v>
      </c>
      <c r="E48" s="76">
        <f>SUMIFS('OCP Levers'!$J$60:$J$73,'OCP Levers'!$B$14:$B$27,$B48)+SUMIFS('OCP Levers'!$K$60:$K$73,'OCP Levers'!$B$14:$B$27,$B48)+SUMIFS('OCP Levers'!$L$60:$L$73,'OCP Levers'!$B$14:$B$27,$B48)</f>
        <v>63.025522339265308</v>
      </c>
      <c r="F48" s="76">
        <f>SUMIFS('OCP Levers'!$M$60:$M$73,'OCP Levers'!$B$14:$B$27,$B48)+SUMIFS('OCP Levers'!$N$60:$N$73,'OCP Levers'!$B$14:$B$27,$B48)+SUMIFS('OCP Levers'!$O$60:$O$73,'OCP Levers'!$B$14:$B$27,$B48)</f>
        <v>88.060165103861124</v>
      </c>
      <c r="H48" s="570"/>
      <c r="I48" s="76"/>
      <c r="J48" s="76"/>
      <c r="K48" s="76"/>
      <c r="L48" s="76"/>
    </row>
    <row r="49" spans="1:12" ht="13" x14ac:dyDescent="0.3">
      <c r="B49" s="420" t="s">
        <v>839</v>
      </c>
      <c r="C49" s="76">
        <f>SUMIFS('OCP Levers'!$D$60:$D$73,'OCP Levers'!$B$14:$B$27,$B49)+SUMIFS('OCP Levers'!$E$60:$E$73,'OCP Levers'!$B$14:$B$27,$B49)+SUMIFS('OCP Levers'!$F$60:$F$73,'OCP Levers'!$B$14:$B$27,$B49)</f>
        <v>67.746037757660403</v>
      </c>
      <c r="D49" s="76">
        <f>SUMIFS('OCP Levers'!$G$60:$G$73,'OCP Levers'!$B$14:$B$27,$B49)+SUMIFS('OCP Levers'!$H$60:$H$73,'OCP Levers'!$B$14:$B$27,$B49)+SUMIFS('OCP Levers'!$I$60:$I$73,'OCP Levers'!$B$14:$B$27,$B49)</f>
        <v>92.279973894727675</v>
      </c>
      <c r="E49" s="76">
        <f>SUMIFS('OCP Levers'!$J$60:$J$73,'OCP Levers'!$B$14:$B$27,$B49)+SUMIFS('OCP Levers'!$K$60:$K$73,'OCP Levers'!$B$14:$B$27,$B49)+SUMIFS('OCP Levers'!$L$60:$L$73,'OCP Levers'!$B$14:$B$27,$B49)</f>
        <v>99.703879120926729</v>
      </c>
      <c r="F49" s="76">
        <f>SUMIFS('OCP Levers'!$M$60:$M$73,'OCP Levers'!$B$14:$B$27,$B49)+SUMIFS('OCP Levers'!$N$60:$N$73,'OCP Levers'!$B$14:$B$27,$B49)+SUMIFS('OCP Levers'!$O$60:$O$73,'OCP Levers'!$B$14:$B$27,$B49)</f>
        <v>106.45707215606843</v>
      </c>
      <c r="H49" s="570"/>
      <c r="I49" s="76"/>
      <c r="J49" s="76"/>
      <c r="K49" s="76"/>
      <c r="L49" s="76"/>
    </row>
    <row r="50" spans="1:12" x14ac:dyDescent="0.25">
      <c r="B50" s="420" t="s">
        <v>840</v>
      </c>
      <c r="C50" s="76">
        <f>SUMIFS('OCP Levers'!$D$60:$D$73,'OCP Levers'!$B$14:$B$27,$B50)+SUMIFS('OCP Levers'!$E$60:$E$73,'OCP Levers'!$B$14:$B$27,$B50)+SUMIFS('OCP Levers'!$F$60:$F$73,'OCP Levers'!$B$14:$B$27,$B50)</f>
        <v>29.837783595111024</v>
      </c>
      <c r="D50" s="76">
        <f>SUMIFS('OCP Levers'!$G$60:$G$73,'OCP Levers'!$B$14:$B$27,$B50)+SUMIFS('OCP Levers'!$H$60:$H$73,'OCP Levers'!$B$14:$B$27,$B50)+SUMIFS('OCP Levers'!$I$60:$I$73,'OCP Levers'!$B$14:$B$27,$B50)</f>
        <v>49.140690217008284</v>
      </c>
      <c r="E50" s="76">
        <f>SUMIFS('OCP Levers'!$J$60:$J$73,'OCP Levers'!$B$14:$B$27,$B50)+SUMIFS('OCP Levers'!$K$60:$K$73,'OCP Levers'!$B$14:$B$27,$B50)+SUMIFS('OCP Levers'!$L$60:$L$73,'OCP Levers'!$B$14:$B$27,$B50)</f>
        <v>56.081000420887648</v>
      </c>
      <c r="F50" s="76">
        <f>SUMIFS('OCP Levers'!$M$60:$M$73,'OCP Levers'!$B$14:$B$27,$B50)+SUMIFS('OCP Levers'!$N$60:$N$73,'OCP Levers'!$B$14:$B$27,$B50)+SUMIFS('OCP Levers'!$O$60:$O$73,'OCP Levers'!$B$14:$B$27,$B50)</f>
        <v>63.07801989516603</v>
      </c>
    </row>
    <row r="51" spans="1:12" ht="13" x14ac:dyDescent="0.3">
      <c r="B51" s="420" t="s">
        <v>838</v>
      </c>
      <c r="C51" s="76">
        <f>SUMIFS('OCP Levers'!$D$60:$D$73,'OCP Levers'!$B$14:$B$27,$B51)+SUMIFS('OCP Levers'!$E$60:$E$73,'OCP Levers'!$B$14:$B$27,$B51)+SUMIFS('OCP Levers'!$F$60:$F$73,'OCP Levers'!$B$14:$B$27,$B51)</f>
        <v>5.11459259954656</v>
      </c>
      <c r="D51" s="76">
        <f>SUMIFS('OCP Levers'!$G$60:$G$73,'OCP Levers'!$B$14:$B$27,$B51)+SUMIFS('OCP Levers'!$H$60:$H$73,'OCP Levers'!$B$14:$B$27,$B51)+SUMIFS('OCP Levers'!$I$60:$I$73,'OCP Levers'!$B$14:$B$27,$B51)</f>
        <v>8.0367583317003692</v>
      </c>
      <c r="E51" s="76">
        <f>SUMIFS('OCP Levers'!$J$60:$J$73,'OCP Levers'!$B$14:$B$27,$B51)+SUMIFS('OCP Levers'!$K$60:$K$73,'OCP Levers'!$B$14:$B$27,$B51)+SUMIFS('OCP Levers'!$L$60:$L$73,'OCP Levers'!$B$14:$B$27,$B51)</f>
        <v>10.30545260156088</v>
      </c>
      <c r="F51" s="76">
        <f>SUMIFS('OCP Levers'!$M$60:$M$73,'OCP Levers'!$B$14:$B$27,$B51)+SUMIFS('OCP Levers'!$N$60:$N$73,'OCP Levers'!$B$14:$B$27,$B51)+SUMIFS('OCP Levers'!$O$60:$O$73,'OCP Levers'!$B$14:$B$27,$B51)</f>
        <v>12.64627109044843</v>
      </c>
      <c r="H51" s="570"/>
      <c r="I51" s="76"/>
      <c r="J51" s="76"/>
      <c r="K51" s="76"/>
      <c r="L51" s="76"/>
    </row>
    <row r="52" spans="1:12" ht="13" x14ac:dyDescent="0.3">
      <c r="B52" s="570"/>
      <c r="C52" s="571"/>
      <c r="D52" s="571"/>
      <c r="E52" s="571"/>
      <c r="F52" s="571"/>
      <c r="H52" s="570"/>
      <c r="I52" s="571"/>
      <c r="J52" s="571"/>
      <c r="K52" s="571"/>
      <c r="L52" s="571"/>
    </row>
    <row r="53" spans="1:12" ht="13" x14ac:dyDescent="0.3">
      <c r="B53" s="570" t="s">
        <v>848</v>
      </c>
      <c r="C53" s="571">
        <f>SUM(C48:C51)</f>
        <v>122.96269306051599</v>
      </c>
      <c r="D53" s="571">
        <f>SUM(D48:D51)</f>
        <v>190.73873067457924</v>
      </c>
      <c r="E53" s="571">
        <f>SUM(E48:E51)</f>
        <v>229.11585448264057</v>
      </c>
      <c r="F53" s="571">
        <f>SUM(F48:F51)</f>
        <v>270.24152824554403</v>
      </c>
    </row>
    <row r="58" spans="1:12" s="2" customFormat="1" ht="13.5" customHeight="1" x14ac:dyDescent="0.35">
      <c r="A58" s="29">
        <v>2</v>
      </c>
      <c r="B58" s="52" t="s">
        <v>858</v>
      </c>
      <c r="C58" s="7"/>
      <c r="D58" s="52"/>
      <c r="E58" s="437"/>
      <c r="F58" s="437"/>
      <c r="G58" s="437"/>
      <c r="H58" s="630"/>
      <c r="I58" s="630"/>
      <c r="J58" s="437"/>
      <c r="K58" s="437"/>
      <c r="L58" s="456"/>
    </row>
    <row r="60" spans="1:12" ht="14" x14ac:dyDescent="0.3">
      <c r="B60" s="573" t="s">
        <v>793</v>
      </c>
      <c r="C60" s="574"/>
      <c r="D60" s="574"/>
      <c r="E60" s="574"/>
      <c r="F60" s="574"/>
      <c r="G60" s="574"/>
      <c r="H60" s="574"/>
      <c r="I60" s="574"/>
      <c r="J60" s="574"/>
      <c r="K60" s="574"/>
      <c r="L60" s="574"/>
    </row>
    <row r="61" spans="1:12" ht="14" x14ac:dyDescent="0.3">
      <c r="B61" s="575"/>
      <c r="C61" s="576"/>
      <c r="D61" s="576"/>
      <c r="E61" s="576"/>
      <c r="F61" s="576"/>
      <c r="G61" s="576"/>
      <c r="H61" s="576"/>
      <c r="I61" s="576"/>
      <c r="J61" s="576"/>
      <c r="K61" s="576"/>
      <c r="L61" s="576"/>
    </row>
    <row r="62" spans="1:12" x14ac:dyDescent="0.25">
      <c r="B62" s="420" t="s">
        <v>849</v>
      </c>
      <c r="C62" s="280">
        <v>2022</v>
      </c>
      <c r="D62" s="280">
        <v>2023</v>
      </c>
      <c r="E62" s="280">
        <v>2024</v>
      </c>
      <c r="F62" s="280">
        <v>2025</v>
      </c>
      <c r="H62" s="420" t="s">
        <v>850</v>
      </c>
      <c r="I62" s="280">
        <v>2022</v>
      </c>
      <c r="J62" s="280">
        <v>2023</v>
      </c>
      <c r="K62" s="280">
        <v>2024</v>
      </c>
      <c r="L62" s="280">
        <v>2025</v>
      </c>
    </row>
    <row r="64" spans="1:12" ht="13" x14ac:dyDescent="0.3">
      <c r="B64" s="570" t="s">
        <v>220</v>
      </c>
      <c r="C64" s="76" cm="1">
        <f t="array" ref="C64:C66">TRANSPOSE('Projection Mkt product mix'!C101:E101)</f>
        <v>98.112479753803669</v>
      </c>
      <c r="D64" s="76" cm="1">
        <f t="array" ref="D64:D66">TRANSPOSE('Projection Mkt product mix'!F101:H101)</f>
        <v>127.16330749506517</v>
      </c>
      <c r="E64" s="76" cm="1">
        <f t="array" ref="E64:E66">TRANSPOSE('Projection Mkt product mix'!I101:K101)</f>
        <v>223.57210809117529</v>
      </c>
      <c r="F64" s="76" cm="1">
        <f t="array" ref="F64:F66">TRANSPOSE('Projection Mkt product mix'!L101:N101)</f>
        <v>327.40789830634787</v>
      </c>
      <c r="H64" s="570" t="s">
        <v>220</v>
      </c>
      <c r="I64" s="76" cm="1">
        <f t="array" ref="I64:I66">TRANSPOSE('Projection Mkt product mix'!C100:E100)</f>
        <v>45.131740686749687</v>
      </c>
      <c r="J64" s="76" cm="1">
        <f t="array" ref="J64:J66">TRANSPOSE('Projection Mkt product mix'!F100:H100)</f>
        <v>58.495121447729979</v>
      </c>
      <c r="K64" s="76" cm="1">
        <f t="array" ref="K64:K66">TRANSPOSE('Projection Mkt product mix'!I100:K100)</f>
        <v>102.84316972194064</v>
      </c>
      <c r="L64" s="76" cm="1">
        <f t="array" ref="L64:L66">TRANSPOSE('Projection Mkt product mix'!L100:N100)</f>
        <v>150.60763322092004</v>
      </c>
    </row>
    <row r="65" spans="1:12" ht="13" x14ac:dyDescent="0.3">
      <c r="B65" s="570" t="s">
        <v>407</v>
      </c>
      <c r="C65" s="76">
        <v>54.465364623732576</v>
      </c>
      <c r="D65" s="76">
        <v>68.564046194002572</v>
      </c>
      <c r="E65" s="76">
        <v>82.426683580350101</v>
      </c>
      <c r="F65" s="76">
        <v>96.424567926779517</v>
      </c>
      <c r="H65" s="570" t="s">
        <v>407</v>
      </c>
      <c r="I65" s="76">
        <v>8.169804693559886</v>
      </c>
      <c r="J65" s="76">
        <v>10.284606929100384</v>
      </c>
      <c r="K65" s="76">
        <v>12.364002537052516</v>
      </c>
      <c r="L65" s="76">
        <v>14.463685189016926</v>
      </c>
    </row>
    <row r="66" spans="1:12" ht="13" x14ac:dyDescent="0.3">
      <c r="B66" s="570" t="s">
        <v>651</v>
      </c>
      <c r="C66" s="76">
        <v>68.999616333827518</v>
      </c>
      <c r="D66" s="76">
        <v>90.854873571214981</v>
      </c>
      <c r="E66" s="76">
        <v>178.69219160727576</v>
      </c>
      <c r="F66" s="76">
        <v>270.89966813206217</v>
      </c>
      <c r="H66" s="570" t="s">
        <v>651</v>
      </c>
      <c r="I66" s="76">
        <v>18.892762237777905</v>
      </c>
      <c r="J66" s="76">
        <v>24.876943028490594</v>
      </c>
      <c r="K66" s="76">
        <v>48.927650169101192</v>
      </c>
      <c r="L66" s="76">
        <v>74.1749489671124</v>
      </c>
    </row>
    <row r="68" spans="1:12" ht="13" x14ac:dyDescent="0.3">
      <c r="B68" s="570" t="s">
        <v>848</v>
      </c>
      <c r="C68" s="571">
        <f>SUM(_xlfn.ANCHORARRAY(C64))</f>
        <v>221.57746071136376</v>
      </c>
      <c r="D68" s="571">
        <f t="shared" ref="D68:F68" si="6">SUM(_xlfn.ANCHORARRAY(D64))</f>
        <v>286.58222726028271</v>
      </c>
      <c r="E68" s="571">
        <f t="shared" si="6"/>
        <v>484.69098327880113</v>
      </c>
      <c r="F68" s="571">
        <f t="shared" si="6"/>
        <v>694.73213436518949</v>
      </c>
      <c r="H68" s="570" t="s">
        <v>851</v>
      </c>
      <c r="I68" s="571">
        <f>SUM(_xlfn.ANCHORARRAY(I64))</f>
        <v>72.194307618087478</v>
      </c>
      <c r="J68" s="571">
        <f t="shared" ref="J68:L68" si="7">SUM(_xlfn.ANCHORARRAY(J64))</f>
        <v>93.656671405320964</v>
      </c>
      <c r="K68" s="571">
        <f t="shared" si="7"/>
        <v>164.13482242809434</v>
      </c>
      <c r="L68" s="571">
        <f t="shared" si="7"/>
        <v>239.24626737704938</v>
      </c>
    </row>
    <row r="71" spans="1:12" ht="15.5" x14ac:dyDescent="0.35">
      <c r="A71" s="51"/>
      <c r="B71" s="573" t="s">
        <v>856</v>
      </c>
      <c r="C71" s="574"/>
      <c r="D71" s="574"/>
      <c r="E71" s="574"/>
      <c r="F71" s="574"/>
      <c r="G71" s="574"/>
      <c r="H71" s="574"/>
      <c r="I71" s="574"/>
      <c r="J71" s="574"/>
      <c r="K71" s="574"/>
      <c r="L71" s="574"/>
    </row>
    <row r="74" spans="1:12" x14ac:dyDescent="0.25">
      <c r="B74" s="420" t="s">
        <v>849</v>
      </c>
      <c r="C74" s="280">
        <v>2022</v>
      </c>
      <c r="D74" s="280">
        <v>2023</v>
      </c>
      <c r="E74" s="280">
        <v>2024</v>
      </c>
      <c r="F74" s="280">
        <v>2025</v>
      </c>
      <c r="H74" s="420" t="s">
        <v>850</v>
      </c>
      <c r="I74" s="280">
        <v>2022</v>
      </c>
      <c r="J74" s="280">
        <v>2023</v>
      </c>
      <c r="K74" s="280">
        <v>2024</v>
      </c>
      <c r="L74" s="280">
        <v>2025</v>
      </c>
    </row>
    <row r="76" spans="1:12" ht="13" x14ac:dyDescent="0.3">
      <c r="B76" s="570" t="s">
        <v>853</v>
      </c>
      <c r="C76" s="76">
        <f>C68-C77</f>
        <v>98.614767650847739</v>
      </c>
      <c r="D76" s="76">
        <f>D68-D77</f>
        <v>95.843496585703463</v>
      </c>
      <c r="E76" s="76">
        <f>E68-E77</f>
        <v>133.98452497287792</v>
      </c>
      <c r="F76" s="76">
        <f>F68-F77</f>
        <v>147.37136076048773</v>
      </c>
      <c r="H76" s="570" t="s">
        <v>853</v>
      </c>
      <c r="I76" s="76">
        <f>I68-I77</f>
        <v>43.43573392802255</v>
      </c>
      <c r="J76" s="76">
        <f>J68-J77</f>
        <v>44.08800842942361</v>
      </c>
      <c r="K76" s="76">
        <f>K68-K77</f>
        <v>61.632881487523861</v>
      </c>
      <c r="L76" s="76">
        <f>L68-L77</f>
        <v>67.790825949824381</v>
      </c>
    </row>
    <row r="77" spans="1:12" ht="13" x14ac:dyDescent="0.3">
      <c r="B77" s="570" t="s">
        <v>852</v>
      </c>
      <c r="C77" s="76">
        <f>SUM('OCP Levers'!D100:F100)</f>
        <v>122.96269306051602</v>
      </c>
      <c r="D77" s="76">
        <f>SUM('OCP Levers'!G100:I100)</f>
        <v>190.73873067457924</v>
      </c>
      <c r="E77" s="76">
        <f>SUM('OCP Levers'!J100:L100)</f>
        <v>350.70645830592321</v>
      </c>
      <c r="F77" s="76">
        <f>SUM('OCP Levers'!M100:O100)</f>
        <v>547.36077360470176</v>
      </c>
      <c r="H77" s="570" t="s">
        <v>852</v>
      </c>
      <c r="I77" s="76">
        <f>SUM('OCP Levers'!D99:F99)</f>
        <v>28.758573690064928</v>
      </c>
      <c r="J77" s="76">
        <f>SUM('OCP Levers'!G99:I99)</f>
        <v>49.568662975897354</v>
      </c>
      <c r="K77" s="76">
        <f>SUM('OCP Levers'!J99:L99)</f>
        <v>102.50194094057048</v>
      </c>
      <c r="L77" s="76">
        <f>SUM('OCP Levers'!M99:O99)</f>
        <v>171.455441427225</v>
      </c>
    </row>
    <row r="79" spans="1:12" ht="13" x14ac:dyDescent="0.3">
      <c r="B79" s="570" t="s">
        <v>848</v>
      </c>
      <c r="C79" s="571">
        <f>SUM(C76:C77)</f>
        <v>221.57746071136376</v>
      </c>
      <c r="D79" s="571">
        <f t="shared" ref="D79:F79" si="8">SUM(D76:D77)</f>
        <v>286.58222726028271</v>
      </c>
      <c r="E79" s="571">
        <f t="shared" si="8"/>
        <v>484.69098327880113</v>
      </c>
      <c r="F79" s="571">
        <f t="shared" si="8"/>
        <v>694.73213436518949</v>
      </c>
      <c r="H79" s="570" t="s">
        <v>851</v>
      </c>
      <c r="I79" s="571">
        <f>SUM(I76:I77)</f>
        <v>72.194307618087478</v>
      </c>
      <c r="J79" s="571">
        <f t="shared" ref="J79:L79" si="9">SUM(J76:J77)</f>
        <v>93.656671405320964</v>
      </c>
      <c r="K79" s="571">
        <f t="shared" si="9"/>
        <v>164.13482242809434</v>
      </c>
      <c r="L79" s="571">
        <f t="shared" si="9"/>
        <v>239.24626737704938</v>
      </c>
    </row>
    <row r="81" spans="1:12" s="597" customFormat="1" ht="12" x14ac:dyDescent="0.3">
      <c r="B81" s="597" t="s">
        <v>854</v>
      </c>
      <c r="C81" s="598">
        <f>C77/C79</f>
        <v>0.5549422430681813</v>
      </c>
      <c r="D81" s="598">
        <f t="shared" ref="D81:F81" si="10">D77/D79</f>
        <v>0.66556371097410905</v>
      </c>
      <c r="E81" s="598">
        <f t="shared" si="10"/>
        <v>0.72356711885476088</v>
      </c>
      <c r="F81" s="598">
        <f t="shared" si="10"/>
        <v>0.78787311904731727</v>
      </c>
      <c r="H81" s="597" t="s">
        <v>854</v>
      </c>
      <c r="I81" s="598">
        <f t="shared" ref="I81:L81" si="11">I77/I79</f>
        <v>0.39834960177469431</v>
      </c>
      <c r="J81" s="598">
        <f t="shared" si="11"/>
        <v>0.52925928534634192</v>
      </c>
      <c r="K81" s="598">
        <f t="shared" si="11"/>
        <v>0.62449844234288221</v>
      </c>
      <c r="L81" s="598">
        <f t="shared" si="11"/>
        <v>0.71664834443169467</v>
      </c>
    </row>
    <row r="84" spans="1:12" ht="14.5" customHeight="1" x14ac:dyDescent="0.35">
      <c r="A84" s="51"/>
      <c r="B84" s="573" t="s">
        <v>857</v>
      </c>
      <c r="C84" s="574"/>
      <c r="D84" s="574"/>
      <c r="E84" s="574"/>
      <c r="F84" s="574"/>
      <c r="G84" s="574"/>
      <c r="H84" s="574"/>
      <c r="I84" s="574"/>
      <c r="J84" s="574"/>
      <c r="K84" s="574"/>
      <c r="L84" s="574"/>
    </row>
    <row r="86" spans="1:12" x14ac:dyDescent="0.25">
      <c r="B86" s="420" t="s">
        <v>849</v>
      </c>
      <c r="C86" s="280">
        <v>2022</v>
      </c>
      <c r="D86" s="280">
        <v>2023</v>
      </c>
      <c r="E86" s="280">
        <v>2024</v>
      </c>
      <c r="F86" s="280">
        <v>2025</v>
      </c>
      <c r="H86" s="420" t="s">
        <v>850</v>
      </c>
      <c r="I86" s="280">
        <v>2022</v>
      </c>
      <c r="J86" s="280">
        <v>2023</v>
      </c>
      <c r="K86" s="280">
        <v>2024</v>
      </c>
      <c r="L86" s="280">
        <v>2025</v>
      </c>
    </row>
    <row r="88" spans="1:12" ht="13" x14ac:dyDescent="0.3">
      <c r="B88" s="570" t="s">
        <v>220</v>
      </c>
      <c r="C88" s="76" cm="1">
        <f t="array" ref="C88:C90">TRANSPOSE('OCP Levers'!D100:F100)</f>
        <v>9.8476545530300523</v>
      </c>
      <c r="D88" s="76" cm="1">
        <f t="array" ref="D88:D90">TRANSPOSE('OCP Levers'!G100:I100)</f>
        <v>31.319810909361678</v>
      </c>
      <c r="E88" s="76" cm="1">
        <f t="array" ref="E88:E90">TRANSPOSE('OCP Levers'!J100:L100)</f>
        <v>89.587583118297331</v>
      </c>
      <c r="F88" s="76" cm="1">
        <f t="array" ref="F88:F90">TRANSPOSE('OCP Levers'!M100:O100)</f>
        <v>180.03653754586014</v>
      </c>
      <c r="H88" s="570" t="s">
        <v>220</v>
      </c>
      <c r="I88" s="76" cm="1">
        <f t="array" ref="I88:I90">TRANSPOSE('OCP Levers'!D99:F99)</f>
        <v>4.5299210943938242</v>
      </c>
      <c r="J88" s="76" cm="1">
        <f t="array" ref="J88:J90">TRANSPOSE('OCP Levers'!G99:I99)</f>
        <v>14.407113018306372</v>
      </c>
      <c r="K88" s="76" cm="1">
        <f t="array" ref="K88:K90">TRANSPOSE('OCP Levers'!J99:L99)</f>
        <v>41.210288234416772</v>
      </c>
      <c r="L88" s="76" cm="1">
        <f t="array" ref="L88:L90">TRANSPOSE('OCP Levers'!M99:O99)</f>
        <v>82.816807271095669</v>
      </c>
    </row>
    <row r="89" spans="1:12" ht="13" x14ac:dyDescent="0.3">
      <c r="B89" s="570" t="s">
        <v>407</v>
      </c>
      <c r="C89" s="76">
        <v>54.465364623732576</v>
      </c>
      <c r="D89" s="76">
        <v>68.564046194002572</v>
      </c>
      <c r="E89" s="76">
        <v>82.426683580350101</v>
      </c>
      <c r="F89" s="76">
        <v>96.424567926779517</v>
      </c>
      <c r="H89" s="570" t="s">
        <v>407</v>
      </c>
      <c r="I89" s="76">
        <v>8.169804693559886</v>
      </c>
      <c r="J89" s="76">
        <v>10.284606929100384</v>
      </c>
      <c r="K89" s="76">
        <v>12.364002537052516</v>
      </c>
      <c r="L89" s="76">
        <v>14.463685189016926</v>
      </c>
    </row>
    <row r="90" spans="1:12" ht="13" x14ac:dyDescent="0.3">
      <c r="B90" s="570" t="s">
        <v>651</v>
      </c>
      <c r="C90" s="76">
        <v>58.649673883753387</v>
      </c>
      <c r="D90" s="76">
        <v>90.854873571214981</v>
      </c>
      <c r="E90" s="76">
        <v>178.69219160727576</v>
      </c>
      <c r="F90" s="76">
        <v>270.89966813206217</v>
      </c>
      <c r="H90" s="570" t="s">
        <v>651</v>
      </c>
      <c r="I90" s="76">
        <v>16.058847902111218</v>
      </c>
      <c r="J90" s="76">
        <v>24.876943028490594</v>
      </c>
      <c r="K90" s="76">
        <v>48.927650169101192</v>
      </c>
      <c r="L90" s="76">
        <v>74.1749489671124</v>
      </c>
    </row>
    <row r="92" spans="1:12" ht="13" x14ac:dyDescent="0.3">
      <c r="B92" s="570" t="s">
        <v>848</v>
      </c>
      <c r="C92" s="571">
        <f>SUM(_xlfn.ANCHORARRAY(C88))</f>
        <v>122.96269306051602</v>
      </c>
      <c r="D92" s="571">
        <f>SUM(_xlfn.ANCHORARRAY(D88))</f>
        <v>190.73873067457924</v>
      </c>
      <c r="E92" s="571">
        <f>SUM(_xlfn.ANCHORARRAY(E88))</f>
        <v>350.70645830592321</v>
      </c>
      <c r="F92" s="571">
        <f>SUM(_xlfn.ANCHORARRAY(F88))</f>
        <v>547.36077360470176</v>
      </c>
      <c r="H92" s="570" t="s">
        <v>851</v>
      </c>
      <c r="I92" s="571">
        <f>SUM(_xlfn.ANCHORARRAY(I88))</f>
        <v>28.758573690064928</v>
      </c>
      <c r="J92" s="571">
        <f>SUM(_xlfn.ANCHORARRAY(J88))</f>
        <v>49.568662975897354</v>
      </c>
      <c r="K92" s="571">
        <f>SUM(_xlfn.ANCHORARRAY(K88))</f>
        <v>102.50194094057048</v>
      </c>
      <c r="L92" s="571">
        <f>SUM(_xlfn.ANCHORARRAY(L88))</f>
        <v>171.455441427225</v>
      </c>
    </row>
    <row r="95" spans="1:12" ht="14.5" customHeight="1" x14ac:dyDescent="0.35">
      <c r="A95" s="51"/>
      <c r="B95" s="573" t="s">
        <v>857</v>
      </c>
      <c r="C95" s="574"/>
      <c r="D95" s="574"/>
      <c r="E95" s="574"/>
      <c r="F95" s="574"/>
      <c r="G95" s="574"/>
      <c r="H95" s="574"/>
      <c r="I95" s="574"/>
      <c r="J95" s="574"/>
      <c r="K95" s="574"/>
      <c r="L95" s="574"/>
    </row>
    <row r="97" spans="1:12" x14ac:dyDescent="0.25">
      <c r="B97" s="420" t="s">
        <v>849</v>
      </c>
      <c r="C97" s="280">
        <v>2022</v>
      </c>
      <c r="D97" s="280">
        <v>2023</v>
      </c>
      <c r="E97" s="280">
        <v>2024</v>
      </c>
      <c r="F97" s="280">
        <v>2025</v>
      </c>
      <c r="H97" s="420"/>
    </row>
    <row r="99" spans="1:12" ht="13" x14ac:dyDescent="0.3">
      <c r="B99" s="420" t="s">
        <v>837</v>
      </c>
      <c r="C99" s="76">
        <f>SUMIFS('OCP Levers'!$D$130:$D$143,'OCP Levers'!$B$130:$B$143,$B99)+SUMIFS('OCP Levers'!$E$130:$E$143,'OCP Levers'!$B$14:$B$27,$B99)+SUMIFS('OCP Levers'!$F$130:$F$143,'OCP Levers'!$B$14:$B$27,$B99)</f>
        <v>20.264279108198018</v>
      </c>
      <c r="D99" s="76">
        <f>SUMIFS('OCP Levers'!$G$130:$G$143,'OCP Levers'!$B$14:$B$27,$B99)+SUMIFS('OCP Levers'!$H$130:$H$143,'OCP Levers'!$B$14:$B$27,$B99)+SUMIFS('OCP Levers'!$I$130:$I$143,'OCP Levers'!$B$14:$B$27,$B99)</f>
        <v>41.281308231142901</v>
      </c>
      <c r="E99" s="76">
        <f>SUMIFS('OCP Levers'!$J$130:$J$143,'OCP Levers'!$B$14:$B$27,$B99)+SUMIFS('OCP Levers'!$K$130:$K$143,'OCP Levers'!$B$14:$B$27,$B99)+SUMIFS('OCP Levers'!$L$130:$L$143,'OCP Levers'!$B$14:$B$27,$B99)</f>
        <v>107.9723783122077</v>
      </c>
      <c r="F99" s="76">
        <f>SUMIFS('OCP Levers'!$M$130:$M$143,'OCP Levers'!$B$14:$B$27,$B99)+SUMIFS('OCP Levers'!$N$130:$N$143,'OCP Levers'!$B$14:$B$27,$B99)+SUMIFS('OCP Levers'!$O$130:$O$143,'OCP Levers'!$B$14:$B$27,$B99)</f>
        <v>209.86306044933443</v>
      </c>
      <c r="H99" s="570"/>
      <c r="I99" s="76"/>
      <c r="J99" s="76"/>
      <c r="K99" s="76"/>
      <c r="L99" s="76"/>
    </row>
    <row r="100" spans="1:12" ht="13" x14ac:dyDescent="0.3">
      <c r="B100" s="420" t="s">
        <v>839</v>
      </c>
      <c r="C100" s="76">
        <f>SUMIFS('OCP Levers'!$D$130:$D$143,'OCP Levers'!$B$130:$B$143,$B100)+SUMIFS('OCP Levers'!$E$130:$E$143,'OCP Levers'!$B$14:$B$27,$B100)+SUMIFS('OCP Levers'!$F$130:$F$143,'OCP Levers'!$B$14:$B$27,$B100)</f>
        <v>67.746037757660403</v>
      </c>
      <c r="D100" s="76">
        <f>SUMIFS('OCP Levers'!$G$130:$G$143,'OCP Levers'!$B$14:$B$27,$B100)+SUMIFS('OCP Levers'!$H$130:$H$143,'OCP Levers'!$B$14:$B$27,$B100)+SUMIFS('OCP Levers'!$I$130:$I$143,'OCP Levers'!$B$14:$B$27,$B100)</f>
        <v>92.279973894727675</v>
      </c>
      <c r="E100" s="76">
        <f>SUMIFS('OCP Levers'!$J$130:$J$143,'OCP Levers'!$B$14:$B$27,$B100)+SUMIFS('OCP Levers'!$K$130:$K$143,'OCP Levers'!$B$14:$B$27,$B100)+SUMIFS('OCP Levers'!$L$130:$L$143,'OCP Levers'!$B$14:$B$27,$B100)</f>
        <v>115.86781417079858</v>
      </c>
      <c r="F100" s="76">
        <f>SUMIFS('OCP Levers'!$M$130:$M$143,'OCP Levers'!$B$14:$B$27,$B100)+SUMIFS('OCP Levers'!$N$130:$N$143,'OCP Levers'!$B$14:$B$27,$B100)+SUMIFS('OCP Levers'!$O$130:$O$143,'OCP Levers'!$B$14:$B$27,$B100)</f>
        <v>139.06182768444378</v>
      </c>
      <c r="H100" s="570"/>
      <c r="I100" s="76"/>
      <c r="J100" s="76"/>
      <c r="K100" s="76"/>
      <c r="L100" s="76"/>
    </row>
    <row r="101" spans="1:12" x14ac:dyDescent="0.25">
      <c r="B101" s="420" t="s">
        <v>840</v>
      </c>
      <c r="C101" s="76">
        <f>SUMIFS('OCP Levers'!$D$130:$D$143,'OCP Levers'!$B$130:$B$143,$B101)+SUMIFS('OCP Levers'!$E$130:$E$143,'OCP Levers'!$B$14:$B$27,$B101)+SUMIFS('OCP Levers'!$F$130:$F$143,'OCP Levers'!$B$14:$B$27,$B101)</f>
        <v>29.837783595111024</v>
      </c>
      <c r="D101" s="76">
        <f>SUMIFS('OCP Levers'!$G$130:$G$143,'OCP Levers'!$B$14:$B$27,$B101)+SUMIFS('OCP Levers'!$H$130:$H$143,'OCP Levers'!$B$14:$B$27,$B101)+SUMIFS('OCP Levers'!$I$130:$I$143,'OCP Levers'!$B$14:$B$27,$B101)</f>
        <v>49.140690217008284</v>
      </c>
      <c r="E101" s="76">
        <f>SUMIFS('OCP Levers'!$J$130:$J$143,'OCP Levers'!$B$14:$B$27,$B101)+SUMIFS('OCP Levers'!$K$130:$K$143,'OCP Levers'!$B$14:$B$27,$B101)+SUMIFS('OCP Levers'!$L$130:$L$143,'OCP Levers'!$B$14:$B$27,$B101)</f>
        <v>97.895811031355393</v>
      </c>
      <c r="F101" s="76">
        <f>SUMIFS('OCP Levers'!$M$130:$M$143,'OCP Levers'!$B$14:$B$27,$B101)+SUMIFS('OCP Levers'!$N$130:$N$143,'OCP Levers'!$B$14:$B$27,$B101)+SUMIFS('OCP Levers'!$O$130:$O$143,'OCP Levers'!$B$14:$B$27,$B101)</f>
        <v>150.69594024947324</v>
      </c>
    </row>
    <row r="102" spans="1:12" ht="13" x14ac:dyDescent="0.3">
      <c r="B102" s="420" t="s">
        <v>838</v>
      </c>
      <c r="C102" s="76">
        <f>SUMIFS('OCP Levers'!$D$130:$D$143,'OCP Levers'!$B$130:$B$143,$B102)+SUMIFS('OCP Levers'!$E$130:$E$143,'OCP Levers'!$B$14:$B$27,$B102)+SUMIFS('OCP Levers'!$F$130:$F$143,'OCP Levers'!$B$14:$B$27,$B102)</f>
        <v>5.11459259954656</v>
      </c>
      <c r="D102" s="76">
        <f>SUMIFS('OCP Levers'!$G$130:$G$143,'OCP Levers'!$B$14:$B$27,$B102)+SUMIFS('OCP Levers'!$H$130:$H$143,'OCP Levers'!$B$14:$B$27,$B102)+SUMIFS('OCP Levers'!$I$130:$I$143,'OCP Levers'!$B$14:$B$27,$B102)</f>
        <v>8.0367583317003692</v>
      </c>
      <c r="E102" s="76">
        <f>SUMIFS('OCP Levers'!$J$130:$J$143,'OCP Levers'!$B$14:$B$27,$B102)+SUMIFS('OCP Levers'!$K$130:$K$143,'OCP Levers'!$B$14:$B$27,$B102)+SUMIFS('OCP Levers'!$L$130:$L$143,'OCP Levers'!$B$14:$B$27,$B102)</f>
        <v>28.970454791561508</v>
      </c>
      <c r="F102" s="76">
        <f>SUMIFS('OCP Levers'!$M$130:$M$143,'OCP Levers'!$B$14:$B$27,$B102)+SUMIFS('OCP Levers'!$N$130:$N$143,'OCP Levers'!$B$14:$B$27,$B102)+SUMIFS('OCP Levers'!$O$130:$O$143,'OCP Levers'!$B$14:$B$27,$B102)</f>
        <v>47.739945221450505</v>
      </c>
      <c r="H102" s="570"/>
      <c r="I102" s="76"/>
      <c r="J102" s="76"/>
      <c r="K102" s="76"/>
      <c r="L102" s="76"/>
    </row>
    <row r="103" spans="1:12" ht="13" x14ac:dyDescent="0.3">
      <c r="B103" s="570"/>
      <c r="C103" s="571"/>
      <c r="D103" s="571"/>
      <c r="E103" s="571"/>
      <c r="F103" s="571"/>
      <c r="H103" s="570"/>
      <c r="I103" s="571"/>
      <c r="J103" s="571"/>
      <c r="K103" s="571"/>
      <c r="L103" s="571"/>
    </row>
    <row r="104" spans="1:12" ht="13" x14ac:dyDescent="0.3">
      <c r="B104" s="570" t="s">
        <v>848</v>
      </c>
      <c r="C104" s="571">
        <f>SUM(C99:C102)</f>
        <v>122.96269306051599</v>
      </c>
      <c r="D104" s="571">
        <f>SUM(D99:D102)</f>
        <v>190.73873067457924</v>
      </c>
      <c r="E104" s="571">
        <f>SUM(E99:E102)</f>
        <v>350.70645830592315</v>
      </c>
      <c r="F104" s="571">
        <f>SUM(F99:F102)</f>
        <v>547.36077360470199</v>
      </c>
    </row>
    <row r="109" spans="1:12" s="2" customFormat="1" ht="13.5" customHeight="1" x14ac:dyDescent="0.35">
      <c r="A109" s="29">
        <v>3</v>
      </c>
      <c r="B109" s="52" t="s">
        <v>865</v>
      </c>
      <c r="C109" s="7"/>
      <c r="D109" s="52"/>
      <c r="E109" s="437"/>
      <c r="F109" s="437"/>
      <c r="G109" s="437"/>
      <c r="H109" s="630"/>
      <c r="I109" s="630"/>
      <c r="J109" s="437"/>
      <c r="K109" s="437"/>
      <c r="L109" s="456"/>
    </row>
    <row r="112" spans="1:12" x14ac:dyDescent="0.25">
      <c r="B112" s="420" t="s">
        <v>15</v>
      </c>
    </row>
    <row r="114" spans="2:6" x14ac:dyDescent="0.25">
      <c r="C114" s="280">
        <v>2022</v>
      </c>
      <c r="D114" s="280">
        <v>2025</v>
      </c>
      <c r="F114" s="420" t="s">
        <v>859</v>
      </c>
    </row>
    <row r="116" spans="2:6" x14ac:dyDescent="0.25">
      <c r="B116" s="86" t="s">
        <v>167</v>
      </c>
      <c r="C116" s="76">
        <f>VLOOKUP($B116,ProjectedP205_Consumption!$D$13:$J$26,7,FALSE)</f>
        <v>33.554971069583885</v>
      </c>
      <c r="D116" s="76">
        <f>VLOOKUP($B116,ProjectedP205_Consumption!$D$13:$M$26,10,FALSE)</f>
        <v>50.76150442068807</v>
      </c>
      <c r="F116" s="76">
        <f>D116-C116</f>
        <v>17.206533351104184</v>
      </c>
    </row>
    <row r="117" spans="2:6" x14ac:dyDescent="0.25">
      <c r="B117" s="86" t="s">
        <v>156</v>
      </c>
      <c r="C117" s="76">
        <f>VLOOKUP($B117,ProjectedP205_Consumption!$D$13:$J$26,7,FALSE)</f>
        <v>5.8369826553011048</v>
      </c>
      <c r="D117" s="76">
        <f>VLOOKUP($B117,ProjectedP205_Consumption!$D$13:$M$26,10,FALSE)</f>
        <v>9.8946424796504804</v>
      </c>
      <c r="F117" s="76">
        <f t="shared" ref="F117:F121" si="12">D117-C117</f>
        <v>4.0576598243493756</v>
      </c>
    </row>
    <row r="118" spans="2:6" x14ac:dyDescent="0.25">
      <c r="B118" s="86" t="s">
        <v>182</v>
      </c>
      <c r="C118" s="76">
        <f>VLOOKUP($B118,ProjectedP205_Consumption!$D$13:$J$26,7,FALSE)</f>
        <v>1.2907401183436182</v>
      </c>
      <c r="D118" s="76">
        <f>VLOOKUP($B118,ProjectedP205_Consumption!$D$13:$M$26,10,FALSE)</f>
        <v>1.6477793855845002</v>
      </c>
      <c r="F118" s="76">
        <f t="shared" si="12"/>
        <v>0.35703926724088197</v>
      </c>
    </row>
    <row r="119" spans="2:6" x14ac:dyDescent="0.25">
      <c r="B119" s="86" t="s">
        <v>158</v>
      </c>
      <c r="C119" s="76">
        <f>VLOOKUP($B119,ProjectedP205_Consumption!$D$13:$J$26,7,FALSE)</f>
        <v>15.711162872230549</v>
      </c>
      <c r="D119" s="76">
        <f>VLOOKUP($B119,ProjectedP205_Consumption!$D$13:$M$26,10,FALSE)</f>
        <v>22.133367777681237</v>
      </c>
      <c r="F119" s="76">
        <f t="shared" si="12"/>
        <v>6.4222049054506876</v>
      </c>
    </row>
    <row r="120" spans="2:6" x14ac:dyDescent="0.25">
      <c r="B120" s="86" t="s">
        <v>73</v>
      </c>
      <c r="C120" s="76">
        <f>VLOOKUP($B120,ProjectedP205_Consumption!$D$13:$J$26,7,FALSE)</f>
        <v>2.745931208354619</v>
      </c>
      <c r="D120" s="76">
        <f>VLOOKUP($B120,ProjectedP205_Consumption!$D$13:$M$26,10,FALSE)</f>
        <v>4.8156351891861355</v>
      </c>
      <c r="F120" s="76">
        <f t="shared" si="12"/>
        <v>2.0697039808315165</v>
      </c>
    </row>
    <row r="121" spans="2:6" x14ac:dyDescent="0.25">
      <c r="B121" s="420" t="s">
        <v>860</v>
      </c>
      <c r="C121" s="76">
        <f>C122-SUM(C116:C120)</f>
        <v>13.054519694273694</v>
      </c>
      <c r="D121" s="76">
        <f>D122-SUM(D116:D120)</f>
        <v>22.415861675389564</v>
      </c>
      <c r="F121" s="76">
        <f t="shared" si="12"/>
        <v>9.3613419811158707</v>
      </c>
    </row>
    <row r="122" spans="2:6" x14ac:dyDescent="0.25">
      <c r="B122" s="420" t="s">
        <v>83</v>
      </c>
      <c r="C122" s="76">
        <f>ProjectedP205_Consumption!J27</f>
        <v>72.194307618087478</v>
      </c>
      <c r="D122" s="76">
        <f>ProjectedP205_Consumption!M27</f>
        <v>111.66879092817999</v>
      </c>
      <c r="F122" s="76">
        <f>D122-C122</f>
        <v>39.474483310092509</v>
      </c>
    </row>
    <row r="126" spans="2:6" x14ac:dyDescent="0.25">
      <c r="B126" s="420" t="s">
        <v>800</v>
      </c>
    </row>
    <row r="128" spans="2:6" x14ac:dyDescent="0.25">
      <c r="C128" s="280">
        <v>2022</v>
      </c>
      <c r="D128" s="280">
        <v>2025</v>
      </c>
      <c r="F128" s="420" t="s">
        <v>859</v>
      </c>
    </row>
    <row r="130" spans="2:10" x14ac:dyDescent="0.25">
      <c r="B130" s="86" t="s">
        <v>167</v>
      </c>
      <c r="C130" s="76">
        <f>VLOOKUP($B130,ProjectedP205_Consumption!$D$34:$J$48,7,FALSE)</f>
        <v>33.554971069583885</v>
      </c>
      <c r="D130" s="76">
        <f>VLOOKUP($B130,ProjectedP205_Consumption!$D$34:$M$48,10,FALSE)</f>
        <v>120.97370767104003</v>
      </c>
      <c r="F130" s="76">
        <f>D130-C130</f>
        <v>87.418736601456146</v>
      </c>
    </row>
    <row r="131" spans="2:10" x14ac:dyDescent="0.25">
      <c r="B131" s="86" t="s">
        <v>156</v>
      </c>
      <c r="C131" s="76">
        <f>VLOOKUP($B131,ProjectedP205_Consumption!$D$34:$J$48,7,FALSE)</f>
        <v>5.8369826553011048</v>
      </c>
      <c r="D131" s="76">
        <f>VLOOKUP($B131,ProjectedP205_Consumption!$D$34:$M$48,10,FALSE)</f>
        <v>28.097928454680012</v>
      </c>
      <c r="F131" s="76">
        <f t="shared" ref="F131:F135" si="13">D131-C131</f>
        <v>22.260945799378909</v>
      </c>
    </row>
    <row r="132" spans="2:10" x14ac:dyDescent="0.25">
      <c r="B132" s="86" t="s">
        <v>182</v>
      </c>
      <c r="C132" s="76">
        <f>VLOOKUP($B132,ProjectedP205_Consumption!$D$34:$J$48,7,FALSE)</f>
        <v>1.2907401183436182</v>
      </c>
      <c r="D132" s="76">
        <f>VLOOKUP($B132,ProjectedP205_Consumption!$D$34:$M$48,10,FALSE)</f>
        <v>13.517294021585158</v>
      </c>
      <c r="F132" s="76">
        <f t="shared" si="13"/>
        <v>12.226553903241539</v>
      </c>
    </row>
    <row r="133" spans="2:10" x14ac:dyDescent="0.25">
      <c r="B133" s="86" t="s">
        <v>158</v>
      </c>
      <c r="C133" s="76">
        <f>VLOOKUP($B133,ProjectedP205_Consumption!$D$34:$J$48,7,FALSE)</f>
        <v>15.711162872230549</v>
      </c>
      <c r="D133" s="76">
        <f>VLOOKUP($B133,ProjectedP205_Consumption!$D$34:$M$48,10,FALSE)</f>
        <v>27.814779209647934</v>
      </c>
      <c r="F133" s="76">
        <f t="shared" si="13"/>
        <v>12.103616337417385</v>
      </c>
    </row>
    <row r="134" spans="2:10" x14ac:dyDescent="0.25">
      <c r="B134" s="86" t="s">
        <v>73</v>
      </c>
      <c r="C134" s="76">
        <f>VLOOKUP($B134,ProjectedP205_Consumption!$D$34:$J$48,7,FALSE)</f>
        <v>2.745931208354619</v>
      </c>
      <c r="D134" s="76">
        <f>VLOOKUP($B134,ProjectedP205_Consumption!$D$34:$M$48,10,FALSE)</f>
        <v>21.78609781320441</v>
      </c>
      <c r="F134" s="76">
        <f t="shared" si="13"/>
        <v>19.040166604849791</v>
      </c>
    </row>
    <row r="135" spans="2:10" x14ac:dyDescent="0.25">
      <c r="B135" s="420" t="s">
        <v>860</v>
      </c>
      <c r="C135" s="76">
        <f>C136-SUM(C130:C134)</f>
        <v>13.054519694273694</v>
      </c>
      <c r="D135" s="76">
        <f>D136-SUM(D130:D134)</f>
        <v>27.056460206891899</v>
      </c>
      <c r="F135" s="76">
        <f t="shared" si="13"/>
        <v>14.001940512618205</v>
      </c>
    </row>
    <row r="136" spans="2:10" x14ac:dyDescent="0.25">
      <c r="B136" s="420" t="s">
        <v>83</v>
      </c>
      <c r="C136" s="76">
        <f>ProjectedP205_Consumption!J48</f>
        <v>72.194307618087478</v>
      </c>
      <c r="D136" s="76">
        <f>ProjectedP205_Consumption!M48</f>
        <v>239.24626737704941</v>
      </c>
      <c r="F136" s="76">
        <f>D136-C136</f>
        <v>167.05195975896191</v>
      </c>
    </row>
    <row r="144" spans="2:10" ht="14.5" x14ac:dyDescent="0.35">
      <c r="B144" s="584"/>
      <c r="C144" s="586">
        <v>2022</v>
      </c>
      <c r="D144" s="586" t="s">
        <v>167</v>
      </c>
      <c r="E144" s="586" t="s">
        <v>156</v>
      </c>
      <c r="F144" s="586" t="s">
        <v>182</v>
      </c>
      <c r="G144" s="586" t="s">
        <v>158</v>
      </c>
      <c r="H144" s="586" t="s">
        <v>73</v>
      </c>
      <c r="I144" s="586" t="s">
        <v>66</v>
      </c>
      <c r="J144" s="586" t="s">
        <v>861</v>
      </c>
    </row>
    <row r="145" spans="1:12" ht="14.5" x14ac:dyDescent="0.35">
      <c r="B145" s="584"/>
      <c r="C145" s="256"/>
      <c r="D145" s="585"/>
      <c r="E145" s="585"/>
      <c r="F145" s="585"/>
      <c r="G145" s="585"/>
      <c r="H145" s="585"/>
      <c r="I145" s="587"/>
      <c r="J145" s="588"/>
    </row>
    <row r="146" spans="1:12" ht="14.5" x14ac:dyDescent="0.35">
      <c r="B146" s="584" t="s">
        <v>862</v>
      </c>
      <c r="C146" s="594"/>
      <c r="D146" s="595">
        <f t="shared" ref="D146:J146" si="14">D150-D147</f>
        <v>70.212203250351962</v>
      </c>
      <c r="E146" s="595">
        <f t="shared" si="14"/>
        <v>18.203285975029534</v>
      </c>
      <c r="F146" s="595">
        <f t="shared" si="14"/>
        <v>11.869514636000657</v>
      </c>
      <c r="G146" s="595">
        <f t="shared" si="14"/>
        <v>5.6814114319666977</v>
      </c>
      <c r="H146" s="595">
        <f t="shared" si="14"/>
        <v>16.970462624018275</v>
      </c>
      <c r="I146" s="595">
        <f t="shared" si="14"/>
        <v>4.6405985315023344</v>
      </c>
      <c r="J146" s="595">
        <f t="shared" si="14"/>
        <v>127.57747644886945</v>
      </c>
    </row>
    <row r="147" spans="1:12" ht="14.5" x14ac:dyDescent="0.35">
      <c r="B147" s="584" t="s">
        <v>863</v>
      </c>
      <c r="C147" s="594"/>
      <c r="D147" s="595" cm="1">
        <f t="array" ref="D147:I147">TRANSPOSE(F116:F121)</f>
        <v>17.206533351104184</v>
      </c>
      <c r="E147" s="595">
        <v>4.0576598243493756</v>
      </c>
      <c r="F147" s="595">
        <v>0.35703926724088197</v>
      </c>
      <c r="G147" s="595">
        <v>6.4222049054506876</v>
      </c>
      <c r="H147" s="595">
        <v>2.0697039808315165</v>
      </c>
      <c r="I147" s="594">
        <v>9.3613419811158707</v>
      </c>
      <c r="J147" s="594">
        <f>SUM(_xlfn.ANCHORARRAY(D147))</f>
        <v>39.474483310092516</v>
      </c>
    </row>
    <row r="148" spans="1:12" ht="14.5" x14ac:dyDescent="0.35">
      <c r="B148" s="584" t="s">
        <v>864</v>
      </c>
      <c r="C148" s="596">
        <f>C136</f>
        <v>72.194307618087478</v>
      </c>
      <c r="D148" s="594"/>
      <c r="E148" s="594"/>
      <c r="F148" s="594"/>
      <c r="G148" s="594"/>
      <c r="H148" s="594"/>
      <c r="I148" s="594"/>
      <c r="J148" s="594">
        <f>C148</f>
        <v>72.194307618087478</v>
      </c>
    </row>
    <row r="150" spans="1:12" ht="14.5" x14ac:dyDescent="0.35">
      <c r="B150" s="584" t="s">
        <v>862</v>
      </c>
      <c r="C150" s="256"/>
      <c r="D150" s="585" cm="1">
        <f t="array" ref="D150:I150">TRANSPOSE(F130:F135)</f>
        <v>87.418736601456146</v>
      </c>
      <c r="E150" s="585">
        <v>22.260945799378909</v>
      </c>
      <c r="F150" s="585">
        <v>12.226553903241539</v>
      </c>
      <c r="G150" s="585">
        <v>12.103616337417385</v>
      </c>
      <c r="H150" s="585">
        <v>19.040166604849791</v>
      </c>
      <c r="I150" s="587">
        <v>14.001940512618205</v>
      </c>
      <c r="J150" s="588">
        <f>SUM(_xlfn.ANCHORARRAY(D150))</f>
        <v>167.05195975896197</v>
      </c>
    </row>
    <row r="154" spans="1:12" s="2" customFormat="1" ht="13.5" customHeight="1" x14ac:dyDescent="0.35">
      <c r="A154" s="29">
        <v>4</v>
      </c>
      <c r="B154" s="52" t="s">
        <v>866</v>
      </c>
      <c r="C154" s="7"/>
      <c r="D154" s="52"/>
      <c r="E154" s="437"/>
      <c r="F154" s="437"/>
      <c r="G154" s="437"/>
      <c r="H154" s="630"/>
      <c r="I154" s="630"/>
      <c r="J154" s="437"/>
      <c r="K154" s="437"/>
      <c r="L154" s="456"/>
    </row>
    <row r="155" spans="1:12" ht="13" x14ac:dyDescent="0.3">
      <c r="D155" s="640">
        <v>2025</v>
      </c>
      <c r="E155" s="640"/>
      <c r="F155" s="640"/>
      <c r="H155" s="592" t="s">
        <v>867</v>
      </c>
      <c r="I155" s="592" t="s">
        <v>868</v>
      </c>
      <c r="J155" s="590" t="s">
        <v>869</v>
      </c>
    </row>
    <row r="156" spans="1:12" x14ac:dyDescent="0.25">
      <c r="D156" s="589" t="str">
        <f>'OCP Levers'!M12</f>
        <v>TSP</v>
      </c>
      <c r="E156" s="589" t="str">
        <f>'OCP Levers'!N12</f>
        <v>15-15-15</v>
      </c>
      <c r="F156" s="589" t="str">
        <f>'OCP Levers'!O12</f>
        <v>NPK</v>
      </c>
      <c r="H156" s="590"/>
      <c r="I156" s="590"/>
      <c r="J156" s="590"/>
    </row>
    <row r="157" spans="1:12" x14ac:dyDescent="0.25">
      <c r="B157" s="86" t="s">
        <v>167</v>
      </c>
      <c r="C157" s="86"/>
      <c r="D157" s="591">
        <f>VLOOKUP($B157,'Projection Mkt product mix'!$B$61:$N$74,11,FALSE)</f>
        <v>99.315986910041872</v>
      </c>
      <c r="E157" s="591">
        <f>VLOOKUP($B157,'Projection Mkt product mix'!$B$61:$N$74,12,FALSE)</f>
        <v>0</v>
      </c>
      <c r="F157" s="591">
        <f>VLOOKUP($B157,'Projection Mkt product mix'!$B$61:$N$74,13,FALSE)</f>
        <v>18.538974266831818</v>
      </c>
      <c r="H157" s="79">
        <f>VLOOKUP($B157,ProjectedP205_Consumption!$D$13:$M$26,10,FALSE)</f>
        <v>50.76150442068807</v>
      </c>
      <c r="I157" s="79">
        <f>VLOOKUP($B157,ProjectedP205_Consumption!$D$34:$M$47,10,FALSE)</f>
        <v>120.97370767104003</v>
      </c>
      <c r="J157" s="590" t="str">
        <f>_xlfn.CONCAT(INT(H157)," - ",INT(I157))</f>
        <v>50 - 120</v>
      </c>
    </row>
    <row r="158" spans="1:12" x14ac:dyDescent="0.25">
      <c r="B158" s="86" t="s">
        <v>156</v>
      </c>
      <c r="C158" s="86"/>
      <c r="D158" s="591">
        <f>VLOOKUP($B158,'Projection Mkt product mix'!$B$61:$N$74,11,FALSE)</f>
        <v>8.6040369388265052</v>
      </c>
      <c r="E158" s="591">
        <f>VLOOKUP($B158,'Projection Mkt product mix'!$B$61:$N$74,12,FALSE)</f>
        <v>0</v>
      </c>
      <c r="F158" s="591">
        <f>VLOOKUP($B158,'Projection Mkt product mix'!$B$61:$N$74,13,FALSE)</f>
        <v>21.68216144141476</v>
      </c>
      <c r="H158" s="79">
        <f>VLOOKUP($B158,ProjectedP205_Consumption!$D$13:$M$26,10,FALSE)</f>
        <v>9.8946424796504804</v>
      </c>
      <c r="I158" s="79">
        <f>VLOOKUP($B158,ProjectedP205_Consumption!$D$34:$M$47,10,FALSE)</f>
        <v>28.097928454680012</v>
      </c>
      <c r="J158" s="590" t="str">
        <f t="shared" ref="J158:J164" si="15">_xlfn.CONCAT(INT(H158)," - ",INT(I158))</f>
        <v>9 - 28</v>
      </c>
    </row>
    <row r="159" spans="1:12" x14ac:dyDescent="0.25">
      <c r="B159" s="86" t="s">
        <v>182</v>
      </c>
      <c r="C159" s="86"/>
      <c r="D159" s="591">
        <f>VLOOKUP($B159,'Projection Mkt product mix'!$B$61:$N$74,11,FALSE)</f>
        <v>0</v>
      </c>
      <c r="E159" s="591">
        <f>VLOOKUP($B159,'Projection Mkt product mix'!$B$61:$N$74,12,FALSE)</f>
        <v>0</v>
      </c>
      <c r="F159" s="591">
        <f>VLOOKUP($B159,'Projection Mkt product mix'!$B$61:$N$74,13,FALSE)</f>
        <v>6.017973654523324</v>
      </c>
      <c r="H159" s="79">
        <f>VLOOKUP($B159,ProjectedP205_Consumption!$D$13:$M$26,10,FALSE)</f>
        <v>1.6477793855845002</v>
      </c>
      <c r="I159" s="79">
        <f>VLOOKUP($B159,ProjectedP205_Consumption!$D$34:$M$47,10,FALSE)</f>
        <v>13.517294021585158</v>
      </c>
      <c r="J159" s="590" t="str">
        <f t="shared" si="15"/>
        <v>1 - 13</v>
      </c>
    </row>
    <row r="160" spans="1:12" x14ac:dyDescent="0.25">
      <c r="B160" s="86" t="s">
        <v>158</v>
      </c>
      <c r="C160" s="86"/>
      <c r="D160" s="591">
        <f>VLOOKUP($B160,'Projection Mkt product mix'!$B$61:$N$74,11,FALSE)</f>
        <v>19.246406763201076</v>
      </c>
      <c r="E160" s="591">
        <f>VLOOKUP($B160,'Projection Mkt product mix'!$B$61:$N$74,12,FALSE)</f>
        <v>76.729008295961634</v>
      </c>
      <c r="F160" s="591">
        <f>VLOOKUP($B160,'Projection Mkt product mix'!$B$61:$N$74,13,FALSE)</f>
        <v>6.4667891994394902</v>
      </c>
      <c r="H160" s="79">
        <f>VLOOKUP($B160,ProjectedP205_Consumption!$D$13:$M$26,10,FALSE)</f>
        <v>22.133367777681237</v>
      </c>
      <c r="I160" s="79">
        <f>VLOOKUP($B160,ProjectedP205_Consumption!$D$34:$M$47,10,FALSE)</f>
        <v>27.814779209647934</v>
      </c>
      <c r="J160" s="590" t="str">
        <f t="shared" si="15"/>
        <v>22 - 27</v>
      </c>
    </row>
    <row r="161" spans="2:10" x14ac:dyDescent="0.25">
      <c r="B161" s="86" t="s">
        <v>73</v>
      </c>
      <c r="C161" s="86"/>
      <c r="D161" s="591">
        <f>VLOOKUP($B161,'Projection Mkt product mix'!$B$61:$N$74,11,FALSE)</f>
        <v>4.1875088601618575</v>
      </c>
      <c r="E161" s="591">
        <f>VLOOKUP($B161,'Projection Mkt product mix'!$B$61:$N$74,12,FALSE)</f>
        <v>0</v>
      </c>
      <c r="F161" s="591">
        <f>VLOOKUP($B161,'Projection Mkt product mix'!$B$61:$N$74,13,FALSE)</f>
        <v>10.552516660367502</v>
      </c>
      <c r="H161" s="79">
        <f>VLOOKUP($B161,ProjectedP205_Consumption!$D$13:$M$26,10,FALSE)</f>
        <v>4.8156351891861355</v>
      </c>
      <c r="I161" s="79">
        <f>VLOOKUP($B161,ProjectedP205_Consumption!$D$34:$M$47,10,FALSE)</f>
        <v>21.78609781320441</v>
      </c>
      <c r="J161" s="590" t="str">
        <f t="shared" si="15"/>
        <v>4 - 21</v>
      </c>
    </row>
    <row r="162" spans="2:10" x14ac:dyDescent="0.25">
      <c r="B162" s="420" t="s">
        <v>860</v>
      </c>
      <c r="C162" s="420"/>
      <c r="D162" s="591">
        <f>'Projection Mkt product mix'!L75-SUM(D157:D161)</f>
        <v>19.457789269542587</v>
      </c>
      <c r="E162" s="591">
        <f>'Projection Mkt product mix'!M75-SUM(E157:E161)</f>
        <v>0</v>
      </c>
      <c r="F162" s="591">
        <f>'Projection Mkt product mix'!N75-SUM(F157:F161)</f>
        <v>49.177512865581214</v>
      </c>
      <c r="H162" s="593">
        <f>H164-SUM(H157:H161)</f>
        <v>22.415861675389564</v>
      </c>
      <c r="I162" s="593">
        <f t="shared" ref="I162" si="16">I164-SUM(I157:I161)</f>
        <v>27.056460206891899</v>
      </c>
      <c r="J162" s="590" t="str">
        <f t="shared" si="15"/>
        <v>22 - 27</v>
      </c>
    </row>
    <row r="163" spans="2:10" x14ac:dyDescent="0.25">
      <c r="B163" s="420"/>
      <c r="C163" s="420"/>
      <c r="D163" s="591"/>
      <c r="E163" s="591"/>
      <c r="F163" s="591"/>
      <c r="H163" s="590"/>
      <c r="I163" s="590"/>
      <c r="J163" s="590"/>
    </row>
    <row r="164" spans="2:10" x14ac:dyDescent="0.25">
      <c r="B164" s="420" t="s">
        <v>83</v>
      </c>
      <c r="C164" s="420"/>
      <c r="D164" s="591">
        <f>SUM(D157:D162)</f>
        <v>150.81172874177392</v>
      </c>
      <c r="E164" s="591">
        <f t="shared" ref="E164:F164" si="17">SUM(E157:E162)</f>
        <v>76.729008295961634</v>
      </c>
      <c r="F164" s="591">
        <f t="shared" si="17"/>
        <v>112.43592808815811</v>
      </c>
      <c r="H164" s="593">
        <f>ProjectedP205_Consumption!M27</f>
        <v>111.66879092817999</v>
      </c>
      <c r="I164" s="593">
        <f>ProjectedP205_Consumption!M48</f>
        <v>239.24626737704941</v>
      </c>
      <c r="J164" s="590" t="str">
        <f t="shared" si="15"/>
        <v>111 - 239</v>
      </c>
    </row>
    <row r="167" spans="2:10" x14ac:dyDescent="0.25">
      <c r="D167" s="7" t="str">
        <f t="shared" ref="D167:F167" si="18">D156</f>
        <v>TSP</v>
      </c>
      <c r="E167" s="7" t="str">
        <f t="shared" si="18"/>
        <v>15-15-15</v>
      </c>
      <c r="F167" s="7" t="str">
        <f t="shared" si="18"/>
        <v>NPK</v>
      </c>
    </row>
    <row r="168" spans="2:10" x14ac:dyDescent="0.25">
      <c r="B168" s="7" t="str">
        <f>B157</f>
        <v>Cocoa beans</v>
      </c>
      <c r="C168" s="572">
        <f>SUM(D168:F168)</f>
        <v>1</v>
      </c>
      <c r="D168" s="572">
        <f t="shared" ref="D168:F173" si="19">D157/SUM($D157:$F157)</f>
        <v>0.84269670040441491</v>
      </c>
      <c r="E168" s="572">
        <f t="shared" si="19"/>
        <v>0</v>
      </c>
      <c r="F168" s="572">
        <f t="shared" si="19"/>
        <v>0.15730329959558514</v>
      </c>
    </row>
    <row r="169" spans="2:10" x14ac:dyDescent="0.25">
      <c r="B169" s="7" t="str">
        <f t="shared" ref="B169:B173" si="20">B158</f>
        <v>Plantains and cooking bananas</v>
      </c>
      <c r="C169" s="572">
        <f t="shared" ref="C169:C174" si="21">SUM(D169:F169)</f>
        <v>1</v>
      </c>
      <c r="D169" s="572">
        <f t="shared" si="19"/>
        <v>0.28409101831809253</v>
      </c>
      <c r="E169" s="572">
        <f t="shared" si="19"/>
        <v>0</v>
      </c>
      <c r="F169" s="572">
        <f t="shared" si="19"/>
        <v>0.71590898168190742</v>
      </c>
    </row>
    <row r="170" spans="2:10" x14ac:dyDescent="0.25">
      <c r="B170" s="7" t="str">
        <f t="shared" si="20"/>
        <v>Natural rubber in primary forms</v>
      </c>
      <c r="C170" s="572">
        <f t="shared" si="21"/>
        <v>1</v>
      </c>
      <c r="D170" s="572">
        <f t="shared" si="19"/>
        <v>0</v>
      </c>
      <c r="E170" s="572">
        <f t="shared" si="19"/>
        <v>0</v>
      </c>
      <c r="F170" s="572">
        <f t="shared" si="19"/>
        <v>1</v>
      </c>
    </row>
    <row r="171" spans="2:10" x14ac:dyDescent="0.25">
      <c r="B171" s="7" t="str">
        <f t="shared" si="20"/>
        <v>Seed cotton, unginned</v>
      </c>
      <c r="C171" s="572">
        <f t="shared" si="21"/>
        <v>1</v>
      </c>
      <c r="D171" s="572">
        <f t="shared" si="19"/>
        <v>0.18787575787237057</v>
      </c>
      <c r="E171" s="572">
        <f t="shared" si="19"/>
        <v>0.74899802138451743</v>
      </c>
      <c r="F171" s="572">
        <f t="shared" si="19"/>
        <v>6.3126220743111999E-2</v>
      </c>
    </row>
    <row r="172" spans="2:10" x14ac:dyDescent="0.25">
      <c r="B172" s="7" t="str">
        <f t="shared" si="20"/>
        <v>Rice</v>
      </c>
      <c r="C172" s="572">
        <f t="shared" si="21"/>
        <v>1</v>
      </c>
      <c r="D172" s="572">
        <f t="shared" si="19"/>
        <v>0.28409101831809253</v>
      </c>
      <c r="E172" s="572">
        <f t="shared" si="19"/>
        <v>0</v>
      </c>
      <c r="F172" s="572">
        <f t="shared" si="19"/>
        <v>0.71590898168190753</v>
      </c>
    </row>
    <row r="173" spans="2:10" x14ac:dyDescent="0.25">
      <c r="B173" s="7" t="str">
        <f t="shared" si="20"/>
        <v>others</v>
      </c>
      <c r="C173" s="572">
        <f t="shared" si="21"/>
        <v>1</v>
      </c>
      <c r="D173" s="572">
        <f t="shared" si="19"/>
        <v>0.28349535391037717</v>
      </c>
      <c r="E173" s="572">
        <f t="shared" si="19"/>
        <v>0</v>
      </c>
      <c r="F173" s="572">
        <f t="shared" si="19"/>
        <v>0.71650464608962294</v>
      </c>
    </row>
    <row r="174" spans="2:10" x14ac:dyDescent="0.25">
      <c r="B174" s="280" t="s">
        <v>83</v>
      </c>
      <c r="C174" s="572">
        <f t="shared" si="21"/>
        <v>1</v>
      </c>
      <c r="D174" s="572">
        <f>D164/SUM($D$164:$F$164)</f>
        <v>0.44359435282397458</v>
      </c>
      <c r="E174" s="572">
        <f>E164/SUM($D$164:$F$164)</f>
        <v>0.22568904329815936</v>
      </c>
      <c r="F174" s="572">
        <f>F164/SUM($D$164:$F$164)</f>
        <v>0.33071660387786611</v>
      </c>
    </row>
  </sheetData>
  <mergeCells count="5">
    <mergeCell ref="H154:I154"/>
    <mergeCell ref="D155:F155"/>
    <mergeCell ref="H109:I109"/>
    <mergeCell ref="H58:I58"/>
    <mergeCell ref="H7:I7"/>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68F38-4D3F-406B-966D-ECF7B1588EDE}">
  <sheetPr>
    <tabColor rgb="FF0070C0"/>
  </sheetPr>
  <dimension ref="A1:S145"/>
  <sheetViews>
    <sheetView zoomScale="55" zoomScaleNormal="55" workbookViewId="0">
      <selection activeCell="T24" sqref="T24"/>
    </sheetView>
  </sheetViews>
  <sheetFormatPr defaultRowHeight="12.5" x14ac:dyDescent="0.25"/>
  <cols>
    <col min="1" max="1" width="8.7265625" style="280"/>
    <col min="2" max="2" width="30.6328125" style="280" bestFit="1" customWidth="1"/>
    <col min="3" max="3" width="32.81640625" style="280" customWidth="1"/>
    <col min="4" max="14" width="17.90625" style="280" customWidth="1"/>
    <col min="15" max="16384" width="8.7265625" style="280"/>
  </cols>
  <sheetData>
    <row r="1" spans="1:15" s="7" customFormat="1" ht="13.5" customHeight="1" x14ac:dyDescent="0.25">
      <c r="A1" s="5"/>
      <c r="B1" s="5"/>
      <c r="C1" s="5"/>
      <c r="D1" s="6"/>
      <c r="E1" s="25"/>
    </row>
    <row r="2" spans="1:15" s="7" customFormat="1" ht="13.5" customHeight="1" x14ac:dyDescent="0.25">
      <c r="A2" s="5"/>
      <c r="B2" s="5"/>
      <c r="C2" s="5"/>
      <c r="D2" s="6"/>
      <c r="E2" s="26" t="str">
        <f>Title</f>
        <v>OCP Africa - CIV P205</v>
      </c>
    </row>
    <row r="3" spans="1:15" s="7" customFormat="1" ht="13.5" customHeight="1" x14ac:dyDescent="0.25">
      <c r="A3" s="5"/>
      <c r="B3" s="5"/>
      <c r="C3" s="5"/>
      <c r="D3" s="6"/>
      <c r="E3" s="27" t="str">
        <f ca="1">MID(CELL("filename",E3),FIND("]",CELL("filename",E3))+1,256)</f>
        <v>OCP Levers</v>
      </c>
    </row>
    <row r="4" spans="1:15" s="7" customFormat="1" ht="13.5" customHeight="1" x14ac:dyDescent="0.25">
      <c r="A4" s="5"/>
      <c r="B4" s="5"/>
      <c r="C4" s="5"/>
      <c r="D4" s="6"/>
      <c r="E4" s="25"/>
    </row>
    <row r="5" spans="1:15" s="11" customFormat="1" ht="13.5" customHeight="1" x14ac:dyDescent="0.3">
      <c r="A5" s="8"/>
      <c r="B5" s="8"/>
      <c r="C5" s="8"/>
      <c r="D5" s="9"/>
      <c r="E5" s="10"/>
    </row>
    <row r="6" spans="1:15" s="2" customFormat="1" ht="13.5" customHeight="1" x14ac:dyDescent="0.25">
      <c r="A6" s="7"/>
      <c r="B6" s="7"/>
      <c r="C6" s="7"/>
      <c r="D6" s="7"/>
      <c r="E6" s="437"/>
      <c r="F6" s="437"/>
      <c r="G6" s="437"/>
      <c r="H6" s="435"/>
      <c r="I6" s="435"/>
      <c r="J6" s="437"/>
      <c r="K6" s="437"/>
      <c r="L6" s="437"/>
    </row>
    <row r="7" spans="1:15" s="2" customFormat="1" ht="13.5" customHeight="1" x14ac:dyDescent="0.35">
      <c r="A7" s="29">
        <v>1</v>
      </c>
      <c r="B7" s="52" t="s">
        <v>835</v>
      </c>
      <c r="C7" s="7"/>
      <c r="D7" s="52"/>
      <c r="E7" s="437"/>
      <c r="F7" s="437"/>
      <c r="G7" s="437"/>
      <c r="H7" s="630"/>
      <c r="I7" s="630"/>
      <c r="J7" s="437"/>
      <c r="K7" s="437"/>
      <c r="L7" s="456"/>
    </row>
    <row r="9" spans="1:15" ht="13" thickBot="1" x14ac:dyDescent="0.3"/>
    <row r="10" spans="1:15" ht="13" x14ac:dyDescent="0.3">
      <c r="C10" s="554" t="s">
        <v>832</v>
      </c>
      <c r="D10" s="641">
        <v>2022</v>
      </c>
      <c r="E10" s="642"/>
      <c r="F10" s="643"/>
      <c r="G10" s="641">
        <v>2023</v>
      </c>
      <c r="H10" s="642"/>
      <c r="I10" s="643"/>
      <c r="J10" s="641">
        <v>2024</v>
      </c>
      <c r="K10" s="642"/>
      <c r="L10" s="643"/>
      <c r="M10" s="641">
        <v>2025</v>
      </c>
      <c r="N10" s="642"/>
      <c r="O10" s="643"/>
    </row>
    <row r="11" spans="1:15" x14ac:dyDescent="0.25">
      <c r="C11" s="521" t="s">
        <v>211</v>
      </c>
      <c r="D11" s="525">
        <v>0.46</v>
      </c>
      <c r="E11" s="526">
        <v>0.15</v>
      </c>
      <c r="F11" s="527">
        <v>0.27380967085922192</v>
      </c>
      <c r="G11" s="525">
        <v>0.46</v>
      </c>
      <c r="H11" s="526">
        <v>0.15</v>
      </c>
      <c r="I11" s="527">
        <v>0.27380967085922192</v>
      </c>
      <c r="J11" s="525">
        <v>0.46</v>
      </c>
      <c r="K11" s="526">
        <v>0.15</v>
      </c>
      <c r="L11" s="527">
        <v>0.27380967085922192</v>
      </c>
      <c r="M11" s="525">
        <v>0.46</v>
      </c>
      <c r="N11" s="526">
        <v>0.15</v>
      </c>
      <c r="O11" s="527">
        <v>0.27380967085922192</v>
      </c>
    </row>
    <row r="12" spans="1:15" ht="13" x14ac:dyDescent="0.3">
      <c r="C12" s="569" t="s">
        <v>845</v>
      </c>
      <c r="D12" s="528" t="s">
        <v>220</v>
      </c>
      <c r="E12" s="529" t="s">
        <v>407</v>
      </c>
      <c r="F12" s="530" t="s">
        <v>651</v>
      </c>
      <c r="G12" s="528" t="s">
        <v>220</v>
      </c>
      <c r="H12" s="529" t="s">
        <v>407</v>
      </c>
      <c r="I12" s="530" t="s">
        <v>651</v>
      </c>
      <c r="J12" s="528" t="s">
        <v>220</v>
      </c>
      <c r="K12" s="529" t="s">
        <v>407</v>
      </c>
      <c r="L12" s="530" t="s">
        <v>651</v>
      </c>
      <c r="M12" s="528" t="s">
        <v>220</v>
      </c>
      <c r="N12" s="529" t="s">
        <v>407</v>
      </c>
      <c r="O12" s="530" t="s">
        <v>651</v>
      </c>
    </row>
    <row r="13" spans="1:15" ht="13" x14ac:dyDescent="0.3">
      <c r="B13" s="522" t="s">
        <v>841</v>
      </c>
      <c r="C13" s="522" t="s">
        <v>237</v>
      </c>
      <c r="D13" s="531"/>
      <c r="E13" s="532"/>
      <c r="F13" s="533"/>
      <c r="G13" s="531"/>
      <c r="H13" s="532"/>
      <c r="I13" s="533"/>
      <c r="J13" s="531"/>
      <c r="K13" s="532"/>
      <c r="L13" s="533"/>
      <c r="M13" s="531"/>
      <c r="N13" s="532"/>
      <c r="O13" s="533"/>
    </row>
    <row r="14" spans="1:15" x14ac:dyDescent="0.25">
      <c r="B14" s="520" t="s">
        <v>837</v>
      </c>
      <c r="C14" s="520" t="s">
        <v>167</v>
      </c>
      <c r="D14" s="534">
        <f>'Projection Mkt product mix'!C14*D39</f>
        <v>4.5299210943938242</v>
      </c>
      <c r="E14" s="535">
        <f>'Projection Mkt product mix'!D14*E39</f>
        <v>0</v>
      </c>
      <c r="F14" s="536">
        <f>'Projection Mkt product mix'!E14*F39</f>
        <v>2.8521725409146295</v>
      </c>
      <c r="G14" s="534">
        <f>'Projection Mkt product mix'!F14*G39</f>
        <v>11.705798033009344</v>
      </c>
      <c r="H14" s="535">
        <f>'Projection Mkt product mix'!G14*H39</f>
        <v>0</v>
      </c>
      <c r="I14" s="536">
        <f>'Projection Mkt product mix'!H14*I39</f>
        <v>4.335480752966423</v>
      </c>
      <c r="J14" s="534">
        <f>'Projection Mkt product mix'!I14*J39</f>
        <v>21.11049357429177</v>
      </c>
      <c r="K14" s="535">
        <f>'Projection Mkt product mix'!J14*K39</f>
        <v>0</v>
      </c>
      <c r="L14" s="536">
        <f>'Projection Mkt product mix'!K14*L39</f>
        <v>4.6912207942870587</v>
      </c>
      <c r="M14" s="534">
        <f>'Projection Mkt product mix'!L14*M39</f>
        <v>31.979747785033481</v>
      </c>
      <c r="N14" s="535">
        <f>'Projection Mkt product mix'!M14*N39</f>
        <v>0</v>
      </c>
      <c r="O14" s="536">
        <f>'Projection Mkt product mix'!N14*O39</f>
        <v>5.0761504420688057</v>
      </c>
    </row>
    <row r="15" spans="1:15" x14ac:dyDescent="0.25">
      <c r="B15" s="520" t="s">
        <v>839</v>
      </c>
      <c r="C15" s="520" t="s">
        <v>136</v>
      </c>
      <c r="D15" s="534">
        <f>'Projection Mkt product mix'!C15*D40</f>
        <v>0</v>
      </c>
      <c r="E15" s="535">
        <f>'Projection Mkt product mix'!D15*E40</f>
        <v>0</v>
      </c>
      <c r="F15" s="536">
        <f>'Projection Mkt product mix'!E15*F40</f>
        <v>4.2672495241851009E-2</v>
      </c>
      <c r="G15" s="534">
        <f>'Projection Mkt product mix'!F15*G40</f>
        <v>4.6595340558447133E-3</v>
      </c>
      <c r="H15" s="535">
        <f>'Projection Mkt product mix'!G15*H40</f>
        <v>0</v>
      </c>
      <c r="I15" s="536">
        <f>'Projection Mkt product mix'!H15*I40</f>
        <v>7.2481640868695546E-2</v>
      </c>
      <c r="J15" s="534">
        <f>'Projection Mkt product mix'!I15*J40</f>
        <v>7.6650761617268505E-3</v>
      </c>
      <c r="K15" s="535">
        <f>'Projection Mkt product mix'!J15*K40</f>
        <v>0</v>
      </c>
      <c r="L15" s="536">
        <f>'Projection Mkt product mix'!K15*L40</f>
        <v>8.942588855347991E-2</v>
      </c>
      <c r="M15" s="534">
        <f>'Projection Mkt product mix'!L15*M40</f>
        <v>9.4569636997355287E-3</v>
      </c>
      <c r="N15" s="535">
        <f>'Projection Mkt product mix'!M15*N40</f>
        <v>0</v>
      </c>
      <c r="O15" s="536">
        <f>'Projection Mkt product mix'!N15*O40</f>
        <v>0.11033124316358116</v>
      </c>
    </row>
    <row r="16" spans="1:15" x14ac:dyDescent="0.25">
      <c r="B16" s="520" t="s">
        <v>839</v>
      </c>
      <c r="C16" s="520" t="s">
        <v>117</v>
      </c>
      <c r="D16" s="534">
        <f>'Projection Mkt product mix'!C16*D41</f>
        <v>0</v>
      </c>
      <c r="E16" s="535">
        <f>'Projection Mkt product mix'!D16*E41</f>
        <v>0</v>
      </c>
      <c r="F16" s="536">
        <f>'Projection Mkt product mix'!E16*F41</f>
        <v>8.3029994445780117E-3</v>
      </c>
      <c r="G16" s="534">
        <f>'Projection Mkt product mix'!F16*G41</f>
        <v>7.7206989249257551E-4</v>
      </c>
      <c r="H16" s="535">
        <f>'Projection Mkt product mix'!G16*H41</f>
        <v>0</v>
      </c>
      <c r="I16" s="536">
        <f>'Projection Mkt product mix'!H16*I41</f>
        <v>7.7206989249257547E-3</v>
      </c>
      <c r="J16" s="534">
        <f>'Projection Mkt product mix'!I16*J41</f>
        <v>6.0104490649360827E-4</v>
      </c>
      <c r="K16" s="535">
        <f>'Projection Mkt product mix'!J16*K41</f>
        <v>0</v>
      </c>
      <c r="L16" s="536">
        <f>'Projection Mkt product mix'!K16*L41</f>
        <v>4.5078367987020614E-3</v>
      </c>
      <c r="M16" s="534">
        <f>'Projection Mkt product mix'!L16*M41</f>
        <v>3.5092837753550701E-4</v>
      </c>
      <c r="N16" s="535">
        <f>'Projection Mkt product mix'!M16*N41</f>
        <v>0</v>
      </c>
      <c r="O16" s="536">
        <f>'Projection Mkt product mix'!N16*O41</f>
        <v>2.6319628315163023E-3</v>
      </c>
    </row>
    <row r="17" spans="2:15" x14ac:dyDescent="0.25">
      <c r="B17" s="520" t="s">
        <v>839</v>
      </c>
      <c r="C17" s="520" t="s">
        <v>124</v>
      </c>
      <c r="D17" s="534">
        <f>'Projection Mkt product mix'!C17*D42</f>
        <v>0</v>
      </c>
      <c r="E17" s="535">
        <f>'Projection Mkt product mix'!D17*E42</f>
        <v>0</v>
      </c>
      <c r="F17" s="536">
        <f>'Projection Mkt product mix'!E17*F42</f>
        <v>1.5881036677320812E-2</v>
      </c>
      <c r="G17" s="534">
        <f>'Projection Mkt product mix'!F17*G42</f>
        <v>2.5114098378844923E-3</v>
      </c>
      <c r="H17" s="535">
        <f>'Projection Mkt product mix'!G17*H42</f>
        <v>0</v>
      </c>
      <c r="I17" s="536">
        <f>'Projection Mkt product mix'!H17*I42</f>
        <v>2.5114098378844926E-2</v>
      </c>
      <c r="J17" s="534">
        <f>'Projection Mkt product mix'!I17*J42</f>
        <v>3.8065818055763711E-3</v>
      </c>
      <c r="K17" s="535">
        <f>'Projection Mkt product mix'!J17*K42</f>
        <v>0</v>
      </c>
      <c r="L17" s="536">
        <f>'Projection Mkt product mix'!K17*L42</f>
        <v>2.8549363541822779E-2</v>
      </c>
      <c r="M17" s="534">
        <f>'Projection Mkt product mix'!L17*M42</f>
        <v>4.3272701324858897E-3</v>
      </c>
      <c r="N17" s="535">
        <f>'Projection Mkt product mix'!M17*N42</f>
        <v>0</v>
      </c>
      <c r="O17" s="536">
        <f>'Projection Mkt product mix'!N17*O42</f>
        <v>3.2454525993644165E-2</v>
      </c>
    </row>
    <row r="18" spans="2:15" x14ac:dyDescent="0.25">
      <c r="B18" s="520" t="s">
        <v>838</v>
      </c>
      <c r="C18" s="520" t="s">
        <v>73</v>
      </c>
      <c r="D18" s="534">
        <f>'Projection Mkt product mix'!C18*D43</f>
        <v>0</v>
      </c>
      <c r="E18" s="535">
        <f>'Projection Mkt product mix'!D18*E43</f>
        <v>0</v>
      </c>
      <c r="F18" s="536">
        <f>'Projection Mkt product mix'!E18*F43</f>
        <v>1.4004249162608557</v>
      </c>
      <c r="G18" s="534">
        <f>'Projection Mkt product mix'!F18*G43</f>
        <v>0</v>
      </c>
      <c r="H18" s="535">
        <f>'Projection Mkt product mix'!G18*H43</f>
        <v>0</v>
      </c>
      <c r="I18" s="536">
        <f>'Projection Mkt product mix'!H18*I43</f>
        <v>2.2005421535779877</v>
      </c>
      <c r="J18" s="534">
        <f>'Projection Mkt product mix'!I18*J43</f>
        <v>0.50430962465670071</v>
      </c>
      <c r="K18" s="535">
        <f>'Projection Mkt product mix'!J18*K43</f>
        <v>0</v>
      </c>
      <c r="L18" s="536">
        <f>'Projection Mkt product mix'!K18*L43</f>
        <v>2.5215481232835035</v>
      </c>
      <c r="M18" s="534">
        <f>'Projection Mkt product mix'!L18*M43</f>
        <v>0.9631270378372272</v>
      </c>
      <c r="N18" s="535">
        <f>'Projection Mkt product mix'!M18*N43</f>
        <v>0</v>
      </c>
      <c r="O18" s="536">
        <f>'Projection Mkt product mix'!N18*O43</f>
        <v>2.8893811135116811</v>
      </c>
    </row>
    <row r="19" spans="2:15" x14ac:dyDescent="0.25">
      <c r="B19" s="520" t="s">
        <v>840</v>
      </c>
      <c r="C19" s="520" t="s">
        <v>156</v>
      </c>
      <c r="D19" s="534">
        <f>'Projection Mkt product mix'!C19*D44</f>
        <v>0</v>
      </c>
      <c r="E19" s="535">
        <f>'Projection Mkt product mix'!D19*E44</f>
        <v>0</v>
      </c>
      <c r="F19" s="536">
        <f>'Projection Mkt product mix'!E19*F44</f>
        <v>2.9768611542035632</v>
      </c>
      <c r="G19" s="534">
        <f>'Projection Mkt product mix'!F19*G44</f>
        <v>0.46799745704674522</v>
      </c>
      <c r="H19" s="535">
        <f>'Projection Mkt product mix'!G19*H44</f>
        <v>0</v>
      </c>
      <c r="I19" s="536">
        <f>'Projection Mkt product mix'!H19*I44</f>
        <v>4.6799745704674516</v>
      </c>
      <c r="J19" s="534">
        <f>'Projection Mkt product mix'!I19*J44</f>
        <v>0.7028071347665259</v>
      </c>
      <c r="K19" s="535">
        <f>'Projection Mkt product mix'!J19*K44</f>
        <v>0</v>
      </c>
      <c r="L19" s="536">
        <f>'Projection Mkt product mix'!K19*L44</f>
        <v>5.2710535107489429</v>
      </c>
      <c r="M19" s="534">
        <f>'Projection Mkt product mix'!L19*M44</f>
        <v>0.79157139837203849</v>
      </c>
      <c r="N19" s="535">
        <f>'Projection Mkt product mix'!M19*N44</f>
        <v>0</v>
      </c>
      <c r="O19" s="536">
        <f>'Projection Mkt product mix'!N19*O44</f>
        <v>5.9367854877902877</v>
      </c>
    </row>
    <row r="20" spans="2:15" x14ac:dyDescent="0.25">
      <c r="B20" s="520" t="s">
        <v>839</v>
      </c>
      <c r="C20" s="520" t="s">
        <v>113</v>
      </c>
      <c r="D20" s="534">
        <f>'Projection Mkt product mix'!C20*D45</f>
        <v>0</v>
      </c>
      <c r="E20" s="535">
        <f>'Projection Mkt product mix'!D20*E45</f>
        <v>0</v>
      </c>
      <c r="F20" s="536">
        <f>'Projection Mkt product mix'!E20*F45</f>
        <v>2.4970906248507294</v>
      </c>
      <c r="G20" s="534">
        <f>'Projection Mkt product mix'!F20*G45</f>
        <v>0.38584069708077678</v>
      </c>
      <c r="H20" s="535">
        <f>'Projection Mkt product mix'!G20*H45</f>
        <v>0</v>
      </c>
      <c r="I20" s="536">
        <f>'Projection Mkt product mix'!H20*I45</f>
        <v>3.8584069708077675</v>
      </c>
      <c r="J20" s="534">
        <f>'Projection Mkt product mix'!I20*J45</f>
        <v>0.57219365572822023</v>
      </c>
      <c r="K20" s="535">
        <f>'Projection Mkt product mix'!J20*K45</f>
        <v>0</v>
      </c>
      <c r="L20" s="536">
        <f>'Projection Mkt product mix'!K20*L45</f>
        <v>4.2914524179616516</v>
      </c>
      <c r="M20" s="534">
        <f>'Projection Mkt product mix'!L20*M45</f>
        <v>0.63641338666333414</v>
      </c>
      <c r="N20" s="535">
        <f>'Projection Mkt product mix'!M20*N45</f>
        <v>0</v>
      </c>
      <c r="O20" s="536">
        <f>'Projection Mkt product mix'!N20*O45</f>
        <v>4.7731003999750055</v>
      </c>
    </row>
    <row r="21" spans="2:15" x14ac:dyDescent="0.25">
      <c r="B21" s="520" t="s">
        <v>840</v>
      </c>
      <c r="C21" s="520" t="s">
        <v>182</v>
      </c>
      <c r="D21" s="534">
        <f>'Projection Mkt product mix'!C21*D46</f>
        <v>0</v>
      </c>
      <c r="E21" s="535">
        <f>'Projection Mkt product mix'!D21*E46</f>
        <v>0</v>
      </c>
      <c r="F21" s="536">
        <f>'Projection Mkt product mix'!E21*F46</f>
        <v>1.0971291005920756</v>
      </c>
      <c r="G21" s="534">
        <f>'Projection Mkt product mix'!F21*G46</f>
        <v>0</v>
      </c>
      <c r="H21" s="535">
        <f>'Projection Mkt product mix'!G21*H46</f>
        <v>0</v>
      </c>
      <c r="I21" s="536">
        <f>'Projection Mkt product mix'!H21*I46</f>
        <v>1.586490897766063</v>
      </c>
      <c r="J21" s="534">
        <f>'Projection Mkt product mix'!I21*J46</f>
        <v>0</v>
      </c>
      <c r="K21" s="535">
        <f>'Projection Mkt product mix'!J21*K46</f>
        <v>0</v>
      </c>
      <c r="L21" s="536">
        <f>'Projection Mkt product mix'!K21*L46</f>
        <v>1.616844765819021</v>
      </c>
      <c r="M21" s="534">
        <f>'Projection Mkt product mix'!L21*M46</f>
        <v>0</v>
      </c>
      <c r="N21" s="535">
        <f>'Projection Mkt product mix'!M21*N46</f>
        <v>0</v>
      </c>
      <c r="O21" s="536">
        <f>'Projection Mkt product mix'!N21*O46</f>
        <v>1.6477793855845002</v>
      </c>
    </row>
    <row r="22" spans="2:15" x14ac:dyDescent="0.25">
      <c r="B22" s="520" t="s">
        <v>839</v>
      </c>
      <c r="C22" s="520" t="s">
        <v>158</v>
      </c>
      <c r="D22" s="534">
        <f>'Projection Mkt product mix'!C22*D47</f>
        <v>0</v>
      </c>
      <c r="E22" s="535">
        <f>'Projection Mkt product mix'!D22*E47</f>
        <v>8.169804693559886</v>
      </c>
      <c r="F22" s="536">
        <f>'Projection Mkt product mix'!E22*F47</f>
        <v>1.0683590753116767</v>
      </c>
      <c r="G22" s="534">
        <f>'Projection Mkt product mix'!F22*G47</f>
        <v>1.1866854148961983</v>
      </c>
      <c r="H22" s="535">
        <f>'Projection Mkt product mix'!G22*H47</f>
        <v>10.284606929100384</v>
      </c>
      <c r="I22" s="536">
        <f>'Projection Mkt product mix'!H22*I47</f>
        <v>1.5822472198615967</v>
      </c>
      <c r="J22" s="534">
        <f>'Projection Mkt product mix'!I22*J47</f>
        <v>1.6738090603748184</v>
      </c>
      <c r="K22" s="535">
        <f>'Projection Mkt product mix'!J22*K47</f>
        <v>10.879758892436319</v>
      </c>
      <c r="L22" s="536">
        <f>'Projection Mkt product mix'!K22*L47</f>
        <v>1.6738090603748175</v>
      </c>
      <c r="M22" s="534">
        <f>'Projection Mkt product mix'!L22*M47</f>
        <v>1.770669422214499</v>
      </c>
      <c r="N22" s="535">
        <f>'Projection Mkt product mix'!M22*N47</f>
        <v>11.509351244394244</v>
      </c>
      <c r="O22" s="536">
        <f>'Projection Mkt product mix'!N22*O47</f>
        <v>1.7706694222144981</v>
      </c>
    </row>
    <row r="23" spans="2:15" x14ac:dyDescent="0.25">
      <c r="B23" s="520" t="s">
        <v>840</v>
      </c>
      <c r="C23" s="520" t="s">
        <v>184</v>
      </c>
      <c r="D23" s="534">
        <f>'Projection Mkt product mix'!C23*D48</f>
        <v>0</v>
      </c>
      <c r="E23" s="535">
        <f>'Projection Mkt product mix'!D23*E48</f>
        <v>0</v>
      </c>
      <c r="F23" s="536">
        <f>'Projection Mkt product mix'!E23*F48</f>
        <v>2.6145172913883563</v>
      </c>
      <c r="G23" s="534">
        <f>'Projection Mkt product mix'!F23*G48</f>
        <v>0.4278580256227037</v>
      </c>
      <c r="H23" s="535">
        <f>'Projection Mkt product mix'!G23*H48</f>
        <v>0</v>
      </c>
      <c r="I23" s="536">
        <f>'Projection Mkt product mix'!H23*I48</f>
        <v>4.2785802562270367</v>
      </c>
      <c r="J23" s="534">
        <f>'Projection Mkt product mix'!I23*J48</f>
        <v>0.66917521390582879</v>
      </c>
      <c r="K23" s="535">
        <f>'Projection Mkt product mix'!J23*K48</f>
        <v>0</v>
      </c>
      <c r="L23" s="536">
        <f>'Projection Mkt product mix'!K23*L48</f>
        <v>5.0188141042937158</v>
      </c>
      <c r="M23" s="534">
        <f>'Projection Mkt product mix'!L23*M48</f>
        <v>0.78494869808891232</v>
      </c>
      <c r="N23" s="535">
        <f>'Projection Mkt product mix'!M23*N48</f>
        <v>0</v>
      </c>
      <c r="O23" s="536">
        <f>'Projection Mkt product mix'!N23*O48</f>
        <v>5.8871152356668413</v>
      </c>
    </row>
    <row r="24" spans="2:15" x14ac:dyDescent="0.25">
      <c r="B24" s="520" t="s">
        <v>840</v>
      </c>
      <c r="C24" s="520" t="s">
        <v>125</v>
      </c>
      <c r="D24" s="534">
        <f>'Projection Mkt product mix'!C24*D49</f>
        <v>0</v>
      </c>
      <c r="E24" s="535">
        <f>'Projection Mkt product mix'!D24*E49</f>
        <v>0</v>
      </c>
      <c r="F24" s="536">
        <f>'Projection Mkt product mix'!E24*F49</f>
        <v>2.9665093087072039E-3</v>
      </c>
      <c r="G24" s="534">
        <f>'Projection Mkt product mix'!F24*G49</f>
        <v>4.8979563416181953E-4</v>
      </c>
      <c r="H24" s="535">
        <f>'Projection Mkt product mix'!G24*H49</f>
        <v>0</v>
      </c>
      <c r="I24" s="536">
        <f>'Projection Mkt product mix'!H24*I49</f>
        <v>4.8979563416181949E-3</v>
      </c>
      <c r="J24" s="534">
        <f>'Projection Mkt product mix'!I24*J49</f>
        <v>7.7792640552530427E-4</v>
      </c>
      <c r="K24" s="535">
        <f>'Projection Mkt product mix'!J24*K49</f>
        <v>0</v>
      </c>
      <c r="L24" s="536">
        <f>'Projection Mkt product mix'!K24*L49</f>
        <v>5.8344480414397812E-3</v>
      </c>
      <c r="M24" s="534">
        <f>'Projection Mkt product mix'!L24*M49</f>
        <v>9.2666632295907196E-4</v>
      </c>
      <c r="N24" s="535">
        <f>'Projection Mkt product mix'!M24*N49</f>
        <v>0</v>
      </c>
      <c r="O24" s="536">
        <f>'Projection Mkt product mix'!N24*O49</f>
        <v>6.9499974221930386E-3</v>
      </c>
    </row>
    <row r="25" spans="2:15" x14ac:dyDescent="0.25">
      <c r="B25" s="520" t="s">
        <v>839</v>
      </c>
      <c r="C25" s="520" t="s">
        <v>144</v>
      </c>
      <c r="D25" s="534">
        <f>'Projection Mkt product mix'!C25*D50</f>
        <v>0</v>
      </c>
      <c r="E25" s="535">
        <f>'Projection Mkt product mix'!D25*E50</f>
        <v>0</v>
      </c>
      <c r="F25" s="536">
        <f>'Projection Mkt product mix'!E25*F50</f>
        <v>2.4601231799347479E-3</v>
      </c>
      <c r="G25" s="534">
        <f>'Projection Mkt product mix'!F25*G50</f>
        <v>3.9667617395102453E-4</v>
      </c>
      <c r="H25" s="535">
        <f>'Projection Mkt product mix'!G25*H50</f>
        <v>0</v>
      </c>
      <c r="I25" s="536">
        <f>'Projection Mkt product mix'!H25*I50</f>
        <v>3.9667617395102456E-3</v>
      </c>
      <c r="J25" s="534">
        <f>'Projection Mkt product mix'!I25*J50</f>
        <v>6.1563903816296505E-4</v>
      </c>
      <c r="K25" s="535">
        <f>'Projection Mkt product mix'!J25*K50</f>
        <v>0</v>
      </c>
      <c r="L25" s="536">
        <f>'Projection Mkt product mix'!K25*L50</f>
        <v>4.6172927862222369E-3</v>
      </c>
      <c r="M25" s="534">
        <f>'Projection Mkt product mix'!L25*M50</f>
        <v>7.1660106567873023E-4</v>
      </c>
      <c r="N25" s="535">
        <f>'Projection Mkt product mix'!M25*N50</f>
        <v>0</v>
      </c>
      <c r="O25" s="536">
        <f>'Projection Mkt product mix'!N25*O50</f>
        <v>5.3745079925904757E-3</v>
      </c>
    </row>
    <row r="26" spans="2:15" x14ac:dyDescent="0.25">
      <c r="B26" s="520" t="s">
        <v>839</v>
      </c>
      <c r="C26" s="520" t="s">
        <v>68</v>
      </c>
      <c r="D26" s="534">
        <f>'Projection Mkt product mix'!C26*D51</f>
        <v>0</v>
      </c>
      <c r="E26" s="535">
        <f>'Projection Mkt product mix'!D26*E51</f>
        <v>0</v>
      </c>
      <c r="F26" s="536">
        <f>'Projection Mkt product mix'!E26*F51</f>
        <v>1.6103848835991878E-3</v>
      </c>
      <c r="G26" s="534">
        <f>'Projection Mkt product mix'!F26*G51</f>
        <v>2.568052776275481E-4</v>
      </c>
      <c r="H26" s="535">
        <f>'Projection Mkt product mix'!G26*H51</f>
        <v>0</v>
      </c>
      <c r="I26" s="536">
        <f>'Projection Mkt product mix'!H26*I51</f>
        <v>2.5680527762754809E-3</v>
      </c>
      <c r="J26" s="534">
        <f>'Projection Mkt product mix'!I26*J51</f>
        <v>3.9242466462937323E-4</v>
      </c>
      <c r="K26" s="535">
        <f>'Projection Mkt product mix'!J26*K51</f>
        <v>0</v>
      </c>
      <c r="L26" s="536">
        <f>'Projection Mkt product mix'!K26*L51</f>
        <v>2.9431849847202994E-3</v>
      </c>
      <c r="M26" s="534">
        <f>'Projection Mkt product mix'!L26*M51</f>
        <v>4.4974869334506748E-4</v>
      </c>
      <c r="N26" s="535">
        <f>'Projection Mkt product mix'!M26*N51</f>
        <v>0</v>
      </c>
      <c r="O26" s="536">
        <f>'Projection Mkt product mix'!N26*O51</f>
        <v>3.3731152000880055E-3</v>
      </c>
    </row>
    <row r="27" spans="2:15" x14ac:dyDescent="0.25">
      <c r="B27" s="523" t="s">
        <v>840</v>
      </c>
      <c r="C27" s="523" t="s">
        <v>119</v>
      </c>
      <c r="D27" s="537">
        <f>'Projection Mkt product mix'!C27*D52</f>
        <v>0</v>
      </c>
      <c r="E27" s="538">
        <f>'Projection Mkt product mix'!D27*E52</f>
        <v>0</v>
      </c>
      <c r="F27" s="539">
        <f>'Projection Mkt product mix'!E27*F52</f>
        <v>1.4783996498533392</v>
      </c>
      <c r="G27" s="537">
        <f>'Projection Mkt product mix'!F27*G52</f>
        <v>0.22384709977863967</v>
      </c>
      <c r="H27" s="538">
        <f>'Projection Mkt product mix'!G27*H52</f>
        <v>0</v>
      </c>
      <c r="I27" s="539">
        <f>'Projection Mkt product mix'!H27*I52</f>
        <v>2.2384709977863966</v>
      </c>
      <c r="J27" s="537">
        <f>'Projection Mkt product mix'!I27*J52</f>
        <v>0.32437016095394888</v>
      </c>
      <c r="K27" s="538">
        <f>'Projection Mkt product mix'!J27*K52</f>
        <v>0</v>
      </c>
      <c r="L27" s="539">
        <f>'Projection Mkt product mix'!K27*L52</f>
        <v>2.4327762071546162</v>
      </c>
      <c r="M27" s="537">
        <f>'Projection Mkt product mix'!L27*M52</f>
        <v>0.35252634975393171</v>
      </c>
      <c r="N27" s="538">
        <f>'Projection Mkt product mix'!M27*N52</f>
        <v>0</v>
      </c>
      <c r="O27" s="539">
        <f>'Projection Mkt product mix'!N27*O52</f>
        <v>2.6439476231544878</v>
      </c>
    </row>
    <row r="28" spans="2:15" ht="13.5" thickBot="1" x14ac:dyDescent="0.35">
      <c r="B28" s="524"/>
      <c r="C28" s="524" t="s">
        <v>826</v>
      </c>
      <c r="D28" s="540">
        <f t="shared" ref="D28:G28" si="0">SUM(D14:D27)</f>
        <v>4.5299210943938242</v>
      </c>
      <c r="E28" s="541">
        <f t="shared" ref="E28" si="1">SUM(E14:E27)</f>
        <v>8.169804693559886</v>
      </c>
      <c r="F28" s="542">
        <f t="shared" si="0"/>
        <v>16.058847902111218</v>
      </c>
      <c r="G28" s="540">
        <f t="shared" si="0"/>
        <v>14.407113018306372</v>
      </c>
      <c r="H28" s="541">
        <f t="shared" ref="H28:N28" si="2">SUM(H14:H27)</f>
        <v>10.284606929100384</v>
      </c>
      <c r="I28" s="542">
        <f t="shared" ref="I28:J28" si="3">SUM(I14:I27)</f>
        <v>24.876943028490594</v>
      </c>
      <c r="J28" s="540">
        <f t="shared" si="3"/>
        <v>25.571017117659927</v>
      </c>
      <c r="K28" s="541">
        <f t="shared" si="2"/>
        <v>10.879758892436319</v>
      </c>
      <c r="L28" s="542">
        <f t="shared" ref="L28:M28" si="4">SUM(L14:L27)</f>
        <v>27.653396998629713</v>
      </c>
      <c r="M28" s="540">
        <f t="shared" si="4"/>
        <v>37.295232256255154</v>
      </c>
      <c r="N28" s="541">
        <f t="shared" si="2"/>
        <v>11.509351244394244</v>
      </c>
      <c r="O28" s="542">
        <f t="shared" ref="O28" si="5">SUM(O14:O27)</f>
        <v>30.786044462569723</v>
      </c>
    </row>
    <row r="29" spans="2:15" ht="14" thickTop="1" thickBot="1" x14ac:dyDescent="0.35">
      <c r="B29" s="524"/>
      <c r="C29" s="524" t="s">
        <v>827</v>
      </c>
      <c r="D29" s="543">
        <f t="shared" ref="D29:G29" si="6">SUM(D14:D27)/D11</f>
        <v>9.8476545530300523</v>
      </c>
      <c r="E29" s="544">
        <f t="shared" ref="E29" si="7">SUM(E14:E27)/E11</f>
        <v>54.465364623732576</v>
      </c>
      <c r="F29" s="545">
        <f t="shared" si="6"/>
        <v>58.649673883753387</v>
      </c>
      <c r="G29" s="543">
        <f t="shared" si="6"/>
        <v>31.319810909361678</v>
      </c>
      <c r="H29" s="544">
        <f t="shared" ref="H29:N29" si="8">SUM(H14:H27)/H11</f>
        <v>68.564046194002572</v>
      </c>
      <c r="I29" s="545">
        <f t="shared" ref="I29:J29" si="9">SUM(I14:I27)/I11</f>
        <v>90.854873571214981</v>
      </c>
      <c r="J29" s="543">
        <f t="shared" si="9"/>
        <v>55.589167647086796</v>
      </c>
      <c r="K29" s="544">
        <f t="shared" si="8"/>
        <v>72.53172594957546</v>
      </c>
      <c r="L29" s="545">
        <f t="shared" ref="L29:M29" si="10">SUM(L14:L27)/L11</f>
        <v>100.99496088597832</v>
      </c>
      <c r="M29" s="543">
        <f t="shared" si="10"/>
        <v>81.076591861424248</v>
      </c>
      <c r="N29" s="544">
        <f t="shared" si="8"/>
        <v>76.729008295961634</v>
      </c>
      <c r="O29" s="545">
        <f t="shared" ref="O29" si="11">SUM(O14:O27)/O11</f>
        <v>112.43592808815814</v>
      </c>
    </row>
    <row r="30" spans="2:15" ht="13" thickTop="1" x14ac:dyDescent="0.25">
      <c r="F30" s="160">
        <f>SUM(D29:F29)</f>
        <v>122.96269306051602</v>
      </c>
      <c r="I30" s="7">
        <f>SUM(G29:I29)</f>
        <v>190.73873067457924</v>
      </c>
      <c r="L30" s="7">
        <f>SUM(J29:L29)</f>
        <v>229.11585448264057</v>
      </c>
      <c r="O30" s="7">
        <f>SUM(M29:O29)</f>
        <v>270.24152824554403</v>
      </c>
    </row>
    <row r="31" spans="2:15" ht="13" x14ac:dyDescent="0.3">
      <c r="C31" s="555" t="s">
        <v>842</v>
      </c>
      <c r="D31" s="556">
        <f>'OCP Sales in CIV - synthesis '!F14/1000</f>
        <v>4.1308092000000007</v>
      </c>
      <c r="E31" s="556">
        <f>'OCP Sales in CIV - synthesis '!F13/1000</f>
        <v>10.487399999999999</v>
      </c>
      <c r="F31" s="556">
        <f>('OCP Sales in CIV - synthesis '!F11+'OCP Sales in CIV - synthesis '!F15+'OCP Sales in CIV - synthesis '!F17)/1000</f>
        <v>16.139067580000003</v>
      </c>
    </row>
    <row r="32" spans="2:15" ht="13" x14ac:dyDescent="0.3">
      <c r="C32" s="555" t="s">
        <v>843</v>
      </c>
      <c r="D32" s="556">
        <f>D31/D11</f>
        <v>8.9800200000000014</v>
      </c>
      <c r="E32" s="556">
        <f t="shared" ref="E32:F32" si="12">E31/E11</f>
        <v>69.915999999999997</v>
      </c>
      <c r="F32" s="556">
        <f t="shared" si="12"/>
        <v>58.942649941308446</v>
      </c>
    </row>
    <row r="33" spans="2:19" ht="13" x14ac:dyDescent="0.3">
      <c r="C33" s="555" t="s">
        <v>844</v>
      </c>
      <c r="D33" s="556">
        <f>D29-D32</f>
        <v>0.86763455303005088</v>
      </c>
      <c r="E33" s="556">
        <f t="shared" ref="E33:F33" si="13">E29-E32</f>
        <v>-15.450635376267421</v>
      </c>
      <c r="F33" s="556">
        <f t="shared" si="13"/>
        <v>-0.29297605755505884</v>
      </c>
    </row>
    <row r="34" spans="2:19" ht="13" x14ac:dyDescent="0.3">
      <c r="C34" s="555"/>
      <c r="D34" s="556"/>
      <c r="E34" s="556" t="s">
        <v>901</v>
      </c>
      <c r="F34" s="556"/>
    </row>
    <row r="35" spans="2:19" ht="13" thickBot="1" x14ac:dyDescent="0.3">
      <c r="B35" s="7"/>
    </row>
    <row r="36" spans="2:19" ht="13" x14ac:dyDescent="0.3">
      <c r="B36" s="7"/>
      <c r="C36" s="563" t="s">
        <v>836</v>
      </c>
      <c r="D36" s="641">
        <v>2022</v>
      </c>
      <c r="E36" s="642"/>
      <c r="F36" s="643"/>
      <c r="G36" s="641">
        <v>2023</v>
      </c>
      <c r="H36" s="642"/>
      <c r="I36" s="643"/>
      <c r="J36" s="641">
        <v>2024</v>
      </c>
      <c r="K36" s="642"/>
      <c r="L36" s="643"/>
      <c r="M36" s="641">
        <v>2025</v>
      </c>
      <c r="N36" s="642"/>
      <c r="O36" s="643"/>
    </row>
    <row r="37" spans="2:19" ht="13.5" thickBot="1" x14ac:dyDescent="0.35">
      <c r="B37" s="7"/>
      <c r="C37" s="565" t="s">
        <v>201</v>
      </c>
      <c r="D37" s="566" t="s">
        <v>220</v>
      </c>
      <c r="E37" s="529" t="s">
        <v>407</v>
      </c>
      <c r="F37" s="530" t="s">
        <v>651</v>
      </c>
      <c r="G37" s="528" t="s">
        <v>220</v>
      </c>
      <c r="H37" s="529" t="s">
        <v>407</v>
      </c>
      <c r="I37" s="530" t="s">
        <v>651</v>
      </c>
      <c r="J37" s="528" t="s">
        <v>220</v>
      </c>
      <c r="K37" s="529" t="s">
        <v>407</v>
      </c>
      <c r="L37" s="530" t="s">
        <v>651</v>
      </c>
      <c r="M37" s="528" t="s">
        <v>220</v>
      </c>
      <c r="N37" s="529" t="s">
        <v>407</v>
      </c>
      <c r="O37" s="530" t="s">
        <v>651</v>
      </c>
    </row>
    <row r="38" spans="2:19" ht="13" x14ac:dyDescent="0.3">
      <c r="B38" s="564" t="s">
        <v>841</v>
      </c>
      <c r="C38" s="564" t="s">
        <v>237</v>
      </c>
      <c r="D38" s="531"/>
      <c r="E38" s="532"/>
      <c r="F38" s="533"/>
      <c r="G38" s="531"/>
      <c r="H38" s="532"/>
      <c r="I38" s="533"/>
      <c r="J38" s="531"/>
      <c r="K38" s="532"/>
      <c r="L38" s="533"/>
      <c r="M38" s="531"/>
      <c r="N38" s="532"/>
      <c r="O38" s="533"/>
    </row>
    <row r="39" spans="2:19" x14ac:dyDescent="0.25">
      <c r="B39" s="492" t="s">
        <v>837</v>
      </c>
      <c r="C39" s="492" t="s">
        <v>167</v>
      </c>
      <c r="D39" s="546">
        <v>0.15</v>
      </c>
      <c r="E39" s="547">
        <v>1</v>
      </c>
      <c r="F39" s="548">
        <v>0.85</v>
      </c>
      <c r="G39" s="546">
        <v>0.3</v>
      </c>
      <c r="H39" s="547">
        <v>1</v>
      </c>
      <c r="I39" s="548">
        <v>1</v>
      </c>
      <c r="J39" s="546">
        <v>0.5</v>
      </c>
      <c r="K39" s="547">
        <v>1</v>
      </c>
      <c r="L39" s="548">
        <v>1</v>
      </c>
      <c r="M39" s="546">
        <v>0.7</v>
      </c>
      <c r="N39" s="547">
        <v>1</v>
      </c>
      <c r="O39" s="548">
        <v>1</v>
      </c>
      <c r="Q39" s="567"/>
      <c r="R39" s="567"/>
      <c r="S39" s="567"/>
    </row>
    <row r="40" spans="2:19" x14ac:dyDescent="0.25">
      <c r="B40" s="492" t="s">
        <v>839</v>
      </c>
      <c r="C40" s="492" t="s">
        <v>136</v>
      </c>
      <c r="D40" s="546">
        <v>0</v>
      </c>
      <c r="E40" s="547">
        <v>1</v>
      </c>
      <c r="F40" s="548">
        <v>0.85</v>
      </c>
      <c r="G40" s="546">
        <v>0.15</v>
      </c>
      <c r="H40" s="547">
        <v>1</v>
      </c>
      <c r="I40" s="548">
        <v>1</v>
      </c>
      <c r="J40" s="546">
        <v>0.2</v>
      </c>
      <c r="K40" s="547">
        <v>1</v>
      </c>
      <c r="L40" s="548">
        <v>1</v>
      </c>
      <c r="M40" s="546">
        <v>0.2</v>
      </c>
      <c r="N40" s="547">
        <v>1</v>
      </c>
      <c r="O40" s="548">
        <v>1</v>
      </c>
      <c r="Q40" s="567"/>
      <c r="R40" s="567"/>
      <c r="S40" s="567"/>
    </row>
    <row r="41" spans="2:19" x14ac:dyDescent="0.25">
      <c r="B41" s="492" t="s">
        <v>839</v>
      </c>
      <c r="C41" s="492" t="s">
        <v>117</v>
      </c>
      <c r="D41" s="546">
        <v>0</v>
      </c>
      <c r="E41" s="547">
        <v>1</v>
      </c>
      <c r="F41" s="548">
        <v>0.85</v>
      </c>
      <c r="G41" s="546">
        <v>0.15</v>
      </c>
      <c r="H41" s="547">
        <v>1</v>
      </c>
      <c r="I41" s="548">
        <v>1</v>
      </c>
      <c r="J41" s="546">
        <v>0.2</v>
      </c>
      <c r="K41" s="547">
        <v>1</v>
      </c>
      <c r="L41" s="548">
        <v>1</v>
      </c>
      <c r="M41" s="546">
        <v>0.2</v>
      </c>
      <c r="N41" s="547">
        <v>1</v>
      </c>
      <c r="O41" s="548">
        <v>1</v>
      </c>
      <c r="Q41" s="567"/>
      <c r="R41" s="567"/>
      <c r="S41" s="567"/>
    </row>
    <row r="42" spans="2:19" x14ac:dyDescent="0.25">
      <c r="B42" s="492" t="s">
        <v>839</v>
      </c>
      <c r="C42" s="492" t="s">
        <v>124</v>
      </c>
      <c r="D42" s="546">
        <v>0</v>
      </c>
      <c r="E42" s="547">
        <v>1</v>
      </c>
      <c r="F42" s="548">
        <v>0.85</v>
      </c>
      <c r="G42" s="546">
        <v>0.15</v>
      </c>
      <c r="H42" s="547">
        <v>1</v>
      </c>
      <c r="I42" s="548">
        <v>1</v>
      </c>
      <c r="J42" s="546">
        <v>0.2</v>
      </c>
      <c r="K42" s="547">
        <v>1</v>
      </c>
      <c r="L42" s="548">
        <v>1</v>
      </c>
      <c r="M42" s="546">
        <v>0.2</v>
      </c>
      <c r="N42" s="547">
        <v>1</v>
      </c>
      <c r="O42" s="548">
        <v>1</v>
      </c>
      <c r="Q42" s="567"/>
      <c r="R42" s="567"/>
      <c r="S42" s="567"/>
    </row>
    <row r="43" spans="2:19" x14ac:dyDescent="0.25">
      <c r="B43" s="492" t="s">
        <v>838</v>
      </c>
      <c r="C43" s="492" t="s">
        <v>73</v>
      </c>
      <c r="D43" s="546">
        <v>0</v>
      </c>
      <c r="E43" s="547">
        <v>1</v>
      </c>
      <c r="F43" s="548">
        <v>0.85</v>
      </c>
      <c r="G43" s="546">
        <v>0</v>
      </c>
      <c r="H43" s="547">
        <v>1</v>
      </c>
      <c r="I43" s="548">
        <v>1</v>
      </c>
      <c r="J43" s="546">
        <v>0.3</v>
      </c>
      <c r="K43" s="547">
        <v>1</v>
      </c>
      <c r="L43" s="548">
        <v>1</v>
      </c>
      <c r="M43" s="546">
        <v>0.5</v>
      </c>
      <c r="N43" s="547">
        <v>1</v>
      </c>
      <c r="O43" s="548">
        <v>1</v>
      </c>
      <c r="Q43" s="567"/>
      <c r="R43" s="567"/>
      <c r="S43" s="567"/>
    </row>
    <row r="44" spans="2:19" x14ac:dyDescent="0.25">
      <c r="B44" s="492" t="s">
        <v>840</v>
      </c>
      <c r="C44" s="492" t="s">
        <v>156</v>
      </c>
      <c r="D44" s="546">
        <v>0</v>
      </c>
      <c r="E44" s="547">
        <v>1</v>
      </c>
      <c r="F44" s="548">
        <v>0.85</v>
      </c>
      <c r="G44" s="546">
        <v>0.15</v>
      </c>
      <c r="H44" s="547">
        <v>1</v>
      </c>
      <c r="I44" s="548">
        <v>1</v>
      </c>
      <c r="J44" s="546">
        <v>0.2</v>
      </c>
      <c r="K44" s="547">
        <v>1</v>
      </c>
      <c r="L44" s="548">
        <v>1</v>
      </c>
      <c r="M44" s="546">
        <v>0.2</v>
      </c>
      <c r="N44" s="547">
        <v>1</v>
      </c>
      <c r="O44" s="548">
        <v>1</v>
      </c>
      <c r="Q44" s="567"/>
      <c r="R44" s="567"/>
      <c r="S44" s="567"/>
    </row>
    <row r="45" spans="2:19" x14ac:dyDescent="0.25">
      <c r="B45" s="492" t="s">
        <v>839</v>
      </c>
      <c r="C45" s="492" t="s">
        <v>113</v>
      </c>
      <c r="D45" s="546">
        <v>0</v>
      </c>
      <c r="E45" s="547">
        <v>1</v>
      </c>
      <c r="F45" s="548">
        <v>0.85</v>
      </c>
      <c r="G45" s="546">
        <v>0.15</v>
      </c>
      <c r="H45" s="547">
        <v>1</v>
      </c>
      <c r="I45" s="548">
        <v>1</v>
      </c>
      <c r="J45" s="546">
        <v>0.2</v>
      </c>
      <c r="K45" s="547">
        <v>1</v>
      </c>
      <c r="L45" s="548">
        <v>1</v>
      </c>
      <c r="M45" s="546">
        <v>0.2</v>
      </c>
      <c r="N45" s="547">
        <v>1</v>
      </c>
      <c r="O45" s="548">
        <v>1</v>
      </c>
      <c r="Q45" s="567"/>
      <c r="R45" s="567"/>
      <c r="S45" s="567"/>
    </row>
    <row r="46" spans="2:19" x14ac:dyDescent="0.25">
      <c r="B46" s="492" t="s">
        <v>840</v>
      </c>
      <c r="C46" s="492" t="s">
        <v>182</v>
      </c>
      <c r="D46" s="546">
        <v>0</v>
      </c>
      <c r="E46" s="547">
        <v>1</v>
      </c>
      <c r="F46" s="548">
        <v>0.85</v>
      </c>
      <c r="G46" s="546">
        <v>0.15</v>
      </c>
      <c r="H46" s="547">
        <v>1</v>
      </c>
      <c r="I46" s="548">
        <v>1</v>
      </c>
      <c r="J46" s="546">
        <v>0.2</v>
      </c>
      <c r="K46" s="547">
        <v>1</v>
      </c>
      <c r="L46" s="548">
        <v>1</v>
      </c>
      <c r="M46" s="546">
        <v>0.2</v>
      </c>
      <c r="N46" s="547">
        <v>1</v>
      </c>
      <c r="O46" s="548">
        <v>1</v>
      </c>
      <c r="Q46" s="567"/>
      <c r="R46" s="567"/>
      <c r="S46" s="567"/>
    </row>
    <row r="47" spans="2:19" x14ac:dyDescent="0.25">
      <c r="B47" s="492" t="s">
        <v>839</v>
      </c>
      <c r="C47" s="492" t="s">
        <v>158</v>
      </c>
      <c r="D47" s="546">
        <v>0</v>
      </c>
      <c r="E47" s="547">
        <v>1</v>
      </c>
      <c r="F47" s="548">
        <v>0.85</v>
      </c>
      <c r="G47" s="546">
        <v>0.15</v>
      </c>
      <c r="H47" s="547">
        <v>1</v>
      </c>
      <c r="I47" s="548">
        <v>1</v>
      </c>
      <c r="J47" s="546">
        <v>0.2</v>
      </c>
      <c r="K47" s="547">
        <v>1</v>
      </c>
      <c r="L47" s="548">
        <v>1</v>
      </c>
      <c r="M47" s="546">
        <v>0.2</v>
      </c>
      <c r="N47" s="547">
        <v>1</v>
      </c>
      <c r="O47" s="548">
        <v>1</v>
      </c>
      <c r="Q47" s="567"/>
      <c r="R47" s="567"/>
      <c r="S47" s="567"/>
    </row>
    <row r="48" spans="2:19" x14ac:dyDescent="0.25">
      <c r="B48" s="492" t="s">
        <v>840</v>
      </c>
      <c r="C48" s="492" t="s">
        <v>184</v>
      </c>
      <c r="D48" s="546">
        <v>0</v>
      </c>
      <c r="E48" s="547">
        <v>1</v>
      </c>
      <c r="F48" s="548">
        <v>0.85</v>
      </c>
      <c r="G48" s="546">
        <v>0.15</v>
      </c>
      <c r="H48" s="547">
        <v>1</v>
      </c>
      <c r="I48" s="548">
        <v>1</v>
      </c>
      <c r="J48" s="546">
        <v>0.2</v>
      </c>
      <c r="K48" s="547">
        <v>1</v>
      </c>
      <c r="L48" s="548">
        <v>1</v>
      </c>
      <c r="M48" s="546">
        <v>0.2</v>
      </c>
      <c r="N48" s="547">
        <v>1</v>
      </c>
      <c r="O48" s="548">
        <v>1</v>
      </c>
      <c r="Q48" s="567"/>
      <c r="R48" s="567"/>
      <c r="S48" s="567"/>
    </row>
    <row r="49" spans="1:19" x14ac:dyDescent="0.25">
      <c r="B49" s="492" t="s">
        <v>840</v>
      </c>
      <c r="C49" s="492" t="s">
        <v>125</v>
      </c>
      <c r="D49" s="546">
        <v>0</v>
      </c>
      <c r="E49" s="547">
        <v>1</v>
      </c>
      <c r="F49" s="548">
        <v>0.85</v>
      </c>
      <c r="G49" s="546">
        <v>0.15</v>
      </c>
      <c r="H49" s="547">
        <v>1</v>
      </c>
      <c r="I49" s="548">
        <v>1</v>
      </c>
      <c r="J49" s="546">
        <v>0.2</v>
      </c>
      <c r="K49" s="547">
        <v>1</v>
      </c>
      <c r="L49" s="548">
        <v>1</v>
      </c>
      <c r="M49" s="546">
        <v>0.2</v>
      </c>
      <c r="N49" s="547">
        <v>1</v>
      </c>
      <c r="O49" s="548">
        <v>1</v>
      </c>
      <c r="Q49" s="567"/>
      <c r="R49" s="567"/>
      <c r="S49" s="567"/>
    </row>
    <row r="50" spans="1:19" x14ac:dyDescent="0.25">
      <c r="B50" s="492" t="s">
        <v>839</v>
      </c>
      <c r="C50" s="492" t="s">
        <v>144</v>
      </c>
      <c r="D50" s="546">
        <v>0</v>
      </c>
      <c r="E50" s="547">
        <v>1</v>
      </c>
      <c r="F50" s="548">
        <v>0.85</v>
      </c>
      <c r="G50" s="546">
        <v>0.15</v>
      </c>
      <c r="H50" s="547">
        <v>1</v>
      </c>
      <c r="I50" s="548">
        <v>1</v>
      </c>
      <c r="J50" s="546">
        <v>0.2</v>
      </c>
      <c r="K50" s="547">
        <v>1</v>
      </c>
      <c r="L50" s="548">
        <v>1</v>
      </c>
      <c r="M50" s="546">
        <v>0.2</v>
      </c>
      <c r="N50" s="547">
        <v>1</v>
      </c>
      <c r="O50" s="548">
        <v>1</v>
      </c>
      <c r="Q50" s="567"/>
      <c r="R50" s="567"/>
      <c r="S50" s="567"/>
    </row>
    <row r="51" spans="1:19" x14ac:dyDescent="0.25">
      <c r="B51" s="492" t="s">
        <v>839</v>
      </c>
      <c r="C51" s="492" t="s">
        <v>68</v>
      </c>
      <c r="D51" s="546">
        <v>0</v>
      </c>
      <c r="E51" s="547">
        <v>1</v>
      </c>
      <c r="F51" s="548">
        <v>0.85</v>
      </c>
      <c r="G51" s="546">
        <v>0.15</v>
      </c>
      <c r="H51" s="547">
        <v>1</v>
      </c>
      <c r="I51" s="548">
        <v>1</v>
      </c>
      <c r="J51" s="546">
        <v>0.2</v>
      </c>
      <c r="K51" s="547">
        <v>1</v>
      </c>
      <c r="L51" s="548">
        <v>1</v>
      </c>
      <c r="M51" s="546">
        <v>0.2</v>
      </c>
      <c r="N51" s="547">
        <v>1</v>
      </c>
      <c r="O51" s="548">
        <v>1</v>
      </c>
      <c r="Q51" s="567"/>
      <c r="R51" s="567"/>
      <c r="S51" s="567"/>
    </row>
    <row r="52" spans="1:19" ht="13" thickBot="1" x14ac:dyDescent="0.3">
      <c r="B52" s="493" t="s">
        <v>840</v>
      </c>
      <c r="C52" s="493" t="s">
        <v>119</v>
      </c>
      <c r="D52" s="557">
        <v>0</v>
      </c>
      <c r="E52" s="558">
        <v>1</v>
      </c>
      <c r="F52" s="559">
        <v>0.85</v>
      </c>
      <c r="G52" s="557">
        <v>0.15</v>
      </c>
      <c r="H52" s="558">
        <v>1</v>
      </c>
      <c r="I52" s="559">
        <v>1</v>
      </c>
      <c r="J52" s="557">
        <v>0.2</v>
      </c>
      <c r="K52" s="558">
        <v>1</v>
      </c>
      <c r="L52" s="559">
        <v>1</v>
      </c>
      <c r="M52" s="557">
        <v>0.2</v>
      </c>
      <c r="N52" s="558">
        <v>1</v>
      </c>
      <c r="O52" s="559">
        <v>1</v>
      </c>
      <c r="Q52" s="567"/>
      <c r="R52" s="567"/>
      <c r="S52" s="567"/>
    </row>
    <row r="53" spans="1:19" s="560" customFormat="1" ht="13" x14ac:dyDescent="0.3">
      <c r="A53" s="561"/>
      <c r="B53" s="562"/>
    </row>
    <row r="54" spans="1:19" s="560" customFormat="1" ht="13" x14ac:dyDescent="0.3">
      <c r="B54" s="562"/>
    </row>
    <row r="55" spans="1:19" ht="13" thickBot="1" x14ac:dyDescent="0.3"/>
    <row r="56" spans="1:19" ht="13" x14ac:dyDescent="0.3">
      <c r="C56" s="554" t="s">
        <v>833</v>
      </c>
      <c r="D56" s="641">
        <v>2022</v>
      </c>
      <c r="E56" s="642"/>
      <c r="F56" s="643"/>
      <c r="G56" s="641">
        <v>2023</v>
      </c>
      <c r="H56" s="642"/>
      <c r="I56" s="643"/>
      <c r="J56" s="641">
        <v>2024</v>
      </c>
      <c r="K56" s="642"/>
      <c r="L56" s="643"/>
      <c r="M56" s="641">
        <v>2025</v>
      </c>
      <c r="N56" s="642"/>
      <c r="O56" s="643"/>
    </row>
    <row r="57" spans="1:19" x14ac:dyDescent="0.25">
      <c r="C57" s="521" t="s">
        <v>211</v>
      </c>
      <c r="D57" s="525">
        <v>0.46</v>
      </c>
      <c r="E57" s="526">
        <v>0.15</v>
      </c>
      <c r="F57" s="527">
        <v>0.27380967085922192</v>
      </c>
      <c r="G57" s="525">
        <v>0.46</v>
      </c>
      <c r="H57" s="526">
        <v>0.15</v>
      </c>
      <c r="I57" s="527">
        <v>0.27380967085922192</v>
      </c>
      <c r="J57" s="525">
        <v>0.46</v>
      </c>
      <c r="K57" s="526">
        <v>0.15</v>
      </c>
      <c r="L57" s="527">
        <v>0.27380967085922192</v>
      </c>
      <c r="M57" s="525">
        <v>0.46</v>
      </c>
      <c r="N57" s="526">
        <v>0.15</v>
      </c>
      <c r="O57" s="527">
        <v>0.27380967085922192</v>
      </c>
    </row>
    <row r="58" spans="1:19" ht="13" x14ac:dyDescent="0.3">
      <c r="C58" s="569" t="s">
        <v>846</v>
      </c>
      <c r="D58" s="528" t="s">
        <v>220</v>
      </c>
      <c r="E58" s="529" t="s">
        <v>407</v>
      </c>
      <c r="F58" s="530" t="s">
        <v>651</v>
      </c>
      <c r="G58" s="528" t="s">
        <v>220</v>
      </c>
      <c r="H58" s="529" t="s">
        <v>407</v>
      </c>
      <c r="I58" s="530" t="s">
        <v>651</v>
      </c>
      <c r="J58" s="528" t="s">
        <v>220</v>
      </c>
      <c r="K58" s="529" t="s">
        <v>407</v>
      </c>
      <c r="L58" s="530" t="s">
        <v>651</v>
      </c>
      <c r="M58" s="528" t="s">
        <v>220</v>
      </c>
      <c r="N58" s="529" t="s">
        <v>407</v>
      </c>
      <c r="O58" s="530" t="s">
        <v>651</v>
      </c>
    </row>
    <row r="59" spans="1:19" ht="13" x14ac:dyDescent="0.3">
      <c r="B59" s="522" t="s">
        <v>841</v>
      </c>
      <c r="C59" s="522" t="s">
        <v>237</v>
      </c>
      <c r="D59" s="531"/>
      <c r="E59" s="532"/>
      <c r="F59" s="533"/>
      <c r="G59" s="531"/>
      <c r="H59" s="532"/>
      <c r="I59" s="533"/>
      <c r="J59" s="531"/>
      <c r="K59" s="532"/>
      <c r="L59" s="533"/>
      <c r="M59" s="531"/>
      <c r="N59" s="532"/>
      <c r="O59" s="533"/>
    </row>
    <row r="60" spans="1:19" x14ac:dyDescent="0.25">
      <c r="B60" s="520" t="s">
        <v>837</v>
      </c>
      <c r="C60" s="520" t="s">
        <v>167</v>
      </c>
      <c r="D60" s="534">
        <f t="shared" ref="D60:O60" si="14">D14/D$57</f>
        <v>9.8476545530300523</v>
      </c>
      <c r="E60" s="535">
        <f t="shared" si="14"/>
        <v>0</v>
      </c>
      <c r="F60" s="536">
        <f t="shared" si="14"/>
        <v>10.416624555167965</v>
      </c>
      <c r="G60" s="534">
        <f t="shared" si="14"/>
        <v>25.447387028281181</v>
      </c>
      <c r="H60" s="535">
        <f t="shared" si="14"/>
        <v>0</v>
      </c>
      <c r="I60" s="536">
        <f t="shared" si="14"/>
        <v>15.83392120286172</v>
      </c>
      <c r="J60" s="534">
        <f t="shared" si="14"/>
        <v>45.892377335416889</v>
      </c>
      <c r="K60" s="535">
        <f t="shared" si="14"/>
        <v>0</v>
      </c>
      <c r="L60" s="536">
        <f t="shared" si="14"/>
        <v>17.133145003848423</v>
      </c>
      <c r="M60" s="534">
        <f t="shared" si="14"/>
        <v>69.521190837029309</v>
      </c>
      <c r="N60" s="535">
        <f t="shared" si="14"/>
        <v>0</v>
      </c>
      <c r="O60" s="536">
        <f t="shared" si="14"/>
        <v>18.538974266831818</v>
      </c>
    </row>
    <row r="61" spans="1:19" x14ac:dyDescent="0.25">
      <c r="B61" s="520" t="s">
        <v>839</v>
      </c>
      <c r="C61" s="520" t="s">
        <v>136</v>
      </c>
      <c r="D61" s="534">
        <f t="shared" ref="D61:O61" si="15">D15/D$57</f>
        <v>0</v>
      </c>
      <c r="E61" s="535">
        <f t="shared" si="15"/>
        <v>0</v>
      </c>
      <c r="F61" s="536">
        <f t="shared" si="15"/>
        <v>0.15584729022880603</v>
      </c>
      <c r="G61" s="534">
        <f t="shared" si="15"/>
        <v>1.0129421860531986E-2</v>
      </c>
      <c r="H61" s="535">
        <f t="shared" si="15"/>
        <v>0</v>
      </c>
      <c r="I61" s="536">
        <f t="shared" si="15"/>
        <v>0.26471541578953828</v>
      </c>
      <c r="J61" s="534">
        <f t="shared" si="15"/>
        <v>1.6663209047232282E-2</v>
      </c>
      <c r="K61" s="535">
        <f t="shared" si="15"/>
        <v>0</v>
      </c>
      <c r="L61" s="536">
        <f t="shared" si="15"/>
        <v>0.32659872192555922</v>
      </c>
      <c r="M61" s="534">
        <f t="shared" si="15"/>
        <v>2.0558616738555496E-2</v>
      </c>
      <c r="N61" s="535">
        <f t="shared" si="15"/>
        <v>0</v>
      </c>
      <c r="O61" s="536">
        <f t="shared" si="15"/>
        <v>0.40294867167167187</v>
      </c>
    </row>
    <row r="62" spans="1:19" x14ac:dyDescent="0.25">
      <c r="B62" s="520" t="s">
        <v>839</v>
      </c>
      <c r="C62" s="520" t="s">
        <v>117</v>
      </c>
      <c r="D62" s="534">
        <f t="shared" ref="D62:O62" si="16">D16/D$57</f>
        <v>0</v>
      </c>
      <c r="E62" s="535">
        <f t="shared" si="16"/>
        <v>0</v>
      </c>
      <c r="F62" s="536">
        <f t="shared" si="16"/>
        <v>3.032398168597545E-2</v>
      </c>
      <c r="G62" s="534">
        <f t="shared" si="16"/>
        <v>1.6784128097664685E-3</v>
      </c>
      <c r="H62" s="535">
        <f t="shared" si="16"/>
        <v>0</v>
      </c>
      <c r="I62" s="536">
        <f t="shared" si="16"/>
        <v>2.8197320060675723E-2</v>
      </c>
      <c r="J62" s="534">
        <f t="shared" si="16"/>
        <v>1.3066193619426267E-3</v>
      </c>
      <c r="K62" s="535">
        <f t="shared" si="16"/>
        <v>0</v>
      </c>
      <c r="L62" s="536">
        <f t="shared" si="16"/>
        <v>1.6463395118793106E-2</v>
      </c>
      <c r="M62" s="534">
        <f t="shared" si="16"/>
        <v>7.628877772511022E-4</v>
      </c>
      <c r="N62" s="535">
        <f t="shared" si="16"/>
        <v>0</v>
      </c>
      <c r="O62" s="536">
        <f t="shared" si="16"/>
        <v>9.612380831024463E-3</v>
      </c>
    </row>
    <row r="63" spans="1:19" x14ac:dyDescent="0.25">
      <c r="B63" s="520" t="s">
        <v>839</v>
      </c>
      <c r="C63" s="520" t="s">
        <v>124</v>
      </c>
      <c r="D63" s="534">
        <f t="shared" ref="D63:O63" si="17">D17/D$57</f>
        <v>0</v>
      </c>
      <c r="E63" s="535">
        <f t="shared" si="17"/>
        <v>0</v>
      </c>
      <c r="F63" s="536">
        <f t="shared" si="17"/>
        <v>5.8000276715886999E-2</v>
      </c>
      <c r="G63" s="534">
        <f t="shared" si="17"/>
        <v>5.4595866040967221E-3</v>
      </c>
      <c r="H63" s="535">
        <f t="shared" si="17"/>
        <v>0</v>
      </c>
      <c r="I63" s="536">
        <f t="shared" si="17"/>
        <v>9.1721005689960569E-2</v>
      </c>
      <c r="J63" s="534">
        <f t="shared" si="17"/>
        <v>8.2751778382095017E-3</v>
      </c>
      <c r="K63" s="535">
        <f t="shared" si="17"/>
        <v>0</v>
      </c>
      <c r="L63" s="536">
        <f t="shared" si="17"/>
        <v>0.10426718476463642</v>
      </c>
      <c r="M63" s="534">
        <f t="shared" si="17"/>
        <v>9.4071089836649767E-3</v>
      </c>
      <c r="N63" s="535">
        <f t="shared" si="17"/>
        <v>0</v>
      </c>
      <c r="O63" s="536">
        <f t="shared" si="17"/>
        <v>0.1185295095377786</v>
      </c>
    </row>
    <row r="64" spans="1:19" x14ac:dyDescent="0.25">
      <c r="B64" s="520" t="s">
        <v>838</v>
      </c>
      <c r="C64" s="520" t="s">
        <v>73</v>
      </c>
      <c r="D64" s="534">
        <f t="shared" ref="D64:O64" si="18">D18/D$57</f>
        <v>0</v>
      </c>
      <c r="E64" s="535">
        <f t="shared" si="18"/>
        <v>0</v>
      </c>
      <c r="F64" s="536">
        <f t="shared" si="18"/>
        <v>5.11459259954656</v>
      </c>
      <c r="G64" s="534">
        <f t="shared" si="18"/>
        <v>0</v>
      </c>
      <c r="H64" s="535">
        <f t="shared" si="18"/>
        <v>0</v>
      </c>
      <c r="I64" s="536">
        <f t="shared" si="18"/>
        <v>8.0367583317003692</v>
      </c>
      <c r="J64" s="534">
        <f t="shared" si="18"/>
        <v>1.0963252709928275</v>
      </c>
      <c r="K64" s="535">
        <f t="shared" si="18"/>
        <v>0</v>
      </c>
      <c r="L64" s="536">
        <f t="shared" si="18"/>
        <v>9.2091273305680534</v>
      </c>
      <c r="M64" s="534">
        <f t="shared" si="18"/>
        <v>2.0937544300809288</v>
      </c>
      <c r="N64" s="535">
        <f t="shared" si="18"/>
        <v>0</v>
      </c>
      <c r="O64" s="536">
        <f t="shared" si="18"/>
        <v>10.552516660367502</v>
      </c>
    </row>
    <row r="65" spans="1:15" x14ac:dyDescent="0.25">
      <c r="B65" s="520" t="s">
        <v>840</v>
      </c>
      <c r="C65" s="520" t="s">
        <v>156</v>
      </c>
      <c r="D65" s="534">
        <f t="shared" ref="D65:O65" si="19">D19/D$57</f>
        <v>0</v>
      </c>
      <c r="E65" s="535">
        <f t="shared" si="19"/>
        <v>0</v>
      </c>
      <c r="F65" s="536">
        <f t="shared" si="19"/>
        <v>10.872008811310772</v>
      </c>
      <c r="G65" s="534">
        <f t="shared" si="19"/>
        <v>1.0173857761885765</v>
      </c>
      <c r="H65" s="535">
        <f t="shared" si="19"/>
        <v>0</v>
      </c>
      <c r="I65" s="536">
        <f t="shared" si="19"/>
        <v>17.092071860652581</v>
      </c>
      <c r="J65" s="534">
        <f t="shared" si="19"/>
        <v>1.5278415973185344</v>
      </c>
      <c r="K65" s="535">
        <f t="shared" si="19"/>
        <v>0</v>
      </c>
      <c r="L65" s="536">
        <f t="shared" si="19"/>
        <v>19.250793787554102</v>
      </c>
      <c r="M65" s="534">
        <f t="shared" si="19"/>
        <v>1.720807387765301</v>
      </c>
      <c r="N65" s="535">
        <f t="shared" si="19"/>
        <v>0</v>
      </c>
      <c r="O65" s="536">
        <f t="shared" si="19"/>
        <v>21.68216144141476</v>
      </c>
    </row>
    <row r="66" spans="1:15" x14ac:dyDescent="0.25">
      <c r="B66" s="520" t="s">
        <v>839</v>
      </c>
      <c r="C66" s="520" t="s">
        <v>113</v>
      </c>
      <c r="D66" s="534">
        <f t="shared" ref="D66:O66" si="20">D20/D$57</f>
        <v>0</v>
      </c>
      <c r="E66" s="535">
        <f t="shared" si="20"/>
        <v>0</v>
      </c>
      <c r="F66" s="536">
        <f t="shared" si="20"/>
        <v>9.1198043407845812</v>
      </c>
      <c r="G66" s="534">
        <f t="shared" si="20"/>
        <v>0.83878412408864511</v>
      </c>
      <c r="H66" s="535">
        <f t="shared" si="20"/>
        <v>0</v>
      </c>
      <c r="I66" s="536">
        <f t="shared" si="20"/>
        <v>14.091565716798772</v>
      </c>
      <c r="J66" s="534">
        <f t="shared" si="20"/>
        <v>1.2438992515830873</v>
      </c>
      <c r="K66" s="535">
        <f t="shared" si="20"/>
        <v>0</v>
      </c>
      <c r="L66" s="536">
        <f t="shared" si="20"/>
        <v>15.673122152679857</v>
      </c>
      <c r="M66" s="534">
        <f t="shared" si="20"/>
        <v>1.3835073623115959</v>
      </c>
      <c r="N66" s="535">
        <f t="shared" si="20"/>
        <v>0</v>
      </c>
      <c r="O66" s="536">
        <f t="shared" si="20"/>
        <v>17.432183403153335</v>
      </c>
    </row>
    <row r="67" spans="1:15" x14ac:dyDescent="0.25">
      <c r="B67" s="520" t="s">
        <v>840</v>
      </c>
      <c r="C67" s="520" t="s">
        <v>182</v>
      </c>
      <c r="D67" s="534">
        <f t="shared" ref="D67:O67" si="21">D21/D$57</f>
        <v>0</v>
      </c>
      <c r="E67" s="535">
        <f t="shared" si="21"/>
        <v>0</v>
      </c>
      <c r="F67" s="536">
        <f t="shared" si="21"/>
        <v>4.0069041285110778</v>
      </c>
      <c r="G67" s="534">
        <f t="shared" si="21"/>
        <v>0</v>
      </c>
      <c r="H67" s="535">
        <f t="shared" si="21"/>
        <v>0</v>
      </c>
      <c r="I67" s="536">
        <f t="shared" si="21"/>
        <v>5.7941375583543602</v>
      </c>
      <c r="J67" s="534">
        <f t="shared" si="21"/>
        <v>0</v>
      </c>
      <c r="K67" s="535">
        <f t="shared" si="21"/>
        <v>0</v>
      </c>
      <c r="L67" s="536">
        <f t="shared" si="21"/>
        <v>5.9049951038811734</v>
      </c>
      <c r="M67" s="534">
        <f t="shared" si="21"/>
        <v>0</v>
      </c>
      <c r="N67" s="535">
        <f t="shared" si="21"/>
        <v>0</v>
      </c>
      <c r="O67" s="536">
        <f t="shared" si="21"/>
        <v>6.017973654523324</v>
      </c>
    </row>
    <row r="68" spans="1:15" x14ac:dyDescent="0.25">
      <c r="B68" s="520" t="s">
        <v>839</v>
      </c>
      <c r="C68" s="520" t="s">
        <v>158</v>
      </c>
      <c r="D68" s="534">
        <f t="shared" ref="D68:O68" si="22">D22/D$57</f>
        <v>0</v>
      </c>
      <c r="E68" s="535">
        <f t="shared" si="22"/>
        <v>54.465364623732576</v>
      </c>
      <c r="F68" s="536">
        <f t="shared" si="22"/>
        <v>3.9018310491340134</v>
      </c>
      <c r="G68" s="534">
        <f t="shared" si="22"/>
        <v>2.5797509019482572</v>
      </c>
      <c r="H68" s="535">
        <f t="shared" si="22"/>
        <v>68.564046194002572</v>
      </c>
      <c r="I68" s="536">
        <f t="shared" si="22"/>
        <v>5.7786389169398706</v>
      </c>
      <c r="J68" s="534">
        <f t="shared" si="22"/>
        <v>3.6387153486409094</v>
      </c>
      <c r="K68" s="535">
        <f t="shared" si="22"/>
        <v>72.53172594957546</v>
      </c>
      <c r="L68" s="536">
        <f t="shared" si="22"/>
        <v>6.1130385027028478</v>
      </c>
      <c r="M68" s="534">
        <f t="shared" si="22"/>
        <v>3.8492813526402148</v>
      </c>
      <c r="N68" s="535">
        <f t="shared" si="22"/>
        <v>76.729008295961634</v>
      </c>
      <c r="O68" s="536">
        <f t="shared" si="22"/>
        <v>6.4667891994394902</v>
      </c>
    </row>
    <row r="69" spans="1:15" x14ac:dyDescent="0.25">
      <c r="B69" s="520" t="s">
        <v>840</v>
      </c>
      <c r="C69" s="520" t="s">
        <v>184</v>
      </c>
      <c r="D69" s="534">
        <f t="shared" ref="D69:O69" si="23">D23/D$57</f>
        <v>0</v>
      </c>
      <c r="E69" s="535">
        <f t="shared" si="23"/>
        <v>0</v>
      </c>
      <c r="F69" s="536">
        <f t="shared" si="23"/>
        <v>9.5486667186879579</v>
      </c>
      <c r="G69" s="534">
        <f t="shared" si="23"/>
        <v>0.93012614265805149</v>
      </c>
      <c r="H69" s="535">
        <f t="shared" si="23"/>
        <v>0</v>
      </c>
      <c r="I69" s="536">
        <f t="shared" si="23"/>
        <v>15.626110804635715</v>
      </c>
      <c r="J69" s="534">
        <f t="shared" si="23"/>
        <v>1.4547287258822363</v>
      </c>
      <c r="K69" s="535">
        <f t="shared" si="23"/>
        <v>0</v>
      </c>
      <c r="L69" s="536">
        <f t="shared" si="23"/>
        <v>18.329572102199844</v>
      </c>
      <c r="M69" s="534">
        <f t="shared" si="23"/>
        <v>1.7064102132367658</v>
      </c>
      <c r="N69" s="535">
        <f t="shared" si="23"/>
        <v>0</v>
      </c>
      <c r="O69" s="536">
        <f t="shared" si="23"/>
        <v>21.500757139778589</v>
      </c>
    </row>
    <row r="70" spans="1:15" x14ac:dyDescent="0.25">
      <c r="B70" s="520" t="s">
        <v>840</v>
      </c>
      <c r="C70" s="520" t="s">
        <v>125</v>
      </c>
      <c r="D70" s="534">
        <f t="shared" ref="D70:O70" si="24">D24/D$57</f>
        <v>0</v>
      </c>
      <c r="E70" s="535">
        <f t="shared" si="24"/>
        <v>0</v>
      </c>
      <c r="F70" s="536">
        <f t="shared" si="24"/>
        <v>1.0834202091541251E-2</v>
      </c>
      <c r="G70" s="534">
        <f t="shared" si="24"/>
        <v>1.0647731177430859E-3</v>
      </c>
      <c r="H70" s="535">
        <f t="shared" si="24"/>
        <v>0</v>
      </c>
      <c r="I70" s="536">
        <f t="shared" si="24"/>
        <v>1.7888178771218267E-2</v>
      </c>
      <c r="J70" s="534">
        <f t="shared" si="24"/>
        <v>1.6911443598376179E-3</v>
      </c>
      <c r="K70" s="535">
        <f t="shared" si="24"/>
        <v>0</v>
      </c>
      <c r="L70" s="536">
        <f t="shared" si="24"/>
        <v>2.1308407490250911E-2</v>
      </c>
      <c r="M70" s="534">
        <f t="shared" si="24"/>
        <v>2.014492006432765E-3</v>
      </c>
      <c r="N70" s="535">
        <f t="shared" si="24"/>
        <v>0</v>
      </c>
      <c r="O70" s="536">
        <f t="shared" si="24"/>
        <v>2.538258564930802E-2</v>
      </c>
    </row>
    <row r="71" spans="1:15" x14ac:dyDescent="0.25">
      <c r="B71" s="520" t="s">
        <v>839</v>
      </c>
      <c r="C71" s="520" t="s">
        <v>144</v>
      </c>
      <c r="D71" s="534">
        <f t="shared" ref="D71:O71" si="25">D25/D$57</f>
        <v>0</v>
      </c>
      <c r="E71" s="535">
        <f t="shared" si="25"/>
        <v>0</v>
      </c>
      <c r="F71" s="536">
        <f t="shared" si="25"/>
        <v>8.9847928753386142E-3</v>
      </c>
      <c r="G71" s="534">
        <f t="shared" si="25"/>
        <v>8.6233950858918373E-4</v>
      </c>
      <c r="H71" s="535">
        <f t="shared" si="25"/>
        <v>0</v>
      </c>
      <c r="I71" s="536">
        <f t="shared" si="25"/>
        <v>1.4487295963880469E-2</v>
      </c>
      <c r="J71" s="534">
        <f t="shared" si="25"/>
        <v>1.3383457351368805E-3</v>
      </c>
      <c r="K71" s="535">
        <f t="shared" si="25"/>
        <v>0</v>
      </c>
      <c r="L71" s="536">
        <f t="shared" si="25"/>
        <v>1.6863147206353419E-2</v>
      </c>
      <c r="M71" s="534">
        <f t="shared" si="25"/>
        <v>1.5578284036494134E-3</v>
      </c>
      <c r="N71" s="535">
        <f t="shared" si="25"/>
        <v>0</v>
      </c>
      <c r="O71" s="536">
        <f t="shared" si="25"/>
        <v>1.9628627344407262E-2</v>
      </c>
    </row>
    <row r="72" spans="1:15" x14ac:dyDescent="0.25">
      <c r="B72" s="520" t="s">
        <v>839</v>
      </c>
      <c r="C72" s="520" t="s">
        <v>68</v>
      </c>
      <c r="D72" s="534">
        <f t="shared" ref="D72:O72" si="26">D26/D$57</f>
        <v>0</v>
      </c>
      <c r="E72" s="535">
        <f t="shared" si="26"/>
        <v>0</v>
      </c>
      <c r="F72" s="536">
        <f t="shared" si="26"/>
        <v>5.8814025032269965E-3</v>
      </c>
      <c r="G72" s="534">
        <f t="shared" si="26"/>
        <v>5.5827234266858281E-4</v>
      </c>
      <c r="H72" s="535">
        <f t="shared" si="26"/>
        <v>0</v>
      </c>
      <c r="I72" s="536">
        <f t="shared" si="26"/>
        <v>9.3789703198461326E-3</v>
      </c>
      <c r="J72" s="534">
        <f t="shared" si="26"/>
        <v>8.5309709702037658E-4</v>
      </c>
      <c r="K72" s="535">
        <f t="shared" si="26"/>
        <v>0</v>
      </c>
      <c r="L72" s="536">
        <f t="shared" si="26"/>
        <v>1.07490176496853E-2</v>
      </c>
      <c r="M72" s="534">
        <f t="shared" si="26"/>
        <v>9.7771455075014663E-4</v>
      </c>
      <c r="N72" s="535">
        <f t="shared" si="26"/>
        <v>0</v>
      </c>
      <c r="O72" s="536">
        <f t="shared" si="26"/>
        <v>1.2319196723414048E-2</v>
      </c>
    </row>
    <row r="73" spans="1:15" x14ac:dyDescent="0.25">
      <c r="B73" s="523" t="s">
        <v>840</v>
      </c>
      <c r="C73" s="523" t="s">
        <v>119</v>
      </c>
      <c r="D73" s="537">
        <f t="shared" ref="D73:O73" si="27">D27/D$57</f>
        <v>0</v>
      </c>
      <c r="E73" s="538">
        <f t="shared" si="27"/>
        <v>0</v>
      </c>
      <c r="F73" s="539">
        <f t="shared" si="27"/>
        <v>5.3993697345096772</v>
      </c>
      <c r="G73" s="537">
        <f t="shared" si="27"/>
        <v>0.48662412995356447</v>
      </c>
      <c r="H73" s="538">
        <f t="shared" si="27"/>
        <v>0</v>
      </c>
      <c r="I73" s="539">
        <f t="shared" si="27"/>
        <v>8.175280992676468</v>
      </c>
      <c r="J73" s="537">
        <f t="shared" si="27"/>
        <v>0.70515252381293236</v>
      </c>
      <c r="K73" s="538">
        <f t="shared" si="27"/>
        <v>0</v>
      </c>
      <c r="L73" s="539">
        <f t="shared" si="27"/>
        <v>8.8849170283887364</v>
      </c>
      <c r="M73" s="537">
        <f t="shared" si="27"/>
        <v>0.76636162989985146</v>
      </c>
      <c r="N73" s="538">
        <f t="shared" si="27"/>
        <v>0</v>
      </c>
      <c r="O73" s="539">
        <f t="shared" si="27"/>
        <v>9.656151350891701</v>
      </c>
    </row>
    <row r="74" spans="1:15" ht="13.5" thickBot="1" x14ac:dyDescent="0.35">
      <c r="B74" s="524"/>
      <c r="C74" s="524" t="s">
        <v>829</v>
      </c>
      <c r="D74" s="540">
        <f t="shared" ref="D74" si="28">SUM(D60:D73)</f>
        <v>9.8476545530300523</v>
      </c>
      <c r="E74" s="541">
        <f t="shared" ref="E74" si="29">SUM(E60:E73)</f>
        <v>54.465364623732576</v>
      </c>
      <c r="F74" s="542">
        <f t="shared" ref="F74:G74" si="30">SUM(F60:F73)</f>
        <v>58.649673883753387</v>
      </c>
      <c r="G74" s="540">
        <f t="shared" si="30"/>
        <v>31.319810909361674</v>
      </c>
      <c r="H74" s="541">
        <f t="shared" ref="H74" si="31">SUM(H60:H73)</f>
        <v>68.564046194002572</v>
      </c>
      <c r="I74" s="542">
        <f t="shared" ref="I74:J74" si="32">SUM(I60:I73)</f>
        <v>90.854873571214966</v>
      </c>
      <c r="J74" s="540">
        <f t="shared" si="32"/>
        <v>55.589167647086789</v>
      </c>
      <c r="K74" s="541">
        <f t="shared" ref="K74" si="33">SUM(K60:K73)</f>
        <v>72.53172594957546</v>
      </c>
      <c r="L74" s="542">
        <f t="shared" ref="L74:M74" si="34">SUM(L60:L73)</f>
        <v>100.99496088597833</v>
      </c>
      <c r="M74" s="540">
        <f t="shared" si="34"/>
        <v>81.076591861424291</v>
      </c>
      <c r="N74" s="541">
        <f t="shared" ref="N74" si="35">SUM(N60:N73)</f>
        <v>76.729008295961634</v>
      </c>
      <c r="O74" s="542">
        <f t="shared" ref="O74" si="36">SUM(O60:O73)</f>
        <v>112.43592808815811</v>
      </c>
    </row>
    <row r="75" spans="1:15" ht="13.5" thickTop="1" x14ac:dyDescent="0.3">
      <c r="F75" s="568">
        <f>SUM(D74:F74)</f>
        <v>122.96269306051602</v>
      </c>
      <c r="I75" s="568">
        <f>SUM(G74:I74)</f>
        <v>190.73873067457922</v>
      </c>
      <c r="L75" s="568">
        <f>SUM(J74:L74)</f>
        <v>229.1158544826406</v>
      </c>
      <c r="O75" s="568">
        <f>SUM(M74:O74)</f>
        <v>270.24152824554403</v>
      </c>
    </row>
    <row r="79" spans="1:15" s="2" customFormat="1" ht="13.5" customHeight="1" x14ac:dyDescent="0.35">
      <c r="A79" s="29">
        <v>2</v>
      </c>
      <c r="B79" s="52" t="s">
        <v>831</v>
      </c>
      <c r="C79" s="7"/>
      <c r="D79" s="52"/>
      <c r="E79" s="437"/>
      <c r="F79" s="437"/>
      <c r="G79" s="437"/>
      <c r="H79" s="630"/>
      <c r="I79" s="630"/>
      <c r="J79" s="437"/>
      <c r="K79" s="437"/>
      <c r="L79" s="456"/>
    </row>
    <row r="80" spans="1:15" ht="13" thickBot="1" x14ac:dyDescent="0.3"/>
    <row r="81" spans="2:15" x14ac:dyDescent="0.25">
      <c r="C81" s="519"/>
      <c r="D81" s="641">
        <v>2022</v>
      </c>
      <c r="E81" s="642"/>
      <c r="F81" s="643"/>
      <c r="G81" s="641">
        <v>2023</v>
      </c>
      <c r="H81" s="642"/>
      <c r="I81" s="643"/>
      <c r="J81" s="641">
        <v>2024</v>
      </c>
      <c r="K81" s="642"/>
      <c r="L81" s="643"/>
      <c r="M81" s="641">
        <v>2025</v>
      </c>
      <c r="N81" s="642"/>
      <c r="O81" s="643"/>
    </row>
    <row r="82" spans="2:15" x14ac:dyDescent="0.25">
      <c r="C82" s="521" t="s">
        <v>211</v>
      </c>
      <c r="D82" s="525">
        <v>0.46</v>
      </c>
      <c r="E82" s="526">
        <v>0.15</v>
      </c>
      <c r="F82" s="527">
        <v>0.27380967085922192</v>
      </c>
      <c r="G82" s="525">
        <v>0.46</v>
      </c>
      <c r="H82" s="526">
        <v>0.15</v>
      </c>
      <c r="I82" s="527">
        <v>0.27380967085922192</v>
      </c>
      <c r="J82" s="525">
        <v>0.46</v>
      </c>
      <c r="K82" s="526">
        <v>0.15</v>
      </c>
      <c r="L82" s="527">
        <v>0.27380967085922192</v>
      </c>
      <c r="M82" s="525">
        <v>0.46</v>
      </c>
      <c r="N82" s="526">
        <v>0.15</v>
      </c>
      <c r="O82" s="527">
        <v>0.27380967085922192</v>
      </c>
    </row>
    <row r="83" spans="2:15" ht="13" x14ac:dyDescent="0.3">
      <c r="C83" s="569" t="s">
        <v>845</v>
      </c>
      <c r="D83" s="528" t="s">
        <v>220</v>
      </c>
      <c r="E83" s="529" t="s">
        <v>407</v>
      </c>
      <c r="F83" s="530" t="s">
        <v>651</v>
      </c>
      <c r="G83" s="528" t="s">
        <v>220</v>
      </c>
      <c r="H83" s="529" t="s">
        <v>407</v>
      </c>
      <c r="I83" s="530" t="s">
        <v>651</v>
      </c>
      <c r="J83" s="528" t="s">
        <v>220</v>
      </c>
      <c r="K83" s="529" t="s">
        <v>407</v>
      </c>
      <c r="L83" s="530" t="s">
        <v>651</v>
      </c>
      <c r="M83" s="528" t="s">
        <v>220</v>
      </c>
      <c r="N83" s="529" t="s">
        <v>407</v>
      </c>
      <c r="O83" s="530" t="s">
        <v>651</v>
      </c>
    </row>
    <row r="84" spans="2:15" ht="13" x14ac:dyDescent="0.3">
      <c r="B84" s="522" t="s">
        <v>841</v>
      </c>
      <c r="C84" s="522" t="s">
        <v>237</v>
      </c>
      <c r="D84" s="531"/>
      <c r="E84" s="532"/>
      <c r="F84" s="533"/>
      <c r="G84" s="531"/>
      <c r="H84" s="532"/>
      <c r="I84" s="533"/>
      <c r="J84" s="531"/>
      <c r="K84" s="532"/>
      <c r="L84" s="533"/>
      <c r="M84" s="531"/>
      <c r="N84" s="532"/>
      <c r="O84" s="533"/>
    </row>
    <row r="85" spans="2:15" x14ac:dyDescent="0.25">
      <c r="B85" s="520" t="s">
        <v>837</v>
      </c>
      <c r="C85" s="520" t="s">
        <v>167</v>
      </c>
      <c r="D85" s="534">
        <f>'Projection Mkt product mix'!C86*D109</f>
        <v>4.5299210943938242</v>
      </c>
      <c r="E85" s="535">
        <f>'Projection Mkt product mix'!D86*E109</f>
        <v>0</v>
      </c>
      <c r="F85" s="536">
        <f>'Projection Mkt product mix'!E86*F109</f>
        <v>2.8521725409146295</v>
      </c>
      <c r="G85" s="534">
        <f>'Projection Mkt product mix'!F86*G109</f>
        <v>11.705798033009344</v>
      </c>
      <c r="H85" s="535">
        <f>'Projection Mkt product mix'!G86*H109</f>
        <v>0</v>
      </c>
      <c r="I85" s="536">
        <f>'Projection Mkt product mix'!H86*I109</f>
        <v>4.335480752966423</v>
      </c>
      <c r="J85" s="534">
        <f>'Projection Mkt product mix'!I86*J109</f>
        <v>36.165510636963191</v>
      </c>
      <c r="K85" s="535">
        <f>'Projection Mkt product mix'!J86*K109</f>
        <v>0</v>
      </c>
      <c r="L85" s="536">
        <f>'Projection Mkt product mix'!K86*L109</f>
        <v>8.0367801415473732</v>
      </c>
      <c r="M85" s="534">
        <f>'Projection Mkt product mix'!L86*M109</f>
        <v>76.213435832755223</v>
      </c>
      <c r="N85" s="535">
        <f>'Projection Mkt product mix'!M86*N109</f>
        <v>0</v>
      </c>
      <c r="O85" s="536">
        <f>'Projection Mkt product mix'!N86*O109</f>
        <v>12.097370767104</v>
      </c>
    </row>
    <row r="86" spans="2:15" x14ac:dyDescent="0.25">
      <c r="B86" s="520" t="s">
        <v>839</v>
      </c>
      <c r="C86" s="520" t="s">
        <v>136</v>
      </c>
      <c r="D86" s="534">
        <f>'Projection Mkt product mix'!C87*D110</f>
        <v>0</v>
      </c>
      <c r="E86" s="535">
        <f>'Projection Mkt product mix'!D87*E110</f>
        <v>0</v>
      </c>
      <c r="F86" s="536">
        <f>'Projection Mkt product mix'!E87*F110</f>
        <v>4.2672495241851009E-2</v>
      </c>
      <c r="G86" s="534">
        <f>'Projection Mkt product mix'!F87*G110</f>
        <v>4.6595340558447133E-3</v>
      </c>
      <c r="H86" s="535">
        <f>'Projection Mkt product mix'!G87*H110</f>
        <v>0</v>
      </c>
      <c r="I86" s="536">
        <f>'Projection Mkt product mix'!H87*I110</f>
        <v>7.2481640868695546E-2</v>
      </c>
      <c r="J86" s="534">
        <f>'Projection Mkt product mix'!I87*J110</f>
        <v>5.2064518634997559E-2</v>
      </c>
      <c r="K86" s="535">
        <f>'Projection Mkt product mix'!J87*K110</f>
        <v>0</v>
      </c>
      <c r="L86" s="536">
        <f>'Projection Mkt product mix'!K87*L110</f>
        <v>0.60741938407497154</v>
      </c>
      <c r="M86" s="534">
        <f>'Projection Mkt product mix'!L87*M110</f>
        <v>0.10248597407140314</v>
      </c>
      <c r="N86" s="535">
        <f>'Projection Mkt product mix'!M87*N110</f>
        <v>0</v>
      </c>
      <c r="O86" s="536">
        <f>'Projection Mkt product mix'!N87*O110</f>
        <v>1.1956696974997032</v>
      </c>
    </row>
    <row r="87" spans="2:15" x14ac:dyDescent="0.25">
      <c r="B87" s="520" t="s">
        <v>839</v>
      </c>
      <c r="C87" s="520" t="s">
        <v>117</v>
      </c>
      <c r="D87" s="534">
        <f>'Projection Mkt product mix'!C88*D111</f>
        <v>0</v>
      </c>
      <c r="E87" s="535">
        <f>'Projection Mkt product mix'!D88*E111</f>
        <v>0</v>
      </c>
      <c r="F87" s="536">
        <f>'Projection Mkt product mix'!E88*F111</f>
        <v>8.3029994445780117E-3</v>
      </c>
      <c r="G87" s="534">
        <f>'Projection Mkt product mix'!F88*G111</f>
        <v>7.7206989249257551E-4</v>
      </c>
      <c r="H87" s="535">
        <f>'Projection Mkt product mix'!G88*H111</f>
        <v>0</v>
      </c>
      <c r="I87" s="536">
        <f>'Projection Mkt product mix'!H88*I111</f>
        <v>7.7206989249257547E-3</v>
      </c>
      <c r="J87" s="534">
        <f>'Projection Mkt product mix'!I88*J111</f>
        <v>6.7506658065805566E-2</v>
      </c>
      <c r="K87" s="535">
        <f>'Projection Mkt product mix'!J88*K111</f>
        <v>0</v>
      </c>
      <c r="L87" s="536">
        <f>'Projection Mkt product mix'!K88*L111</f>
        <v>0.50629993549354158</v>
      </c>
      <c r="M87" s="534">
        <f>'Projection Mkt product mix'!L88*M111</f>
        <v>0.13832012268572852</v>
      </c>
      <c r="N87" s="535">
        <f>'Projection Mkt product mix'!M88*N111</f>
        <v>0</v>
      </c>
      <c r="O87" s="536">
        <f>'Projection Mkt product mix'!N88*O111</f>
        <v>1.0374009201429637</v>
      </c>
    </row>
    <row r="88" spans="2:15" x14ac:dyDescent="0.25">
      <c r="B88" s="520" t="s">
        <v>839</v>
      </c>
      <c r="C88" s="520" t="s">
        <v>124</v>
      </c>
      <c r="D88" s="534">
        <f>'Projection Mkt product mix'!C89*D112</f>
        <v>0</v>
      </c>
      <c r="E88" s="535">
        <f>'Projection Mkt product mix'!D89*E112</f>
        <v>0</v>
      </c>
      <c r="F88" s="536">
        <f>'Projection Mkt product mix'!E89*F112</f>
        <v>1.5881036677320812E-2</v>
      </c>
      <c r="G88" s="534">
        <f>'Projection Mkt product mix'!F89*G112</f>
        <v>2.5114098378844923E-3</v>
      </c>
      <c r="H88" s="535">
        <f>'Projection Mkt product mix'!G89*H112</f>
        <v>0</v>
      </c>
      <c r="I88" s="536">
        <f>'Projection Mkt product mix'!H89*I112</f>
        <v>2.5114098378844926E-2</v>
      </c>
      <c r="J88" s="534">
        <f>'Projection Mkt product mix'!I89*J112</f>
        <v>2.7566486785960437E-2</v>
      </c>
      <c r="K88" s="535">
        <f>'Projection Mkt product mix'!J89*K112</f>
        <v>0</v>
      </c>
      <c r="L88" s="536">
        <f>'Projection Mkt product mix'!K89*L112</f>
        <v>0.20674865089470326</v>
      </c>
      <c r="M88" s="534">
        <f>'Projection Mkt product mix'!L89*M112</f>
        <v>5.3570625301428393E-2</v>
      </c>
      <c r="N88" s="535">
        <f>'Projection Mkt product mix'!M89*N112</f>
        <v>0</v>
      </c>
      <c r="O88" s="536">
        <f>'Projection Mkt product mix'!N89*O112</f>
        <v>0.40177968976071282</v>
      </c>
    </row>
    <row r="89" spans="2:15" x14ac:dyDescent="0.25">
      <c r="B89" s="520" t="s">
        <v>838</v>
      </c>
      <c r="C89" s="520" t="s">
        <v>73</v>
      </c>
      <c r="D89" s="534">
        <f>'Projection Mkt product mix'!C90*D113</f>
        <v>0</v>
      </c>
      <c r="E89" s="535">
        <f>'Projection Mkt product mix'!D90*E113</f>
        <v>0</v>
      </c>
      <c r="F89" s="536">
        <f>'Projection Mkt product mix'!E90*F113</f>
        <v>1.4004249162608557</v>
      </c>
      <c r="G89" s="534">
        <f>'Projection Mkt product mix'!F90*G113</f>
        <v>0</v>
      </c>
      <c r="H89" s="535">
        <f>'Projection Mkt product mix'!G90*H113</f>
        <v>0</v>
      </c>
      <c r="I89" s="536">
        <f>'Projection Mkt product mix'!H90*I113</f>
        <v>2.2005421535779877</v>
      </c>
      <c r="J89" s="534">
        <f>'Projection Mkt product mix'!I90*J113</f>
        <v>0</v>
      </c>
      <c r="K89" s="535">
        <f>'Projection Mkt product mix'!J90*K113</f>
        <v>0</v>
      </c>
      <c r="L89" s="536">
        <f>'Projection Mkt product mix'!K90*L113</f>
        <v>7.9323906911194246</v>
      </c>
      <c r="M89" s="534">
        <f>'Projection Mkt product mix'!L90*M113</f>
        <v>0</v>
      </c>
      <c r="N89" s="535">
        <f>'Projection Mkt product mix'!M90*N113</f>
        <v>0</v>
      </c>
      <c r="O89" s="536">
        <f>'Projection Mkt product mix'!N90*O113</f>
        <v>13.071658687922646</v>
      </c>
    </row>
    <row r="90" spans="2:15" x14ac:dyDescent="0.25">
      <c r="B90" s="520" t="s">
        <v>840</v>
      </c>
      <c r="C90" s="520" t="s">
        <v>156</v>
      </c>
      <c r="D90" s="534">
        <f>'Projection Mkt product mix'!C91*D114</f>
        <v>0</v>
      </c>
      <c r="E90" s="535">
        <f>'Projection Mkt product mix'!D91*E114</f>
        <v>0</v>
      </c>
      <c r="F90" s="536">
        <f>'Projection Mkt product mix'!E91*F114</f>
        <v>2.9768611542035632</v>
      </c>
      <c r="G90" s="534">
        <f>'Projection Mkt product mix'!F91*G114</f>
        <v>0.46799745704674522</v>
      </c>
      <c r="H90" s="535">
        <f>'Projection Mkt product mix'!G91*H114</f>
        <v>0</v>
      </c>
      <c r="I90" s="536">
        <f>'Projection Mkt product mix'!H91*I114</f>
        <v>4.6799745704674516</v>
      </c>
      <c r="J90" s="534">
        <f>'Projection Mkt product mix'!I91*J114</f>
        <v>1.3979954943967223</v>
      </c>
      <c r="K90" s="535">
        <f>'Projection Mkt product mix'!J91*K114</f>
        <v>0</v>
      </c>
      <c r="L90" s="536">
        <f>'Projection Mkt product mix'!K91*L114</f>
        <v>10.484966207975415</v>
      </c>
      <c r="M90" s="534">
        <f>'Projection Mkt product mix'!L91*M114</f>
        <v>2.2478342763744013</v>
      </c>
      <c r="N90" s="535">
        <f>'Projection Mkt product mix'!M91*N114</f>
        <v>0</v>
      </c>
      <c r="O90" s="536">
        <f>'Projection Mkt product mix'!N91*O114</f>
        <v>16.858757072808007</v>
      </c>
    </row>
    <row r="91" spans="2:15" x14ac:dyDescent="0.25">
      <c r="B91" s="520" t="s">
        <v>839</v>
      </c>
      <c r="C91" s="520" t="s">
        <v>113</v>
      </c>
      <c r="D91" s="534">
        <f>'Projection Mkt product mix'!C92*D115</f>
        <v>0</v>
      </c>
      <c r="E91" s="535">
        <f>'Projection Mkt product mix'!D92*E115</f>
        <v>0</v>
      </c>
      <c r="F91" s="536">
        <f>'Projection Mkt product mix'!E92*F115</f>
        <v>2.4970906248507294</v>
      </c>
      <c r="G91" s="534">
        <f>'Projection Mkt product mix'!F92*G115</f>
        <v>0.38584069708077678</v>
      </c>
      <c r="H91" s="535">
        <f>'Projection Mkt product mix'!G92*H115</f>
        <v>0</v>
      </c>
      <c r="I91" s="536">
        <f>'Projection Mkt product mix'!H92*I115</f>
        <v>3.8584069708077675</v>
      </c>
      <c r="J91" s="534">
        <f>'Projection Mkt product mix'!I92*J115</f>
        <v>0.57219365572822023</v>
      </c>
      <c r="K91" s="535">
        <f>'Projection Mkt product mix'!J92*K115</f>
        <v>0</v>
      </c>
      <c r="L91" s="536">
        <f>'Projection Mkt product mix'!K92*L115</f>
        <v>4.2914524179616516</v>
      </c>
      <c r="M91" s="534">
        <f>'Projection Mkt product mix'!L92*M115</f>
        <v>0.63641338666333414</v>
      </c>
      <c r="N91" s="535">
        <f>'Projection Mkt product mix'!M92*N115</f>
        <v>0</v>
      </c>
      <c r="O91" s="536">
        <f>'Projection Mkt product mix'!N92*O115</f>
        <v>4.7731003999750055</v>
      </c>
    </row>
    <row r="92" spans="2:15" x14ac:dyDescent="0.25">
      <c r="B92" s="520" t="s">
        <v>840</v>
      </c>
      <c r="C92" s="520" t="s">
        <v>182</v>
      </c>
      <c r="D92" s="534">
        <f>'Projection Mkt product mix'!C93*D116</f>
        <v>0</v>
      </c>
      <c r="E92" s="535">
        <f>'Projection Mkt product mix'!D93*E116</f>
        <v>0</v>
      </c>
      <c r="F92" s="536">
        <f>'Projection Mkt product mix'!E93*F116</f>
        <v>1.0971291005920756</v>
      </c>
      <c r="G92" s="534">
        <f>'Projection Mkt product mix'!F93*G116</f>
        <v>0</v>
      </c>
      <c r="H92" s="535">
        <f>'Projection Mkt product mix'!G93*H116</f>
        <v>0</v>
      </c>
      <c r="I92" s="536">
        <f>'Projection Mkt product mix'!H93*I116</f>
        <v>1.586490897766063</v>
      </c>
      <c r="J92" s="534">
        <f>'Projection Mkt product mix'!I93*J116</f>
        <v>0</v>
      </c>
      <c r="K92" s="535">
        <f>'Projection Mkt product mix'!J93*K116</f>
        <v>0</v>
      </c>
      <c r="L92" s="536">
        <f>'Projection Mkt product mix'!K93*L116</f>
        <v>7.2697143982724972</v>
      </c>
      <c r="M92" s="534">
        <f>'Projection Mkt product mix'!L93*M116</f>
        <v>0</v>
      </c>
      <c r="N92" s="535">
        <f>'Projection Mkt product mix'!M93*N116</f>
        <v>0</v>
      </c>
      <c r="O92" s="536">
        <f>'Projection Mkt product mix'!N93*O116</f>
        <v>13.517294021585158</v>
      </c>
    </row>
    <row r="93" spans="2:15" x14ac:dyDescent="0.25">
      <c r="B93" s="520" t="s">
        <v>839</v>
      </c>
      <c r="C93" s="520" t="s">
        <v>158</v>
      </c>
      <c r="D93" s="534">
        <f>'Projection Mkt product mix'!C94*D117</f>
        <v>0</v>
      </c>
      <c r="E93" s="535">
        <f>'Projection Mkt product mix'!D94*E117</f>
        <v>8.169804693559886</v>
      </c>
      <c r="F93" s="536">
        <f>'Projection Mkt product mix'!E94*F117</f>
        <v>1.0683590753116767</v>
      </c>
      <c r="G93" s="534">
        <f>'Projection Mkt product mix'!F94*G117</f>
        <v>1.1866854148961983</v>
      </c>
      <c r="H93" s="535">
        <f>'Projection Mkt product mix'!G94*H117</f>
        <v>10.284606929100384</v>
      </c>
      <c r="I93" s="536">
        <f>'Projection Mkt product mix'!H94*I117</f>
        <v>1.5822472198615967</v>
      </c>
      <c r="J93" s="534">
        <f>'Projection Mkt product mix'!I94*J117</f>
        <v>1.9021542364696178</v>
      </c>
      <c r="K93" s="535">
        <f>'Projection Mkt product mix'!J94*K117</f>
        <v>12.364002537052516</v>
      </c>
      <c r="L93" s="536">
        <f>'Projection Mkt product mix'!K94*L117</f>
        <v>1.9021542364696167</v>
      </c>
      <c r="M93" s="534">
        <f>'Projection Mkt product mix'!L94*M117</f>
        <v>2.2251823367718351</v>
      </c>
      <c r="N93" s="535">
        <f>'Projection Mkt product mix'!M94*N117</f>
        <v>14.463685189016926</v>
      </c>
      <c r="O93" s="536">
        <f>'Projection Mkt product mix'!N94*O117</f>
        <v>2.2251823367718337</v>
      </c>
    </row>
    <row r="94" spans="2:15" x14ac:dyDescent="0.25">
      <c r="B94" s="520" t="s">
        <v>840</v>
      </c>
      <c r="C94" s="520" t="s">
        <v>184</v>
      </c>
      <c r="D94" s="534">
        <f>'Projection Mkt product mix'!C95*D118</f>
        <v>0</v>
      </c>
      <c r="E94" s="535">
        <f>'Projection Mkt product mix'!D95*E118</f>
        <v>0</v>
      </c>
      <c r="F94" s="536">
        <f>'Projection Mkt product mix'!E95*F118</f>
        <v>2.6145172913883563</v>
      </c>
      <c r="G94" s="534">
        <f>'Projection Mkt product mix'!F95*G118</f>
        <v>0.4278580256227037</v>
      </c>
      <c r="H94" s="535">
        <f>'Projection Mkt product mix'!G95*H118</f>
        <v>0</v>
      </c>
      <c r="I94" s="536">
        <f>'Projection Mkt product mix'!H95*I118</f>
        <v>4.2785802562270367</v>
      </c>
      <c r="J94" s="534">
        <f>'Projection Mkt product mix'!I95*J118</f>
        <v>0.68250009314314064</v>
      </c>
      <c r="K94" s="535">
        <f>'Projection Mkt product mix'!J95*K118</f>
        <v>0</v>
      </c>
      <c r="L94" s="536">
        <f>'Projection Mkt product mix'!K95*L118</f>
        <v>5.118750698573554</v>
      </c>
      <c r="M94" s="534">
        <f>'Projection Mkt product mix'!L95*M118</f>
        <v>0.81006036700780892</v>
      </c>
      <c r="N94" s="535">
        <f>'Projection Mkt product mix'!M95*N118</f>
        <v>0</v>
      </c>
      <c r="O94" s="536">
        <f>'Projection Mkt product mix'!N95*O118</f>
        <v>6.075452752558566</v>
      </c>
    </row>
    <row r="95" spans="2:15" x14ac:dyDescent="0.25">
      <c r="B95" s="520" t="s">
        <v>840</v>
      </c>
      <c r="C95" s="520" t="s">
        <v>125</v>
      </c>
      <c r="D95" s="534">
        <f>'Projection Mkt product mix'!C96*D119</f>
        <v>0</v>
      </c>
      <c r="E95" s="535">
        <f>'Projection Mkt product mix'!D96*E119</f>
        <v>0</v>
      </c>
      <c r="F95" s="536">
        <f>'Projection Mkt product mix'!E96*F119</f>
        <v>2.9665093087072039E-3</v>
      </c>
      <c r="G95" s="534">
        <f>'Projection Mkt product mix'!F96*G119</f>
        <v>4.8979563416181953E-4</v>
      </c>
      <c r="H95" s="535">
        <f>'Projection Mkt product mix'!G96*H119</f>
        <v>0</v>
      </c>
      <c r="I95" s="536">
        <f>'Projection Mkt product mix'!H96*I119</f>
        <v>4.8979563416181949E-3</v>
      </c>
      <c r="J95" s="534">
        <f>'Projection Mkt product mix'!I96*J119</f>
        <v>8.2942348781458348E-3</v>
      </c>
      <c r="K95" s="535">
        <f>'Projection Mkt product mix'!J96*K119</f>
        <v>0</v>
      </c>
      <c r="L95" s="536">
        <f>'Projection Mkt product mix'!K96*L119</f>
        <v>6.2206761586093742E-2</v>
      </c>
      <c r="M95" s="534">
        <f>'Projection Mkt product mix'!L96*M119</f>
        <v>1.6866797034260569E-2</v>
      </c>
      <c r="N95" s="535">
        <f>'Projection Mkt product mix'!M96*N119</f>
        <v>0</v>
      </c>
      <c r="O95" s="536">
        <f>'Projection Mkt product mix'!N96*O119</f>
        <v>0.12650097775695426</v>
      </c>
    </row>
    <row r="96" spans="2:15" x14ac:dyDescent="0.25">
      <c r="B96" s="520" t="s">
        <v>839</v>
      </c>
      <c r="C96" s="520" t="s">
        <v>144</v>
      </c>
      <c r="D96" s="534">
        <f>'Projection Mkt product mix'!C97*D120</f>
        <v>0</v>
      </c>
      <c r="E96" s="535">
        <f>'Projection Mkt product mix'!D97*E120</f>
        <v>0</v>
      </c>
      <c r="F96" s="536">
        <f>'Projection Mkt product mix'!E97*F120</f>
        <v>2.4601231799347479E-3</v>
      </c>
      <c r="G96" s="534">
        <f>'Projection Mkt product mix'!F97*G120</f>
        <v>3.9667617395102453E-4</v>
      </c>
      <c r="H96" s="535">
        <f>'Projection Mkt product mix'!G97*H120</f>
        <v>0</v>
      </c>
      <c r="I96" s="536">
        <f>'Projection Mkt product mix'!H97*I120</f>
        <v>3.9667617395102456E-3</v>
      </c>
      <c r="J96" s="534">
        <f>'Projection Mkt product mix'!I97*J120</f>
        <v>5.8527646296870108E-3</v>
      </c>
      <c r="K96" s="535">
        <f>'Projection Mkt product mix'!J97*K120</f>
        <v>0</v>
      </c>
      <c r="L96" s="536">
        <f>'Projection Mkt product mix'!K97*L120</f>
        <v>4.3895734722652575E-2</v>
      </c>
      <c r="M96" s="534">
        <f>'Projection Mkt product mix'!L97*M120</f>
        <v>1.152556598229617E-2</v>
      </c>
      <c r="N96" s="535">
        <f>'Projection Mkt product mix'!M97*N120</f>
        <v>0</v>
      </c>
      <c r="O96" s="536">
        <f>'Projection Mkt product mix'!N97*O120</f>
        <v>8.6441744867221268E-2</v>
      </c>
    </row>
    <row r="97" spans="2:15" x14ac:dyDescent="0.25">
      <c r="B97" s="520" t="s">
        <v>839</v>
      </c>
      <c r="C97" s="520" t="s">
        <v>68</v>
      </c>
      <c r="D97" s="534">
        <f>'Projection Mkt product mix'!C98*D121</f>
        <v>0</v>
      </c>
      <c r="E97" s="535">
        <f>'Projection Mkt product mix'!D98*E121</f>
        <v>0</v>
      </c>
      <c r="F97" s="536">
        <f>'Projection Mkt product mix'!E98*F121</f>
        <v>1.6103848835991878E-3</v>
      </c>
      <c r="G97" s="534">
        <f>'Projection Mkt product mix'!F98*G121</f>
        <v>2.568052776275481E-4</v>
      </c>
      <c r="H97" s="535">
        <f>'Projection Mkt product mix'!G98*H121</f>
        <v>0</v>
      </c>
      <c r="I97" s="536">
        <f>'Projection Mkt product mix'!H98*I121</f>
        <v>2.5680527762754809E-3</v>
      </c>
      <c r="J97" s="534">
        <f>'Projection Mkt product mix'!I98*J121</f>
        <v>4.2792937673429956E-3</v>
      </c>
      <c r="K97" s="535">
        <f>'Projection Mkt product mix'!J98*K121</f>
        <v>0</v>
      </c>
      <c r="L97" s="536">
        <f>'Projection Mkt product mix'!K98*L121</f>
        <v>3.2094703255072465E-2</v>
      </c>
      <c r="M97" s="534">
        <f>'Projection Mkt product mix'!L98*M121</f>
        <v>8.5856366940208467E-3</v>
      </c>
      <c r="N97" s="535">
        <f>'Projection Mkt product mix'!M98*N121</f>
        <v>0</v>
      </c>
      <c r="O97" s="536">
        <f>'Projection Mkt product mix'!N98*O121</f>
        <v>6.4392275205156349E-2</v>
      </c>
    </row>
    <row r="98" spans="2:15" x14ac:dyDescent="0.25">
      <c r="B98" s="523" t="s">
        <v>840</v>
      </c>
      <c r="C98" s="523" t="s">
        <v>119</v>
      </c>
      <c r="D98" s="537">
        <f>'Projection Mkt product mix'!C99*D122</f>
        <v>0</v>
      </c>
      <c r="E98" s="538">
        <f>'Projection Mkt product mix'!D99*E122</f>
        <v>0</v>
      </c>
      <c r="F98" s="539">
        <f>'Projection Mkt product mix'!E99*F122</f>
        <v>1.4783996498533392</v>
      </c>
      <c r="G98" s="537">
        <f>'Projection Mkt product mix'!F99*G122</f>
        <v>0.22384709977863967</v>
      </c>
      <c r="H98" s="538">
        <f>'Projection Mkt product mix'!G99*H122</f>
        <v>0</v>
      </c>
      <c r="I98" s="539">
        <f>'Projection Mkt product mix'!H99*I122</f>
        <v>2.2384709977863966</v>
      </c>
      <c r="J98" s="537">
        <f>'Projection Mkt product mix'!I99*J122</f>
        <v>0.32437016095394888</v>
      </c>
      <c r="K98" s="538">
        <f>'Projection Mkt product mix'!J99*K122</f>
        <v>0</v>
      </c>
      <c r="L98" s="539">
        <f>'Projection Mkt product mix'!K99*L122</f>
        <v>2.4327762071546162</v>
      </c>
      <c r="M98" s="537">
        <f>'Projection Mkt product mix'!L99*M122</f>
        <v>0.35252634975393171</v>
      </c>
      <c r="N98" s="538">
        <f>'Projection Mkt product mix'!M99*N122</f>
        <v>0</v>
      </c>
      <c r="O98" s="539">
        <f>'Projection Mkt product mix'!N99*O122</f>
        <v>2.6439476231544878</v>
      </c>
    </row>
    <row r="99" spans="2:15" ht="13.5" thickBot="1" x14ac:dyDescent="0.35">
      <c r="B99" s="524"/>
      <c r="C99" s="524" t="s">
        <v>826</v>
      </c>
      <c r="D99" s="540">
        <f t="shared" ref="D99" si="37">SUM(D85:D98)</f>
        <v>4.5299210943938242</v>
      </c>
      <c r="E99" s="541">
        <f t="shared" ref="E99" si="38">SUM(E85:E98)</f>
        <v>8.169804693559886</v>
      </c>
      <c r="F99" s="542">
        <f t="shared" ref="F99:G99" si="39">SUM(F85:F98)</f>
        <v>16.058847902111218</v>
      </c>
      <c r="G99" s="540">
        <f t="shared" si="39"/>
        <v>14.407113018306372</v>
      </c>
      <c r="H99" s="541">
        <f t="shared" ref="H99" si="40">SUM(H85:H98)</f>
        <v>10.284606929100384</v>
      </c>
      <c r="I99" s="542">
        <f t="shared" ref="I99:J99" si="41">SUM(I85:I98)</f>
        <v>24.876943028490594</v>
      </c>
      <c r="J99" s="540">
        <f t="shared" si="41"/>
        <v>41.210288234416772</v>
      </c>
      <c r="K99" s="541">
        <f t="shared" ref="K99" si="42">SUM(K85:K98)</f>
        <v>12.364002537052516</v>
      </c>
      <c r="L99" s="542">
        <f t="shared" ref="L99:M99" si="43">SUM(L85:L98)</f>
        <v>48.927650169101192</v>
      </c>
      <c r="M99" s="540">
        <f t="shared" si="43"/>
        <v>82.816807271095669</v>
      </c>
      <c r="N99" s="541">
        <f t="shared" ref="N99" si="44">SUM(N85:N98)</f>
        <v>14.463685189016926</v>
      </c>
      <c r="O99" s="542">
        <f t="shared" ref="O99" si="45">SUM(O85:O98)</f>
        <v>74.1749489671124</v>
      </c>
    </row>
    <row r="100" spans="2:15" ht="14" thickTop="1" thickBot="1" x14ac:dyDescent="0.35">
      <c r="B100" s="524"/>
      <c r="C100" s="524" t="s">
        <v>827</v>
      </c>
      <c r="D100" s="543">
        <f t="shared" ref="D100" si="46">SUM(D85:D98)/D82</f>
        <v>9.8476545530300523</v>
      </c>
      <c r="E100" s="544">
        <f t="shared" ref="E100" si="47">SUM(E85:E98)/E82</f>
        <v>54.465364623732576</v>
      </c>
      <c r="F100" s="545">
        <f t="shared" ref="F100:G100" si="48">SUM(F85:F98)/F82</f>
        <v>58.649673883753387</v>
      </c>
      <c r="G100" s="543">
        <f t="shared" si="48"/>
        <v>31.319810909361678</v>
      </c>
      <c r="H100" s="544">
        <f t="shared" ref="H100" si="49">SUM(H85:H98)/H82</f>
        <v>68.564046194002572</v>
      </c>
      <c r="I100" s="545">
        <f t="shared" ref="I100:J100" si="50">SUM(I85:I98)/I82</f>
        <v>90.854873571214981</v>
      </c>
      <c r="J100" s="543">
        <f t="shared" si="50"/>
        <v>89.587583118297331</v>
      </c>
      <c r="K100" s="544">
        <f t="shared" ref="K100" si="51">SUM(K85:K98)/K82</f>
        <v>82.426683580350101</v>
      </c>
      <c r="L100" s="545">
        <f t="shared" ref="L100:M100" si="52">SUM(L85:L98)/L82</f>
        <v>178.69219160727576</v>
      </c>
      <c r="M100" s="543">
        <f t="shared" si="52"/>
        <v>180.03653754586014</v>
      </c>
      <c r="N100" s="544">
        <f t="shared" ref="N100" si="53">SUM(N85:N98)/N82</f>
        <v>96.424567926779517</v>
      </c>
      <c r="O100" s="545">
        <f t="shared" ref="O100" si="54">SUM(O85:O98)/O82</f>
        <v>270.89966813206217</v>
      </c>
    </row>
    <row r="101" spans="2:15" ht="13.5" thickTop="1" x14ac:dyDescent="0.3">
      <c r="F101" s="568">
        <f>SUM(D100:F100)</f>
        <v>122.96269306051602</v>
      </c>
      <c r="I101" s="568">
        <f>SUM(G100:I100)</f>
        <v>190.73873067457924</v>
      </c>
      <c r="L101" s="568">
        <f>SUM(J100:L100)</f>
        <v>350.70645830592321</v>
      </c>
      <c r="O101" s="568">
        <f>SUM(M100:O100)</f>
        <v>547.36077360470176</v>
      </c>
    </row>
    <row r="103" spans="2:15" x14ac:dyDescent="0.25">
      <c r="C103" s="420"/>
      <c r="D103" s="7"/>
      <c r="E103" s="7"/>
      <c r="F103" s="517"/>
      <c r="G103" s="7"/>
      <c r="H103" s="7"/>
    </row>
    <row r="104" spans="2:15" ht="13" thickBot="1" x14ac:dyDescent="0.3">
      <c r="B104" s="7"/>
    </row>
    <row r="105" spans="2:15" x14ac:dyDescent="0.25">
      <c r="B105" s="7"/>
      <c r="C105" s="519"/>
      <c r="D105" s="644">
        <v>2022</v>
      </c>
      <c r="E105" s="645"/>
      <c r="F105" s="646"/>
      <c r="G105" s="644">
        <v>2022</v>
      </c>
      <c r="H105" s="645"/>
      <c r="I105" s="646"/>
      <c r="J105" s="644">
        <v>2022</v>
      </c>
      <c r="K105" s="645"/>
      <c r="L105" s="646"/>
      <c r="M105" s="644">
        <v>2022</v>
      </c>
      <c r="N105" s="645"/>
      <c r="O105" s="646"/>
    </row>
    <row r="106" spans="2:15" x14ac:dyDescent="0.25">
      <c r="B106" s="7"/>
      <c r="C106" s="521" t="s">
        <v>211</v>
      </c>
      <c r="D106" s="525">
        <v>0.46</v>
      </c>
      <c r="E106" s="526">
        <v>0.15</v>
      </c>
      <c r="F106" s="527">
        <v>0.27380967085922192</v>
      </c>
      <c r="G106" s="525">
        <v>0.46</v>
      </c>
      <c r="H106" s="526">
        <v>0.15</v>
      </c>
      <c r="I106" s="527">
        <v>0.27380967085922192</v>
      </c>
      <c r="J106" s="525">
        <v>0.46</v>
      </c>
      <c r="K106" s="526">
        <v>0.15</v>
      </c>
      <c r="L106" s="527">
        <v>0.27380967085922192</v>
      </c>
      <c r="M106" s="525">
        <v>0.46</v>
      </c>
      <c r="N106" s="526">
        <v>0.15</v>
      </c>
      <c r="O106" s="527">
        <v>0.27380967085922192</v>
      </c>
    </row>
    <row r="107" spans="2:15" ht="13.5" thickBot="1" x14ac:dyDescent="0.35">
      <c r="B107" s="7"/>
      <c r="C107" s="569" t="s">
        <v>847</v>
      </c>
      <c r="D107" s="528" t="s">
        <v>220</v>
      </c>
      <c r="E107" s="529" t="s">
        <v>407</v>
      </c>
      <c r="F107" s="530" t="s">
        <v>651</v>
      </c>
      <c r="G107" s="528" t="s">
        <v>220</v>
      </c>
      <c r="H107" s="529" t="s">
        <v>407</v>
      </c>
      <c r="I107" s="530" t="s">
        <v>651</v>
      </c>
      <c r="J107" s="528" t="s">
        <v>220</v>
      </c>
      <c r="K107" s="529" t="s">
        <v>407</v>
      </c>
      <c r="L107" s="530" t="s">
        <v>651</v>
      </c>
      <c r="M107" s="528" t="s">
        <v>220</v>
      </c>
      <c r="N107" s="529" t="s">
        <v>407</v>
      </c>
      <c r="O107" s="530" t="s">
        <v>651</v>
      </c>
    </row>
    <row r="108" spans="2:15" ht="13" x14ac:dyDescent="0.3">
      <c r="B108" s="564" t="s">
        <v>841</v>
      </c>
      <c r="C108" s="522" t="s">
        <v>237</v>
      </c>
      <c r="D108" s="531"/>
      <c r="E108" s="532"/>
      <c r="F108" s="533"/>
      <c r="G108" s="531"/>
      <c r="H108" s="532"/>
      <c r="I108" s="533"/>
      <c r="J108" s="531"/>
      <c r="K108" s="532"/>
      <c r="L108" s="533"/>
      <c r="M108" s="531"/>
      <c r="N108" s="532"/>
      <c r="O108" s="533"/>
    </row>
    <row r="109" spans="2:15" x14ac:dyDescent="0.25">
      <c r="B109" s="492" t="s">
        <v>837</v>
      </c>
      <c r="C109" s="520" t="s">
        <v>167</v>
      </c>
      <c r="D109" s="546">
        <v>0.15</v>
      </c>
      <c r="E109" s="547">
        <v>1</v>
      </c>
      <c r="F109" s="548">
        <v>0.85</v>
      </c>
      <c r="G109" s="546">
        <v>0.3</v>
      </c>
      <c r="H109" s="547">
        <v>1</v>
      </c>
      <c r="I109" s="548">
        <v>1</v>
      </c>
      <c r="J109" s="546">
        <v>0.5</v>
      </c>
      <c r="K109" s="547">
        <v>1</v>
      </c>
      <c r="L109" s="548">
        <v>1</v>
      </c>
      <c r="M109" s="546">
        <v>0.7</v>
      </c>
      <c r="N109" s="547">
        <v>1</v>
      </c>
      <c r="O109" s="548">
        <v>1</v>
      </c>
    </row>
    <row r="110" spans="2:15" x14ac:dyDescent="0.25">
      <c r="B110" s="492" t="s">
        <v>839</v>
      </c>
      <c r="C110" s="520" t="s">
        <v>136</v>
      </c>
      <c r="D110" s="546">
        <v>0</v>
      </c>
      <c r="E110" s="547">
        <v>1</v>
      </c>
      <c r="F110" s="548">
        <v>0.85</v>
      </c>
      <c r="G110" s="546">
        <v>0.15</v>
      </c>
      <c r="H110" s="547">
        <v>1</v>
      </c>
      <c r="I110" s="548">
        <v>1</v>
      </c>
      <c r="J110" s="546">
        <v>0.2</v>
      </c>
      <c r="K110" s="547">
        <v>1</v>
      </c>
      <c r="L110" s="548">
        <v>1</v>
      </c>
      <c r="M110" s="546">
        <v>0.2</v>
      </c>
      <c r="N110" s="547">
        <v>1</v>
      </c>
      <c r="O110" s="548">
        <v>1</v>
      </c>
    </row>
    <row r="111" spans="2:15" x14ac:dyDescent="0.25">
      <c r="B111" s="492" t="s">
        <v>839</v>
      </c>
      <c r="C111" s="520" t="s">
        <v>117</v>
      </c>
      <c r="D111" s="546">
        <v>0</v>
      </c>
      <c r="E111" s="547">
        <v>1</v>
      </c>
      <c r="F111" s="548">
        <v>0.85</v>
      </c>
      <c r="G111" s="546">
        <v>0.15</v>
      </c>
      <c r="H111" s="547">
        <v>1</v>
      </c>
      <c r="I111" s="548">
        <v>1</v>
      </c>
      <c r="J111" s="546">
        <v>0.2</v>
      </c>
      <c r="K111" s="547">
        <v>1</v>
      </c>
      <c r="L111" s="548">
        <v>1</v>
      </c>
      <c r="M111" s="546">
        <v>0.2</v>
      </c>
      <c r="N111" s="547">
        <v>1</v>
      </c>
      <c r="O111" s="548">
        <v>1</v>
      </c>
    </row>
    <row r="112" spans="2:15" x14ac:dyDescent="0.25">
      <c r="B112" s="492" t="s">
        <v>839</v>
      </c>
      <c r="C112" s="520" t="s">
        <v>124</v>
      </c>
      <c r="D112" s="546">
        <v>0</v>
      </c>
      <c r="E112" s="547">
        <v>1</v>
      </c>
      <c r="F112" s="548">
        <v>0.85</v>
      </c>
      <c r="G112" s="546">
        <v>0.15</v>
      </c>
      <c r="H112" s="547">
        <v>1</v>
      </c>
      <c r="I112" s="548">
        <v>1</v>
      </c>
      <c r="J112" s="546">
        <v>0.2</v>
      </c>
      <c r="K112" s="547">
        <v>1</v>
      </c>
      <c r="L112" s="548">
        <v>1</v>
      </c>
      <c r="M112" s="546">
        <v>0.2</v>
      </c>
      <c r="N112" s="547">
        <v>1</v>
      </c>
      <c r="O112" s="548">
        <v>1</v>
      </c>
    </row>
    <row r="113" spans="2:15" x14ac:dyDescent="0.25">
      <c r="B113" s="492" t="s">
        <v>838</v>
      </c>
      <c r="C113" s="520" t="s">
        <v>73</v>
      </c>
      <c r="D113" s="546">
        <v>0</v>
      </c>
      <c r="E113" s="547">
        <v>1</v>
      </c>
      <c r="F113" s="548">
        <v>0.85</v>
      </c>
      <c r="G113" s="546">
        <v>0</v>
      </c>
      <c r="H113" s="547">
        <v>1</v>
      </c>
      <c r="I113" s="548">
        <v>1</v>
      </c>
      <c r="J113" s="546">
        <v>0</v>
      </c>
      <c r="K113" s="547">
        <v>1</v>
      </c>
      <c r="L113" s="548">
        <v>1</v>
      </c>
      <c r="M113" s="546">
        <v>0</v>
      </c>
      <c r="N113" s="547">
        <v>1</v>
      </c>
      <c r="O113" s="548">
        <v>1</v>
      </c>
    </row>
    <row r="114" spans="2:15" x14ac:dyDescent="0.25">
      <c r="B114" s="492" t="s">
        <v>840</v>
      </c>
      <c r="C114" s="520" t="s">
        <v>156</v>
      </c>
      <c r="D114" s="546">
        <v>0</v>
      </c>
      <c r="E114" s="547">
        <v>1</v>
      </c>
      <c r="F114" s="548">
        <v>0.85</v>
      </c>
      <c r="G114" s="546">
        <v>0.15</v>
      </c>
      <c r="H114" s="547">
        <v>1</v>
      </c>
      <c r="I114" s="548">
        <v>1</v>
      </c>
      <c r="J114" s="546">
        <v>0.2</v>
      </c>
      <c r="K114" s="547">
        <v>1</v>
      </c>
      <c r="L114" s="548">
        <v>1</v>
      </c>
      <c r="M114" s="546">
        <v>0.2</v>
      </c>
      <c r="N114" s="547">
        <v>1</v>
      </c>
      <c r="O114" s="548">
        <v>1</v>
      </c>
    </row>
    <row r="115" spans="2:15" x14ac:dyDescent="0.25">
      <c r="B115" s="492" t="s">
        <v>839</v>
      </c>
      <c r="C115" s="520" t="s">
        <v>113</v>
      </c>
      <c r="D115" s="546">
        <v>0</v>
      </c>
      <c r="E115" s="547">
        <v>1</v>
      </c>
      <c r="F115" s="548">
        <v>0.85</v>
      </c>
      <c r="G115" s="546">
        <v>0.15</v>
      </c>
      <c r="H115" s="547">
        <v>1</v>
      </c>
      <c r="I115" s="548">
        <v>1</v>
      </c>
      <c r="J115" s="546">
        <v>0.2</v>
      </c>
      <c r="K115" s="547">
        <v>1</v>
      </c>
      <c r="L115" s="548">
        <v>1</v>
      </c>
      <c r="M115" s="546">
        <v>0.2</v>
      </c>
      <c r="N115" s="547">
        <v>1</v>
      </c>
      <c r="O115" s="548">
        <v>1</v>
      </c>
    </row>
    <row r="116" spans="2:15" x14ac:dyDescent="0.25">
      <c r="B116" s="492" t="s">
        <v>840</v>
      </c>
      <c r="C116" s="520" t="s">
        <v>182</v>
      </c>
      <c r="D116" s="546">
        <v>0</v>
      </c>
      <c r="E116" s="547">
        <v>1</v>
      </c>
      <c r="F116" s="548">
        <v>0.85</v>
      </c>
      <c r="G116" s="546">
        <v>0.15</v>
      </c>
      <c r="H116" s="547">
        <v>1</v>
      </c>
      <c r="I116" s="548">
        <v>1</v>
      </c>
      <c r="J116" s="546">
        <v>0.2</v>
      </c>
      <c r="K116" s="547">
        <v>1</v>
      </c>
      <c r="L116" s="548">
        <v>1</v>
      </c>
      <c r="M116" s="546">
        <v>0.2</v>
      </c>
      <c r="N116" s="547">
        <v>1</v>
      </c>
      <c r="O116" s="548">
        <v>1</v>
      </c>
    </row>
    <row r="117" spans="2:15" x14ac:dyDescent="0.25">
      <c r="B117" s="492" t="s">
        <v>839</v>
      </c>
      <c r="C117" s="520" t="s">
        <v>158</v>
      </c>
      <c r="D117" s="546">
        <v>0</v>
      </c>
      <c r="E117" s="547">
        <v>1</v>
      </c>
      <c r="F117" s="548">
        <v>0.85</v>
      </c>
      <c r="G117" s="546">
        <v>0.15</v>
      </c>
      <c r="H117" s="547">
        <v>1</v>
      </c>
      <c r="I117" s="548">
        <v>1</v>
      </c>
      <c r="J117" s="546">
        <v>0.2</v>
      </c>
      <c r="K117" s="547">
        <v>1</v>
      </c>
      <c r="L117" s="548">
        <v>1</v>
      </c>
      <c r="M117" s="546">
        <v>0.2</v>
      </c>
      <c r="N117" s="547">
        <v>1</v>
      </c>
      <c r="O117" s="548">
        <v>1</v>
      </c>
    </row>
    <row r="118" spans="2:15" x14ac:dyDescent="0.25">
      <c r="B118" s="492" t="s">
        <v>840</v>
      </c>
      <c r="C118" s="520" t="s">
        <v>184</v>
      </c>
      <c r="D118" s="546">
        <v>0</v>
      </c>
      <c r="E118" s="547">
        <v>1</v>
      </c>
      <c r="F118" s="548">
        <v>0.85</v>
      </c>
      <c r="G118" s="546">
        <v>0.15</v>
      </c>
      <c r="H118" s="547">
        <v>1</v>
      </c>
      <c r="I118" s="548">
        <v>1</v>
      </c>
      <c r="J118" s="546">
        <v>0.2</v>
      </c>
      <c r="K118" s="547">
        <v>1</v>
      </c>
      <c r="L118" s="548">
        <v>1</v>
      </c>
      <c r="M118" s="546">
        <v>0.2</v>
      </c>
      <c r="N118" s="547">
        <v>1</v>
      </c>
      <c r="O118" s="548">
        <v>1</v>
      </c>
    </row>
    <row r="119" spans="2:15" x14ac:dyDescent="0.25">
      <c r="B119" s="492" t="s">
        <v>840</v>
      </c>
      <c r="C119" s="520" t="s">
        <v>125</v>
      </c>
      <c r="D119" s="546">
        <v>0</v>
      </c>
      <c r="E119" s="547">
        <v>1</v>
      </c>
      <c r="F119" s="548">
        <v>0.85</v>
      </c>
      <c r="G119" s="546">
        <v>0.15</v>
      </c>
      <c r="H119" s="547">
        <v>1</v>
      </c>
      <c r="I119" s="548">
        <v>1</v>
      </c>
      <c r="J119" s="546">
        <v>0.2</v>
      </c>
      <c r="K119" s="547">
        <v>1</v>
      </c>
      <c r="L119" s="548">
        <v>1</v>
      </c>
      <c r="M119" s="546">
        <v>0.2</v>
      </c>
      <c r="N119" s="547">
        <v>1</v>
      </c>
      <c r="O119" s="548">
        <v>1</v>
      </c>
    </row>
    <row r="120" spans="2:15" x14ac:dyDescent="0.25">
      <c r="B120" s="492" t="s">
        <v>839</v>
      </c>
      <c r="C120" s="520" t="s">
        <v>144</v>
      </c>
      <c r="D120" s="546">
        <v>0</v>
      </c>
      <c r="E120" s="547">
        <v>1</v>
      </c>
      <c r="F120" s="548">
        <v>0.85</v>
      </c>
      <c r="G120" s="546">
        <v>0.15</v>
      </c>
      <c r="H120" s="547">
        <v>1</v>
      </c>
      <c r="I120" s="548">
        <v>1</v>
      </c>
      <c r="J120" s="546">
        <v>0.2</v>
      </c>
      <c r="K120" s="547">
        <v>1</v>
      </c>
      <c r="L120" s="548">
        <v>1</v>
      </c>
      <c r="M120" s="546">
        <v>0.2</v>
      </c>
      <c r="N120" s="547">
        <v>1</v>
      </c>
      <c r="O120" s="548">
        <v>1</v>
      </c>
    </row>
    <row r="121" spans="2:15" x14ac:dyDescent="0.25">
      <c r="B121" s="492" t="s">
        <v>839</v>
      </c>
      <c r="C121" s="520" t="s">
        <v>68</v>
      </c>
      <c r="D121" s="546">
        <v>0</v>
      </c>
      <c r="E121" s="547">
        <v>1</v>
      </c>
      <c r="F121" s="548">
        <v>0.85</v>
      </c>
      <c r="G121" s="546">
        <v>0.15</v>
      </c>
      <c r="H121" s="547">
        <v>1</v>
      </c>
      <c r="I121" s="548">
        <v>1</v>
      </c>
      <c r="J121" s="546">
        <v>0.2</v>
      </c>
      <c r="K121" s="547">
        <v>1</v>
      </c>
      <c r="L121" s="548">
        <v>1</v>
      </c>
      <c r="M121" s="546">
        <v>0.2</v>
      </c>
      <c r="N121" s="547">
        <v>1</v>
      </c>
      <c r="O121" s="548">
        <v>1</v>
      </c>
    </row>
    <row r="122" spans="2:15" ht="13" thickBot="1" x14ac:dyDescent="0.3">
      <c r="B122" s="493" t="s">
        <v>840</v>
      </c>
      <c r="C122" s="523" t="s">
        <v>119</v>
      </c>
      <c r="D122" s="549">
        <v>0</v>
      </c>
      <c r="E122" s="550">
        <v>1</v>
      </c>
      <c r="F122" s="551">
        <v>0.85</v>
      </c>
      <c r="G122" s="549">
        <v>0.15</v>
      </c>
      <c r="H122" s="550">
        <v>1</v>
      </c>
      <c r="I122" s="551">
        <v>1</v>
      </c>
      <c r="J122" s="549">
        <v>0.2</v>
      </c>
      <c r="K122" s="550">
        <v>1</v>
      </c>
      <c r="L122" s="551">
        <v>1</v>
      </c>
      <c r="M122" s="549">
        <v>0.2</v>
      </c>
      <c r="N122" s="550">
        <v>1</v>
      </c>
      <c r="O122" s="551">
        <v>1</v>
      </c>
    </row>
    <row r="123" spans="2:15" ht="13" x14ac:dyDescent="0.3">
      <c r="B123" s="562"/>
    </row>
    <row r="124" spans="2:15" ht="13" x14ac:dyDescent="0.3">
      <c r="B124" s="562"/>
    </row>
    <row r="125" spans="2:15" ht="13" thickBot="1" x14ac:dyDescent="0.3"/>
    <row r="126" spans="2:15" x14ac:dyDescent="0.25">
      <c r="C126" s="519"/>
      <c r="D126" s="644">
        <v>2022</v>
      </c>
      <c r="E126" s="645"/>
      <c r="F126" s="646"/>
      <c r="G126" s="644">
        <v>2023</v>
      </c>
      <c r="H126" s="645"/>
      <c r="I126" s="646"/>
      <c r="J126" s="644">
        <v>2024</v>
      </c>
      <c r="K126" s="645"/>
      <c r="L126" s="646"/>
      <c r="M126" s="644">
        <v>2025</v>
      </c>
      <c r="N126" s="645"/>
      <c r="O126" s="646"/>
    </row>
    <row r="127" spans="2:15" x14ac:dyDescent="0.25">
      <c r="C127" s="521" t="s">
        <v>211</v>
      </c>
      <c r="D127" s="525">
        <v>0.46</v>
      </c>
      <c r="E127" s="526">
        <v>0.15</v>
      </c>
      <c r="F127" s="527">
        <v>0.27380967085922192</v>
      </c>
      <c r="G127" s="525">
        <v>0.46</v>
      </c>
      <c r="H127" s="526">
        <v>0.15</v>
      </c>
      <c r="I127" s="527">
        <v>0.27380967085922192</v>
      </c>
      <c r="J127" s="525">
        <v>0.46</v>
      </c>
      <c r="K127" s="526">
        <v>0.15</v>
      </c>
      <c r="L127" s="527">
        <v>0.27380967085922192</v>
      </c>
      <c r="M127" s="525">
        <v>0.46</v>
      </c>
      <c r="N127" s="526">
        <v>0.15</v>
      </c>
      <c r="O127" s="527">
        <v>0.27380967085922192</v>
      </c>
    </row>
    <row r="128" spans="2:15" ht="13" x14ac:dyDescent="0.3">
      <c r="C128" s="569" t="s">
        <v>846</v>
      </c>
      <c r="D128" s="528" t="s">
        <v>220</v>
      </c>
      <c r="E128" s="529" t="s">
        <v>407</v>
      </c>
      <c r="F128" s="530" t="s">
        <v>651</v>
      </c>
      <c r="G128" s="528" t="s">
        <v>220</v>
      </c>
      <c r="H128" s="529" t="s">
        <v>407</v>
      </c>
      <c r="I128" s="530" t="s">
        <v>651</v>
      </c>
      <c r="J128" s="528" t="s">
        <v>220</v>
      </c>
      <c r="K128" s="529" t="s">
        <v>407</v>
      </c>
      <c r="L128" s="530" t="s">
        <v>651</v>
      </c>
      <c r="M128" s="528" t="s">
        <v>220</v>
      </c>
      <c r="N128" s="529" t="s">
        <v>407</v>
      </c>
      <c r="O128" s="530" t="s">
        <v>651</v>
      </c>
    </row>
    <row r="129" spans="2:15" ht="13" x14ac:dyDescent="0.3">
      <c r="B129" s="522" t="s">
        <v>841</v>
      </c>
      <c r="C129" s="522" t="s">
        <v>237</v>
      </c>
      <c r="D129" s="531"/>
      <c r="E129" s="532"/>
      <c r="F129" s="533"/>
      <c r="G129" s="531"/>
      <c r="H129" s="532"/>
      <c r="I129" s="533"/>
      <c r="J129" s="531"/>
      <c r="K129" s="532"/>
      <c r="L129" s="533"/>
      <c r="M129" s="531"/>
      <c r="N129" s="532"/>
      <c r="O129" s="533"/>
    </row>
    <row r="130" spans="2:15" x14ac:dyDescent="0.25">
      <c r="B130" s="520" t="s">
        <v>837</v>
      </c>
      <c r="C130" s="520" t="s">
        <v>167</v>
      </c>
      <c r="D130" s="534">
        <f>D85/D$127</f>
        <v>9.8476545530300523</v>
      </c>
      <c r="E130" s="535">
        <f t="shared" ref="E130:O130" si="55">E85/E$57</f>
        <v>0</v>
      </c>
      <c r="F130" s="536">
        <f t="shared" si="55"/>
        <v>10.416624555167965</v>
      </c>
      <c r="G130" s="534">
        <f t="shared" si="55"/>
        <v>25.447387028281181</v>
      </c>
      <c r="H130" s="535">
        <f t="shared" si="55"/>
        <v>0</v>
      </c>
      <c r="I130" s="536">
        <f t="shared" si="55"/>
        <v>15.83392120286172</v>
      </c>
      <c r="J130" s="534">
        <f t="shared" si="55"/>
        <v>78.620675297746061</v>
      </c>
      <c r="K130" s="535">
        <f t="shared" si="55"/>
        <v>0</v>
      </c>
      <c r="L130" s="536">
        <f t="shared" si="55"/>
        <v>29.351703014461638</v>
      </c>
      <c r="M130" s="534">
        <f t="shared" si="55"/>
        <v>165.68138224512003</v>
      </c>
      <c r="N130" s="535">
        <f t="shared" si="55"/>
        <v>0</v>
      </c>
      <c r="O130" s="536">
        <f t="shared" si="55"/>
        <v>44.181678204214386</v>
      </c>
    </row>
    <row r="131" spans="2:15" x14ac:dyDescent="0.25">
      <c r="B131" s="520" t="s">
        <v>839</v>
      </c>
      <c r="C131" s="520" t="s">
        <v>136</v>
      </c>
      <c r="D131" s="534">
        <f t="shared" ref="D131:D143" si="56">D86/D$57</f>
        <v>0</v>
      </c>
      <c r="E131" s="535">
        <f t="shared" ref="E131:O131" si="57">E86/E$57</f>
        <v>0</v>
      </c>
      <c r="F131" s="536">
        <f t="shared" si="57"/>
        <v>0.15584729022880603</v>
      </c>
      <c r="G131" s="534">
        <f t="shared" si="57"/>
        <v>1.0129421860531986E-2</v>
      </c>
      <c r="H131" s="535">
        <f t="shared" si="57"/>
        <v>0</v>
      </c>
      <c r="I131" s="536">
        <f t="shared" si="57"/>
        <v>0.26471541578953828</v>
      </c>
      <c r="J131" s="534">
        <f t="shared" si="57"/>
        <v>0.11318373616303816</v>
      </c>
      <c r="K131" s="535">
        <f t="shared" si="57"/>
        <v>0</v>
      </c>
      <c r="L131" s="536">
        <f t="shared" si="57"/>
        <v>2.2184000374014312</v>
      </c>
      <c r="M131" s="534">
        <f t="shared" si="57"/>
        <v>0.22279559580739813</v>
      </c>
      <c r="N131" s="535">
        <f t="shared" si="57"/>
        <v>0</v>
      </c>
      <c r="O131" s="536">
        <f t="shared" si="57"/>
        <v>4.3667913326350396</v>
      </c>
    </row>
    <row r="132" spans="2:15" x14ac:dyDescent="0.25">
      <c r="B132" s="520" t="s">
        <v>839</v>
      </c>
      <c r="C132" s="520" t="s">
        <v>117</v>
      </c>
      <c r="D132" s="534">
        <f t="shared" si="56"/>
        <v>0</v>
      </c>
      <c r="E132" s="535">
        <f t="shared" ref="E132:O132" si="58">E87/E$57</f>
        <v>0</v>
      </c>
      <c r="F132" s="536">
        <f t="shared" si="58"/>
        <v>3.032398168597545E-2</v>
      </c>
      <c r="G132" s="534">
        <f t="shared" si="58"/>
        <v>1.6784128097664685E-3</v>
      </c>
      <c r="H132" s="535">
        <f t="shared" si="58"/>
        <v>0</v>
      </c>
      <c r="I132" s="536">
        <f t="shared" si="58"/>
        <v>2.8197320060675723E-2</v>
      </c>
      <c r="J132" s="534">
        <f t="shared" si="58"/>
        <v>0.14675360449088165</v>
      </c>
      <c r="K132" s="535">
        <f t="shared" si="58"/>
        <v>0</v>
      </c>
      <c r="L132" s="536">
        <f t="shared" si="58"/>
        <v>1.8490944235269671</v>
      </c>
      <c r="M132" s="534">
        <f t="shared" si="58"/>
        <v>0.30069591888201852</v>
      </c>
      <c r="N132" s="535">
        <f t="shared" si="58"/>
        <v>0</v>
      </c>
      <c r="O132" s="536">
        <f t="shared" si="58"/>
        <v>3.7887665431523017</v>
      </c>
    </row>
    <row r="133" spans="2:15" x14ac:dyDescent="0.25">
      <c r="B133" s="520" t="s">
        <v>839</v>
      </c>
      <c r="C133" s="520" t="s">
        <v>124</v>
      </c>
      <c r="D133" s="534">
        <f t="shared" si="56"/>
        <v>0</v>
      </c>
      <c r="E133" s="535">
        <f t="shared" ref="E133:O133" si="59">E88/E$57</f>
        <v>0</v>
      </c>
      <c r="F133" s="536">
        <f t="shared" si="59"/>
        <v>5.8000276715886999E-2</v>
      </c>
      <c r="G133" s="534">
        <f t="shared" si="59"/>
        <v>5.4595866040967221E-3</v>
      </c>
      <c r="H133" s="535">
        <f t="shared" si="59"/>
        <v>0</v>
      </c>
      <c r="I133" s="536">
        <f t="shared" si="59"/>
        <v>9.1721005689960569E-2</v>
      </c>
      <c r="J133" s="534">
        <f t="shared" si="59"/>
        <v>5.9927145186870513E-2</v>
      </c>
      <c r="K133" s="535">
        <f t="shared" si="59"/>
        <v>0</v>
      </c>
      <c r="L133" s="536">
        <f t="shared" si="59"/>
        <v>0.75508162383717337</v>
      </c>
      <c r="M133" s="534">
        <f t="shared" si="59"/>
        <v>0.11645788109006172</v>
      </c>
      <c r="N133" s="535">
        <f t="shared" si="59"/>
        <v>0</v>
      </c>
      <c r="O133" s="536">
        <f t="shared" si="59"/>
        <v>1.4673685136829449</v>
      </c>
    </row>
    <row r="134" spans="2:15" x14ac:dyDescent="0.25">
      <c r="B134" s="520" t="s">
        <v>838</v>
      </c>
      <c r="C134" s="520" t="s">
        <v>73</v>
      </c>
      <c r="D134" s="534">
        <f t="shared" si="56"/>
        <v>0</v>
      </c>
      <c r="E134" s="535">
        <f t="shared" ref="E134:O134" si="60">E89/E$57</f>
        <v>0</v>
      </c>
      <c r="F134" s="536">
        <f t="shared" si="60"/>
        <v>5.11459259954656</v>
      </c>
      <c r="G134" s="534">
        <f t="shared" si="60"/>
        <v>0</v>
      </c>
      <c r="H134" s="535">
        <f t="shared" si="60"/>
        <v>0</v>
      </c>
      <c r="I134" s="536">
        <f t="shared" si="60"/>
        <v>8.0367583317003692</v>
      </c>
      <c r="J134" s="534">
        <f t="shared" si="60"/>
        <v>0</v>
      </c>
      <c r="K134" s="535">
        <f t="shared" si="60"/>
        <v>0</v>
      </c>
      <c r="L134" s="536">
        <f t="shared" si="60"/>
        <v>28.970454791561508</v>
      </c>
      <c r="M134" s="534">
        <f t="shared" si="60"/>
        <v>0</v>
      </c>
      <c r="N134" s="535">
        <f t="shared" si="60"/>
        <v>0</v>
      </c>
      <c r="O134" s="536">
        <f t="shared" si="60"/>
        <v>47.739945221450505</v>
      </c>
    </row>
    <row r="135" spans="2:15" x14ac:dyDescent="0.25">
      <c r="B135" s="520" t="s">
        <v>840</v>
      </c>
      <c r="C135" s="520" t="s">
        <v>156</v>
      </c>
      <c r="D135" s="534">
        <f t="shared" si="56"/>
        <v>0</v>
      </c>
      <c r="E135" s="535">
        <f t="shared" ref="E135:O135" si="61">E90/E$57</f>
        <v>0</v>
      </c>
      <c r="F135" s="536">
        <f t="shared" si="61"/>
        <v>10.872008811310772</v>
      </c>
      <c r="G135" s="534">
        <f t="shared" si="61"/>
        <v>1.0173857761885765</v>
      </c>
      <c r="H135" s="535">
        <f t="shared" si="61"/>
        <v>0</v>
      </c>
      <c r="I135" s="536">
        <f t="shared" si="61"/>
        <v>17.092071860652581</v>
      </c>
      <c r="J135" s="534">
        <f t="shared" si="61"/>
        <v>3.0391206399928743</v>
      </c>
      <c r="K135" s="535">
        <f t="shared" si="61"/>
        <v>0</v>
      </c>
      <c r="L135" s="536">
        <f t="shared" si="61"/>
        <v>38.292899498667509</v>
      </c>
      <c r="M135" s="534">
        <f t="shared" si="61"/>
        <v>4.8865962529878288</v>
      </c>
      <c r="N135" s="535">
        <f t="shared" si="61"/>
        <v>0</v>
      </c>
      <c r="O135" s="536">
        <f t="shared" si="61"/>
        <v>61.571079720832309</v>
      </c>
    </row>
    <row r="136" spans="2:15" x14ac:dyDescent="0.25">
      <c r="B136" s="520" t="s">
        <v>839</v>
      </c>
      <c r="C136" s="520" t="s">
        <v>113</v>
      </c>
      <c r="D136" s="534">
        <f t="shared" si="56"/>
        <v>0</v>
      </c>
      <c r="E136" s="535">
        <f t="shared" ref="E136:O136" si="62">E91/E$57</f>
        <v>0</v>
      </c>
      <c r="F136" s="536">
        <f t="shared" si="62"/>
        <v>9.1198043407845812</v>
      </c>
      <c r="G136" s="534">
        <f t="shared" si="62"/>
        <v>0.83878412408864511</v>
      </c>
      <c r="H136" s="535">
        <f t="shared" si="62"/>
        <v>0</v>
      </c>
      <c r="I136" s="536">
        <f t="shared" si="62"/>
        <v>14.091565716798772</v>
      </c>
      <c r="J136" s="534">
        <f t="shared" si="62"/>
        <v>1.2438992515830873</v>
      </c>
      <c r="K136" s="535">
        <f t="shared" si="62"/>
        <v>0</v>
      </c>
      <c r="L136" s="536">
        <f t="shared" si="62"/>
        <v>15.673122152679857</v>
      </c>
      <c r="M136" s="534">
        <f t="shared" si="62"/>
        <v>1.3835073623115959</v>
      </c>
      <c r="N136" s="535">
        <f t="shared" si="62"/>
        <v>0</v>
      </c>
      <c r="O136" s="536">
        <f t="shared" si="62"/>
        <v>17.432183403153335</v>
      </c>
    </row>
    <row r="137" spans="2:15" x14ac:dyDescent="0.25">
      <c r="B137" s="520" t="s">
        <v>840</v>
      </c>
      <c r="C137" s="520" t="s">
        <v>182</v>
      </c>
      <c r="D137" s="534">
        <f t="shared" si="56"/>
        <v>0</v>
      </c>
      <c r="E137" s="535">
        <f t="shared" ref="E137:O137" si="63">E92/E$57</f>
        <v>0</v>
      </c>
      <c r="F137" s="536">
        <f t="shared" si="63"/>
        <v>4.0069041285110778</v>
      </c>
      <c r="G137" s="534">
        <f t="shared" si="63"/>
        <v>0</v>
      </c>
      <c r="H137" s="535">
        <f t="shared" si="63"/>
        <v>0</v>
      </c>
      <c r="I137" s="536">
        <f t="shared" si="63"/>
        <v>5.7941375583543602</v>
      </c>
      <c r="J137" s="534">
        <f t="shared" si="63"/>
        <v>0</v>
      </c>
      <c r="K137" s="535">
        <f t="shared" si="63"/>
        <v>0</v>
      </c>
      <c r="L137" s="536">
        <f t="shared" si="63"/>
        <v>26.550247021808772</v>
      </c>
      <c r="M137" s="534">
        <f t="shared" si="63"/>
        <v>0</v>
      </c>
      <c r="N137" s="535">
        <f t="shared" si="63"/>
        <v>0</v>
      </c>
      <c r="O137" s="536">
        <f t="shared" si="63"/>
        <v>49.367482087712737</v>
      </c>
    </row>
    <row r="138" spans="2:15" x14ac:dyDescent="0.25">
      <c r="B138" s="520" t="s">
        <v>839</v>
      </c>
      <c r="C138" s="520" t="s">
        <v>158</v>
      </c>
      <c r="D138" s="534">
        <f t="shared" si="56"/>
        <v>0</v>
      </c>
      <c r="E138" s="535">
        <f t="shared" ref="E138:O138" si="64">E93/E$57</f>
        <v>54.465364623732576</v>
      </c>
      <c r="F138" s="536">
        <f t="shared" si="64"/>
        <v>3.9018310491340134</v>
      </c>
      <c r="G138" s="534">
        <f t="shared" si="64"/>
        <v>2.5797509019482572</v>
      </c>
      <c r="H138" s="535">
        <f t="shared" si="64"/>
        <v>68.564046194002572</v>
      </c>
      <c r="I138" s="536">
        <f t="shared" si="64"/>
        <v>5.7786389169398706</v>
      </c>
      <c r="J138" s="534">
        <f t="shared" si="64"/>
        <v>4.1351179053687339</v>
      </c>
      <c r="K138" s="535">
        <f t="shared" si="64"/>
        <v>82.426683580350101</v>
      </c>
      <c r="L138" s="536">
        <f t="shared" si="64"/>
        <v>6.946994350128711</v>
      </c>
      <c r="M138" s="534">
        <f t="shared" si="64"/>
        <v>4.8373529060257283</v>
      </c>
      <c r="N138" s="535">
        <f t="shared" si="64"/>
        <v>96.424567926779517</v>
      </c>
      <c r="O138" s="536">
        <f t="shared" si="64"/>
        <v>8.12674851764422</v>
      </c>
    </row>
    <row r="139" spans="2:15" x14ac:dyDescent="0.25">
      <c r="B139" s="520" t="s">
        <v>840</v>
      </c>
      <c r="C139" s="520" t="s">
        <v>184</v>
      </c>
      <c r="D139" s="534">
        <f t="shared" si="56"/>
        <v>0</v>
      </c>
      <c r="E139" s="535">
        <f t="shared" ref="E139:O139" si="65">E94/E$57</f>
        <v>0</v>
      </c>
      <c r="F139" s="536">
        <f t="shared" si="65"/>
        <v>9.5486667186879579</v>
      </c>
      <c r="G139" s="534">
        <f t="shared" si="65"/>
        <v>0.93012614265805149</v>
      </c>
      <c r="H139" s="535">
        <f t="shared" si="65"/>
        <v>0</v>
      </c>
      <c r="I139" s="536">
        <f t="shared" si="65"/>
        <v>15.626110804635715</v>
      </c>
      <c r="J139" s="534">
        <f t="shared" si="65"/>
        <v>1.4836958546590013</v>
      </c>
      <c r="K139" s="535">
        <f t="shared" si="65"/>
        <v>0</v>
      </c>
      <c r="L139" s="536">
        <f t="shared" si="65"/>
        <v>18.694557728771159</v>
      </c>
      <c r="M139" s="534">
        <f t="shared" si="65"/>
        <v>1.7610007978430628</v>
      </c>
      <c r="N139" s="535">
        <f t="shared" si="65"/>
        <v>0</v>
      </c>
      <c r="O139" s="536">
        <f t="shared" si="65"/>
        <v>22.188598136412189</v>
      </c>
    </row>
    <row r="140" spans="2:15" x14ac:dyDescent="0.25">
      <c r="B140" s="520" t="s">
        <v>840</v>
      </c>
      <c r="C140" s="520" t="s">
        <v>125</v>
      </c>
      <c r="D140" s="534">
        <f t="shared" si="56"/>
        <v>0</v>
      </c>
      <c r="E140" s="535">
        <f t="shared" ref="E140:O140" si="66">E95/E$57</f>
        <v>0</v>
      </c>
      <c r="F140" s="536">
        <f t="shared" si="66"/>
        <v>1.0834202091541251E-2</v>
      </c>
      <c r="G140" s="534">
        <f t="shared" si="66"/>
        <v>1.0647731177430859E-3</v>
      </c>
      <c r="H140" s="535">
        <f t="shared" si="66"/>
        <v>0</v>
      </c>
      <c r="I140" s="536">
        <f t="shared" si="66"/>
        <v>1.7888178771218267E-2</v>
      </c>
      <c r="J140" s="534">
        <f t="shared" si="66"/>
        <v>1.8030945387273553E-2</v>
      </c>
      <c r="K140" s="535">
        <f t="shared" si="66"/>
        <v>0</v>
      </c>
      <c r="L140" s="536">
        <f t="shared" si="66"/>
        <v>0.22718978986712665</v>
      </c>
      <c r="M140" s="534">
        <f t="shared" si="66"/>
        <v>3.6666950074479496E-2</v>
      </c>
      <c r="N140" s="535">
        <f t="shared" si="66"/>
        <v>0</v>
      </c>
      <c r="O140" s="536">
        <f t="shared" si="66"/>
        <v>0.46200332281906215</v>
      </c>
    </row>
    <row r="141" spans="2:15" x14ac:dyDescent="0.25">
      <c r="B141" s="520" t="s">
        <v>839</v>
      </c>
      <c r="C141" s="520" t="s">
        <v>144</v>
      </c>
      <c r="D141" s="534">
        <f t="shared" si="56"/>
        <v>0</v>
      </c>
      <c r="E141" s="535">
        <f t="shared" ref="E141:O141" si="67">E96/E$57</f>
        <v>0</v>
      </c>
      <c r="F141" s="536">
        <f t="shared" si="67"/>
        <v>8.9847928753386142E-3</v>
      </c>
      <c r="G141" s="534">
        <f t="shared" si="67"/>
        <v>8.6233950858918373E-4</v>
      </c>
      <c r="H141" s="535">
        <f t="shared" si="67"/>
        <v>0</v>
      </c>
      <c r="I141" s="536">
        <f t="shared" si="67"/>
        <v>1.4487295963880469E-2</v>
      </c>
      <c r="J141" s="534">
        <f t="shared" si="67"/>
        <v>1.2723401368884805E-2</v>
      </c>
      <c r="K141" s="535">
        <f t="shared" si="67"/>
        <v>0</v>
      </c>
      <c r="L141" s="536">
        <f t="shared" si="67"/>
        <v>0.16031477115072892</v>
      </c>
      <c r="M141" s="534">
        <f t="shared" si="67"/>
        <v>2.5055578222382975E-2</v>
      </c>
      <c r="N141" s="535">
        <f t="shared" si="67"/>
        <v>0</v>
      </c>
      <c r="O141" s="536">
        <f t="shared" si="67"/>
        <v>0.31570011605493992</v>
      </c>
    </row>
    <row r="142" spans="2:15" x14ac:dyDescent="0.25">
      <c r="B142" s="520" t="s">
        <v>839</v>
      </c>
      <c r="C142" s="520" t="s">
        <v>68</v>
      </c>
      <c r="D142" s="534">
        <f t="shared" si="56"/>
        <v>0</v>
      </c>
      <c r="E142" s="535">
        <f t="shared" ref="E142:O142" si="68">E97/E$57</f>
        <v>0</v>
      </c>
      <c r="F142" s="536">
        <f t="shared" si="68"/>
        <v>5.8814025032269965E-3</v>
      </c>
      <c r="G142" s="534">
        <f t="shared" si="68"/>
        <v>5.5827234266858281E-4</v>
      </c>
      <c r="H142" s="535">
        <f t="shared" si="68"/>
        <v>0</v>
      </c>
      <c r="I142" s="536">
        <f t="shared" si="68"/>
        <v>9.3789703198461326E-3</v>
      </c>
      <c r="J142" s="534">
        <f t="shared" si="68"/>
        <v>9.3028125377021646E-3</v>
      </c>
      <c r="K142" s="535">
        <f t="shared" si="68"/>
        <v>0</v>
      </c>
      <c r="L142" s="536">
        <f t="shared" si="68"/>
        <v>0.11721537502440453</v>
      </c>
      <c r="M142" s="534">
        <f t="shared" si="68"/>
        <v>1.8664427595697492E-2</v>
      </c>
      <c r="N142" s="535">
        <f t="shared" si="68"/>
        <v>0</v>
      </c>
      <c r="O142" s="536">
        <f t="shared" si="68"/>
        <v>0.23517166140659571</v>
      </c>
    </row>
    <row r="143" spans="2:15" x14ac:dyDescent="0.25">
      <c r="B143" s="523" t="s">
        <v>840</v>
      </c>
      <c r="C143" s="523" t="s">
        <v>119</v>
      </c>
      <c r="D143" s="537">
        <f t="shared" si="56"/>
        <v>0</v>
      </c>
      <c r="E143" s="538">
        <f t="shared" ref="E143:O143" si="69">E98/E$57</f>
        <v>0</v>
      </c>
      <c r="F143" s="539">
        <f t="shared" si="69"/>
        <v>5.3993697345096772</v>
      </c>
      <c r="G143" s="537">
        <f t="shared" si="69"/>
        <v>0.48662412995356447</v>
      </c>
      <c r="H143" s="538">
        <f t="shared" si="69"/>
        <v>0</v>
      </c>
      <c r="I143" s="539">
        <f t="shared" si="69"/>
        <v>8.175280992676468</v>
      </c>
      <c r="J143" s="537">
        <f t="shared" si="69"/>
        <v>0.70515252381293236</v>
      </c>
      <c r="K143" s="538">
        <f t="shared" si="69"/>
        <v>0</v>
      </c>
      <c r="L143" s="539">
        <f t="shared" si="69"/>
        <v>8.8849170283887364</v>
      </c>
      <c r="M143" s="537">
        <f t="shared" si="69"/>
        <v>0.76636162989985146</v>
      </c>
      <c r="N143" s="538">
        <f t="shared" si="69"/>
        <v>0</v>
      </c>
      <c r="O143" s="539">
        <f t="shared" si="69"/>
        <v>9.656151350891701</v>
      </c>
    </row>
    <row r="144" spans="2:15" ht="13.5" thickBot="1" x14ac:dyDescent="0.35">
      <c r="B144" s="524"/>
      <c r="C144" s="524" t="s">
        <v>829</v>
      </c>
      <c r="D144" s="540">
        <f t="shared" ref="D144" si="70">SUM(D130:D143)</f>
        <v>9.8476545530300523</v>
      </c>
      <c r="E144" s="541">
        <f t="shared" ref="E144" si="71">SUM(E130:E143)</f>
        <v>54.465364623732576</v>
      </c>
      <c r="F144" s="542">
        <f t="shared" ref="F144:G144" si="72">SUM(F130:F143)</f>
        <v>58.649673883753387</v>
      </c>
      <c r="G144" s="540">
        <f t="shared" si="72"/>
        <v>31.319810909361674</v>
      </c>
      <c r="H144" s="541">
        <f t="shared" ref="H144" si="73">SUM(H130:H143)</f>
        <v>68.564046194002572</v>
      </c>
      <c r="I144" s="542">
        <f t="shared" ref="I144:J144" si="74">SUM(I130:I143)</f>
        <v>90.854873571214966</v>
      </c>
      <c r="J144" s="540">
        <f t="shared" si="74"/>
        <v>89.587583118297331</v>
      </c>
      <c r="K144" s="541">
        <f t="shared" ref="K144" si="75">SUM(K130:K143)</f>
        <v>82.426683580350101</v>
      </c>
      <c r="L144" s="542">
        <f t="shared" ref="L144:M144" si="76">SUM(L130:L143)</f>
        <v>178.69219160727573</v>
      </c>
      <c r="M144" s="540">
        <f t="shared" si="76"/>
        <v>180.03653754586014</v>
      </c>
      <c r="N144" s="541">
        <f t="shared" ref="N144" si="77">SUM(N130:N143)</f>
        <v>96.424567926779517</v>
      </c>
      <c r="O144" s="542">
        <f t="shared" ref="O144" si="78">SUM(O130:O143)</f>
        <v>270.89966813206223</v>
      </c>
    </row>
    <row r="145" spans="6:15" ht="13.5" thickTop="1" x14ac:dyDescent="0.3">
      <c r="F145" s="568">
        <f>SUM(D144:F144)</f>
        <v>122.96269306051602</v>
      </c>
      <c r="I145" s="568">
        <f>SUM(G144:I144)</f>
        <v>190.73873067457922</v>
      </c>
      <c r="L145" s="568">
        <f>SUM(J144:L144)</f>
        <v>350.70645830592315</v>
      </c>
      <c r="O145" s="568">
        <f>SUM(M144:O144)</f>
        <v>547.36077360470188</v>
      </c>
    </row>
  </sheetData>
  <mergeCells count="26">
    <mergeCell ref="D126:F126"/>
    <mergeCell ref="G126:I126"/>
    <mergeCell ref="J126:L126"/>
    <mergeCell ref="M126:O126"/>
    <mergeCell ref="M56:O56"/>
    <mergeCell ref="H79:I79"/>
    <mergeCell ref="D105:F105"/>
    <mergeCell ref="G105:I105"/>
    <mergeCell ref="J105:L105"/>
    <mergeCell ref="M105:O105"/>
    <mergeCell ref="D81:F81"/>
    <mergeCell ref="G81:I81"/>
    <mergeCell ref="J81:L81"/>
    <mergeCell ref="M81:O81"/>
    <mergeCell ref="H7:I7"/>
    <mergeCell ref="D10:F10"/>
    <mergeCell ref="G10:I10"/>
    <mergeCell ref="J10:L10"/>
    <mergeCell ref="M10:O10"/>
    <mergeCell ref="D36:F36"/>
    <mergeCell ref="G36:I36"/>
    <mergeCell ref="J36:L36"/>
    <mergeCell ref="M36:O36"/>
    <mergeCell ref="D56:F56"/>
    <mergeCell ref="G56:I56"/>
    <mergeCell ref="J56:L56"/>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EA0D-4F36-4298-B23F-233B581912C5}">
  <sheetPr>
    <tabColor rgb="FF0070C0"/>
  </sheetPr>
  <dimension ref="A1:N147"/>
  <sheetViews>
    <sheetView zoomScale="85" zoomScaleNormal="85" workbookViewId="0">
      <selection activeCell="N40" sqref="M40:N41"/>
    </sheetView>
  </sheetViews>
  <sheetFormatPr defaultRowHeight="12.5" x14ac:dyDescent="0.25"/>
  <cols>
    <col min="1" max="1" width="8.7265625" style="280"/>
    <col min="2" max="2" width="30.6328125" style="280" bestFit="1" customWidth="1"/>
    <col min="3" max="14" width="17.90625" style="280" customWidth="1"/>
    <col min="15" max="16384" width="8.7265625" style="280"/>
  </cols>
  <sheetData>
    <row r="1" spans="1:14" s="7" customFormat="1" ht="13.5" customHeight="1" x14ac:dyDescent="0.25">
      <c r="A1" s="5"/>
      <c r="B1" s="5"/>
      <c r="C1" s="5"/>
      <c r="D1" s="6"/>
      <c r="E1" s="25"/>
    </row>
    <row r="2" spans="1:14" s="7" customFormat="1" ht="13.5" customHeight="1" x14ac:dyDescent="0.25">
      <c r="A2" s="5"/>
      <c r="B2" s="5"/>
      <c r="C2" s="5"/>
      <c r="D2" s="6"/>
      <c r="E2" s="26" t="str">
        <f>Title</f>
        <v>OCP Africa - CIV P205</v>
      </c>
    </row>
    <row r="3" spans="1:14" s="7" customFormat="1" ht="13.5" customHeight="1" x14ac:dyDescent="0.25">
      <c r="A3" s="5"/>
      <c r="B3" s="5"/>
      <c r="C3" s="5"/>
      <c r="D3" s="6"/>
      <c r="E3" s="27" t="str">
        <f ca="1">MID(CELL("filename",E3),FIND("]",CELL("filename",E3))+1,256)</f>
        <v>Projection Mkt product mix</v>
      </c>
    </row>
    <row r="4" spans="1:14" s="7" customFormat="1" ht="13.5" customHeight="1" x14ac:dyDescent="0.25">
      <c r="A4" s="5"/>
      <c r="B4" s="5"/>
      <c r="C4" s="5"/>
      <c r="D4" s="6"/>
      <c r="E4" s="25"/>
    </row>
    <row r="5" spans="1:14" s="11" customFormat="1" ht="13.5" customHeight="1" x14ac:dyDescent="0.3">
      <c r="A5" s="8"/>
      <c r="B5" s="8"/>
      <c r="C5" s="8"/>
      <c r="D5" s="9"/>
      <c r="E5" s="10"/>
    </row>
    <row r="6" spans="1:14" s="2" customFormat="1" ht="13.5" customHeight="1" x14ac:dyDescent="0.25">
      <c r="A6" s="7"/>
      <c r="B6" s="7"/>
      <c r="C6" s="7"/>
      <c r="D6" s="7"/>
      <c r="E6" s="437"/>
      <c r="F6" s="437"/>
      <c r="G6" s="437"/>
      <c r="H6" s="435"/>
      <c r="I6" s="435"/>
      <c r="J6" s="437"/>
      <c r="K6" s="437"/>
      <c r="L6" s="437"/>
    </row>
    <row r="7" spans="1:14" s="2" customFormat="1" ht="13.5" customHeight="1" x14ac:dyDescent="0.35">
      <c r="A7" s="29">
        <v>1</v>
      </c>
      <c r="B7" s="52" t="s">
        <v>830</v>
      </c>
      <c r="C7" s="7"/>
      <c r="D7" s="52"/>
      <c r="E7" s="437"/>
      <c r="F7" s="437"/>
      <c r="G7" s="437"/>
      <c r="H7" s="630"/>
      <c r="I7" s="630"/>
      <c r="J7" s="437"/>
      <c r="K7" s="437"/>
      <c r="L7" s="456"/>
    </row>
    <row r="9" spans="1:14" ht="13" thickBot="1" x14ac:dyDescent="0.3"/>
    <row r="10" spans="1:14" ht="13" x14ac:dyDescent="0.3">
      <c r="B10" s="554" t="s">
        <v>832</v>
      </c>
      <c r="C10" s="641">
        <v>2022</v>
      </c>
      <c r="D10" s="642"/>
      <c r="E10" s="643"/>
      <c r="F10" s="641">
        <v>2023</v>
      </c>
      <c r="G10" s="642"/>
      <c r="H10" s="643"/>
      <c r="I10" s="641">
        <v>2024</v>
      </c>
      <c r="J10" s="642"/>
      <c r="K10" s="643"/>
      <c r="L10" s="641">
        <v>2025</v>
      </c>
      <c r="M10" s="642"/>
      <c r="N10" s="643"/>
    </row>
    <row r="11" spans="1:14" x14ac:dyDescent="0.25">
      <c r="B11" s="521" t="s">
        <v>211</v>
      </c>
      <c r="C11" s="525">
        <v>0.46</v>
      </c>
      <c r="D11" s="526">
        <v>0.15</v>
      </c>
      <c r="E11" s="527">
        <v>0.27380967085922192</v>
      </c>
      <c r="F11" s="525">
        <v>0.46</v>
      </c>
      <c r="G11" s="526">
        <v>0.15</v>
      </c>
      <c r="H11" s="527">
        <v>0.27380967085922192</v>
      </c>
      <c r="I11" s="525">
        <v>0.46</v>
      </c>
      <c r="J11" s="526">
        <v>0.15</v>
      </c>
      <c r="K11" s="527">
        <v>0.27380967085922192</v>
      </c>
      <c r="L11" s="525">
        <v>0.46</v>
      </c>
      <c r="M11" s="526">
        <v>0.15</v>
      </c>
      <c r="N11" s="527">
        <v>0.27380967085922192</v>
      </c>
    </row>
    <row r="12" spans="1:14" ht="13" x14ac:dyDescent="0.3">
      <c r="B12" s="518"/>
      <c r="C12" s="528" t="s">
        <v>220</v>
      </c>
      <c r="D12" s="529" t="s">
        <v>407</v>
      </c>
      <c r="E12" s="530" t="s">
        <v>651</v>
      </c>
      <c r="F12" s="528" t="s">
        <v>220</v>
      </c>
      <c r="G12" s="529" t="s">
        <v>407</v>
      </c>
      <c r="H12" s="530" t="s">
        <v>651</v>
      </c>
      <c r="I12" s="528" t="s">
        <v>220</v>
      </c>
      <c r="J12" s="529" t="s">
        <v>407</v>
      </c>
      <c r="K12" s="530" t="s">
        <v>651</v>
      </c>
      <c r="L12" s="528" t="s">
        <v>220</v>
      </c>
      <c r="M12" s="529" t="s">
        <v>407</v>
      </c>
      <c r="N12" s="530" t="s">
        <v>651</v>
      </c>
    </row>
    <row r="13" spans="1:14" ht="13" x14ac:dyDescent="0.3">
      <c r="B13" s="522" t="s">
        <v>237</v>
      </c>
      <c r="C13" s="531"/>
      <c r="D13" s="532"/>
      <c r="E13" s="533"/>
      <c r="F13" s="531"/>
      <c r="G13" s="532"/>
      <c r="H13" s="533"/>
      <c r="I13" s="531"/>
      <c r="J13" s="532"/>
      <c r="K13" s="533"/>
      <c r="L13" s="531"/>
      <c r="M13" s="532"/>
      <c r="N13" s="533"/>
    </row>
    <row r="14" spans="1:14" x14ac:dyDescent="0.25">
      <c r="B14" s="520" t="s">
        <v>167</v>
      </c>
      <c r="C14" s="534">
        <f>ProjectedP205_Consumption!$J13*C40</f>
        <v>30.199473962625497</v>
      </c>
      <c r="D14" s="535">
        <f>ProjectedP205_Consumption!$J13*D40</f>
        <v>0</v>
      </c>
      <c r="E14" s="536">
        <f>ProjectedP205_Consumption!$J13*E40</f>
        <v>3.3554971069583877</v>
      </c>
      <c r="F14" s="534">
        <f>ProjectedP205_Consumption!$K13*F40</f>
        <v>39.019326776697817</v>
      </c>
      <c r="G14" s="535">
        <f>ProjectedP205_Consumption!$K13*G40</f>
        <v>0</v>
      </c>
      <c r="H14" s="536">
        <f>ProjectedP205_Consumption!$K13*H40</f>
        <v>4.335480752966423</v>
      </c>
      <c r="I14" s="534">
        <f>ProjectedP205_Consumption!$L13*I40</f>
        <v>42.220987148583539</v>
      </c>
      <c r="J14" s="535">
        <f>ProjectedP205_Consumption!$L13*J40</f>
        <v>0</v>
      </c>
      <c r="K14" s="536">
        <f>ProjectedP205_Consumption!$L13*K40</f>
        <v>4.6912207942870587</v>
      </c>
      <c r="L14" s="534">
        <f>ProjectedP205_Consumption!$M13*L40</f>
        <v>45.685353978619261</v>
      </c>
      <c r="M14" s="535">
        <f>ProjectedP205_Consumption!$M13*M40</f>
        <v>0</v>
      </c>
      <c r="N14" s="536">
        <f>ProjectedP205_Consumption!$M13*N40</f>
        <v>5.0761504420688057</v>
      </c>
    </row>
    <row r="15" spans="1:14" x14ac:dyDescent="0.25">
      <c r="B15" s="520" t="s">
        <v>136</v>
      </c>
      <c r="C15" s="534">
        <f>ProjectedP205_Consumption!$J14*C41</f>
        <v>2.1515543819420679E-2</v>
      </c>
      <c r="D15" s="535">
        <f>ProjectedP205_Consumption!$J14*D41</f>
        <v>0</v>
      </c>
      <c r="E15" s="536">
        <f>ProjectedP205_Consumption!$J14*E41</f>
        <v>5.0202935578648245E-2</v>
      </c>
      <c r="F15" s="534">
        <f>ProjectedP205_Consumption!$K14*F41</f>
        <v>3.1063560372298092E-2</v>
      </c>
      <c r="G15" s="535">
        <f>ProjectedP205_Consumption!$K14*G41</f>
        <v>0</v>
      </c>
      <c r="H15" s="536">
        <f>ProjectedP205_Consumption!$K14*H41</f>
        <v>7.2481640868695546E-2</v>
      </c>
      <c r="I15" s="534">
        <f>ProjectedP205_Consumption!$L14*I41</f>
        <v>3.8325380808634249E-2</v>
      </c>
      <c r="J15" s="535">
        <f>ProjectedP205_Consumption!$L14*J41</f>
        <v>0</v>
      </c>
      <c r="K15" s="536">
        <f>ProjectedP205_Consumption!$L14*K41</f>
        <v>8.942588855347991E-2</v>
      </c>
      <c r="L15" s="534">
        <f>ProjectedP205_Consumption!$M14*L41</f>
        <v>4.728481849867764E-2</v>
      </c>
      <c r="M15" s="535">
        <f>ProjectedP205_Consumption!$M14*M41</f>
        <v>0</v>
      </c>
      <c r="N15" s="536">
        <f>ProjectedP205_Consumption!$M14*N41</f>
        <v>0.11033124316358116</v>
      </c>
    </row>
    <row r="16" spans="1:14" x14ac:dyDescent="0.25">
      <c r="B16" s="520" t="s">
        <v>117</v>
      </c>
      <c r="C16" s="534">
        <f>ProjectedP205_Consumption!$J15*C42</f>
        <v>6.5121564271200102E-3</v>
      </c>
      <c r="D16" s="535">
        <f>ProjectedP205_Consumption!$J15*D42</f>
        <v>0</v>
      </c>
      <c r="E16" s="536">
        <f>ProjectedP205_Consumption!$J15*E42</f>
        <v>9.7682346406800149E-3</v>
      </c>
      <c r="F16" s="534">
        <f>ProjectedP205_Consumption!$K15*F42</f>
        <v>5.1471326166171701E-3</v>
      </c>
      <c r="G16" s="535">
        <f>ProjectedP205_Consumption!$K15*G42</f>
        <v>0</v>
      </c>
      <c r="H16" s="536">
        <f>ProjectedP205_Consumption!$K15*H42</f>
        <v>7.7206989249257547E-3</v>
      </c>
      <c r="I16" s="534">
        <f>ProjectedP205_Consumption!$L15*I42</f>
        <v>3.0052245324680414E-3</v>
      </c>
      <c r="J16" s="535">
        <f>ProjectedP205_Consumption!$L15*J42</f>
        <v>0</v>
      </c>
      <c r="K16" s="536">
        <f>ProjectedP205_Consumption!$L15*K42</f>
        <v>4.5078367987020614E-3</v>
      </c>
      <c r="L16" s="534">
        <f>ProjectedP205_Consumption!$M15*L42</f>
        <v>1.7546418876775349E-3</v>
      </c>
      <c r="M16" s="535">
        <f>ProjectedP205_Consumption!$M15*M42</f>
        <v>0</v>
      </c>
      <c r="N16" s="536">
        <f>ProjectedP205_Consumption!$M15*N42</f>
        <v>2.6319628315163023E-3</v>
      </c>
    </row>
    <row r="17" spans="2:14" x14ac:dyDescent="0.25">
      <c r="B17" s="520" t="s">
        <v>124</v>
      </c>
      <c r="C17" s="534">
        <f>ProjectedP205_Consumption!$J16*C43</f>
        <v>1.2455715041035932E-2</v>
      </c>
      <c r="D17" s="535">
        <f>ProjectedP205_Consumption!$J16*D43</f>
        <v>0</v>
      </c>
      <c r="E17" s="536">
        <f>ProjectedP205_Consumption!$J16*E43</f>
        <v>1.8683572561553896E-2</v>
      </c>
      <c r="F17" s="534">
        <f>ProjectedP205_Consumption!$K16*F43</f>
        <v>1.6742732252563283E-2</v>
      </c>
      <c r="G17" s="535">
        <f>ProjectedP205_Consumption!$K16*G43</f>
        <v>0</v>
      </c>
      <c r="H17" s="536">
        <f>ProjectedP205_Consumption!$K16*H43</f>
        <v>2.5114098378844926E-2</v>
      </c>
      <c r="I17" s="534">
        <f>ProjectedP205_Consumption!$L16*I43</f>
        <v>1.9032909027881854E-2</v>
      </c>
      <c r="J17" s="535">
        <f>ProjectedP205_Consumption!$L16*J43</f>
        <v>0</v>
      </c>
      <c r="K17" s="536">
        <f>ProjectedP205_Consumption!$L16*K43</f>
        <v>2.8549363541822779E-2</v>
      </c>
      <c r="L17" s="534">
        <f>ProjectedP205_Consumption!$M16*L43</f>
        <v>2.1636350662429447E-2</v>
      </c>
      <c r="M17" s="535">
        <f>ProjectedP205_Consumption!$M16*M43</f>
        <v>0</v>
      </c>
      <c r="N17" s="536">
        <f>ProjectedP205_Consumption!$M16*N43</f>
        <v>3.2454525993644165E-2</v>
      </c>
    </row>
    <row r="18" spans="2:14" x14ac:dyDescent="0.25">
      <c r="B18" s="520" t="s">
        <v>73</v>
      </c>
      <c r="C18" s="534">
        <f>ProjectedP205_Consumption!$J17*C44</f>
        <v>1.0983724833418476</v>
      </c>
      <c r="D18" s="535">
        <f>ProjectedP205_Consumption!$J17*D44</f>
        <v>0</v>
      </c>
      <c r="E18" s="536">
        <f>ProjectedP205_Consumption!$J17*E44</f>
        <v>1.6475587250127715</v>
      </c>
      <c r="F18" s="534">
        <f>ProjectedP205_Consumption!$K17*F44</f>
        <v>1.4670281023853251</v>
      </c>
      <c r="G18" s="535">
        <f>ProjectedP205_Consumption!$K17*G44</f>
        <v>0</v>
      </c>
      <c r="H18" s="536">
        <f>ProjectedP205_Consumption!$K17*H44</f>
        <v>2.2005421535779877</v>
      </c>
      <c r="I18" s="534">
        <f>ProjectedP205_Consumption!$L17*I44</f>
        <v>1.6810320821890024</v>
      </c>
      <c r="J18" s="535">
        <f>ProjectedP205_Consumption!$L17*J44</f>
        <v>0</v>
      </c>
      <c r="K18" s="536">
        <f>ProjectedP205_Consumption!$L17*K44</f>
        <v>2.5215481232835035</v>
      </c>
      <c r="L18" s="534">
        <f>ProjectedP205_Consumption!$M17*L44</f>
        <v>1.9262540756744544</v>
      </c>
      <c r="M18" s="535">
        <f>ProjectedP205_Consumption!$M17*M44</f>
        <v>0</v>
      </c>
      <c r="N18" s="536">
        <f>ProjectedP205_Consumption!$M17*N44</f>
        <v>2.8893811135116811</v>
      </c>
    </row>
    <row r="19" spans="2:14" x14ac:dyDescent="0.25">
      <c r="B19" s="520" t="s">
        <v>156</v>
      </c>
      <c r="C19" s="534">
        <f>ProjectedP205_Consumption!$J18*C45</f>
        <v>2.334793062120442</v>
      </c>
      <c r="D19" s="535">
        <f>ProjectedP205_Consumption!$J18*D45</f>
        <v>0</v>
      </c>
      <c r="E19" s="536">
        <f>ProjectedP205_Consumption!$J18*E45</f>
        <v>3.5021895931806628</v>
      </c>
      <c r="F19" s="534">
        <f>ProjectedP205_Consumption!$K18*F45</f>
        <v>3.1199830469783016</v>
      </c>
      <c r="G19" s="535">
        <f>ProjectedP205_Consumption!$K18*G45</f>
        <v>0</v>
      </c>
      <c r="H19" s="536">
        <f>ProjectedP205_Consumption!$K18*H45</f>
        <v>4.6799745704674516</v>
      </c>
      <c r="I19" s="534">
        <f>ProjectedP205_Consumption!$L18*I45</f>
        <v>3.514035673832629</v>
      </c>
      <c r="J19" s="535">
        <f>ProjectedP205_Consumption!$L18*J45</f>
        <v>0</v>
      </c>
      <c r="K19" s="536">
        <f>ProjectedP205_Consumption!$L18*K45</f>
        <v>5.2710535107489429</v>
      </c>
      <c r="L19" s="534">
        <f>ProjectedP205_Consumption!$M18*L45</f>
        <v>3.9578569918601922</v>
      </c>
      <c r="M19" s="535">
        <f>ProjectedP205_Consumption!$M18*M45</f>
        <v>0</v>
      </c>
      <c r="N19" s="536">
        <f>ProjectedP205_Consumption!$M18*N45</f>
        <v>5.9367854877902877</v>
      </c>
    </row>
    <row r="20" spans="2:14" x14ac:dyDescent="0.25">
      <c r="B20" s="520" t="s">
        <v>113</v>
      </c>
      <c r="C20" s="534">
        <f>ProjectedP205_Consumption!$J19*C46</f>
        <v>1.9585024508633173</v>
      </c>
      <c r="D20" s="535">
        <f>ProjectedP205_Consumption!$J19*D46</f>
        <v>0</v>
      </c>
      <c r="E20" s="536">
        <f>ProjectedP205_Consumption!$J19*E46</f>
        <v>2.9377536762949759</v>
      </c>
      <c r="F20" s="534">
        <f>ProjectedP205_Consumption!$K19*F46</f>
        <v>2.5722713138718452</v>
      </c>
      <c r="G20" s="535">
        <f>ProjectedP205_Consumption!$K19*G46</f>
        <v>0</v>
      </c>
      <c r="H20" s="536">
        <f>ProjectedP205_Consumption!$K19*H46</f>
        <v>3.8584069708077675</v>
      </c>
      <c r="I20" s="534">
        <f>ProjectedP205_Consumption!$L19*I46</f>
        <v>2.860968278641101</v>
      </c>
      <c r="J20" s="535">
        <f>ProjectedP205_Consumption!$L19*J46</f>
        <v>0</v>
      </c>
      <c r="K20" s="536">
        <f>ProjectedP205_Consumption!$L19*K46</f>
        <v>4.2914524179616516</v>
      </c>
      <c r="L20" s="534">
        <f>ProjectedP205_Consumption!$M19*L46</f>
        <v>3.1820669333166705</v>
      </c>
      <c r="M20" s="535">
        <f>ProjectedP205_Consumption!$M19*M46</f>
        <v>0</v>
      </c>
      <c r="N20" s="536">
        <f>ProjectedP205_Consumption!$M19*N46</f>
        <v>4.7731003999750055</v>
      </c>
    </row>
    <row r="21" spans="2:14" x14ac:dyDescent="0.25">
      <c r="B21" s="520" t="s">
        <v>182</v>
      </c>
      <c r="C21" s="534">
        <f>ProjectedP205_Consumption!$J20*C47</f>
        <v>0</v>
      </c>
      <c r="D21" s="535">
        <f>ProjectedP205_Consumption!$J20*D47</f>
        <v>0</v>
      </c>
      <c r="E21" s="536">
        <f>ProjectedP205_Consumption!$J20*E47</f>
        <v>1.2907401183436182</v>
      </c>
      <c r="F21" s="534">
        <f>ProjectedP205_Consumption!$K20*F47</f>
        <v>0</v>
      </c>
      <c r="G21" s="535">
        <f>ProjectedP205_Consumption!$K20*G47</f>
        <v>0</v>
      </c>
      <c r="H21" s="536">
        <f>ProjectedP205_Consumption!$K20*H47</f>
        <v>1.586490897766063</v>
      </c>
      <c r="I21" s="534">
        <f>ProjectedP205_Consumption!$L20*I47</f>
        <v>0</v>
      </c>
      <c r="J21" s="535">
        <f>ProjectedP205_Consumption!$L20*J47</f>
        <v>0</v>
      </c>
      <c r="K21" s="536">
        <f>ProjectedP205_Consumption!$L20*K47</f>
        <v>1.616844765819021</v>
      </c>
      <c r="L21" s="534">
        <f>ProjectedP205_Consumption!$M20*L47</f>
        <v>0</v>
      </c>
      <c r="M21" s="535">
        <f>ProjectedP205_Consumption!$M20*M47</f>
        <v>0</v>
      </c>
      <c r="N21" s="536">
        <f>ProjectedP205_Consumption!$M20*N47</f>
        <v>1.6477793855845002</v>
      </c>
    </row>
    <row r="22" spans="2:14" x14ac:dyDescent="0.25">
      <c r="B22" s="520" t="s">
        <v>158</v>
      </c>
      <c r="C22" s="534">
        <f>ProjectedP205_Consumption!$J21*C48</f>
        <v>6.2844651488922203</v>
      </c>
      <c r="D22" s="535">
        <f>ProjectedP205_Consumption!$J21*D48</f>
        <v>8.169804693559886</v>
      </c>
      <c r="E22" s="536">
        <f>ProjectedP205_Consumption!$J21*E48</f>
        <v>1.2568930297784433</v>
      </c>
      <c r="F22" s="534">
        <f>ProjectedP205_Consumption!$K21*F48</f>
        <v>7.9112360993079882</v>
      </c>
      <c r="G22" s="535">
        <f>ProjectedP205_Consumption!$K21*G48</f>
        <v>10.284606929100384</v>
      </c>
      <c r="H22" s="536">
        <f>ProjectedP205_Consumption!$K21*H48</f>
        <v>1.5822472198615967</v>
      </c>
      <c r="I22" s="534">
        <f>ProjectedP205_Consumption!$L21*I48</f>
        <v>8.3690453018740918</v>
      </c>
      <c r="J22" s="535">
        <f>ProjectedP205_Consumption!$L21*J48</f>
        <v>10.879758892436319</v>
      </c>
      <c r="K22" s="536">
        <f>ProjectedP205_Consumption!$L21*K48</f>
        <v>1.6738090603748175</v>
      </c>
      <c r="L22" s="534">
        <f>ProjectedP205_Consumption!$M21*L48</f>
        <v>8.8533471110724946</v>
      </c>
      <c r="M22" s="535">
        <f>ProjectedP205_Consumption!$M21*M48</f>
        <v>11.509351244394244</v>
      </c>
      <c r="N22" s="536">
        <f>ProjectedP205_Consumption!$M21*N48</f>
        <v>1.7706694222144981</v>
      </c>
    </row>
    <row r="23" spans="2:14" x14ac:dyDescent="0.25">
      <c r="B23" s="520" t="s">
        <v>184</v>
      </c>
      <c r="C23" s="534">
        <f>ProjectedP205_Consumption!$J22*C49</f>
        <v>2.0506017971673383</v>
      </c>
      <c r="D23" s="535">
        <f>ProjectedP205_Consumption!$J22*D49</f>
        <v>0</v>
      </c>
      <c r="E23" s="536">
        <f>ProjectedP205_Consumption!$J22*E49</f>
        <v>3.0759026957510076</v>
      </c>
      <c r="F23" s="534">
        <f>ProjectedP205_Consumption!$K22*F49</f>
        <v>2.8523868374846915</v>
      </c>
      <c r="G23" s="535">
        <f>ProjectedP205_Consumption!$K22*G49</f>
        <v>0</v>
      </c>
      <c r="H23" s="536">
        <f>ProjectedP205_Consumption!$K22*H49</f>
        <v>4.2785802562270367</v>
      </c>
      <c r="I23" s="534">
        <f>ProjectedP205_Consumption!$L22*I49</f>
        <v>3.3458760695291438</v>
      </c>
      <c r="J23" s="535">
        <f>ProjectedP205_Consumption!$L22*J49</f>
        <v>0</v>
      </c>
      <c r="K23" s="536">
        <f>ProjectedP205_Consumption!$L22*K49</f>
        <v>5.0188141042937158</v>
      </c>
      <c r="L23" s="534">
        <f>ProjectedP205_Consumption!$M22*L49</f>
        <v>3.9247434904445613</v>
      </c>
      <c r="M23" s="535">
        <f>ProjectedP205_Consumption!$M22*M49</f>
        <v>0</v>
      </c>
      <c r="N23" s="536">
        <f>ProjectedP205_Consumption!$M22*N49</f>
        <v>5.8871152356668413</v>
      </c>
    </row>
    <row r="24" spans="2:14" x14ac:dyDescent="0.25">
      <c r="B24" s="520" t="s">
        <v>125</v>
      </c>
      <c r="C24" s="534">
        <f>ProjectedP205_Consumption!$J23*C50</f>
        <v>2.3266739676134937E-3</v>
      </c>
      <c r="D24" s="535">
        <f>ProjectedP205_Consumption!$J23*D50</f>
        <v>0</v>
      </c>
      <c r="E24" s="536">
        <f>ProjectedP205_Consumption!$J23*E50</f>
        <v>3.4900109514202399E-3</v>
      </c>
      <c r="F24" s="534">
        <f>ProjectedP205_Consumption!$K23*F50</f>
        <v>3.2653042277454637E-3</v>
      </c>
      <c r="G24" s="535">
        <f>ProjectedP205_Consumption!$K23*G50</f>
        <v>0</v>
      </c>
      <c r="H24" s="536">
        <f>ProjectedP205_Consumption!$K23*H50</f>
        <v>4.8979563416181949E-3</v>
      </c>
      <c r="I24" s="534">
        <f>ProjectedP205_Consumption!$L23*I50</f>
        <v>3.8896320276265214E-3</v>
      </c>
      <c r="J24" s="535">
        <f>ProjectedP205_Consumption!$L23*J50</f>
        <v>0</v>
      </c>
      <c r="K24" s="536">
        <f>ProjectedP205_Consumption!$L23*K50</f>
        <v>5.8344480414397812E-3</v>
      </c>
      <c r="L24" s="534">
        <f>ProjectedP205_Consumption!$M23*L50</f>
        <v>4.6333316147953597E-3</v>
      </c>
      <c r="M24" s="535">
        <f>ProjectedP205_Consumption!$M23*M50</f>
        <v>0</v>
      </c>
      <c r="N24" s="536">
        <f>ProjectedP205_Consumption!$M23*N50</f>
        <v>6.9499974221930386E-3</v>
      </c>
    </row>
    <row r="25" spans="2:14" x14ac:dyDescent="0.25">
      <c r="B25" s="520" t="s">
        <v>144</v>
      </c>
      <c r="C25" s="534">
        <f>ProjectedP205_Consumption!$J24*C51</f>
        <v>1.9295083764194105E-3</v>
      </c>
      <c r="D25" s="535">
        <f>ProjectedP205_Consumption!$J24*D51</f>
        <v>0</v>
      </c>
      <c r="E25" s="536">
        <f>ProjectedP205_Consumption!$J24*E51</f>
        <v>2.8942625646291155E-3</v>
      </c>
      <c r="F25" s="534">
        <f>ProjectedP205_Consumption!$K24*F51</f>
        <v>2.6445078263401638E-3</v>
      </c>
      <c r="G25" s="535">
        <f>ProjectedP205_Consumption!$K24*G51</f>
        <v>0</v>
      </c>
      <c r="H25" s="536">
        <f>ProjectedP205_Consumption!$K24*H51</f>
        <v>3.9667617395102456E-3</v>
      </c>
      <c r="I25" s="534">
        <f>ProjectedP205_Consumption!$L24*I51</f>
        <v>3.078195190814825E-3</v>
      </c>
      <c r="J25" s="535">
        <f>ProjectedP205_Consumption!$L24*J51</f>
        <v>0</v>
      </c>
      <c r="K25" s="536">
        <f>ProjectedP205_Consumption!$L24*K51</f>
        <v>4.6172927862222369E-3</v>
      </c>
      <c r="L25" s="534">
        <f>ProjectedP205_Consumption!$M24*L51</f>
        <v>3.583005328393651E-3</v>
      </c>
      <c r="M25" s="535">
        <f>ProjectedP205_Consumption!$M24*M51</f>
        <v>0</v>
      </c>
      <c r="N25" s="536">
        <f>ProjectedP205_Consumption!$M24*N51</f>
        <v>5.3745079925904757E-3</v>
      </c>
    </row>
    <row r="26" spans="2:14" x14ac:dyDescent="0.25">
      <c r="B26" s="520" t="s">
        <v>68</v>
      </c>
      <c r="C26" s="534">
        <f>ProjectedP205_Consumption!$J25*C52</f>
        <v>1.2630469675287749E-3</v>
      </c>
      <c r="D26" s="535">
        <f>ProjectedP205_Consumption!$J25*D52</f>
        <v>0</v>
      </c>
      <c r="E26" s="536">
        <f>ProjectedP205_Consumption!$J25*E52</f>
        <v>1.8945704512931621E-3</v>
      </c>
      <c r="F26" s="534">
        <f>ProjectedP205_Consumption!$K25*F52</f>
        <v>1.7120351841836542E-3</v>
      </c>
      <c r="G26" s="535">
        <f>ProjectedP205_Consumption!$K25*G52</f>
        <v>0</v>
      </c>
      <c r="H26" s="536">
        <f>ProjectedP205_Consumption!$K25*H52</f>
        <v>2.5680527762754809E-3</v>
      </c>
      <c r="I26" s="534">
        <f>ProjectedP205_Consumption!$L25*I52</f>
        <v>1.9621233231468661E-3</v>
      </c>
      <c r="J26" s="535">
        <f>ProjectedP205_Consumption!$L25*J52</f>
        <v>0</v>
      </c>
      <c r="K26" s="536">
        <f>ProjectedP205_Consumption!$L25*K52</f>
        <v>2.9431849847202994E-3</v>
      </c>
      <c r="L26" s="534">
        <f>ProjectedP205_Consumption!$M25*L52</f>
        <v>2.2487434667253373E-3</v>
      </c>
      <c r="M26" s="535">
        <f>ProjectedP205_Consumption!$M25*M52</f>
        <v>0</v>
      </c>
      <c r="N26" s="536">
        <f>ProjectedP205_Consumption!$M25*N52</f>
        <v>3.3731152000880055E-3</v>
      </c>
    </row>
    <row r="27" spans="2:14" x14ac:dyDescent="0.25">
      <c r="B27" s="523" t="s">
        <v>119</v>
      </c>
      <c r="C27" s="537">
        <f>ProjectedP205_Consumption!$J26*C53</f>
        <v>1.1595291371398739</v>
      </c>
      <c r="D27" s="538">
        <f>ProjectedP205_Consumption!$J26*D53</f>
        <v>0</v>
      </c>
      <c r="E27" s="539">
        <f>ProjectedP205_Consumption!$J26*E53</f>
        <v>1.7392937057098108</v>
      </c>
      <c r="F27" s="537">
        <f>ProjectedP205_Consumption!$K26*F53</f>
        <v>1.4923139985242646</v>
      </c>
      <c r="G27" s="538">
        <f>ProjectedP205_Consumption!$K26*G53</f>
        <v>0</v>
      </c>
      <c r="H27" s="539">
        <f>ProjectedP205_Consumption!$K26*H53</f>
        <v>2.2384709977863966</v>
      </c>
      <c r="I27" s="537">
        <f>ProjectedP205_Consumption!$L26*I53</f>
        <v>1.6218508047697442</v>
      </c>
      <c r="J27" s="538">
        <f>ProjectedP205_Consumption!$L26*J53</f>
        <v>0</v>
      </c>
      <c r="K27" s="539">
        <f>ProjectedP205_Consumption!$L26*K53</f>
        <v>2.4327762071546162</v>
      </c>
      <c r="L27" s="537">
        <f>ProjectedP205_Consumption!$M26*L53</f>
        <v>1.7626317487696586</v>
      </c>
      <c r="M27" s="538">
        <f>ProjectedP205_Consumption!$M26*M53</f>
        <v>0</v>
      </c>
      <c r="N27" s="539">
        <f>ProjectedP205_Consumption!$M26*N53</f>
        <v>2.6439476231544878</v>
      </c>
    </row>
    <row r="28" spans="2:14" ht="13.5" thickBot="1" x14ac:dyDescent="0.35">
      <c r="B28" s="524" t="s">
        <v>826</v>
      </c>
      <c r="C28" s="540">
        <f t="shared" ref="C28:E28" si="0">SUM(C14:C27)</f>
        <v>45.131740686749687</v>
      </c>
      <c r="D28" s="541">
        <f t="shared" ref="D28" si="1">SUM(D14:D27)</f>
        <v>8.169804693559886</v>
      </c>
      <c r="E28" s="542">
        <f t="shared" si="0"/>
        <v>18.892762237777905</v>
      </c>
      <c r="F28" s="540">
        <f t="shared" ref="F28" si="2">SUM(F14:F27)</f>
        <v>58.495121447729979</v>
      </c>
      <c r="G28" s="541">
        <f t="shared" ref="G28:M28" si="3">SUM(G14:G27)</f>
        <v>10.284606929100384</v>
      </c>
      <c r="H28" s="542">
        <f t="shared" ref="H28:I28" si="4">SUM(H14:H27)</f>
        <v>24.876943028490594</v>
      </c>
      <c r="I28" s="540">
        <f t="shared" si="4"/>
        <v>63.683088824329829</v>
      </c>
      <c r="J28" s="541">
        <f t="shared" si="3"/>
        <v>10.879758892436319</v>
      </c>
      <c r="K28" s="542">
        <f t="shared" ref="K28:L28" si="5">SUM(K14:K27)</f>
        <v>27.653396998629713</v>
      </c>
      <c r="L28" s="540">
        <f t="shared" si="5"/>
        <v>69.373395221215986</v>
      </c>
      <c r="M28" s="541">
        <f t="shared" si="3"/>
        <v>11.509351244394244</v>
      </c>
      <c r="N28" s="542">
        <f t="shared" ref="N28" si="6">SUM(N14:N27)</f>
        <v>30.786044462569723</v>
      </c>
    </row>
    <row r="29" spans="2:14" ht="14" thickTop="1" thickBot="1" x14ac:dyDescent="0.35">
      <c r="B29" s="524" t="s">
        <v>827</v>
      </c>
      <c r="C29" s="543">
        <f t="shared" ref="C29:E29" si="7">SUM(C14:C27)/C11</f>
        <v>98.112479753803669</v>
      </c>
      <c r="D29" s="544">
        <f t="shared" ref="D29" si="8">SUM(D14:D27)/D11</f>
        <v>54.465364623732576</v>
      </c>
      <c r="E29" s="545">
        <f t="shared" si="7"/>
        <v>68.999616333827518</v>
      </c>
      <c r="F29" s="543">
        <f t="shared" ref="F29" si="9">SUM(F14:F27)/F11</f>
        <v>127.16330749506517</v>
      </c>
      <c r="G29" s="544">
        <f t="shared" ref="G29:M29" si="10">SUM(G14:G27)/G11</f>
        <v>68.564046194002572</v>
      </c>
      <c r="H29" s="545">
        <f t="shared" ref="H29:I29" si="11">SUM(H14:H27)/H11</f>
        <v>90.854873571214981</v>
      </c>
      <c r="I29" s="543">
        <f t="shared" si="11"/>
        <v>138.44149744419528</v>
      </c>
      <c r="J29" s="544">
        <f t="shared" si="10"/>
        <v>72.53172594957546</v>
      </c>
      <c r="K29" s="545">
        <f t="shared" ref="K29:L29" si="12">SUM(K14:K27)/K11</f>
        <v>100.99496088597832</v>
      </c>
      <c r="L29" s="543">
        <f t="shared" si="12"/>
        <v>150.81172874177389</v>
      </c>
      <c r="M29" s="544">
        <f t="shared" si="10"/>
        <v>76.729008295961634</v>
      </c>
      <c r="N29" s="545">
        <f t="shared" ref="N29" si="13">SUM(N14:N27)/N11</f>
        <v>112.43592808815814</v>
      </c>
    </row>
    <row r="30" spans="2:14" ht="13" thickTop="1" x14ac:dyDescent="0.25"/>
    <row r="32" spans="2:14" ht="13" x14ac:dyDescent="0.25">
      <c r="B32" s="552" t="s">
        <v>828</v>
      </c>
      <c r="C32" s="553">
        <f>('VIFAA - Consumption per product'!C346/1000-C29)</f>
        <v>-0.35047975380366836</v>
      </c>
      <c r="D32" s="553">
        <f>('VIFAA - Consumption per product'!C352/1000-D29)</f>
        <v>-0.70036462373257535</v>
      </c>
      <c r="E32" s="553">
        <f>('VIFAA - Consumption per product'!C347+'VIFAA - Consumption per product'!C348+'VIFAA - Consumption per product'!C349+'VIFAA - Consumption per product'!C350+'VIFAA - Consumption per product'!C351)/1000-E29</f>
        <v>-0.41067633382751012</v>
      </c>
      <c r="F32" s="7"/>
      <c r="G32" s="7"/>
    </row>
    <row r="33" spans="2:14" x14ac:dyDescent="0.25">
      <c r="B33" s="420"/>
      <c r="C33" s="7"/>
      <c r="D33" s="7"/>
      <c r="E33" s="517"/>
      <c r="F33" s="7"/>
      <c r="G33" s="7"/>
    </row>
    <row r="34" spans="2:14" x14ac:dyDescent="0.25">
      <c r="B34" s="420"/>
      <c r="C34" s="7"/>
      <c r="D34" s="7"/>
      <c r="E34" s="517"/>
      <c r="F34" s="7"/>
      <c r="G34" s="7"/>
    </row>
    <row r="35" spans="2:14" ht="13" thickBot="1" x14ac:dyDescent="0.3"/>
    <row r="36" spans="2:14" ht="13" x14ac:dyDescent="0.3">
      <c r="B36" s="554" t="s">
        <v>834</v>
      </c>
      <c r="C36" s="644">
        <v>2022</v>
      </c>
      <c r="D36" s="645"/>
      <c r="E36" s="646"/>
      <c r="F36" s="644">
        <v>2022</v>
      </c>
      <c r="G36" s="645"/>
      <c r="H36" s="646"/>
      <c r="I36" s="644">
        <v>2022</v>
      </c>
      <c r="J36" s="645"/>
      <c r="K36" s="646"/>
      <c r="L36" s="644">
        <v>2022</v>
      </c>
      <c r="M36" s="645"/>
      <c r="N36" s="646"/>
    </row>
    <row r="37" spans="2:14" x14ac:dyDescent="0.25">
      <c r="B37" s="521" t="s">
        <v>211</v>
      </c>
      <c r="C37" s="525">
        <v>0.46</v>
      </c>
      <c r="D37" s="526">
        <v>0.15</v>
      </c>
      <c r="E37" s="527">
        <v>0.27380967085922192</v>
      </c>
      <c r="F37" s="525">
        <v>0.46</v>
      </c>
      <c r="G37" s="526">
        <v>0.15</v>
      </c>
      <c r="H37" s="527">
        <v>0.27380967085922192</v>
      </c>
      <c r="I37" s="525">
        <v>0.46</v>
      </c>
      <c r="J37" s="526">
        <v>0.15</v>
      </c>
      <c r="K37" s="527">
        <v>0.27380967085922192</v>
      </c>
      <c r="L37" s="525">
        <v>0.46</v>
      </c>
      <c r="M37" s="526">
        <v>0.15</v>
      </c>
      <c r="N37" s="527">
        <v>0.27380967085922192</v>
      </c>
    </row>
    <row r="38" spans="2:14" ht="13" x14ac:dyDescent="0.3">
      <c r="B38" s="518"/>
      <c r="C38" s="528" t="s">
        <v>220</v>
      </c>
      <c r="D38" s="529" t="s">
        <v>407</v>
      </c>
      <c r="E38" s="530" t="s">
        <v>651</v>
      </c>
      <c r="F38" s="528" t="s">
        <v>220</v>
      </c>
      <c r="G38" s="529" t="s">
        <v>407</v>
      </c>
      <c r="H38" s="530" t="s">
        <v>651</v>
      </c>
      <c r="I38" s="528" t="s">
        <v>220</v>
      </c>
      <c r="J38" s="529" t="s">
        <v>407</v>
      </c>
      <c r="K38" s="530" t="s">
        <v>651</v>
      </c>
      <c r="L38" s="528" t="s">
        <v>220</v>
      </c>
      <c r="M38" s="529" t="s">
        <v>407</v>
      </c>
      <c r="N38" s="530" t="s">
        <v>651</v>
      </c>
    </row>
    <row r="39" spans="2:14" ht="13" x14ac:dyDescent="0.3">
      <c r="B39" s="522" t="s">
        <v>237</v>
      </c>
      <c r="C39" s="531"/>
      <c r="D39" s="532"/>
      <c r="E39" s="533"/>
      <c r="F39" s="531"/>
      <c r="G39" s="532"/>
      <c r="H39" s="533"/>
      <c r="I39" s="531"/>
      <c r="J39" s="532"/>
      <c r="K39" s="533"/>
      <c r="L39" s="531"/>
      <c r="M39" s="532"/>
      <c r="N39" s="533"/>
    </row>
    <row r="40" spans="2:14" x14ac:dyDescent="0.25">
      <c r="B40" s="520" t="s">
        <v>167</v>
      </c>
      <c r="C40" s="546">
        <v>0.9</v>
      </c>
      <c r="D40" s="547"/>
      <c r="E40" s="548">
        <f>100%-SUM(C40:D40)</f>
        <v>9.9999999999999978E-2</v>
      </c>
      <c r="F40" s="546">
        <v>0.9</v>
      </c>
      <c r="G40" s="547"/>
      <c r="H40" s="548">
        <f>100%-SUM(F40:G40)</f>
        <v>9.9999999999999978E-2</v>
      </c>
      <c r="I40" s="546">
        <v>0.9</v>
      </c>
      <c r="J40" s="547"/>
      <c r="K40" s="548">
        <f>100%-SUM(I40:J40)</f>
        <v>9.9999999999999978E-2</v>
      </c>
      <c r="L40" s="546">
        <v>0.9</v>
      </c>
      <c r="M40" s="547"/>
      <c r="N40" s="548">
        <f>100%-SUM(L40:M40)</f>
        <v>9.9999999999999978E-2</v>
      </c>
    </row>
    <row r="41" spans="2:14" x14ac:dyDescent="0.25">
      <c r="B41" s="520" t="s">
        <v>136</v>
      </c>
      <c r="C41" s="546">
        <v>0.3</v>
      </c>
      <c r="D41" s="547"/>
      <c r="E41" s="548">
        <f t="shared" ref="E41:E53" si="14">100%-SUM(C41:D41)</f>
        <v>0.7</v>
      </c>
      <c r="F41" s="546">
        <v>0.3</v>
      </c>
      <c r="G41" s="547"/>
      <c r="H41" s="548">
        <f t="shared" ref="H41:H53" si="15">100%-SUM(F41:G41)</f>
        <v>0.7</v>
      </c>
      <c r="I41" s="546">
        <v>0.3</v>
      </c>
      <c r="J41" s="547"/>
      <c r="K41" s="548">
        <f t="shared" ref="K41:K53" si="16">100%-SUM(I41:J41)</f>
        <v>0.7</v>
      </c>
      <c r="L41" s="546">
        <v>0.3</v>
      </c>
      <c r="M41" s="547"/>
      <c r="N41" s="548">
        <f t="shared" ref="N41:N53" si="17">100%-SUM(L41:M41)</f>
        <v>0.7</v>
      </c>
    </row>
    <row r="42" spans="2:14" x14ac:dyDescent="0.25">
      <c r="B42" s="520" t="s">
        <v>117</v>
      </c>
      <c r="C42" s="546">
        <v>0.4</v>
      </c>
      <c r="D42" s="547"/>
      <c r="E42" s="548">
        <f t="shared" si="14"/>
        <v>0.6</v>
      </c>
      <c r="F42" s="546">
        <v>0.4</v>
      </c>
      <c r="G42" s="547"/>
      <c r="H42" s="548">
        <f t="shared" si="15"/>
        <v>0.6</v>
      </c>
      <c r="I42" s="546">
        <v>0.4</v>
      </c>
      <c r="J42" s="547"/>
      <c r="K42" s="548">
        <f t="shared" si="16"/>
        <v>0.6</v>
      </c>
      <c r="L42" s="546">
        <v>0.4</v>
      </c>
      <c r="M42" s="547"/>
      <c r="N42" s="548">
        <f t="shared" si="17"/>
        <v>0.6</v>
      </c>
    </row>
    <row r="43" spans="2:14" x14ac:dyDescent="0.25">
      <c r="B43" s="520" t="s">
        <v>124</v>
      </c>
      <c r="C43" s="546">
        <v>0.4</v>
      </c>
      <c r="D43" s="547"/>
      <c r="E43" s="548">
        <f t="shared" si="14"/>
        <v>0.6</v>
      </c>
      <c r="F43" s="546">
        <v>0.4</v>
      </c>
      <c r="G43" s="547"/>
      <c r="H43" s="548">
        <f t="shared" si="15"/>
        <v>0.6</v>
      </c>
      <c r="I43" s="546">
        <v>0.4</v>
      </c>
      <c r="J43" s="547"/>
      <c r="K43" s="548">
        <f t="shared" si="16"/>
        <v>0.6</v>
      </c>
      <c r="L43" s="546">
        <v>0.4</v>
      </c>
      <c r="M43" s="547"/>
      <c r="N43" s="548">
        <f t="shared" si="17"/>
        <v>0.6</v>
      </c>
    </row>
    <row r="44" spans="2:14" x14ac:dyDescent="0.25">
      <c r="B44" s="520" t="s">
        <v>73</v>
      </c>
      <c r="C44" s="546">
        <v>0.4</v>
      </c>
      <c r="D44" s="547"/>
      <c r="E44" s="548">
        <f t="shared" si="14"/>
        <v>0.6</v>
      </c>
      <c r="F44" s="546">
        <v>0.4</v>
      </c>
      <c r="G44" s="547"/>
      <c r="H44" s="548">
        <f t="shared" si="15"/>
        <v>0.6</v>
      </c>
      <c r="I44" s="546">
        <v>0.4</v>
      </c>
      <c r="J44" s="547"/>
      <c r="K44" s="548">
        <f t="shared" si="16"/>
        <v>0.6</v>
      </c>
      <c r="L44" s="546">
        <v>0.4</v>
      </c>
      <c r="M44" s="547"/>
      <c r="N44" s="548">
        <f t="shared" si="17"/>
        <v>0.6</v>
      </c>
    </row>
    <row r="45" spans="2:14" x14ac:dyDescent="0.25">
      <c r="B45" s="520" t="s">
        <v>156</v>
      </c>
      <c r="C45" s="546">
        <v>0.4</v>
      </c>
      <c r="D45" s="547"/>
      <c r="E45" s="548">
        <f t="shared" si="14"/>
        <v>0.6</v>
      </c>
      <c r="F45" s="546">
        <v>0.4</v>
      </c>
      <c r="G45" s="547"/>
      <c r="H45" s="548">
        <f t="shared" si="15"/>
        <v>0.6</v>
      </c>
      <c r="I45" s="546">
        <v>0.4</v>
      </c>
      <c r="J45" s="547"/>
      <c r="K45" s="548">
        <f t="shared" si="16"/>
        <v>0.6</v>
      </c>
      <c r="L45" s="546">
        <v>0.4</v>
      </c>
      <c r="M45" s="547"/>
      <c r="N45" s="548">
        <f t="shared" si="17"/>
        <v>0.6</v>
      </c>
    </row>
    <row r="46" spans="2:14" x14ac:dyDescent="0.25">
      <c r="B46" s="520" t="s">
        <v>113</v>
      </c>
      <c r="C46" s="546">
        <v>0.4</v>
      </c>
      <c r="D46" s="547"/>
      <c r="E46" s="548">
        <f t="shared" si="14"/>
        <v>0.6</v>
      </c>
      <c r="F46" s="546">
        <v>0.4</v>
      </c>
      <c r="G46" s="547"/>
      <c r="H46" s="548">
        <f t="shared" si="15"/>
        <v>0.6</v>
      </c>
      <c r="I46" s="546">
        <v>0.4</v>
      </c>
      <c r="J46" s="547"/>
      <c r="K46" s="548">
        <f t="shared" si="16"/>
        <v>0.6</v>
      </c>
      <c r="L46" s="546">
        <v>0.4</v>
      </c>
      <c r="M46" s="547"/>
      <c r="N46" s="548">
        <f t="shared" si="17"/>
        <v>0.6</v>
      </c>
    </row>
    <row r="47" spans="2:14" x14ac:dyDescent="0.25">
      <c r="B47" s="520" t="s">
        <v>182</v>
      </c>
      <c r="C47" s="546"/>
      <c r="D47" s="547"/>
      <c r="E47" s="548">
        <f t="shared" si="14"/>
        <v>1</v>
      </c>
      <c r="F47" s="546"/>
      <c r="G47" s="547"/>
      <c r="H47" s="548">
        <f t="shared" si="15"/>
        <v>1</v>
      </c>
      <c r="I47" s="546"/>
      <c r="J47" s="547"/>
      <c r="K47" s="548">
        <f t="shared" si="16"/>
        <v>1</v>
      </c>
      <c r="L47" s="546"/>
      <c r="M47" s="547"/>
      <c r="N47" s="548">
        <f t="shared" si="17"/>
        <v>1</v>
      </c>
    </row>
    <row r="48" spans="2:14" x14ac:dyDescent="0.25">
      <c r="B48" s="520" t="s">
        <v>158</v>
      </c>
      <c r="C48" s="546">
        <v>0.4</v>
      </c>
      <c r="D48" s="547">
        <v>0.52</v>
      </c>
      <c r="E48" s="548">
        <f t="shared" si="14"/>
        <v>7.999999999999996E-2</v>
      </c>
      <c r="F48" s="546">
        <v>0.4</v>
      </c>
      <c r="G48" s="547">
        <v>0.52</v>
      </c>
      <c r="H48" s="548">
        <f t="shared" si="15"/>
        <v>7.999999999999996E-2</v>
      </c>
      <c r="I48" s="546">
        <v>0.4</v>
      </c>
      <c r="J48" s="547">
        <v>0.52</v>
      </c>
      <c r="K48" s="548">
        <f t="shared" si="16"/>
        <v>7.999999999999996E-2</v>
      </c>
      <c r="L48" s="546">
        <v>0.4</v>
      </c>
      <c r="M48" s="547">
        <v>0.52</v>
      </c>
      <c r="N48" s="548">
        <f t="shared" si="17"/>
        <v>7.999999999999996E-2</v>
      </c>
    </row>
    <row r="49" spans="2:14" x14ac:dyDescent="0.25">
      <c r="B49" s="520" t="s">
        <v>184</v>
      </c>
      <c r="C49" s="546">
        <v>0.4</v>
      </c>
      <c r="D49" s="547"/>
      <c r="E49" s="548">
        <f t="shared" si="14"/>
        <v>0.6</v>
      </c>
      <c r="F49" s="546">
        <v>0.4</v>
      </c>
      <c r="G49" s="547"/>
      <c r="H49" s="548">
        <f t="shared" si="15"/>
        <v>0.6</v>
      </c>
      <c r="I49" s="546">
        <v>0.4</v>
      </c>
      <c r="J49" s="547"/>
      <c r="K49" s="548">
        <f t="shared" si="16"/>
        <v>0.6</v>
      </c>
      <c r="L49" s="546">
        <v>0.4</v>
      </c>
      <c r="M49" s="547"/>
      <c r="N49" s="548">
        <f t="shared" si="17"/>
        <v>0.6</v>
      </c>
    </row>
    <row r="50" spans="2:14" x14ac:dyDescent="0.25">
      <c r="B50" s="520" t="s">
        <v>125</v>
      </c>
      <c r="C50" s="546">
        <v>0.4</v>
      </c>
      <c r="D50" s="547"/>
      <c r="E50" s="548">
        <f t="shared" si="14"/>
        <v>0.6</v>
      </c>
      <c r="F50" s="546">
        <v>0.4</v>
      </c>
      <c r="G50" s="547"/>
      <c r="H50" s="548">
        <f t="shared" si="15"/>
        <v>0.6</v>
      </c>
      <c r="I50" s="546">
        <v>0.4</v>
      </c>
      <c r="J50" s="547"/>
      <c r="K50" s="548">
        <f t="shared" si="16"/>
        <v>0.6</v>
      </c>
      <c r="L50" s="546">
        <v>0.4</v>
      </c>
      <c r="M50" s="547"/>
      <c r="N50" s="548">
        <f t="shared" si="17"/>
        <v>0.6</v>
      </c>
    </row>
    <row r="51" spans="2:14" x14ac:dyDescent="0.25">
      <c r="B51" s="520" t="s">
        <v>144</v>
      </c>
      <c r="C51" s="546">
        <v>0.4</v>
      </c>
      <c r="D51" s="547"/>
      <c r="E51" s="548">
        <f t="shared" si="14"/>
        <v>0.6</v>
      </c>
      <c r="F51" s="546">
        <v>0.4</v>
      </c>
      <c r="G51" s="547"/>
      <c r="H51" s="548">
        <f t="shared" si="15"/>
        <v>0.6</v>
      </c>
      <c r="I51" s="546">
        <v>0.4</v>
      </c>
      <c r="J51" s="547"/>
      <c r="K51" s="548">
        <f t="shared" si="16"/>
        <v>0.6</v>
      </c>
      <c r="L51" s="546">
        <v>0.4</v>
      </c>
      <c r="M51" s="547"/>
      <c r="N51" s="548">
        <f t="shared" si="17"/>
        <v>0.6</v>
      </c>
    </row>
    <row r="52" spans="2:14" x14ac:dyDescent="0.25">
      <c r="B52" s="520" t="s">
        <v>68</v>
      </c>
      <c r="C52" s="546">
        <v>0.4</v>
      </c>
      <c r="D52" s="547"/>
      <c r="E52" s="548">
        <f t="shared" si="14"/>
        <v>0.6</v>
      </c>
      <c r="F52" s="546">
        <v>0.4</v>
      </c>
      <c r="G52" s="547"/>
      <c r="H52" s="548">
        <f t="shared" si="15"/>
        <v>0.6</v>
      </c>
      <c r="I52" s="546">
        <v>0.4</v>
      </c>
      <c r="J52" s="547"/>
      <c r="K52" s="548">
        <f t="shared" si="16"/>
        <v>0.6</v>
      </c>
      <c r="L52" s="546">
        <v>0.4</v>
      </c>
      <c r="M52" s="547"/>
      <c r="N52" s="548">
        <f t="shared" si="17"/>
        <v>0.6</v>
      </c>
    </row>
    <row r="53" spans="2:14" x14ac:dyDescent="0.25">
      <c r="B53" s="523" t="s">
        <v>119</v>
      </c>
      <c r="C53" s="549">
        <v>0.4</v>
      </c>
      <c r="D53" s="550"/>
      <c r="E53" s="551">
        <f t="shared" si="14"/>
        <v>0.6</v>
      </c>
      <c r="F53" s="549">
        <v>0.4</v>
      </c>
      <c r="G53" s="550"/>
      <c r="H53" s="551">
        <f t="shared" si="15"/>
        <v>0.6</v>
      </c>
      <c r="I53" s="549">
        <v>0.4</v>
      </c>
      <c r="J53" s="550"/>
      <c r="K53" s="551">
        <f t="shared" si="16"/>
        <v>0.6</v>
      </c>
      <c r="L53" s="549">
        <v>0.4</v>
      </c>
      <c r="M53" s="550"/>
      <c r="N53" s="551">
        <f t="shared" si="17"/>
        <v>0.6</v>
      </c>
    </row>
    <row r="56" spans="2:14" ht="13" thickBot="1" x14ac:dyDescent="0.3"/>
    <row r="57" spans="2:14" ht="13" x14ac:dyDescent="0.3">
      <c r="B57" s="554" t="s">
        <v>833</v>
      </c>
      <c r="C57" s="644">
        <v>2022</v>
      </c>
      <c r="D57" s="645"/>
      <c r="E57" s="646"/>
      <c r="F57" s="644">
        <v>2023</v>
      </c>
      <c r="G57" s="645"/>
      <c r="H57" s="646"/>
      <c r="I57" s="644">
        <v>2024</v>
      </c>
      <c r="J57" s="645"/>
      <c r="K57" s="646"/>
      <c r="L57" s="644">
        <v>2025</v>
      </c>
      <c r="M57" s="645"/>
      <c r="N57" s="646"/>
    </row>
    <row r="58" spans="2:14" x14ac:dyDescent="0.25">
      <c r="B58" s="521" t="s">
        <v>211</v>
      </c>
      <c r="C58" s="525">
        <v>0.46</v>
      </c>
      <c r="D58" s="526">
        <v>0.15</v>
      </c>
      <c r="E58" s="527">
        <v>0.27380967085922192</v>
      </c>
      <c r="F58" s="525">
        <v>0.46</v>
      </c>
      <c r="G58" s="526">
        <v>0.15</v>
      </c>
      <c r="H58" s="527">
        <v>0.27380967085922192</v>
      </c>
      <c r="I58" s="525">
        <v>0.46</v>
      </c>
      <c r="J58" s="526">
        <v>0.15</v>
      </c>
      <c r="K58" s="527">
        <v>0.27380967085922192</v>
      </c>
      <c r="L58" s="525">
        <v>0.46</v>
      </c>
      <c r="M58" s="526">
        <v>0.15</v>
      </c>
      <c r="N58" s="527">
        <v>0.27380967085922192</v>
      </c>
    </row>
    <row r="59" spans="2:14" ht="13" x14ac:dyDescent="0.3">
      <c r="B59" s="518"/>
      <c r="C59" s="528" t="s">
        <v>220</v>
      </c>
      <c r="D59" s="529" t="s">
        <v>407</v>
      </c>
      <c r="E59" s="530" t="s">
        <v>651</v>
      </c>
      <c r="F59" s="528" t="s">
        <v>220</v>
      </c>
      <c r="G59" s="529" t="s">
        <v>407</v>
      </c>
      <c r="H59" s="530" t="s">
        <v>651</v>
      </c>
      <c r="I59" s="528" t="s">
        <v>220</v>
      </c>
      <c r="J59" s="529" t="s">
        <v>407</v>
      </c>
      <c r="K59" s="530" t="s">
        <v>651</v>
      </c>
      <c r="L59" s="528" t="s">
        <v>220</v>
      </c>
      <c r="M59" s="529" t="s">
        <v>407</v>
      </c>
      <c r="N59" s="530" t="s">
        <v>651</v>
      </c>
    </row>
    <row r="60" spans="2:14" ht="13" x14ac:dyDescent="0.3">
      <c r="B60" s="522" t="s">
        <v>237</v>
      </c>
      <c r="C60" s="531"/>
      <c r="D60" s="532"/>
      <c r="E60" s="533"/>
      <c r="F60" s="531"/>
      <c r="G60" s="532"/>
      <c r="H60" s="533"/>
      <c r="I60" s="531"/>
      <c r="J60" s="532"/>
      <c r="K60" s="533"/>
      <c r="L60" s="531"/>
      <c r="M60" s="532"/>
      <c r="N60" s="533"/>
    </row>
    <row r="61" spans="2:14" x14ac:dyDescent="0.25">
      <c r="B61" s="520" t="s">
        <v>167</v>
      </c>
      <c r="C61" s="534">
        <f t="shared" ref="C61:N61" si="18">C14/C$58</f>
        <v>65.651030353533685</v>
      </c>
      <c r="D61" s="535">
        <f t="shared" si="18"/>
        <v>0</v>
      </c>
      <c r="E61" s="536">
        <f t="shared" si="18"/>
        <v>12.254852417844665</v>
      </c>
      <c r="F61" s="534">
        <f t="shared" si="18"/>
        <v>84.824623427603939</v>
      </c>
      <c r="G61" s="535">
        <f t="shared" si="18"/>
        <v>0</v>
      </c>
      <c r="H61" s="536">
        <f t="shared" si="18"/>
        <v>15.83392120286172</v>
      </c>
      <c r="I61" s="534">
        <f t="shared" si="18"/>
        <v>91.784754670833777</v>
      </c>
      <c r="J61" s="535">
        <f t="shared" si="18"/>
        <v>0</v>
      </c>
      <c r="K61" s="536">
        <f t="shared" si="18"/>
        <v>17.133145003848423</v>
      </c>
      <c r="L61" s="534">
        <f t="shared" si="18"/>
        <v>99.315986910041872</v>
      </c>
      <c r="M61" s="535">
        <f t="shared" si="18"/>
        <v>0</v>
      </c>
      <c r="N61" s="536">
        <f t="shared" si="18"/>
        <v>18.538974266831818</v>
      </c>
    </row>
    <row r="62" spans="2:14" x14ac:dyDescent="0.25">
      <c r="B62" s="520" t="s">
        <v>136</v>
      </c>
      <c r="C62" s="534">
        <f t="shared" ref="C62:N62" si="19">C15/C$58</f>
        <v>4.6772921346566694E-2</v>
      </c>
      <c r="D62" s="535">
        <f t="shared" si="19"/>
        <v>0</v>
      </c>
      <c r="E62" s="536">
        <f t="shared" si="19"/>
        <v>0.18334975321036001</v>
      </c>
      <c r="F62" s="534">
        <f t="shared" si="19"/>
        <v>6.7529479070213241E-2</v>
      </c>
      <c r="G62" s="535">
        <f t="shared" si="19"/>
        <v>0</v>
      </c>
      <c r="H62" s="536">
        <f t="shared" si="19"/>
        <v>0.26471541578953828</v>
      </c>
      <c r="I62" s="534">
        <f t="shared" si="19"/>
        <v>8.3316045236161401E-2</v>
      </c>
      <c r="J62" s="535">
        <f t="shared" si="19"/>
        <v>0</v>
      </c>
      <c r="K62" s="536">
        <f t="shared" si="19"/>
        <v>0.32659872192555922</v>
      </c>
      <c r="L62" s="534">
        <f t="shared" si="19"/>
        <v>0.10279308369277747</v>
      </c>
      <c r="M62" s="535">
        <f t="shared" si="19"/>
        <v>0</v>
      </c>
      <c r="N62" s="536">
        <f t="shared" si="19"/>
        <v>0.40294867167167187</v>
      </c>
    </row>
    <row r="63" spans="2:14" x14ac:dyDescent="0.25">
      <c r="B63" s="520" t="s">
        <v>117</v>
      </c>
      <c r="C63" s="534">
        <f t="shared" ref="C63:N63" si="20">C16/C$58</f>
        <v>1.4156861798086978E-2</v>
      </c>
      <c r="D63" s="535">
        <f t="shared" si="20"/>
        <v>0</v>
      </c>
      <c r="E63" s="536">
        <f t="shared" si="20"/>
        <v>3.5675272571735826E-2</v>
      </c>
      <c r="F63" s="534">
        <f t="shared" si="20"/>
        <v>1.1189418731776457E-2</v>
      </c>
      <c r="G63" s="535">
        <f t="shared" si="20"/>
        <v>0</v>
      </c>
      <c r="H63" s="536">
        <f t="shared" si="20"/>
        <v>2.8197320060675723E-2</v>
      </c>
      <c r="I63" s="534">
        <f t="shared" si="20"/>
        <v>6.5330968097131329E-3</v>
      </c>
      <c r="J63" s="535">
        <f t="shared" si="20"/>
        <v>0</v>
      </c>
      <c r="K63" s="536">
        <f t="shared" si="20"/>
        <v>1.6463395118793106E-2</v>
      </c>
      <c r="L63" s="534">
        <f t="shared" si="20"/>
        <v>3.8144388862555107E-3</v>
      </c>
      <c r="M63" s="535">
        <f t="shared" si="20"/>
        <v>0</v>
      </c>
      <c r="N63" s="536">
        <f t="shared" si="20"/>
        <v>9.612380831024463E-3</v>
      </c>
    </row>
    <row r="64" spans="2:14" x14ac:dyDescent="0.25">
      <c r="B64" s="520" t="s">
        <v>124</v>
      </c>
      <c r="C64" s="534">
        <f t="shared" ref="C64:N64" si="21">C17/C$58</f>
        <v>2.7077641393556375E-2</v>
      </c>
      <c r="D64" s="535">
        <f t="shared" si="21"/>
        <v>0</v>
      </c>
      <c r="E64" s="536">
        <f t="shared" si="21"/>
        <v>6.8235619665749411E-2</v>
      </c>
      <c r="F64" s="534">
        <f t="shared" si="21"/>
        <v>3.6397244027311482E-2</v>
      </c>
      <c r="G64" s="535">
        <f t="shared" si="21"/>
        <v>0</v>
      </c>
      <c r="H64" s="536">
        <f t="shared" si="21"/>
        <v>9.1721005689960569E-2</v>
      </c>
      <c r="I64" s="534">
        <f t="shared" si="21"/>
        <v>4.1375889191047503E-2</v>
      </c>
      <c r="J64" s="535">
        <f t="shared" si="21"/>
        <v>0</v>
      </c>
      <c r="K64" s="536">
        <f t="shared" si="21"/>
        <v>0.10426718476463642</v>
      </c>
      <c r="L64" s="534">
        <f t="shared" si="21"/>
        <v>4.703554491832488E-2</v>
      </c>
      <c r="M64" s="535">
        <f t="shared" si="21"/>
        <v>0</v>
      </c>
      <c r="N64" s="536">
        <f t="shared" si="21"/>
        <v>0.1185295095377786</v>
      </c>
    </row>
    <row r="65" spans="1:14" x14ac:dyDescent="0.25">
      <c r="B65" s="520" t="s">
        <v>73</v>
      </c>
      <c r="C65" s="534">
        <f t="shared" ref="C65:N65" si="22">C18/C$58</f>
        <v>2.3877662681344511</v>
      </c>
      <c r="D65" s="535">
        <f t="shared" si="22"/>
        <v>0</v>
      </c>
      <c r="E65" s="536">
        <f t="shared" si="22"/>
        <v>6.0171677641724228</v>
      </c>
      <c r="F65" s="534">
        <f t="shared" si="22"/>
        <v>3.1891915269246196</v>
      </c>
      <c r="G65" s="535">
        <f t="shared" si="22"/>
        <v>0</v>
      </c>
      <c r="H65" s="536">
        <f t="shared" si="22"/>
        <v>8.0367583317003692</v>
      </c>
      <c r="I65" s="534">
        <f t="shared" si="22"/>
        <v>3.6544175699760921</v>
      </c>
      <c r="J65" s="535">
        <f t="shared" si="22"/>
        <v>0</v>
      </c>
      <c r="K65" s="536">
        <f t="shared" si="22"/>
        <v>9.2091273305680534</v>
      </c>
      <c r="L65" s="534">
        <f t="shared" si="22"/>
        <v>4.1875088601618575</v>
      </c>
      <c r="M65" s="535">
        <f t="shared" si="22"/>
        <v>0</v>
      </c>
      <c r="N65" s="536">
        <f t="shared" si="22"/>
        <v>10.552516660367502</v>
      </c>
    </row>
    <row r="66" spans="1:14" x14ac:dyDescent="0.25">
      <c r="B66" s="520" t="s">
        <v>156</v>
      </c>
      <c r="C66" s="534">
        <f t="shared" ref="C66:N66" si="23">C19/C$58</f>
        <v>5.0756370915661781</v>
      </c>
      <c r="D66" s="535">
        <f t="shared" si="23"/>
        <v>0</v>
      </c>
      <c r="E66" s="536">
        <f t="shared" si="23"/>
        <v>12.790598601542086</v>
      </c>
      <c r="F66" s="534">
        <f t="shared" si="23"/>
        <v>6.7825718412571776</v>
      </c>
      <c r="G66" s="535">
        <f t="shared" si="23"/>
        <v>0</v>
      </c>
      <c r="H66" s="536">
        <f t="shared" si="23"/>
        <v>17.092071860652581</v>
      </c>
      <c r="I66" s="534">
        <f t="shared" si="23"/>
        <v>7.6392079865926714</v>
      </c>
      <c r="J66" s="535">
        <f t="shared" si="23"/>
        <v>0</v>
      </c>
      <c r="K66" s="536">
        <f t="shared" si="23"/>
        <v>19.250793787554102</v>
      </c>
      <c r="L66" s="534">
        <f t="shared" si="23"/>
        <v>8.6040369388265052</v>
      </c>
      <c r="M66" s="535">
        <f t="shared" si="23"/>
        <v>0</v>
      </c>
      <c r="N66" s="536">
        <f t="shared" si="23"/>
        <v>21.68216144141476</v>
      </c>
    </row>
    <row r="67" spans="1:14" x14ac:dyDescent="0.25">
      <c r="B67" s="520" t="s">
        <v>113</v>
      </c>
      <c r="C67" s="534">
        <f t="shared" ref="C67:N67" si="24">C20/C$58</f>
        <v>4.2576140236159068</v>
      </c>
      <c r="D67" s="535">
        <f t="shared" si="24"/>
        <v>0</v>
      </c>
      <c r="E67" s="536">
        <f t="shared" si="24"/>
        <v>10.729181577393625</v>
      </c>
      <c r="F67" s="534">
        <f t="shared" si="24"/>
        <v>5.5918941605909671</v>
      </c>
      <c r="G67" s="535">
        <f t="shared" si="24"/>
        <v>0</v>
      </c>
      <c r="H67" s="536">
        <f t="shared" si="24"/>
        <v>14.091565716798772</v>
      </c>
      <c r="I67" s="534">
        <f t="shared" si="24"/>
        <v>6.2194962579154369</v>
      </c>
      <c r="J67" s="535">
        <f t="shared" si="24"/>
        <v>0</v>
      </c>
      <c r="K67" s="536">
        <f t="shared" si="24"/>
        <v>15.673122152679857</v>
      </c>
      <c r="L67" s="534">
        <f t="shared" si="24"/>
        <v>6.9175368115579792</v>
      </c>
      <c r="M67" s="535">
        <f t="shared" si="24"/>
        <v>0</v>
      </c>
      <c r="N67" s="536">
        <f t="shared" si="24"/>
        <v>17.432183403153335</v>
      </c>
    </row>
    <row r="68" spans="1:14" x14ac:dyDescent="0.25">
      <c r="B68" s="520" t="s">
        <v>182</v>
      </c>
      <c r="C68" s="534">
        <f t="shared" ref="C68:N68" si="25">C21/C$58</f>
        <v>0</v>
      </c>
      <c r="D68" s="535">
        <f t="shared" si="25"/>
        <v>0</v>
      </c>
      <c r="E68" s="536">
        <f t="shared" si="25"/>
        <v>4.7140048570718553</v>
      </c>
      <c r="F68" s="534">
        <f t="shared" si="25"/>
        <v>0</v>
      </c>
      <c r="G68" s="535">
        <f t="shared" si="25"/>
        <v>0</v>
      </c>
      <c r="H68" s="536">
        <f t="shared" si="25"/>
        <v>5.7941375583543602</v>
      </c>
      <c r="I68" s="534">
        <f t="shared" si="25"/>
        <v>0</v>
      </c>
      <c r="J68" s="535">
        <f t="shared" si="25"/>
        <v>0</v>
      </c>
      <c r="K68" s="536">
        <f t="shared" si="25"/>
        <v>5.9049951038811734</v>
      </c>
      <c r="L68" s="534">
        <f t="shared" si="25"/>
        <v>0</v>
      </c>
      <c r="M68" s="535">
        <f t="shared" si="25"/>
        <v>0</v>
      </c>
      <c r="N68" s="536">
        <f t="shared" si="25"/>
        <v>6.017973654523324</v>
      </c>
    </row>
    <row r="69" spans="1:14" x14ac:dyDescent="0.25">
      <c r="B69" s="520" t="s">
        <v>158</v>
      </c>
      <c r="C69" s="534">
        <f t="shared" ref="C69:N69" si="26">C22/C$58</f>
        <v>13.661880758461347</v>
      </c>
      <c r="D69" s="535">
        <f t="shared" si="26"/>
        <v>54.465364623732576</v>
      </c>
      <c r="E69" s="536">
        <f t="shared" si="26"/>
        <v>4.5903894695694278</v>
      </c>
      <c r="F69" s="534">
        <f t="shared" si="26"/>
        <v>17.198339346321713</v>
      </c>
      <c r="G69" s="535">
        <f t="shared" si="26"/>
        <v>68.564046194002572</v>
      </c>
      <c r="H69" s="536">
        <f t="shared" si="26"/>
        <v>5.7786389169398706</v>
      </c>
      <c r="I69" s="534">
        <f t="shared" si="26"/>
        <v>18.193576743204545</v>
      </c>
      <c r="J69" s="535">
        <f t="shared" si="26"/>
        <v>72.53172594957546</v>
      </c>
      <c r="K69" s="536">
        <f t="shared" si="26"/>
        <v>6.1130385027028478</v>
      </c>
      <c r="L69" s="534">
        <f t="shared" si="26"/>
        <v>19.246406763201076</v>
      </c>
      <c r="M69" s="535">
        <f t="shared" si="26"/>
        <v>76.729008295961634</v>
      </c>
      <c r="N69" s="536">
        <f t="shared" si="26"/>
        <v>6.4667891994394902</v>
      </c>
    </row>
    <row r="70" spans="1:14" x14ac:dyDescent="0.25">
      <c r="B70" s="520" t="s">
        <v>184</v>
      </c>
      <c r="C70" s="534">
        <f t="shared" ref="C70:N70" si="27">C23/C$58</f>
        <v>4.4578299938420392</v>
      </c>
      <c r="D70" s="535">
        <f t="shared" si="27"/>
        <v>0</v>
      </c>
      <c r="E70" s="536">
        <f t="shared" si="27"/>
        <v>11.233725551397598</v>
      </c>
      <c r="F70" s="534">
        <f t="shared" si="27"/>
        <v>6.2008409510536771</v>
      </c>
      <c r="G70" s="535">
        <f t="shared" si="27"/>
        <v>0</v>
      </c>
      <c r="H70" s="536">
        <f t="shared" si="27"/>
        <v>15.626110804635715</v>
      </c>
      <c r="I70" s="534">
        <f t="shared" si="27"/>
        <v>7.2736436294111817</v>
      </c>
      <c r="J70" s="535">
        <f t="shared" si="27"/>
        <v>0</v>
      </c>
      <c r="K70" s="536">
        <f t="shared" si="27"/>
        <v>18.329572102199844</v>
      </c>
      <c r="L70" s="534">
        <f t="shared" si="27"/>
        <v>8.5320510661838291</v>
      </c>
      <c r="M70" s="535">
        <f t="shared" si="27"/>
        <v>0</v>
      </c>
      <c r="N70" s="536">
        <f t="shared" si="27"/>
        <v>21.500757139778589</v>
      </c>
    </row>
    <row r="71" spans="1:14" x14ac:dyDescent="0.25">
      <c r="B71" s="520" t="s">
        <v>125</v>
      </c>
      <c r="C71" s="534">
        <f t="shared" ref="C71:N71" si="28">C24/C$58</f>
        <v>5.0579868861162901E-3</v>
      </c>
      <c r="D71" s="535">
        <f t="shared" si="28"/>
        <v>0</v>
      </c>
      <c r="E71" s="536">
        <f t="shared" si="28"/>
        <v>1.274612010769559E-2</v>
      </c>
      <c r="F71" s="534">
        <f t="shared" si="28"/>
        <v>7.0984874516205731E-3</v>
      </c>
      <c r="G71" s="535">
        <f t="shared" si="28"/>
        <v>0</v>
      </c>
      <c r="H71" s="536">
        <f t="shared" si="28"/>
        <v>1.7888178771218267E-2</v>
      </c>
      <c r="I71" s="534">
        <f t="shared" si="28"/>
        <v>8.4557217991880901E-3</v>
      </c>
      <c r="J71" s="535">
        <f t="shared" si="28"/>
        <v>0</v>
      </c>
      <c r="K71" s="536">
        <f t="shared" si="28"/>
        <v>2.1308407490250911E-2</v>
      </c>
      <c r="L71" s="534">
        <f t="shared" si="28"/>
        <v>1.0072460032163826E-2</v>
      </c>
      <c r="M71" s="535">
        <f t="shared" si="28"/>
        <v>0</v>
      </c>
      <c r="N71" s="536">
        <f t="shared" si="28"/>
        <v>2.538258564930802E-2</v>
      </c>
    </row>
    <row r="72" spans="1:14" x14ac:dyDescent="0.25">
      <c r="B72" s="520" t="s">
        <v>144</v>
      </c>
      <c r="C72" s="534">
        <f t="shared" ref="C72:N72" si="29">C25/C$58</f>
        <v>4.1945834269987185E-3</v>
      </c>
      <c r="D72" s="535">
        <f t="shared" si="29"/>
        <v>0</v>
      </c>
      <c r="E72" s="536">
        <f t="shared" si="29"/>
        <v>1.0570344559221899E-2</v>
      </c>
      <c r="F72" s="534">
        <f t="shared" si="29"/>
        <v>5.7489300572612255E-3</v>
      </c>
      <c r="G72" s="535">
        <f t="shared" si="29"/>
        <v>0</v>
      </c>
      <c r="H72" s="536">
        <f t="shared" si="29"/>
        <v>1.4487295963880469E-2</v>
      </c>
      <c r="I72" s="534">
        <f t="shared" si="29"/>
        <v>6.6917286756844017E-3</v>
      </c>
      <c r="J72" s="535">
        <f t="shared" si="29"/>
        <v>0</v>
      </c>
      <c r="K72" s="536">
        <f t="shared" si="29"/>
        <v>1.6863147206353419E-2</v>
      </c>
      <c r="L72" s="534">
        <f t="shared" si="29"/>
        <v>7.7891420182470668E-3</v>
      </c>
      <c r="M72" s="535">
        <f t="shared" si="29"/>
        <v>0</v>
      </c>
      <c r="N72" s="536">
        <f t="shared" si="29"/>
        <v>1.9628627344407262E-2</v>
      </c>
    </row>
    <row r="73" spans="1:14" x14ac:dyDescent="0.25">
      <c r="B73" s="520" t="s">
        <v>68</v>
      </c>
      <c r="C73" s="534">
        <f t="shared" ref="C73:N73" si="30">C26/C$58</f>
        <v>2.7457542772364668E-3</v>
      </c>
      <c r="D73" s="535">
        <f t="shared" si="30"/>
        <v>0</v>
      </c>
      <c r="E73" s="536">
        <f t="shared" si="30"/>
        <v>6.9192970626199956E-3</v>
      </c>
      <c r="F73" s="534">
        <f t="shared" si="30"/>
        <v>3.7218156177905525E-3</v>
      </c>
      <c r="G73" s="535">
        <f t="shared" si="30"/>
        <v>0</v>
      </c>
      <c r="H73" s="536">
        <f t="shared" si="30"/>
        <v>9.3789703198461326E-3</v>
      </c>
      <c r="I73" s="534">
        <f t="shared" si="30"/>
        <v>4.2654854851018826E-3</v>
      </c>
      <c r="J73" s="535">
        <f t="shared" si="30"/>
        <v>0</v>
      </c>
      <c r="K73" s="536">
        <f t="shared" si="30"/>
        <v>1.07490176496853E-2</v>
      </c>
      <c r="L73" s="534">
        <f t="shared" si="30"/>
        <v>4.8885727537507327E-3</v>
      </c>
      <c r="M73" s="535">
        <f t="shared" si="30"/>
        <v>0</v>
      </c>
      <c r="N73" s="536">
        <f t="shared" si="30"/>
        <v>1.2319196723414048E-2</v>
      </c>
    </row>
    <row r="74" spans="1:14" x14ac:dyDescent="0.25">
      <c r="B74" s="523" t="s">
        <v>119</v>
      </c>
      <c r="C74" s="537">
        <f t="shared" ref="C74:N74" si="31">C27/C$58</f>
        <v>2.5207155155214651</v>
      </c>
      <c r="D74" s="538">
        <f t="shared" si="31"/>
        <v>0</v>
      </c>
      <c r="E74" s="539">
        <f t="shared" si="31"/>
        <v>6.3521996876584437</v>
      </c>
      <c r="F74" s="537">
        <f t="shared" si="31"/>
        <v>3.2441608663570967</v>
      </c>
      <c r="G74" s="538">
        <f t="shared" si="31"/>
        <v>0</v>
      </c>
      <c r="H74" s="539">
        <f t="shared" si="31"/>
        <v>8.175280992676468</v>
      </c>
      <c r="I74" s="537">
        <f t="shared" si="31"/>
        <v>3.5257626190646612</v>
      </c>
      <c r="J74" s="538">
        <f t="shared" si="31"/>
        <v>0</v>
      </c>
      <c r="K74" s="539">
        <f t="shared" si="31"/>
        <v>8.8849170283887364</v>
      </c>
      <c r="L74" s="537">
        <f t="shared" si="31"/>
        <v>3.8318081494992575</v>
      </c>
      <c r="M74" s="538">
        <f t="shared" si="31"/>
        <v>0</v>
      </c>
      <c r="N74" s="539">
        <f t="shared" si="31"/>
        <v>9.656151350891701</v>
      </c>
    </row>
    <row r="75" spans="1:14" ht="13.5" thickBot="1" x14ac:dyDescent="0.35">
      <c r="B75" s="524" t="s">
        <v>829</v>
      </c>
      <c r="C75" s="540">
        <f t="shared" ref="C75" si="32">SUM(C61:C74)</f>
        <v>98.11247975380364</v>
      </c>
      <c r="D75" s="541">
        <f t="shared" ref="D75" si="33">SUM(D61:D74)</f>
        <v>54.465364623732576</v>
      </c>
      <c r="E75" s="542">
        <f t="shared" ref="E75:F75" si="34">SUM(E61:E74)</f>
        <v>68.999616333827504</v>
      </c>
      <c r="F75" s="540">
        <f t="shared" si="34"/>
        <v>127.16330749506517</v>
      </c>
      <c r="G75" s="541">
        <f t="shared" ref="G75" si="35">SUM(G61:G74)</f>
        <v>68.564046194002572</v>
      </c>
      <c r="H75" s="542">
        <f t="shared" ref="H75:I75" si="36">SUM(H61:H74)</f>
        <v>90.854873571214966</v>
      </c>
      <c r="I75" s="540">
        <f t="shared" si="36"/>
        <v>138.44149744419525</v>
      </c>
      <c r="J75" s="541">
        <f t="shared" ref="J75" si="37">SUM(J61:J74)</f>
        <v>72.53172594957546</v>
      </c>
      <c r="K75" s="542">
        <f t="shared" ref="K75:L75" si="38">SUM(K61:K74)</f>
        <v>100.99496088597833</v>
      </c>
      <c r="L75" s="540">
        <f t="shared" si="38"/>
        <v>150.81172874177392</v>
      </c>
      <c r="M75" s="541">
        <f t="shared" ref="M75" si="39">SUM(M61:M74)</f>
        <v>76.729008295961634</v>
      </c>
      <c r="N75" s="542">
        <f t="shared" ref="N75" si="40">SUM(N61:N74)</f>
        <v>112.43592808815811</v>
      </c>
    </row>
    <row r="76" spans="1:14" ht="13" thickTop="1" x14ac:dyDescent="0.25"/>
    <row r="80" spans="1:14" s="2" customFormat="1" ht="13.5" customHeight="1" x14ac:dyDescent="0.35">
      <c r="A80" s="29">
        <v>2</v>
      </c>
      <c r="B80" s="52" t="s">
        <v>831</v>
      </c>
      <c r="C80" s="7"/>
      <c r="D80" s="52"/>
      <c r="E80" s="437"/>
      <c r="F80" s="437"/>
      <c r="G80" s="437"/>
      <c r="H80" s="630"/>
      <c r="I80" s="630"/>
      <c r="J80" s="437"/>
      <c r="K80" s="437"/>
      <c r="L80" s="456"/>
    </row>
    <row r="81" spans="2:14" ht="13" thickBot="1" x14ac:dyDescent="0.3"/>
    <row r="82" spans="2:14" x14ac:dyDescent="0.25">
      <c r="B82" s="519"/>
      <c r="C82" s="641">
        <v>2022</v>
      </c>
      <c r="D82" s="642"/>
      <c r="E82" s="643"/>
      <c r="F82" s="641">
        <v>2023</v>
      </c>
      <c r="G82" s="642"/>
      <c r="H82" s="643"/>
      <c r="I82" s="641">
        <v>2024</v>
      </c>
      <c r="J82" s="642"/>
      <c r="K82" s="643"/>
      <c r="L82" s="641">
        <v>2025</v>
      </c>
      <c r="M82" s="642"/>
      <c r="N82" s="643"/>
    </row>
    <row r="83" spans="2:14" x14ac:dyDescent="0.25">
      <c r="B83" s="521" t="s">
        <v>211</v>
      </c>
      <c r="C83" s="525">
        <v>0.46</v>
      </c>
      <c r="D83" s="526">
        <v>0.15</v>
      </c>
      <c r="E83" s="527">
        <v>0.27380967085922192</v>
      </c>
      <c r="F83" s="525">
        <v>0.46</v>
      </c>
      <c r="G83" s="526">
        <v>0.15</v>
      </c>
      <c r="H83" s="527">
        <v>0.27380967085922192</v>
      </c>
      <c r="I83" s="525">
        <v>0.46</v>
      </c>
      <c r="J83" s="526">
        <v>0.15</v>
      </c>
      <c r="K83" s="527">
        <v>0.27380967085922192</v>
      </c>
      <c r="L83" s="525">
        <v>0.46</v>
      </c>
      <c r="M83" s="526">
        <v>0.15</v>
      </c>
      <c r="N83" s="527">
        <v>0.27380967085922192</v>
      </c>
    </row>
    <row r="84" spans="2:14" ht="13" x14ac:dyDescent="0.3">
      <c r="B84" s="518"/>
      <c r="C84" s="528" t="s">
        <v>220</v>
      </c>
      <c r="D84" s="529" t="s">
        <v>407</v>
      </c>
      <c r="E84" s="530" t="s">
        <v>651</v>
      </c>
      <c r="F84" s="528" t="s">
        <v>220</v>
      </c>
      <c r="G84" s="529" t="s">
        <v>407</v>
      </c>
      <c r="H84" s="530" t="s">
        <v>651</v>
      </c>
      <c r="I84" s="528" t="s">
        <v>220</v>
      </c>
      <c r="J84" s="529" t="s">
        <v>407</v>
      </c>
      <c r="K84" s="530" t="s">
        <v>651</v>
      </c>
      <c r="L84" s="528" t="s">
        <v>220</v>
      </c>
      <c r="M84" s="529" t="s">
        <v>407</v>
      </c>
      <c r="N84" s="530" t="s">
        <v>651</v>
      </c>
    </row>
    <row r="85" spans="2:14" ht="13" x14ac:dyDescent="0.3">
      <c r="B85" s="522" t="s">
        <v>237</v>
      </c>
      <c r="C85" s="531"/>
      <c r="D85" s="532"/>
      <c r="E85" s="533"/>
      <c r="F85" s="531"/>
      <c r="G85" s="532"/>
      <c r="H85" s="533"/>
      <c r="I85" s="531"/>
      <c r="J85" s="532"/>
      <c r="K85" s="533"/>
      <c r="L85" s="531"/>
      <c r="M85" s="532"/>
      <c r="N85" s="533"/>
    </row>
    <row r="86" spans="2:14" x14ac:dyDescent="0.25">
      <c r="B86" s="520" t="s">
        <v>167</v>
      </c>
      <c r="C86" s="534">
        <f>ProjectedP205_Consumption!$J34*C111</f>
        <v>30.199473962625497</v>
      </c>
      <c r="D86" s="535">
        <f>ProjectedP205_Consumption!$J34*D111</f>
        <v>0</v>
      </c>
      <c r="E86" s="536">
        <f>ProjectedP205_Consumption!$J34*E111</f>
        <v>3.3554971069583877</v>
      </c>
      <c r="F86" s="534">
        <f>ProjectedP205_Consumption!$K34*F111</f>
        <v>39.019326776697817</v>
      </c>
      <c r="G86" s="535">
        <f>ProjectedP205_Consumption!$K34*G111</f>
        <v>0</v>
      </c>
      <c r="H86" s="536">
        <f>ProjectedP205_Consumption!$K34*H111</f>
        <v>4.335480752966423</v>
      </c>
      <c r="I86" s="534">
        <f>ProjectedP205_Consumption!$L34*I111</f>
        <v>72.331021273926382</v>
      </c>
      <c r="J86" s="535">
        <f>ProjectedP205_Consumption!$L34*J111</f>
        <v>0</v>
      </c>
      <c r="K86" s="536">
        <f>ProjectedP205_Consumption!$L34*K111</f>
        <v>8.0367801415473732</v>
      </c>
      <c r="L86" s="534">
        <f>ProjectedP205_Consumption!$M34*L111</f>
        <v>108.87633690393604</v>
      </c>
      <c r="M86" s="535">
        <f>ProjectedP205_Consumption!$M34*M111</f>
        <v>0</v>
      </c>
      <c r="N86" s="536">
        <f>ProjectedP205_Consumption!$M34*N111</f>
        <v>12.097370767104</v>
      </c>
    </row>
    <row r="87" spans="2:14" x14ac:dyDescent="0.25">
      <c r="B87" s="520" t="s">
        <v>136</v>
      </c>
      <c r="C87" s="534">
        <f>ProjectedP205_Consumption!$J35*C112</f>
        <v>2.1515543819420679E-2</v>
      </c>
      <c r="D87" s="535">
        <f>ProjectedP205_Consumption!$J35*D112</f>
        <v>0</v>
      </c>
      <c r="E87" s="536">
        <f>ProjectedP205_Consumption!$J35*E112</f>
        <v>5.0202935578648245E-2</v>
      </c>
      <c r="F87" s="534">
        <f>ProjectedP205_Consumption!$K35*F112</f>
        <v>3.1063560372298092E-2</v>
      </c>
      <c r="G87" s="535">
        <f>ProjectedP205_Consumption!$K35*G112</f>
        <v>0</v>
      </c>
      <c r="H87" s="536">
        <f>ProjectedP205_Consumption!$K35*H112</f>
        <v>7.2481640868695546E-2</v>
      </c>
      <c r="I87" s="534">
        <f>ProjectedP205_Consumption!$L35*I112</f>
        <v>0.26032259317498779</v>
      </c>
      <c r="J87" s="535">
        <f>ProjectedP205_Consumption!$L35*J112</f>
        <v>0</v>
      </c>
      <c r="K87" s="536">
        <f>ProjectedP205_Consumption!$L35*K112</f>
        <v>0.60741938407497154</v>
      </c>
      <c r="L87" s="534">
        <f>ProjectedP205_Consumption!$M35*L112</f>
        <v>0.5124298703570157</v>
      </c>
      <c r="M87" s="535">
        <f>ProjectedP205_Consumption!$M35*M112</f>
        <v>0</v>
      </c>
      <c r="N87" s="536">
        <f>ProjectedP205_Consumption!$M35*N112</f>
        <v>1.1956696974997032</v>
      </c>
    </row>
    <row r="88" spans="2:14" x14ac:dyDescent="0.25">
      <c r="B88" s="520" t="s">
        <v>117</v>
      </c>
      <c r="C88" s="534">
        <f>ProjectedP205_Consumption!$J36*C113</f>
        <v>6.5121564271200102E-3</v>
      </c>
      <c r="D88" s="535">
        <f>ProjectedP205_Consumption!$J36*D113</f>
        <v>0</v>
      </c>
      <c r="E88" s="536">
        <f>ProjectedP205_Consumption!$J36*E113</f>
        <v>9.7682346406800149E-3</v>
      </c>
      <c r="F88" s="534">
        <f>ProjectedP205_Consumption!$K36*F113</f>
        <v>5.1471326166171701E-3</v>
      </c>
      <c r="G88" s="535">
        <f>ProjectedP205_Consumption!$K36*G113</f>
        <v>0</v>
      </c>
      <c r="H88" s="536">
        <f>ProjectedP205_Consumption!$K36*H113</f>
        <v>7.7206989249257547E-3</v>
      </c>
      <c r="I88" s="534">
        <f>ProjectedP205_Consumption!$L36*I113</f>
        <v>0.33753329032902779</v>
      </c>
      <c r="J88" s="535">
        <f>ProjectedP205_Consumption!$L36*J113</f>
        <v>0</v>
      </c>
      <c r="K88" s="536">
        <f>ProjectedP205_Consumption!$L36*K113</f>
        <v>0.50629993549354158</v>
      </c>
      <c r="L88" s="534">
        <f>ProjectedP205_Consumption!$M36*L113</f>
        <v>0.69160061342864254</v>
      </c>
      <c r="M88" s="535">
        <f>ProjectedP205_Consumption!$M36*M113</f>
        <v>0</v>
      </c>
      <c r="N88" s="536">
        <f>ProjectedP205_Consumption!$M36*N113</f>
        <v>1.0374009201429637</v>
      </c>
    </row>
    <row r="89" spans="2:14" x14ac:dyDescent="0.25">
      <c r="B89" s="520" t="s">
        <v>124</v>
      </c>
      <c r="C89" s="534">
        <f>ProjectedP205_Consumption!$J37*C114</f>
        <v>1.2455715041035932E-2</v>
      </c>
      <c r="D89" s="535">
        <f>ProjectedP205_Consumption!$J37*D114</f>
        <v>0</v>
      </c>
      <c r="E89" s="536">
        <f>ProjectedP205_Consumption!$J37*E114</f>
        <v>1.8683572561553896E-2</v>
      </c>
      <c r="F89" s="534">
        <f>ProjectedP205_Consumption!$K37*F114</f>
        <v>1.6742732252563283E-2</v>
      </c>
      <c r="G89" s="535">
        <f>ProjectedP205_Consumption!$K37*G114</f>
        <v>0</v>
      </c>
      <c r="H89" s="536">
        <f>ProjectedP205_Consumption!$K37*H114</f>
        <v>2.5114098378844926E-2</v>
      </c>
      <c r="I89" s="534">
        <f>ProjectedP205_Consumption!$L37*I114</f>
        <v>0.13783243392980218</v>
      </c>
      <c r="J89" s="535">
        <f>ProjectedP205_Consumption!$L37*J114</f>
        <v>0</v>
      </c>
      <c r="K89" s="536">
        <f>ProjectedP205_Consumption!$L37*K114</f>
        <v>0.20674865089470326</v>
      </c>
      <c r="L89" s="534">
        <f>ProjectedP205_Consumption!$M37*L114</f>
        <v>0.26785312650714194</v>
      </c>
      <c r="M89" s="535">
        <f>ProjectedP205_Consumption!$M37*M114</f>
        <v>0</v>
      </c>
      <c r="N89" s="536">
        <f>ProjectedP205_Consumption!$M37*N114</f>
        <v>0.40177968976071282</v>
      </c>
    </row>
    <row r="90" spans="2:14" x14ac:dyDescent="0.25">
      <c r="B90" s="520" t="s">
        <v>73</v>
      </c>
      <c r="C90" s="534">
        <f>ProjectedP205_Consumption!$J38*C115</f>
        <v>1.0983724833418476</v>
      </c>
      <c r="D90" s="535">
        <f>ProjectedP205_Consumption!$J38*D115</f>
        <v>0</v>
      </c>
      <c r="E90" s="536">
        <f>ProjectedP205_Consumption!$J38*E115</f>
        <v>1.6475587250127715</v>
      </c>
      <c r="F90" s="534">
        <f>ProjectedP205_Consumption!$K38*F115</f>
        <v>1.4670281023853251</v>
      </c>
      <c r="G90" s="535">
        <f>ProjectedP205_Consumption!$K38*G115</f>
        <v>0</v>
      </c>
      <c r="H90" s="536">
        <f>ProjectedP205_Consumption!$K38*H115</f>
        <v>2.2005421535779877</v>
      </c>
      <c r="I90" s="534">
        <f>ProjectedP205_Consumption!$L38*I115</f>
        <v>5.2882604607462831</v>
      </c>
      <c r="J90" s="535">
        <f>ProjectedP205_Consumption!$L38*J115</f>
        <v>0</v>
      </c>
      <c r="K90" s="536">
        <f>ProjectedP205_Consumption!$L38*K115</f>
        <v>7.9323906911194246</v>
      </c>
      <c r="L90" s="534">
        <f>ProjectedP205_Consumption!$M38*L115</f>
        <v>8.7144391252817641</v>
      </c>
      <c r="M90" s="535">
        <f>ProjectedP205_Consumption!$M38*M115</f>
        <v>0</v>
      </c>
      <c r="N90" s="536">
        <f>ProjectedP205_Consumption!$M38*N115</f>
        <v>13.071658687922646</v>
      </c>
    </row>
    <row r="91" spans="2:14" x14ac:dyDescent="0.25">
      <c r="B91" s="520" t="s">
        <v>156</v>
      </c>
      <c r="C91" s="534">
        <f>ProjectedP205_Consumption!$J39*C116</f>
        <v>2.334793062120442</v>
      </c>
      <c r="D91" s="535">
        <f>ProjectedP205_Consumption!$J39*D116</f>
        <v>0</v>
      </c>
      <c r="E91" s="536">
        <f>ProjectedP205_Consumption!$J39*E116</f>
        <v>3.5021895931806628</v>
      </c>
      <c r="F91" s="534">
        <f>ProjectedP205_Consumption!$K39*F116</f>
        <v>3.1199830469783016</v>
      </c>
      <c r="G91" s="535">
        <f>ProjectedP205_Consumption!$K39*G116</f>
        <v>0</v>
      </c>
      <c r="H91" s="536">
        <f>ProjectedP205_Consumption!$K39*H116</f>
        <v>4.6799745704674516</v>
      </c>
      <c r="I91" s="534">
        <f>ProjectedP205_Consumption!$L39*I116</f>
        <v>6.989977471983611</v>
      </c>
      <c r="J91" s="535">
        <f>ProjectedP205_Consumption!$L39*J116</f>
        <v>0</v>
      </c>
      <c r="K91" s="536">
        <f>ProjectedP205_Consumption!$L39*K116</f>
        <v>10.484966207975415</v>
      </c>
      <c r="L91" s="534">
        <f>ProjectedP205_Consumption!$M39*L116</f>
        <v>11.239171381872005</v>
      </c>
      <c r="M91" s="535">
        <f>ProjectedP205_Consumption!$M39*M116</f>
        <v>0</v>
      </c>
      <c r="N91" s="536">
        <f>ProjectedP205_Consumption!$M39*N116</f>
        <v>16.858757072808007</v>
      </c>
    </row>
    <row r="92" spans="2:14" x14ac:dyDescent="0.25">
      <c r="B92" s="520" t="s">
        <v>113</v>
      </c>
      <c r="C92" s="534">
        <f>ProjectedP205_Consumption!$J40*C117</f>
        <v>1.9585024508633173</v>
      </c>
      <c r="D92" s="535">
        <f>ProjectedP205_Consumption!$J40*D117</f>
        <v>0</v>
      </c>
      <c r="E92" s="536">
        <f>ProjectedP205_Consumption!$J40*E117</f>
        <v>2.9377536762949759</v>
      </c>
      <c r="F92" s="534">
        <f>ProjectedP205_Consumption!$K40*F117</f>
        <v>2.5722713138718452</v>
      </c>
      <c r="G92" s="535">
        <f>ProjectedP205_Consumption!$K40*G117</f>
        <v>0</v>
      </c>
      <c r="H92" s="536">
        <f>ProjectedP205_Consumption!$K40*H117</f>
        <v>3.8584069708077675</v>
      </c>
      <c r="I92" s="534">
        <f>ProjectedP205_Consumption!$L40*I117</f>
        <v>2.860968278641101</v>
      </c>
      <c r="J92" s="535">
        <f>ProjectedP205_Consumption!$L40*J117</f>
        <v>0</v>
      </c>
      <c r="K92" s="536">
        <f>ProjectedP205_Consumption!$L40*K117</f>
        <v>4.2914524179616516</v>
      </c>
      <c r="L92" s="534">
        <f>ProjectedP205_Consumption!$M40*L117</f>
        <v>3.1820669333166705</v>
      </c>
      <c r="M92" s="535">
        <f>ProjectedP205_Consumption!$M40*M117</f>
        <v>0</v>
      </c>
      <c r="N92" s="536">
        <f>ProjectedP205_Consumption!$M40*N117</f>
        <v>4.7731003999750055</v>
      </c>
    </row>
    <row r="93" spans="2:14" x14ac:dyDescent="0.25">
      <c r="B93" s="520" t="s">
        <v>182</v>
      </c>
      <c r="C93" s="534">
        <f>ProjectedP205_Consumption!$J41*C118</f>
        <v>0</v>
      </c>
      <c r="D93" s="535">
        <f>ProjectedP205_Consumption!$J41*D118</f>
        <v>0</v>
      </c>
      <c r="E93" s="536">
        <f>ProjectedP205_Consumption!$J41*E118</f>
        <v>1.2907401183436182</v>
      </c>
      <c r="F93" s="534">
        <f>ProjectedP205_Consumption!$K41*F118</f>
        <v>0</v>
      </c>
      <c r="G93" s="535">
        <f>ProjectedP205_Consumption!$K41*G118</f>
        <v>0</v>
      </c>
      <c r="H93" s="536">
        <f>ProjectedP205_Consumption!$K41*H118</f>
        <v>1.586490897766063</v>
      </c>
      <c r="I93" s="534">
        <f>ProjectedP205_Consumption!$L41*I118</f>
        <v>0</v>
      </c>
      <c r="J93" s="535">
        <f>ProjectedP205_Consumption!$L41*J118</f>
        <v>0</v>
      </c>
      <c r="K93" s="536">
        <f>ProjectedP205_Consumption!$L41*K118</f>
        <v>7.2697143982724972</v>
      </c>
      <c r="L93" s="534">
        <f>ProjectedP205_Consumption!$M41*L118</f>
        <v>0</v>
      </c>
      <c r="M93" s="535">
        <f>ProjectedP205_Consumption!$M41*M118</f>
        <v>0</v>
      </c>
      <c r="N93" s="536">
        <f>ProjectedP205_Consumption!$M41*N118</f>
        <v>13.517294021585158</v>
      </c>
    </row>
    <row r="94" spans="2:14" x14ac:dyDescent="0.25">
      <c r="B94" s="520" t="s">
        <v>158</v>
      </c>
      <c r="C94" s="534">
        <f>ProjectedP205_Consumption!$J42*C119</f>
        <v>6.2844651488922203</v>
      </c>
      <c r="D94" s="535">
        <f>ProjectedP205_Consumption!$J42*D119</f>
        <v>8.169804693559886</v>
      </c>
      <c r="E94" s="536">
        <f>ProjectedP205_Consumption!$J42*E119</f>
        <v>1.2568930297784433</v>
      </c>
      <c r="F94" s="534">
        <f>ProjectedP205_Consumption!$K42*F119</f>
        <v>7.9112360993079882</v>
      </c>
      <c r="G94" s="535">
        <f>ProjectedP205_Consumption!$K42*G119</f>
        <v>10.284606929100384</v>
      </c>
      <c r="H94" s="536">
        <f>ProjectedP205_Consumption!$K42*H119</f>
        <v>1.5822472198615967</v>
      </c>
      <c r="I94" s="534">
        <f>ProjectedP205_Consumption!$L42*I119</f>
        <v>9.5107711823480887</v>
      </c>
      <c r="J94" s="535">
        <f>ProjectedP205_Consumption!$L42*J119</f>
        <v>12.364002537052516</v>
      </c>
      <c r="K94" s="536">
        <f>ProjectedP205_Consumption!$L42*K119</f>
        <v>1.9021542364696167</v>
      </c>
      <c r="L94" s="534">
        <f>ProjectedP205_Consumption!$M42*L119</f>
        <v>11.125911683859174</v>
      </c>
      <c r="M94" s="535">
        <f>ProjectedP205_Consumption!$M42*M119</f>
        <v>14.463685189016926</v>
      </c>
      <c r="N94" s="536">
        <f>ProjectedP205_Consumption!$M42*N119</f>
        <v>2.2251823367718337</v>
      </c>
    </row>
    <row r="95" spans="2:14" x14ac:dyDescent="0.25">
      <c r="B95" s="520" t="s">
        <v>184</v>
      </c>
      <c r="C95" s="534">
        <f>ProjectedP205_Consumption!$J43*C120</f>
        <v>2.0506017971673383</v>
      </c>
      <c r="D95" s="535">
        <f>ProjectedP205_Consumption!$J43*D120</f>
        <v>0</v>
      </c>
      <c r="E95" s="536">
        <f>ProjectedP205_Consumption!$J43*E120</f>
        <v>3.0759026957510076</v>
      </c>
      <c r="F95" s="534">
        <f>ProjectedP205_Consumption!$K43*F120</f>
        <v>2.8523868374846915</v>
      </c>
      <c r="G95" s="535">
        <f>ProjectedP205_Consumption!$K43*G120</f>
        <v>0</v>
      </c>
      <c r="H95" s="536">
        <f>ProjectedP205_Consumption!$K43*H120</f>
        <v>4.2785802562270367</v>
      </c>
      <c r="I95" s="534">
        <f>ProjectedP205_Consumption!$L43*I120</f>
        <v>3.412500465715703</v>
      </c>
      <c r="J95" s="535">
        <f>ProjectedP205_Consumption!$L43*J120</f>
        <v>0</v>
      </c>
      <c r="K95" s="536">
        <f>ProjectedP205_Consumption!$L43*K120</f>
        <v>5.118750698573554</v>
      </c>
      <c r="L95" s="534">
        <f>ProjectedP205_Consumption!$M43*L120</f>
        <v>4.0503018350390443</v>
      </c>
      <c r="M95" s="535">
        <f>ProjectedP205_Consumption!$M43*M120</f>
        <v>0</v>
      </c>
      <c r="N95" s="536">
        <f>ProjectedP205_Consumption!$M43*N120</f>
        <v>6.075452752558566</v>
      </c>
    </row>
    <row r="96" spans="2:14" x14ac:dyDescent="0.25">
      <c r="B96" s="520" t="s">
        <v>125</v>
      </c>
      <c r="C96" s="534">
        <f>ProjectedP205_Consumption!$J44*C121</f>
        <v>2.3266739676134937E-3</v>
      </c>
      <c r="D96" s="535">
        <f>ProjectedP205_Consumption!$J44*D121</f>
        <v>0</v>
      </c>
      <c r="E96" s="536">
        <f>ProjectedP205_Consumption!$J44*E121</f>
        <v>3.4900109514202399E-3</v>
      </c>
      <c r="F96" s="534">
        <f>ProjectedP205_Consumption!$K44*F121</f>
        <v>3.2653042277454637E-3</v>
      </c>
      <c r="G96" s="535">
        <f>ProjectedP205_Consumption!$K44*G121</f>
        <v>0</v>
      </c>
      <c r="H96" s="536">
        <f>ProjectedP205_Consumption!$K44*H121</f>
        <v>4.8979563416181949E-3</v>
      </c>
      <c r="I96" s="534">
        <f>ProjectedP205_Consumption!$L44*I121</f>
        <v>4.1471174390729171E-2</v>
      </c>
      <c r="J96" s="535">
        <f>ProjectedP205_Consumption!$L44*J121</f>
        <v>0</v>
      </c>
      <c r="K96" s="536">
        <f>ProjectedP205_Consumption!$L44*K121</f>
        <v>6.2206761586093742E-2</v>
      </c>
      <c r="L96" s="534">
        <f>ProjectedP205_Consumption!$M44*L121</f>
        <v>8.4333985171302847E-2</v>
      </c>
      <c r="M96" s="535">
        <f>ProjectedP205_Consumption!$M44*M121</f>
        <v>0</v>
      </c>
      <c r="N96" s="536">
        <f>ProjectedP205_Consumption!$M44*N121</f>
        <v>0.12650097775695426</v>
      </c>
    </row>
    <row r="97" spans="2:14" x14ac:dyDescent="0.25">
      <c r="B97" s="520" t="s">
        <v>144</v>
      </c>
      <c r="C97" s="534">
        <f>ProjectedP205_Consumption!$J45*C122</f>
        <v>1.9295083764194105E-3</v>
      </c>
      <c r="D97" s="535">
        <f>ProjectedP205_Consumption!$J45*D122</f>
        <v>0</v>
      </c>
      <c r="E97" s="536">
        <f>ProjectedP205_Consumption!$J45*E122</f>
        <v>2.8942625646291155E-3</v>
      </c>
      <c r="F97" s="534">
        <f>ProjectedP205_Consumption!$K45*F122</f>
        <v>2.6445078263401638E-3</v>
      </c>
      <c r="G97" s="535">
        <f>ProjectedP205_Consumption!$K45*G122</f>
        <v>0</v>
      </c>
      <c r="H97" s="536">
        <f>ProjectedP205_Consumption!$K45*H122</f>
        <v>3.9667617395102456E-3</v>
      </c>
      <c r="I97" s="534">
        <f>ProjectedP205_Consumption!$L45*I122</f>
        <v>2.9263823148435054E-2</v>
      </c>
      <c r="J97" s="535">
        <f>ProjectedP205_Consumption!$L45*J122</f>
        <v>0</v>
      </c>
      <c r="K97" s="536">
        <f>ProjectedP205_Consumption!$L45*K122</f>
        <v>4.3895734722652575E-2</v>
      </c>
      <c r="L97" s="534">
        <f>ProjectedP205_Consumption!$M45*L122</f>
        <v>5.7627829911480848E-2</v>
      </c>
      <c r="M97" s="535">
        <f>ProjectedP205_Consumption!$M45*M122</f>
        <v>0</v>
      </c>
      <c r="N97" s="536">
        <f>ProjectedP205_Consumption!$M45*N122</f>
        <v>8.6441744867221268E-2</v>
      </c>
    </row>
    <row r="98" spans="2:14" x14ac:dyDescent="0.25">
      <c r="B98" s="520" t="s">
        <v>68</v>
      </c>
      <c r="C98" s="534">
        <f>ProjectedP205_Consumption!$J46*C123</f>
        <v>1.2630469675287749E-3</v>
      </c>
      <c r="D98" s="535">
        <f>ProjectedP205_Consumption!$J46*D123</f>
        <v>0</v>
      </c>
      <c r="E98" s="536">
        <f>ProjectedP205_Consumption!$J46*E123</f>
        <v>1.8945704512931621E-3</v>
      </c>
      <c r="F98" s="534">
        <f>ProjectedP205_Consumption!$K46*F123</f>
        <v>1.7120351841836542E-3</v>
      </c>
      <c r="G98" s="535">
        <f>ProjectedP205_Consumption!$K46*G123</f>
        <v>0</v>
      </c>
      <c r="H98" s="536">
        <f>ProjectedP205_Consumption!$K46*H123</f>
        <v>2.5680527762754809E-3</v>
      </c>
      <c r="I98" s="534">
        <f>ProjectedP205_Consumption!$L46*I123</f>
        <v>2.1396468836714977E-2</v>
      </c>
      <c r="J98" s="535">
        <f>ProjectedP205_Consumption!$L46*J123</f>
        <v>0</v>
      </c>
      <c r="K98" s="536">
        <f>ProjectedP205_Consumption!$L46*K123</f>
        <v>3.2094703255072465E-2</v>
      </c>
      <c r="L98" s="534">
        <f>ProjectedP205_Consumption!$M46*L123</f>
        <v>4.2928183470104235E-2</v>
      </c>
      <c r="M98" s="535">
        <f>ProjectedP205_Consumption!$M46*M123</f>
        <v>0</v>
      </c>
      <c r="N98" s="536">
        <f>ProjectedP205_Consumption!$M46*N123</f>
        <v>6.4392275205156349E-2</v>
      </c>
    </row>
    <row r="99" spans="2:14" x14ac:dyDescent="0.25">
      <c r="B99" s="523" t="s">
        <v>119</v>
      </c>
      <c r="C99" s="537">
        <f>ProjectedP205_Consumption!$J47*C124</f>
        <v>1.1595291371398739</v>
      </c>
      <c r="D99" s="538">
        <f>ProjectedP205_Consumption!$J47*D124</f>
        <v>0</v>
      </c>
      <c r="E99" s="539">
        <f>ProjectedP205_Consumption!$J47*E124</f>
        <v>1.7392937057098108</v>
      </c>
      <c r="F99" s="537">
        <f>ProjectedP205_Consumption!$K47*F124</f>
        <v>1.4923139985242646</v>
      </c>
      <c r="G99" s="538">
        <f>ProjectedP205_Consumption!$K47*G124</f>
        <v>0</v>
      </c>
      <c r="H99" s="539">
        <f>ProjectedP205_Consumption!$K47*H124</f>
        <v>2.2384709977863966</v>
      </c>
      <c r="I99" s="537">
        <f>ProjectedP205_Consumption!$L47*I124</f>
        <v>1.6218508047697442</v>
      </c>
      <c r="J99" s="538">
        <f>ProjectedP205_Consumption!$L47*J124</f>
        <v>0</v>
      </c>
      <c r="K99" s="539">
        <f>ProjectedP205_Consumption!$L47*K124</f>
        <v>2.4327762071546162</v>
      </c>
      <c r="L99" s="537">
        <f>ProjectedP205_Consumption!$M47*L124</f>
        <v>1.7626317487696586</v>
      </c>
      <c r="M99" s="538">
        <f>ProjectedP205_Consumption!$M47*M124</f>
        <v>0</v>
      </c>
      <c r="N99" s="539">
        <f>ProjectedP205_Consumption!$M47*N124</f>
        <v>2.6439476231544878</v>
      </c>
    </row>
    <row r="100" spans="2:14" ht="13.5" thickBot="1" x14ac:dyDescent="0.35">
      <c r="B100" s="524" t="s">
        <v>826</v>
      </c>
      <c r="C100" s="540">
        <f t="shared" ref="C100" si="41">SUM(C86:C99)</f>
        <v>45.131740686749687</v>
      </c>
      <c r="D100" s="541">
        <f t="shared" ref="D100" si="42">SUM(D86:D99)</f>
        <v>8.169804693559886</v>
      </c>
      <c r="E100" s="542">
        <f t="shared" ref="E100:F100" si="43">SUM(E86:E99)</f>
        <v>18.892762237777905</v>
      </c>
      <c r="F100" s="540">
        <f t="shared" si="43"/>
        <v>58.495121447729979</v>
      </c>
      <c r="G100" s="541">
        <f t="shared" ref="G100" si="44">SUM(G86:G99)</f>
        <v>10.284606929100384</v>
      </c>
      <c r="H100" s="542">
        <f t="shared" ref="H100:I100" si="45">SUM(H86:H99)</f>
        <v>24.876943028490594</v>
      </c>
      <c r="I100" s="540">
        <f t="shared" si="45"/>
        <v>102.84316972194064</v>
      </c>
      <c r="J100" s="541">
        <f t="shared" ref="J100" si="46">SUM(J86:J99)</f>
        <v>12.364002537052516</v>
      </c>
      <c r="K100" s="542">
        <f t="shared" ref="K100:L100" si="47">SUM(K86:K99)</f>
        <v>48.927650169101192</v>
      </c>
      <c r="L100" s="540">
        <f t="shared" si="47"/>
        <v>150.60763322092004</v>
      </c>
      <c r="M100" s="541">
        <f t="shared" ref="M100" si="48">SUM(M86:M99)</f>
        <v>14.463685189016926</v>
      </c>
      <c r="N100" s="542">
        <f t="shared" ref="N100" si="49">SUM(N86:N99)</f>
        <v>74.1749489671124</v>
      </c>
    </row>
    <row r="101" spans="2:14" ht="14" thickTop="1" thickBot="1" x14ac:dyDescent="0.35">
      <c r="B101" s="524" t="s">
        <v>827</v>
      </c>
      <c r="C101" s="543">
        <f t="shared" ref="C101" si="50">SUM(C86:C99)/C83</f>
        <v>98.112479753803669</v>
      </c>
      <c r="D101" s="544">
        <f t="shared" ref="D101" si="51">SUM(D86:D99)/D83</f>
        <v>54.465364623732576</v>
      </c>
      <c r="E101" s="545">
        <f t="shared" ref="E101:F101" si="52">SUM(E86:E99)/E83</f>
        <v>68.999616333827518</v>
      </c>
      <c r="F101" s="543">
        <f t="shared" si="52"/>
        <v>127.16330749506517</v>
      </c>
      <c r="G101" s="544">
        <f t="shared" ref="G101" si="53">SUM(G86:G99)/G83</f>
        <v>68.564046194002572</v>
      </c>
      <c r="H101" s="545">
        <f t="shared" ref="H101:I101" si="54">SUM(H86:H99)/H83</f>
        <v>90.854873571214981</v>
      </c>
      <c r="I101" s="543">
        <f t="shared" si="54"/>
        <v>223.57210809117529</v>
      </c>
      <c r="J101" s="544">
        <f t="shared" ref="J101" si="55">SUM(J86:J99)/J83</f>
        <v>82.426683580350101</v>
      </c>
      <c r="K101" s="545">
        <f t="shared" ref="K101:L101" si="56">SUM(K86:K99)/K83</f>
        <v>178.69219160727576</v>
      </c>
      <c r="L101" s="543">
        <f t="shared" si="56"/>
        <v>327.40789830634787</v>
      </c>
      <c r="M101" s="544">
        <f t="shared" ref="M101" si="57">SUM(M86:M99)/M83</f>
        <v>96.424567926779517</v>
      </c>
      <c r="N101" s="545">
        <f t="shared" ref="N101" si="58">SUM(N86:N99)/N83</f>
        <v>270.89966813206217</v>
      </c>
    </row>
    <row r="102" spans="2:14" ht="13" thickTop="1" x14ac:dyDescent="0.25"/>
    <row r="104" spans="2:14" x14ac:dyDescent="0.25">
      <c r="B104" s="420"/>
      <c r="C104" s="7"/>
      <c r="D104" s="7"/>
      <c r="E104" s="517"/>
      <c r="F104" s="7"/>
      <c r="G104" s="7"/>
    </row>
    <row r="105" spans="2:14" x14ac:dyDescent="0.25">
      <c r="B105" s="420"/>
      <c r="C105" s="7"/>
      <c r="D105" s="7"/>
      <c r="E105" s="517"/>
      <c r="F105" s="7"/>
      <c r="G105" s="7"/>
    </row>
    <row r="106" spans="2:14" ht="13" thickBot="1" x14ac:dyDescent="0.3"/>
    <row r="107" spans="2:14" x14ac:dyDescent="0.25">
      <c r="B107" s="519"/>
      <c r="C107" s="644">
        <v>2022</v>
      </c>
      <c r="D107" s="645"/>
      <c r="E107" s="646"/>
      <c r="F107" s="644">
        <v>2022</v>
      </c>
      <c r="G107" s="645"/>
      <c r="H107" s="646"/>
      <c r="I107" s="644">
        <v>2022</v>
      </c>
      <c r="J107" s="645"/>
      <c r="K107" s="646"/>
      <c r="L107" s="644">
        <v>2022</v>
      </c>
      <c r="M107" s="645"/>
      <c r="N107" s="646"/>
    </row>
    <row r="108" spans="2:14" x14ac:dyDescent="0.25">
      <c r="B108" s="521" t="s">
        <v>211</v>
      </c>
      <c r="C108" s="525">
        <v>0.46</v>
      </c>
      <c r="D108" s="526">
        <v>0.15</v>
      </c>
      <c r="E108" s="527">
        <v>0.27380967085922192</v>
      </c>
      <c r="F108" s="525">
        <v>0.46</v>
      </c>
      <c r="G108" s="526">
        <v>0.15</v>
      </c>
      <c r="H108" s="527">
        <v>0.27380967085922192</v>
      </c>
      <c r="I108" s="525">
        <v>0.46</v>
      </c>
      <c r="J108" s="526">
        <v>0.15</v>
      </c>
      <c r="K108" s="527">
        <v>0.27380967085922192</v>
      </c>
      <c r="L108" s="525">
        <v>0.46</v>
      </c>
      <c r="M108" s="526">
        <v>0.15</v>
      </c>
      <c r="N108" s="527">
        <v>0.27380967085922192</v>
      </c>
    </row>
    <row r="109" spans="2:14" ht="13" x14ac:dyDescent="0.3">
      <c r="B109" s="518"/>
      <c r="C109" s="528" t="s">
        <v>220</v>
      </c>
      <c r="D109" s="529" t="s">
        <v>407</v>
      </c>
      <c r="E109" s="530" t="s">
        <v>651</v>
      </c>
      <c r="F109" s="528" t="s">
        <v>220</v>
      </c>
      <c r="G109" s="529" t="s">
        <v>407</v>
      </c>
      <c r="H109" s="530" t="s">
        <v>651</v>
      </c>
      <c r="I109" s="528" t="s">
        <v>220</v>
      </c>
      <c r="J109" s="529" t="s">
        <v>407</v>
      </c>
      <c r="K109" s="530" t="s">
        <v>651</v>
      </c>
      <c r="L109" s="528" t="s">
        <v>220</v>
      </c>
      <c r="M109" s="529" t="s">
        <v>407</v>
      </c>
      <c r="N109" s="530" t="s">
        <v>651</v>
      </c>
    </row>
    <row r="110" spans="2:14" ht="13" x14ac:dyDescent="0.3">
      <c r="B110" s="522" t="s">
        <v>237</v>
      </c>
      <c r="C110" s="531"/>
      <c r="D110" s="532"/>
      <c r="E110" s="533"/>
      <c r="F110" s="531"/>
      <c r="G110" s="532"/>
      <c r="H110" s="533"/>
      <c r="I110" s="531"/>
      <c r="J110" s="532"/>
      <c r="K110" s="533"/>
      <c r="L110" s="531"/>
      <c r="M110" s="532"/>
      <c r="N110" s="533"/>
    </row>
    <row r="111" spans="2:14" x14ac:dyDescent="0.25">
      <c r="B111" s="520" t="s">
        <v>167</v>
      </c>
      <c r="C111" s="546">
        <v>0.9</v>
      </c>
      <c r="D111" s="547"/>
      <c r="E111" s="548">
        <f>100%-SUM(C111:D111)</f>
        <v>9.9999999999999978E-2</v>
      </c>
      <c r="F111" s="546">
        <v>0.9</v>
      </c>
      <c r="G111" s="547"/>
      <c r="H111" s="548">
        <f>100%-SUM(F111:G111)</f>
        <v>9.9999999999999978E-2</v>
      </c>
      <c r="I111" s="546">
        <v>0.9</v>
      </c>
      <c r="J111" s="547"/>
      <c r="K111" s="548">
        <f>100%-SUM(I111:J111)</f>
        <v>9.9999999999999978E-2</v>
      </c>
      <c r="L111" s="546">
        <v>0.9</v>
      </c>
      <c r="M111" s="547"/>
      <c r="N111" s="548">
        <f>100%-SUM(L111:M111)</f>
        <v>9.9999999999999978E-2</v>
      </c>
    </row>
    <row r="112" spans="2:14" x14ac:dyDescent="0.25">
      <c r="B112" s="520" t="s">
        <v>136</v>
      </c>
      <c r="C112" s="546">
        <v>0.3</v>
      </c>
      <c r="D112" s="547"/>
      <c r="E112" s="548">
        <f t="shared" ref="E112:E124" si="59">100%-SUM(C112:D112)</f>
        <v>0.7</v>
      </c>
      <c r="F112" s="546">
        <v>0.3</v>
      </c>
      <c r="G112" s="547"/>
      <c r="H112" s="548">
        <f t="shared" ref="H112:H124" si="60">100%-SUM(F112:G112)</f>
        <v>0.7</v>
      </c>
      <c r="I112" s="546">
        <v>0.3</v>
      </c>
      <c r="J112" s="547"/>
      <c r="K112" s="548">
        <f t="shared" ref="K112:K124" si="61">100%-SUM(I112:J112)</f>
        <v>0.7</v>
      </c>
      <c r="L112" s="546">
        <v>0.3</v>
      </c>
      <c r="M112" s="547"/>
      <c r="N112" s="548">
        <f t="shared" ref="N112:N124" si="62">100%-SUM(L112:M112)</f>
        <v>0.7</v>
      </c>
    </row>
    <row r="113" spans="2:14" x14ac:dyDescent="0.25">
      <c r="B113" s="520" t="s">
        <v>117</v>
      </c>
      <c r="C113" s="546">
        <v>0.4</v>
      </c>
      <c r="D113" s="547"/>
      <c r="E113" s="548">
        <f t="shared" si="59"/>
        <v>0.6</v>
      </c>
      <c r="F113" s="546">
        <v>0.4</v>
      </c>
      <c r="G113" s="547"/>
      <c r="H113" s="548">
        <f t="shared" si="60"/>
        <v>0.6</v>
      </c>
      <c r="I113" s="546">
        <v>0.4</v>
      </c>
      <c r="J113" s="547"/>
      <c r="K113" s="548">
        <f t="shared" si="61"/>
        <v>0.6</v>
      </c>
      <c r="L113" s="546">
        <v>0.4</v>
      </c>
      <c r="M113" s="547"/>
      <c r="N113" s="548">
        <f t="shared" si="62"/>
        <v>0.6</v>
      </c>
    </row>
    <row r="114" spans="2:14" x14ac:dyDescent="0.25">
      <c r="B114" s="520" t="s">
        <v>124</v>
      </c>
      <c r="C114" s="546">
        <v>0.4</v>
      </c>
      <c r="D114" s="547"/>
      <c r="E114" s="548">
        <f t="shared" si="59"/>
        <v>0.6</v>
      </c>
      <c r="F114" s="546">
        <v>0.4</v>
      </c>
      <c r="G114" s="547"/>
      <c r="H114" s="548">
        <f t="shared" si="60"/>
        <v>0.6</v>
      </c>
      <c r="I114" s="546">
        <v>0.4</v>
      </c>
      <c r="J114" s="547"/>
      <c r="K114" s="548">
        <f t="shared" si="61"/>
        <v>0.6</v>
      </c>
      <c r="L114" s="546">
        <v>0.4</v>
      </c>
      <c r="M114" s="547"/>
      <c r="N114" s="548">
        <f t="shared" si="62"/>
        <v>0.6</v>
      </c>
    </row>
    <row r="115" spans="2:14" x14ac:dyDescent="0.25">
      <c r="B115" s="520" t="s">
        <v>73</v>
      </c>
      <c r="C115" s="546">
        <v>0.4</v>
      </c>
      <c r="D115" s="547"/>
      <c r="E115" s="548">
        <f t="shared" si="59"/>
        <v>0.6</v>
      </c>
      <c r="F115" s="546">
        <v>0.4</v>
      </c>
      <c r="G115" s="547"/>
      <c r="H115" s="548">
        <f t="shared" si="60"/>
        <v>0.6</v>
      </c>
      <c r="I115" s="546">
        <v>0.4</v>
      </c>
      <c r="J115" s="547"/>
      <c r="K115" s="548">
        <f t="shared" si="61"/>
        <v>0.6</v>
      </c>
      <c r="L115" s="546">
        <v>0.4</v>
      </c>
      <c r="M115" s="547"/>
      <c r="N115" s="548">
        <f t="shared" si="62"/>
        <v>0.6</v>
      </c>
    </row>
    <row r="116" spans="2:14" x14ac:dyDescent="0.25">
      <c r="B116" s="520" t="s">
        <v>156</v>
      </c>
      <c r="C116" s="546">
        <v>0.4</v>
      </c>
      <c r="D116" s="547"/>
      <c r="E116" s="548">
        <f t="shared" si="59"/>
        <v>0.6</v>
      </c>
      <c r="F116" s="546">
        <v>0.4</v>
      </c>
      <c r="G116" s="547"/>
      <c r="H116" s="548">
        <f t="shared" si="60"/>
        <v>0.6</v>
      </c>
      <c r="I116" s="546">
        <v>0.4</v>
      </c>
      <c r="J116" s="547"/>
      <c r="K116" s="548">
        <f t="shared" si="61"/>
        <v>0.6</v>
      </c>
      <c r="L116" s="546">
        <v>0.4</v>
      </c>
      <c r="M116" s="547"/>
      <c r="N116" s="548">
        <f t="shared" si="62"/>
        <v>0.6</v>
      </c>
    </row>
    <row r="117" spans="2:14" x14ac:dyDescent="0.25">
      <c r="B117" s="520" t="s">
        <v>113</v>
      </c>
      <c r="C117" s="546">
        <v>0.4</v>
      </c>
      <c r="D117" s="547"/>
      <c r="E117" s="548">
        <f t="shared" si="59"/>
        <v>0.6</v>
      </c>
      <c r="F117" s="546">
        <v>0.4</v>
      </c>
      <c r="G117" s="547"/>
      <c r="H117" s="548">
        <f t="shared" si="60"/>
        <v>0.6</v>
      </c>
      <c r="I117" s="546">
        <v>0.4</v>
      </c>
      <c r="J117" s="547"/>
      <c r="K117" s="548">
        <f t="shared" si="61"/>
        <v>0.6</v>
      </c>
      <c r="L117" s="546">
        <v>0.4</v>
      </c>
      <c r="M117" s="547"/>
      <c r="N117" s="548">
        <f t="shared" si="62"/>
        <v>0.6</v>
      </c>
    </row>
    <row r="118" spans="2:14" x14ac:dyDescent="0.25">
      <c r="B118" s="520" t="s">
        <v>182</v>
      </c>
      <c r="C118" s="546"/>
      <c r="D118" s="547"/>
      <c r="E118" s="548">
        <f t="shared" si="59"/>
        <v>1</v>
      </c>
      <c r="F118" s="546"/>
      <c r="G118" s="547"/>
      <c r="H118" s="548">
        <f t="shared" si="60"/>
        <v>1</v>
      </c>
      <c r="I118" s="546"/>
      <c r="J118" s="547"/>
      <c r="K118" s="548">
        <f t="shared" si="61"/>
        <v>1</v>
      </c>
      <c r="L118" s="546"/>
      <c r="M118" s="547"/>
      <c r="N118" s="548">
        <f t="shared" si="62"/>
        <v>1</v>
      </c>
    </row>
    <row r="119" spans="2:14" x14ac:dyDescent="0.25">
      <c r="B119" s="520" t="s">
        <v>158</v>
      </c>
      <c r="C119" s="546">
        <v>0.4</v>
      </c>
      <c r="D119" s="547">
        <v>0.52</v>
      </c>
      <c r="E119" s="548">
        <f t="shared" si="59"/>
        <v>7.999999999999996E-2</v>
      </c>
      <c r="F119" s="546">
        <v>0.4</v>
      </c>
      <c r="G119" s="547">
        <v>0.52</v>
      </c>
      <c r="H119" s="548">
        <f t="shared" si="60"/>
        <v>7.999999999999996E-2</v>
      </c>
      <c r="I119" s="546">
        <v>0.4</v>
      </c>
      <c r="J119" s="547">
        <v>0.52</v>
      </c>
      <c r="K119" s="548">
        <f t="shared" si="61"/>
        <v>7.999999999999996E-2</v>
      </c>
      <c r="L119" s="546">
        <v>0.4</v>
      </c>
      <c r="M119" s="547">
        <v>0.52</v>
      </c>
      <c r="N119" s="548">
        <f t="shared" si="62"/>
        <v>7.999999999999996E-2</v>
      </c>
    </row>
    <row r="120" spans="2:14" x14ac:dyDescent="0.25">
      <c r="B120" s="520" t="s">
        <v>184</v>
      </c>
      <c r="C120" s="546">
        <v>0.4</v>
      </c>
      <c r="D120" s="547"/>
      <c r="E120" s="548">
        <f t="shared" si="59"/>
        <v>0.6</v>
      </c>
      <c r="F120" s="546">
        <v>0.4</v>
      </c>
      <c r="G120" s="547"/>
      <c r="H120" s="548">
        <f t="shared" si="60"/>
        <v>0.6</v>
      </c>
      <c r="I120" s="546">
        <v>0.4</v>
      </c>
      <c r="J120" s="547"/>
      <c r="K120" s="548">
        <f t="shared" si="61"/>
        <v>0.6</v>
      </c>
      <c r="L120" s="546">
        <v>0.4</v>
      </c>
      <c r="M120" s="547"/>
      <c r="N120" s="548">
        <f t="shared" si="62"/>
        <v>0.6</v>
      </c>
    </row>
    <row r="121" spans="2:14" x14ac:dyDescent="0.25">
      <c r="B121" s="520" t="s">
        <v>125</v>
      </c>
      <c r="C121" s="546">
        <v>0.4</v>
      </c>
      <c r="D121" s="547"/>
      <c r="E121" s="548">
        <f t="shared" si="59"/>
        <v>0.6</v>
      </c>
      <c r="F121" s="546">
        <v>0.4</v>
      </c>
      <c r="G121" s="547"/>
      <c r="H121" s="548">
        <f t="shared" si="60"/>
        <v>0.6</v>
      </c>
      <c r="I121" s="546">
        <v>0.4</v>
      </c>
      <c r="J121" s="547"/>
      <c r="K121" s="548">
        <f t="shared" si="61"/>
        <v>0.6</v>
      </c>
      <c r="L121" s="546">
        <v>0.4</v>
      </c>
      <c r="M121" s="547"/>
      <c r="N121" s="548">
        <f t="shared" si="62"/>
        <v>0.6</v>
      </c>
    </row>
    <row r="122" spans="2:14" x14ac:dyDescent="0.25">
      <c r="B122" s="520" t="s">
        <v>144</v>
      </c>
      <c r="C122" s="546">
        <v>0.4</v>
      </c>
      <c r="D122" s="547"/>
      <c r="E122" s="548">
        <f t="shared" si="59"/>
        <v>0.6</v>
      </c>
      <c r="F122" s="546">
        <v>0.4</v>
      </c>
      <c r="G122" s="547"/>
      <c r="H122" s="548">
        <f t="shared" si="60"/>
        <v>0.6</v>
      </c>
      <c r="I122" s="546">
        <v>0.4</v>
      </c>
      <c r="J122" s="547"/>
      <c r="K122" s="548">
        <f t="shared" si="61"/>
        <v>0.6</v>
      </c>
      <c r="L122" s="546">
        <v>0.4</v>
      </c>
      <c r="M122" s="547"/>
      <c r="N122" s="548">
        <f t="shared" si="62"/>
        <v>0.6</v>
      </c>
    </row>
    <row r="123" spans="2:14" x14ac:dyDescent="0.25">
      <c r="B123" s="520" t="s">
        <v>68</v>
      </c>
      <c r="C123" s="546">
        <v>0.4</v>
      </c>
      <c r="D123" s="547"/>
      <c r="E123" s="548">
        <f t="shared" si="59"/>
        <v>0.6</v>
      </c>
      <c r="F123" s="546">
        <v>0.4</v>
      </c>
      <c r="G123" s="547"/>
      <c r="H123" s="548">
        <f t="shared" si="60"/>
        <v>0.6</v>
      </c>
      <c r="I123" s="546">
        <v>0.4</v>
      </c>
      <c r="J123" s="547"/>
      <c r="K123" s="548">
        <f t="shared" si="61"/>
        <v>0.6</v>
      </c>
      <c r="L123" s="546">
        <v>0.4</v>
      </c>
      <c r="M123" s="547"/>
      <c r="N123" s="548">
        <f t="shared" si="62"/>
        <v>0.6</v>
      </c>
    </row>
    <row r="124" spans="2:14" x14ac:dyDescent="0.25">
      <c r="B124" s="523" t="s">
        <v>119</v>
      </c>
      <c r="C124" s="549">
        <v>0.4</v>
      </c>
      <c r="D124" s="550"/>
      <c r="E124" s="551">
        <f t="shared" si="59"/>
        <v>0.6</v>
      </c>
      <c r="F124" s="549">
        <v>0.4</v>
      </c>
      <c r="G124" s="550"/>
      <c r="H124" s="551">
        <f t="shared" si="60"/>
        <v>0.6</v>
      </c>
      <c r="I124" s="549">
        <v>0.4</v>
      </c>
      <c r="J124" s="550"/>
      <c r="K124" s="551">
        <f t="shared" si="61"/>
        <v>0.6</v>
      </c>
      <c r="L124" s="549">
        <v>0.4</v>
      </c>
      <c r="M124" s="550"/>
      <c r="N124" s="551">
        <f t="shared" si="62"/>
        <v>0.6</v>
      </c>
    </row>
    <row r="127" spans="2:14" ht="13" thickBot="1" x14ac:dyDescent="0.3"/>
    <row r="128" spans="2:14" x14ac:dyDescent="0.25">
      <c r="B128" s="519"/>
      <c r="C128" s="644">
        <v>2022</v>
      </c>
      <c r="D128" s="645"/>
      <c r="E128" s="646"/>
      <c r="F128" s="644">
        <v>2023</v>
      </c>
      <c r="G128" s="645"/>
      <c r="H128" s="646"/>
      <c r="I128" s="644">
        <v>2024</v>
      </c>
      <c r="J128" s="645"/>
      <c r="K128" s="646"/>
      <c r="L128" s="644">
        <v>2025</v>
      </c>
      <c r="M128" s="645"/>
      <c r="N128" s="646"/>
    </row>
    <row r="129" spans="2:14" x14ac:dyDescent="0.25">
      <c r="B129" s="521" t="s">
        <v>211</v>
      </c>
      <c r="C129" s="525">
        <v>0.46</v>
      </c>
      <c r="D129" s="526">
        <v>0.15</v>
      </c>
      <c r="E129" s="527">
        <v>0.27380967085922192</v>
      </c>
      <c r="F129" s="525">
        <v>0.46</v>
      </c>
      <c r="G129" s="526">
        <v>0.15</v>
      </c>
      <c r="H129" s="527">
        <v>0.27380967085922192</v>
      </c>
      <c r="I129" s="525">
        <v>0.46</v>
      </c>
      <c r="J129" s="526">
        <v>0.15</v>
      </c>
      <c r="K129" s="527">
        <v>0.27380967085922192</v>
      </c>
      <c r="L129" s="525">
        <v>0.46</v>
      </c>
      <c r="M129" s="526">
        <v>0.15</v>
      </c>
      <c r="N129" s="527">
        <v>0.27380967085922192</v>
      </c>
    </row>
    <row r="130" spans="2:14" ht="13" x14ac:dyDescent="0.3">
      <c r="B130" s="518"/>
      <c r="C130" s="528" t="s">
        <v>220</v>
      </c>
      <c r="D130" s="529" t="s">
        <v>407</v>
      </c>
      <c r="E130" s="530" t="s">
        <v>651</v>
      </c>
      <c r="F130" s="528" t="s">
        <v>220</v>
      </c>
      <c r="G130" s="529" t="s">
        <v>407</v>
      </c>
      <c r="H130" s="530" t="s">
        <v>651</v>
      </c>
      <c r="I130" s="528" t="s">
        <v>220</v>
      </c>
      <c r="J130" s="529" t="s">
        <v>407</v>
      </c>
      <c r="K130" s="530" t="s">
        <v>651</v>
      </c>
      <c r="L130" s="528" t="s">
        <v>220</v>
      </c>
      <c r="M130" s="529" t="s">
        <v>407</v>
      </c>
      <c r="N130" s="530" t="s">
        <v>651</v>
      </c>
    </row>
    <row r="131" spans="2:14" ht="13" x14ac:dyDescent="0.3">
      <c r="B131" s="522" t="s">
        <v>237</v>
      </c>
      <c r="C131" s="531"/>
      <c r="D131" s="532"/>
      <c r="E131" s="533"/>
      <c r="F131" s="531"/>
      <c r="G131" s="532"/>
      <c r="H131" s="533"/>
      <c r="I131" s="531"/>
      <c r="J131" s="532"/>
      <c r="K131" s="533"/>
      <c r="L131" s="531"/>
      <c r="M131" s="532"/>
      <c r="N131" s="533"/>
    </row>
    <row r="132" spans="2:14" x14ac:dyDescent="0.25">
      <c r="B132" s="520" t="s">
        <v>167</v>
      </c>
      <c r="C132" s="534">
        <f>C86/C$129</f>
        <v>65.651030353533685</v>
      </c>
      <c r="D132" s="535">
        <f t="shared" ref="D132:N132" si="63">D86/D$58</f>
        <v>0</v>
      </c>
      <c r="E132" s="536">
        <f t="shared" si="63"/>
        <v>12.254852417844665</v>
      </c>
      <c r="F132" s="534">
        <f t="shared" si="63"/>
        <v>84.824623427603939</v>
      </c>
      <c r="G132" s="535">
        <f t="shared" si="63"/>
        <v>0</v>
      </c>
      <c r="H132" s="536">
        <f t="shared" si="63"/>
        <v>15.83392120286172</v>
      </c>
      <c r="I132" s="534">
        <f t="shared" si="63"/>
        <v>157.24135059549212</v>
      </c>
      <c r="J132" s="535">
        <f t="shared" si="63"/>
        <v>0</v>
      </c>
      <c r="K132" s="536">
        <f t="shared" si="63"/>
        <v>29.351703014461638</v>
      </c>
      <c r="L132" s="534">
        <f t="shared" si="63"/>
        <v>236.68768892160006</v>
      </c>
      <c r="M132" s="535">
        <f t="shared" si="63"/>
        <v>0</v>
      </c>
      <c r="N132" s="536">
        <f t="shared" si="63"/>
        <v>44.181678204214386</v>
      </c>
    </row>
    <row r="133" spans="2:14" x14ac:dyDescent="0.25">
      <c r="B133" s="520" t="s">
        <v>136</v>
      </c>
      <c r="C133" s="534">
        <f t="shared" ref="C133:C145" si="64">C87/C$58</f>
        <v>4.6772921346566694E-2</v>
      </c>
      <c r="D133" s="535">
        <f t="shared" ref="D133:N133" si="65">D87/D$58</f>
        <v>0</v>
      </c>
      <c r="E133" s="536">
        <f t="shared" si="65"/>
        <v>0.18334975321036001</v>
      </c>
      <c r="F133" s="534">
        <f t="shared" si="65"/>
        <v>6.7529479070213241E-2</v>
      </c>
      <c r="G133" s="535">
        <f t="shared" si="65"/>
        <v>0</v>
      </c>
      <c r="H133" s="536">
        <f t="shared" si="65"/>
        <v>0.26471541578953828</v>
      </c>
      <c r="I133" s="534">
        <f t="shared" si="65"/>
        <v>0.56591868081519081</v>
      </c>
      <c r="J133" s="535">
        <f t="shared" si="65"/>
        <v>0</v>
      </c>
      <c r="K133" s="536">
        <f t="shared" si="65"/>
        <v>2.2184000374014312</v>
      </c>
      <c r="L133" s="534">
        <f t="shared" si="65"/>
        <v>1.1139779790369906</v>
      </c>
      <c r="M133" s="535">
        <f t="shared" si="65"/>
        <v>0</v>
      </c>
      <c r="N133" s="536">
        <f t="shared" si="65"/>
        <v>4.3667913326350396</v>
      </c>
    </row>
    <row r="134" spans="2:14" x14ac:dyDescent="0.25">
      <c r="B134" s="520" t="s">
        <v>117</v>
      </c>
      <c r="C134" s="534">
        <f t="shared" si="64"/>
        <v>1.4156861798086978E-2</v>
      </c>
      <c r="D134" s="535">
        <f t="shared" ref="D134:N134" si="66">D88/D$58</f>
        <v>0</v>
      </c>
      <c r="E134" s="536">
        <f t="shared" si="66"/>
        <v>3.5675272571735826E-2</v>
      </c>
      <c r="F134" s="534">
        <f t="shared" si="66"/>
        <v>1.1189418731776457E-2</v>
      </c>
      <c r="G134" s="535">
        <f t="shared" si="66"/>
        <v>0</v>
      </c>
      <c r="H134" s="536">
        <f t="shared" si="66"/>
        <v>2.8197320060675723E-2</v>
      </c>
      <c r="I134" s="534">
        <f t="shared" si="66"/>
        <v>0.7337680224544082</v>
      </c>
      <c r="J134" s="535">
        <f t="shared" si="66"/>
        <v>0</v>
      </c>
      <c r="K134" s="536">
        <f t="shared" si="66"/>
        <v>1.8490944235269671</v>
      </c>
      <c r="L134" s="534">
        <f t="shared" si="66"/>
        <v>1.5034795944100925</v>
      </c>
      <c r="M134" s="535">
        <f t="shared" si="66"/>
        <v>0</v>
      </c>
      <c r="N134" s="536">
        <f t="shared" si="66"/>
        <v>3.7887665431523017</v>
      </c>
    </row>
    <row r="135" spans="2:14" x14ac:dyDescent="0.25">
      <c r="B135" s="520" t="s">
        <v>124</v>
      </c>
      <c r="C135" s="534">
        <f t="shared" si="64"/>
        <v>2.7077641393556375E-2</v>
      </c>
      <c r="D135" s="535">
        <f t="shared" ref="D135:N135" si="67">D89/D$58</f>
        <v>0</v>
      </c>
      <c r="E135" s="536">
        <f t="shared" si="67"/>
        <v>6.8235619665749411E-2</v>
      </c>
      <c r="F135" s="534">
        <f t="shared" si="67"/>
        <v>3.6397244027311482E-2</v>
      </c>
      <c r="G135" s="535">
        <f t="shared" si="67"/>
        <v>0</v>
      </c>
      <c r="H135" s="536">
        <f t="shared" si="67"/>
        <v>9.1721005689960569E-2</v>
      </c>
      <c r="I135" s="534">
        <f t="shared" si="67"/>
        <v>0.29963572593435256</v>
      </c>
      <c r="J135" s="535">
        <f t="shared" si="67"/>
        <v>0</v>
      </c>
      <c r="K135" s="536">
        <f t="shared" si="67"/>
        <v>0.75508162383717337</v>
      </c>
      <c r="L135" s="534">
        <f t="shared" si="67"/>
        <v>0.58228940545030849</v>
      </c>
      <c r="M135" s="535">
        <f t="shared" si="67"/>
        <v>0</v>
      </c>
      <c r="N135" s="536">
        <f t="shared" si="67"/>
        <v>1.4673685136829449</v>
      </c>
    </row>
    <row r="136" spans="2:14" x14ac:dyDescent="0.25">
      <c r="B136" s="520" t="s">
        <v>73</v>
      </c>
      <c r="C136" s="534">
        <f t="shared" si="64"/>
        <v>2.3877662681344511</v>
      </c>
      <c r="D136" s="535">
        <f t="shared" ref="D136:N136" si="68">D90/D$58</f>
        <v>0</v>
      </c>
      <c r="E136" s="536">
        <f t="shared" si="68"/>
        <v>6.0171677641724228</v>
      </c>
      <c r="F136" s="534">
        <f t="shared" si="68"/>
        <v>3.1891915269246196</v>
      </c>
      <c r="G136" s="535">
        <f t="shared" si="68"/>
        <v>0</v>
      </c>
      <c r="H136" s="536">
        <f t="shared" si="68"/>
        <v>8.0367583317003692</v>
      </c>
      <c r="I136" s="534">
        <f t="shared" si="68"/>
        <v>11.496218392926702</v>
      </c>
      <c r="J136" s="535">
        <f t="shared" si="68"/>
        <v>0</v>
      </c>
      <c r="K136" s="536">
        <f t="shared" si="68"/>
        <v>28.970454791561508</v>
      </c>
      <c r="L136" s="534">
        <f t="shared" si="68"/>
        <v>18.944432881047312</v>
      </c>
      <c r="M136" s="535">
        <f t="shared" si="68"/>
        <v>0</v>
      </c>
      <c r="N136" s="536">
        <f t="shared" si="68"/>
        <v>47.739945221450505</v>
      </c>
    </row>
    <row r="137" spans="2:14" x14ac:dyDescent="0.25">
      <c r="B137" s="520" t="s">
        <v>156</v>
      </c>
      <c r="C137" s="534">
        <f t="shared" si="64"/>
        <v>5.0756370915661781</v>
      </c>
      <c r="D137" s="535">
        <f t="shared" ref="D137:N137" si="69">D91/D$58</f>
        <v>0</v>
      </c>
      <c r="E137" s="536">
        <f t="shared" si="69"/>
        <v>12.790598601542086</v>
      </c>
      <c r="F137" s="534">
        <f t="shared" si="69"/>
        <v>6.7825718412571776</v>
      </c>
      <c r="G137" s="535">
        <f t="shared" si="69"/>
        <v>0</v>
      </c>
      <c r="H137" s="536">
        <f t="shared" si="69"/>
        <v>17.092071860652581</v>
      </c>
      <c r="I137" s="534">
        <f t="shared" si="69"/>
        <v>15.195603199964371</v>
      </c>
      <c r="J137" s="535">
        <f t="shared" si="69"/>
        <v>0</v>
      </c>
      <c r="K137" s="536">
        <f t="shared" si="69"/>
        <v>38.292899498667509</v>
      </c>
      <c r="L137" s="534">
        <f t="shared" si="69"/>
        <v>24.432981264939141</v>
      </c>
      <c r="M137" s="535">
        <f t="shared" si="69"/>
        <v>0</v>
      </c>
      <c r="N137" s="536">
        <f t="shared" si="69"/>
        <v>61.571079720832309</v>
      </c>
    </row>
    <row r="138" spans="2:14" x14ac:dyDescent="0.25">
      <c r="B138" s="520" t="s">
        <v>113</v>
      </c>
      <c r="C138" s="534">
        <f t="shared" si="64"/>
        <v>4.2576140236159068</v>
      </c>
      <c r="D138" s="535">
        <f t="shared" ref="D138:N138" si="70">D92/D$58</f>
        <v>0</v>
      </c>
      <c r="E138" s="536">
        <f t="shared" si="70"/>
        <v>10.729181577393625</v>
      </c>
      <c r="F138" s="534">
        <f t="shared" si="70"/>
        <v>5.5918941605909671</v>
      </c>
      <c r="G138" s="535">
        <f t="shared" si="70"/>
        <v>0</v>
      </c>
      <c r="H138" s="536">
        <f t="shared" si="70"/>
        <v>14.091565716798772</v>
      </c>
      <c r="I138" s="534">
        <f t="shared" si="70"/>
        <v>6.2194962579154369</v>
      </c>
      <c r="J138" s="535">
        <f t="shared" si="70"/>
        <v>0</v>
      </c>
      <c r="K138" s="536">
        <f t="shared" si="70"/>
        <v>15.673122152679857</v>
      </c>
      <c r="L138" s="534">
        <f t="shared" si="70"/>
        <v>6.9175368115579792</v>
      </c>
      <c r="M138" s="535">
        <f t="shared" si="70"/>
        <v>0</v>
      </c>
      <c r="N138" s="536">
        <f t="shared" si="70"/>
        <v>17.432183403153335</v>
      </c>
    </row>
    <row r="139" spans="2:14" x14ac:dyDescent="0.25">
      <c r="B139" s="520" t="s">
        <v>182</v>
      </c>
      <c r="C139" s="534">
        <f t="shared" si="64"/>
        <v>0</v>
      </c>
      <c r="D139" s="535">
        <f t="shared" ref="D139:N139" si="71">D93/D$58</f>
        <v>0</v>
      </c>
      <c r="E139" s="536">
        <f t="shared" si="71"/>
        <v>4.7140048570718553</v>
      </c>
      <c r="F139" s="534">
        <f t="shared" si="71"/>
        <v>0</v>
      </c>
      <c r="G139" s="535">
        <f t="shared" si="71"/>
        <v>0</v>
      </c>
      <c r="H139" s="536">
        <f t="shared" si="71"/>
        <v>5.7941375583543602</v>
      </c>
      <c r="I139" s="534">
        <f t="shared" si="71"/>
        <v>0</v>
      </c>
      <c r="J139" s="535">
        <f t="shared" si="71"/>
        <v>0</v>
      </c>
      <c r="K139" s="536">
        <f t="shared" si="71"/>
        <v>26.550247021808772</v>
      </c>
      <c r="L139" s="534">
        <f t="shared" si="71"/>
        <v>0</v>
      </c>
      <c r="M139" s="535">
        <f t="shared" si="71"/>
        <v>0</v>
      </c>
      <c r="N139" s="536">
        <f t="shared" si="71"/>
        <v>49.367482087712737</v>
      </c>
    </row>
    <row r="140" spans="2:14" x14ac:dyDescent="0.25">
      <c r="B140" s="520" t="s">
        <v>158</v>
      </c>
      <c r="C140" s="534">
        <f t="shared" si="64"/>
        <v>13.661880758461347</v>
      </c>
      <c r="D140" s="535">
        <f t="shared" ref="D140:N140" si="72">D94/D$58</f>
        <v>54.465364623732576</v>
      </c>
      <c r="E140" s="536">
        <f t="shared" si="72"/>
        <v>4.5903894695694278</v>
      </c>
      <c r="F140" s="534">
        <f t="shared" si="72"/>
        <v>17.198339346321713</v>
      </c>
      <c r="G140" s="535">
        <f t="shared" si="72"/>
        <v>68.564046194002572</v>
      </c>
      <c r="H140" s="536">
        <f t="shared" si="72"/>
        <v>5.7786389169398706</v>
      </c>
      <c r="I140" s="534">
        <f t="shared" si="72"/>
        <v>20.67558952684367</v>
      </c>
      <c r="J140" s="535">
        <f t="shared" si="72"/>
        <v>82.426683580350101</v>
      </c>
      <c r="K140" s="536">
        <f t="shared" si="72"/>
        <v>6.946994350128711</v>
      </c>
      <c r="L140" s="534">
        <f t="shared" si="72"/>
        <v>24.186764530128638</v>
      </c>
      <c r="M140" s="535">
        <f t="shared" si="72"/>
        <v>96.424567926779517</v>
      </c>
      <c r="N140" s="536">
        <f t="shared" si="72"/>
        <v>8.12674851764422</v>
      </c>
    </row>
    <row r="141" spans="2:14" x14ac:dyDescent="0.25">
      <c r="B141" s="520" t="s">
        <v>184</v>
      </c>
      <c r="C141" s="534">
        <f t="shared" si="64"/>
        <v>4.4578299938420392</v>
      </c>
      <c r="D141" s="535">
        <f t="shared" ref="D141:N141" si="73">D95/D$58</f>
        <v>0</v>
      </c>
      <c r="E141" s="536">
        <f t="shared" si="73"/>
        <v>11.233725551397598</v>
      </c>
      <c r="F141" s="534">
        <f t="shared" si="73"/>
        <v>6.2008409510536771</v>
      </c>
      <c r="G141" s="535">
        <f t="shared" si="73"/>
        <v>0</v>
      </c>
      <c r="H141" s="536">
        <f t="shared" si="73"/>
        <v>15.626110804635715</v>
      </c>
      <c r="I141" s="534">
        <f t="shared" si="73"/>
        <v>7.4184792732950058</v>
      </c>
      <c r="J141" s="535">
        <f t="shared" si="73"/>
        <v>0</v>
      </c>
      <c r="K141" s="536">
        <f t="shared" si="73"/>
        <v>18.694557728771159</v>
      </c>
      <c r="L141" s="534">
        <f t="shared" si="73"/>
        <v>8.8050039892153134</v>
      </c>
      <c r="M141" s="535">
        <f t="shared" si="73"/>
        <v>0</v>
      </c>
      <c r="N141" s="536">
        <f t="shared" si="73"/>
        <v>22.188598136412189</v>
      </c>
    </row>
    <row r="142" spans="2:14" x14ac:dyDescent="0.25">
      <c r="B142" s="520" t="s">
        <v>125</v>
      </c>
      <c r="C142" s="534">
        <f t="shared" si="64"/>
        <v>5.0579868861162901E-3</v>
      </c>
      <c r="D142" s="535">
        <f t="shared" ref="D142:N142" si="74">D96/D$58</f>
        <v>0</v>
      </c>
      <c r="E142" s="536">
        <f t="shared" si="74"/>
        <v>1.274612010769559E-2</v>
      </c>
      <c r="F142" s="534">
        <f t="shared" si="74"/>
        <v>7.0984874516205731E-3</v>
      </c>
      <c r="G142" s="535">
        <f t="shared" si="74"/>
        <v>0</v>
      </c>
      <c r="H142" s="536">
        <f t="shared" si="74"/>
        <v>1.7888178771218267E-2</v>
      </c>
      <c r="I142" s="534">
        <f t="shared" si="74"/>
        <v>9.0154726936367766E-2</v>
      </c>
      <c r="J142" s="535">
        <f t="shared" si="74"/>
        <v>0</v>
      </c>
      <c r="K142" s="536">
        <f t="shared" si="74"/>
        <v>0.22718978986712665</v>
      </c>
      <c r="L142" s="534">
        <f t="shared" si="74"/>
        <v>0.18333475037239749</v>
      </c>
      <c r="M142" s="535">
        <f t="shared" si="74"/>
        <v>0</v>
      </c>
      <c r="N142" s="536">
        <f t="shared" si="74"/>
        <v>0.46200332281906215</v>
      </c>
    </row>
    <row r="143" spans="2:14" x14ac:dyDescent="0.25">
      <c r="B143" s="520" t="s">
        <v>144</v>
      </c>
      <c r="C143" s="534">
        <f t="shared" si="64"/>
        <v>4.1945834269987185E-3</v>
      </c>
      <c r="D143" s="535">
        <f t="shared" ref="D143:N143" si="75">D97/D$58</f>
        <v>0</v>
      </c>
      <c r="E143" s="536">
        <f t="shared" si="75"/>
        <v>1.0570344559221899E-2</v>
      </c>
      <c r="F143" s="534">
        <f t="shared" si="75"/>
        <v>5.7489300572612255E-3</v>
      </c>
      <c r="G143" s="535">
        <f t="shared" si="75"/>
        <v>0</v>
      </c>
      <c r="H143" s="536">
        <f t="shared" si="75"/>
        <v>1.4487295963880469E-2</v>
      </c>
      <c r="I143" s="534">
        <f t="shared" si="75"/>
        <v>6.3617006844424021E-2</v>
      </c>
      <c r="J143" s="535">
        <f t="shared" si="75"/>
        <v>0</v>
      </c>
      <c r="K143" s="536">
        <f t="shared" si="75"/>
        <v>0.16031477115072892</v>
      </c>
      <c r="L143" s="534">
        <f t="shared" si="75"/>
        <v>0.12527789111191487</v>
      </c>
      <c r="M143" s="535">
        <f t="shared" si="75"/>
        <v>0</v>
      </c>
      <c r="N143" s="536">
        <f t="shared" si="75"/>
        <v>0.31570011605493992</v>
      </c>
    </row>
    <row r="144" spans="2:14" x14ac:dyDescent="0.25">
      <c r="B144" s="520" t="s">
        <v>68</v>
      </c>
      <c r="C144" s="534">
        <f t="shared" si="64"/>
        <v>2.7457542772364668E-3</v>
      </c>
      <c r="D144" s="535">
        <f t="shared" ref="D144:N144" si="76">D98/D$58</f>
        <v>0</v>
      </c>
      <c r="E144" s="536">
        <f t="shared" si="76"/>
        <v>6.9192970626199956E-3</v>
      </c>
      <c r="F144" s="534">
        <f t="shared" si="76"/>
        <v>3.7218156177905525E-3</v>
      </c>
      <c r="G144" s="535">
        <f t="shared" si="76"/>
        <v>0</v>
      </c>
      <c r="H144" s="536">
        <f t="shared" si="76"/>
        <v>9.3789703198461326E-3</v>
      </c>
      <c r="I144" s="534">
        <f t="shared" si="76"/>
        <v>4.651406268851082E-2</v>
      </c>
      <c r="J144" s="535">
        <f t="shared" si="76"/>
        <v>0</v>
      </c>
      <c r="K144" s="536">
        <f t="shared" si="76"/>
        <v>0.11721537502440453</v>
      </c>
      <c r="L144" s="534">
        <f t="shared" si="76"/>
        <v>9.3322137978487457E-2</v>
      </c>
      <c r="M144" s="535">
        <f t="shared" si="76"/>
        <v>0</v>
      </c>
      <c r="N144" s="536">
        <f t="shared" si="76"/>
        <v>0.23517166140659571</v>
      </c>
    </row>
    <row r="145" spans="2:14" x14ac:dyDescent="0.25">
      <c r="B145" s="523" t="s">
        <v>119</v>
      </c>
      <c r="C145" s="537">
        <f t="shared" si="64"/>
        <v>2.5207155155214651</v>
      </c>
      <c r="D145" s="538">
        <f t="shared" ref="D145:N145" si="77">D99/D$58</f>
        <v>0</v>
      </c>
      <c r="E145" s="539">
        <f t="shared" si="77"/>
        <v>6.3521996876584437</v>
      </c>
      <c r="F145" s="537">
        <f t="shared" si="77"/>
        <v>3.2441608663570967</v>
      </c>
      <c r="G145" s="538">
        <f t="shared" si="77"/>
        <v>0</v>
      </c>
      <c r="H145" s="539">
        <f t="shared" si="77"/>
        <v>8.175280992676468</v>
      </c>
      <c r="I145" s="537">
        <f t="shared" si="77"/>
        <v>3.5257626190646612</v>
      </c>
      <c r="J145" s="538">
        <f t="shared" si="77"/>
        <v>0</v>
      </c>
      <c r="K145" s="539">
        <f t="shared" si="77"/>
        <v>8.8849170283887364</v>
      </c>
      <c r="L145" s="537">
        <f t="shared" si="77"/>
        <v>3.8318081494992575</v>
      </c>
      <c r="M145" s="538">
        <f t="shared" si="77"/>
        <v>0</v>
      </c>
      <c r="N145" s="539">
        <f t="shared" si="77"/>
        <v>9.656151350891701</v>
      </c>
    </row>
    <row r="146" spans="2:14" ht="13.5" thickBot="1" x14ac:dyDescent="0.35">
      <c r="B146" s="524" t="s">
        <v>829</v>
      </c>
      <c r="C146" s="540">
        <f t="shared" ref="C146" si="78">SUM(C132:C145)</f>
        <v>98.11247975380364</v>
      </c>
      <c r="D146" s="541">
        <f t="shared" ref="D146" si="79">SUM(D132:D145)</f>
        <v>54.465364623732576</v>
      </c>
      <c r="E146" s="542">
        <f t="shared" ref="E146:F146" si="80">SUM(E132:E145)</f>
        <v>68.999616333827504</v>
      </c>
      <c r="F146" s="540">
        <f t="shared" si="80"/>
        <v>127.16330749506517</v>
      </c>
      <c r="G146" s="541">
        <f t="shared" ref="G146" si="81">SUM(G132:G145)</f>
        <v>68.564046194002572</v>
      </c>
      <c r="H146" s="542">
        <f t="shared" ref="H146:I146" si="82">SUM(H132:H145)</f>
        <v>90.854873571214966</v>
      </c>
      <c r="I146" s="540">
        <f t="shared" si="82"/>
        <v>223.57210809117527</v>
      </c>
      <c r="J146" s="541">
        <f t="shared" ref="J146" si="83">SUM(J132:J145)</f>
        <v>82.426683580350101</v>
      </c>
      <c r="K146" s="542">
        <f t="shared" ref="K146:L146" si="84">SUM(K132:K145)</f>
        <v>178.69219160727573</v>
      </c>
      <c r="L146" s="540">
        <f t="shared" si="84"/>
        <v>327.40789830634787</v>
      </c>
      <c r="M146" s="541">
        <f t="shared" ref="M146" si="85">SUM(M132:M145)</f>
        <v>96.424567926779517</v>
      </c>
      <c r="N146" s="542">
        <f t="shared" ref="N146" si="86">SUM(N132:N145)</f>
        <v>270.89966813206223</v>
      </c>
    </row>
    <row r="147" spans="2:14" ht="13" thickTop="1" x14ac:dyDescent="0.25"/>
  </sheetData>
  <mergeCells count="26">
    <mergeCell ref="C128:E128"/>
    <mergeCell ref="F128:H128"/>
    <mergeCell ref="I128:K128"/>
    <mergeCell ref="L128:N128"/>
    <mergeCell ref="L82:N82"/>
    <mergeCell ref="C107:E107"/>
    <mergeCell ref="F107:H107"/>
    <mergeCell ref="I107:K107"/>
    <mergeCell ref="L107:N107"/>
    <mergeCell ref="H7:I7"/>
    <mergeCell ref="H80:I80"/>
    <mergeCell ref="C82:E82"/>
    <mergeCell ref="F82:H82"/>
    <mergeCell ref="I82:K82"/>
    <mergeCell ref="L10:N10"/>
    <mergeCell ref="F36:H36"/>
    <mergeCell ref="I36:K36"/>
    <mergeCell ref="L36:N36"/>
    <mergeCell ref="C57:E57"/>
    <mergeCell ref="F57:H57"/>
    <mergeCell ref="I57:K57"/>
    <mergeCell ref="L57:N57"/>
    <mergeCell ref="C10:E10"/>
    <mergeCell ref="C36:E36"/>
    <mergeCell ref="F10:H10"/>
    <mergeCell ref="I10:K1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8468F-34C9-4104-BB8F-B156682FF173}">
  <sheetPr>
    <tabColor rgb="FF0070C0"/>
  </sheetPr>
  <dimension ref="A1:S183"/>
  <sheetViews>
    <sheetView showGridLines="0" zoomScale="85" zoomScaleNormal="85" workbookViewId="0">
      <selection activeCell="A31" sqref="A31:XFD33"/>
    </sheetView>
  </sheetViews>
  <sheetFormatPr defaultColWidth="9.26953125" defaultRowHeight="13.5" customHeight="1" x14ac:dyDescent="0.25"/>
  <cols>
    <col min="1" max="1" width="1.7265625" style="2" customWidth="1"/>
    <col min="2" max="2" width="2.7265625" style="2" customWidth="1"/>
    <col min="3" max="3" width="2" style="2" customWidth="1"/>
    <col min="4" max="4" width="53.7265625" style="2" bestFit="1" customWidth="1"/>
    <col min="5" max="5" width="19.26953125" style="2" customWidth="1"/>
    <col min="6" max="6" width="26.26953125" style="2" customWidth="1"/>
    <col min="7" max="16" width="14.26953125" style="2" customWidth="1"/>
    <col min="17" max="17" width="9.26953125" style="2"/>
    <col min="18" max="18" width="22.54296875" style="2" bestFit="1" customWidth="1"/>
    <col min="19" max="19" width="22.26953125" style="2" bestFit="1" customWidth="1"/>
    <col min="20" max="20" width="42" style="2" bestFit="1" customWidth="1"/>
    <col min="21" max="21" width="29.453125" style="2" bestFit="1" customWidth="1"/>
    <col min="22" max="22" width="11.7265625" style="2" customWidth="1"/>
    <col min="23" max="16384" width="9.26953125" style="2"/>
  </cols>
  <sheetData>
    <row r="1" spans="1:8" s="7" customFormat="1" ht="13.5" customHeight="1" x14ac:dyDescent="0.25">
      <c r="A1" s="5"/>
      <c r="B1" s="5"/>
      <c r="C1" s="5"/>
      <c r="D1" s="6" t="s">
        <v>80</v>
      </c>
      <c r="E1" s="25"/>
    </row>
    <row r="2" spans="1:8" s="7" customFormat="1" ht="13.5" customHeight="1" x14ac:dyDescent="0.25">
      <c r="A2" s="5"/>
      <c r="B2" s="5"/>
      <c r="C2" s="5"/>
      <c r="D2" s="6"/>
      <c r="E2" s="26" t="str">
        <f>Title</f>
        <v>OCP Africa - CIV P205</v>
      </c>
    </row>
    <row r="3" spans="1:8" s="7" customFormat="1" ht="13.5" customHeight="1" x14ac:dyDescent="0.25">
      <c r="A3" s="5"/>
      <c r="B3" s="5"/>
      <c r="C3" s="5"/>
      <c r="D3" s="6"/>
      <c r="E3" s="27" t="str">
        <f ca="1">MID(CELL("filename",E3),FIND("]",CELL("filename",E3))+1,256)</f>
        <v>OCPLevers &amp; MS- P2O5 (2)</v>
      </c>
    </row>
    <row r="4" spans="1:8" s="7" customFormat="1" ht="13.5" customHeight="1" x14ac:dyDescent="0.25">
      <c r="A4" s="5"/>
      <c r="B4" s="5"/>
      <c r="C4" s="5"/>
      <c r="D4" s="6"/>
      <c r="E4" s="25"/>
    </row>
    <row r="5" spans="1:8" s="11" customFormat="1" ht="13.15" customHeight="1" x14ac:dyDescent="0.3">
      <c r="A5" s="8"/>
      <c r="B5" s="8"/>
      <c r="C5" s="8"/>
      <c r="D5" s="9"/>
      <c r="E5" s="10"/>
    </row>
    <row r="6" spans="1:8" s="184" customFormat="1" ht="13.15" customHeight="1" x14ac:dyDescent="0.3">
      <c r="A6" s="181"/>
      <c r="B6" s="181"/>
      <c r="C6" s="181"/>
      <c r="D6" s="182"/>
      <c r="E6" s="183"/>
    </row>
    <row r="7" spans="1:8" ht="13.5" customHeight="1" x14ac:dyDescent="0.35">
      <c r="B7" s="29">
        <v>0</v>
      </c>
      <c r="D7" s="28" t="s">
        <v>805</v>
      </c>
    </row>
    <row r="9" spans="1:8" ht="13.5" customHeight="1" x14ac:dyDescent="0.3">
      <c r="D9" s="32" t="s">
        <v>81</v>
      </c>
    </row>
    <row r="10" spans="1:8" ht="13.5" customHeight="1" x14ac:dyDescent="0.3">
      <c r="D10" s="33" t="s">
        <v>82</v>
      </c>
    </row>
    <row r="11" spans="1:8" s="188" customFormat="1" ht="13.5" customHeight="1" x14ac:dyDescent="0.3">
      <c r="A11" s="187"/>
      <c r="B11" s="187"/>
      <c r="C11" s="187"/>
      <c r="D11" s="30" t="s">
        <v>15</v>
      </c>
      <c r="E11" s="120">
        <v>2022</v>
      </c>
      <c r="F11" s="120">
        <v>2023</v>
      </c>
      <c r="G11" s="120">
        <v>2024</v>
      </c>
      <c r="H11" s="120">
        <v>2025</v>
      </c>
    </row>
    <row r="12" spans="1:8" s="188" customFormat="1" ht="13.5" customHeight="1" x14ac:dyDescent="0.25">
      <c r="A12" s="187"/>
      <c r="B12" s="187"/>
      <c r="C12" s="187"/>
      <c r="D12" s="1" t="s">
        <v>385</v>
      </c>
      <c r="E12" s="1">
        <f>E77</f>
        <v>20.132982641750331</v>
      </c>
      <c r="F12" s="477">
        <f t="shared" ref="F12:H12" si="0">F77</f>
        <v>31.793525521753775</v>
      </c>
      <c r="G12" s="477">
        <f t="shared" si="0"/>
        <v>40.657246883821188</v>
      </c>
      <c r="H12" s="477">
        <f t="shared" si="0"/>
        <v>50.76150442068807</v>
      </c>
    </row>
    <row r="13" spans="1:8" s="188" customFormat="1" ht="13.5" customHeight="1" x14ac:dyDescent="0.25">
      <c r="A13" s="187"/>
      <c r="B13" s="187"/>
      <c r="C13" s="187"/>
      <c r="D13" s="1" t="s">
        <v>386</v>
      </c>
      <c r="E13" s="1">
        <f>E110</f>
        <v>13.50426999428031</v>
      </c>
      <c r="F13" s="477">
        <f t="shared" ref="F13:H13" si="1">F110</f>
        <v>17.032067907012923</v>
      </c>
      <c r="G13" s="477">
        <f t="shared" si="1"/>
        <v>18.000691259228955</v>
      </c>
      <c r="H13" s="477">
        <f t="shared" si="1"/>
        <v>18.935649768040207</v>
      </c>
    </row>
    <row r="14" spans="1:8" s="188" customFormat="1" ht="13.5" customHeight="1" x14ac:dyDescent="0.25">
      <c r="A14" s="187"/>
      <c r="B14" s="187"/>
      <c r="C14" s="187"/>
      <c r="D14" s="1" t="s">
        <v>387</v>
      </c>
      <c r="E14" s="1">
        <f>E149</f>
        <v>0</v>
      </c>
      <c r="F14" s="477">
        <f t="shared" ref="F14:H14" si="2">F149</f>
        <v>1.7585670295238425</v>
      </c>
      <c r="G14" s="477">
        <f t="shared" si="2"/>
        <v>3.9039759183845253</v>
      </c>
      <c r="H14" s="477">
        <f t="shared" si="2"/>
        <v>6.5080766176450675</v>
      </c>
    </row>
    <row r="15" spans="1:8" s="188" customFormat="1" ht="13.5" customHeight="1" thickBot="1" x14ac:dyDescent="0.3">
      <c r="A15" s="187"/>
      <c r="B15" s="187"/>
      <c r="C15" s="187"/>
      <c r="D15" s="1" t="s">
        <v>388</v>
      </c>
      <c r="E15" s="1">
        <f>E174</f>
        <v>0.13729656041773095</v>
      </c>
      <c r="F15" s="477">
        <f t="shared" ref="F15:H15" si="3">F174</f>
        <v>0.30563085466360945</v>
      </c>
      <c r="G15" s="477">
        <f t="shared" si="3"/>
        <v>0.49030102397179237</v>
      </c>
      <c r="H15" s="477">
        <f t="shared" si="3"/>
        <v>0.72234527837792029</v>
      </c>
    </row>
    <row r="16" spans="1:8" s="188" customFormat="1" ht="13.5" customHeight="1" thickTop="1" thickBot="1" x14ac:dyDescent="0.3">
      <c r="A16" s="187"/>
      <c r="B16" s="187"/>
      <c r="C16" s="187"/>
      <c r="D16" s="281" t="s">
        <v>797</v>
      </c>
      <c r="E16" s="283">
        <f>SUM(E12:E15)</f>
        <v>33.774549196448369</v>
      </c>
      <c r="F16" s="127">
        <f t="shared" ref="F16:H16" si="4">SUM(F12:F15)</f>
        <v>50.889791312954152</v>
      </c>
      <c r="G16" s="127">
        <f t="shared" si="4"/>
        <v>63.052215085406466</v>
      </c>
      <c r="H16" s="127">
        <f t="shared" si="4"/>
        <v>76.927576084751266</v>
      </c>
    </row>
    <row r="17" spans="1:8" s="1" customFormat="1" ht="13.5" customHeight="1" thickTop="1" x14ac:dyDescent="0.3">
      <c r="D17" s="186" t="s">
        <v>84</v>
      </c>
      <c r="E17" s="89">
        <f>E16/ProjectedP205_Consumption!J27</f>
        <v>0.46782842457770912</v>
      </c>
      <c r="F17" s="89">
        <f>F16/ProjectedP205_Consumption!K27</f>
        <v>0.54336536361319931</v>
      </c>
      <c r="G17" s="89">
        <f>G16/ProjectedP205_Consumption!L27</f>
        <v>0.61685121832605838</v>
      </c>
      <c r="H17" s="89">
        <f>H16/ProjectedP205_Consumption!M27</f>
        <v>0.68889056150189176</v>
      </c>
    </row>
    <row r="19" spans="1:8" ht="13.5" customHeight="1" x14ac:dyDescent="0.3">
      <c r="D19" s="32" t="s">
        <v>81</v>
      </c>
    </row>
    <row r="20" spans="1:8" ht="13.5" customHeight="1" x14ac:dyDescent="0.3">
      <c r="D20" s="33" t="s">
        <v>82</v>
      </c>
    </row>
    <row r="21" spans="1:8" s="188" customFormat="1" ht="13.5" customHeight="1" x14ac:dyDescent="0.3">
      <c r="A21" s="187"/>
      <c r="B21" s="187"/>
      <c r="C21" s="187"/>
      <c r="D21" s="30" t="s">
        <v>389</v>
      </c>
      <c r="E21" s="120">
        <v>2022</v>
      </c>
      <c r="F21" s="120">
        <v>2023</v>
      </c>
      <c r="G21" s="120">
        <v>2024</v>
      </c>
      <c r="H21" s="120">
        <v>2025</v>
      </c>
    </row>
    <row r="22" spans="1:8" s="188" customFormat="1" ht="13.5" customHeight="1" x14ac:dyDescent="0.25">
      <c r="A22" s="187"/>
      <c r="B22" s="187"/>
      <c r="C22" s="187"/>
      <c r="D22" s="1" t="s">
        <v>385</v>
      </c>
      <c r="E22" s="1">
        <f>E85</f>
        <v>20.132982641750331</v>
      </c>
      <c r="F22" s="477">
        <f t="shared" ref="F22:H22" si="5">F85</f>
        <v>31.793525521753775</v>
      </c>
      <c r="G22" s="477">
        <f t="shared" si="5"/>
        <v>69.652094560077245</v>
      </c>
      <c r="H22" s="477">
        <f t="shared" si="5"/>
        <v>120.97370767104003</v>
      </c>
    </row>
    <row r="23" spans="1:8" s="188" customFormat="1" ht="13.5" customHeight="1" x14ac:dyDescent="0.25">
      <c r="A23" s="187"/>
      <c r="B23" s="187"/>
      <c r="C23" s="187"/>
      <c r="D23" s="1" t="s">
        <v>386</v>
      </c>
      <c r="E23" s="1">
        <f>E131</f>
        <v>13.50426999428031</v>
      </c>
      <c r="F23" s="477">
        <f t="shared" ref="F23:H23" si="6">F131</f>
        <v>17.032067907012923</v>
      </c>
      <c r="G23" s="477">
        <f t="shared" si="6"/>
        <v>20.520997412731678</v>
      </c>
      <c r="H23" s="477">
        <f t="shared" si="6"/>
        <v>23.871092074788113</v>
      </c>
    </row>
    <row r="24" spans="1:8" s="188" customFormat="1" ht="13.5" customHeight="1" x14ac:dyDescent="0.25">
      <c r="A24" s="187"/>
      <c r="B24" s="187"/>
      <c r="C24" s="187"/>
      <c r="D24" s="1" t="s">
        <v>387</v>
      </c>
      <c r="E24" s="1">
        <f>E163</f>
        <v>0</v>
      </c>
      <c r="F24" s="477">
        <f t="shared" ref="F24:H24" si="7">F163</f>
        <v>1.7585670295238425</v>
      </c>
      <c r="G24" s="477">
        <f t="shared" si="7"/>
        <v>5.3549044302142583</v>
      </c>
      <c r="H24" s="477">
        <f t="shared" si="7"/>
        <v>11.066081088522527</v>
      </c>
    </row>
    <row r="25" spans="1:8" s="188" customFormat="1" ht="13.5" customHeight="1" thickBot="1" x14ac:dyDescent="0.3">
      <c r="A25" s="187"/>
      <c r="B25" s="187"/>
      <c r="C25" s="187"/>
      <c r="D25" s="1" t="s">
        <v>388</v>
      </c>
      <c r="E25" s="1">
        <f>E182</f>
        <v>0.13729656041773095</v>
      </c>
      <c r="F25" s="477">
        <f t="shared" ref="F25:H25" si="8">F182</f>
        <v>0.30563085466360945</v>
      </c>
      <c r="G25" s="477">
        <f t="shared" si="8"/>
        <v>1.5424093010509992</v>
      </c>
      <c r="H25" s="477">
        <f t="shared" si="8"/>
        <v>3.2679146719806615</v>
      </c>
    </row>
    <row r="26" spans="1:8" s="188" customFormat="1" ht="13.5" customHeight="1" thickTop="1" thickBot="1" x14ac:dyDescent="0.3">
      <c r="A26" s="187"/>
      <c r="B26" s="187"/>
      <c r="C26" s="187"/>
      <c r="D26" s="104" t="s">
        <v>83</v>
      </c>
      <c r="E26" s="283">
        <f>SUM(E22:E25)</f>
        <v>33.774549196448369</v>
      </c>
      <c r="F26" s="127">
        <f t="shared" ref="F26:H26" si="9">SUM(F22:F25)</f>
        <v>50.889791312954152</v>
      </c>
      <c r="G26" s="127">
        <f t="shared" si="9"/>
        <v>97.070405704074176</v>
      </c>
      <c r="H26" s="127">
        <f t="shared" si="9"/>
        <v>159.17879550633134</v>
      </c>
    </row>
    <row r="27" spans="1:8" s="1" customFormat="1" ht="13.5" customHeight="1" thickTop="1" x14ac:dyDescent="0.3">
      <c r="D27" s="186" t="s">
        <v>84</v>
      </c>
      <c r="F27" s="189"/>
      <c r="G27" s="189"/>
      <c r="H27" s="189"/>
    </row>
    <row r="29" spans="1:8" ht="13.5" customHeight="1" x14ac:dyDescent="0.35">
      <c r="B29" s="29">
        <v>0</v>
      </c>
      <c r="D29" s="28" t="s">
        <v>804</v>
      </c>
    </row>
    <row r="30" spans="1:8" ht="13.5" customHeight="1" x14ac:dyDescent="0.35">
      <c r="B30" s="51"/>
      <c r="D30" s="28"/>
    </row>
    <row r="31" spans="1:8" ht="13.5" customHeight="1" x14ac:dyDescent="0.35">
      <c r="B31" s="51"/>
      <c r="D31" s="32" t="s">
        <v>81</v>
      </c>
    </row>
    <row r="32" spans="1:8" ht="13.5" customHeight="1" x14ac:dyDescent="0.35">
      <c r="B32" s="51"/>
      <c r="D32" s="33" t="s">
        <v>82</v>
      </c>
    </row>
    <row r="33" spans="4:8" ht="13.5" customHeight="1" x14ac:dyDescent="0.3">
      <c r="D33" s="30" t="s">
        <v>15</v>
      </c>
      <c r="E33" s="120">
        <v>2022</v>
      </c>
      <c r="F33" s="120">
        <v>2023</v>
      </c>
      <c r="G33" s="120">
        <v>2024</v>
      </c>
      <c r="H33" s="120">
        <v>2025</v>
      </c>
    </row>
    <row r="34" spans="4:8" ht="13.5" customHeight="1" x14ac:dyDescent="0.25">
      <c r="D34" s="481" t="s">
        <v>167</v>
      </c>
      <c r="E34" s="482">
        <f>E75*E76</f>
        <v>20.132982641750331</v>
      </c>
      <c r="F34" s="482">
        <f t="shared" ref="F34:H34" si="10">F75*F76</f>
        <v>31.793525521753775</v>
      </c>
      <c r="G34" s="482">
        <f t="shared" si="10"/>
        <v>40.657246883821188</v>
      </c>
      <c r="H34" s="482">
        <f t="shared" si="10"/>
        <v>50.76150442068807</v>
      </c>
    </row>
    <row r="35" spans="4:8" ht="13.5" customHeight="1" x14ac:dyDescent="0.25">
      <c r="D35" s="2" t="s">
        <v>136</v>
      </c>
      <c r="E35" s="1">
        <f>E96*E103</f>
        <v>3.5859239699034463E-2</v>
      </c>
      <c r="F35" s="1">
        <f t="shared" ref="F35:H35" si="11">F96*F103</f>
        <v>3.9692327142380898E-2</v>
      </c>
      <c r="G35" s="1">
        <f t="shared" si="11"/>
        <v>3.4067005163230454E-2</v>
      </c>
      <c r="H35" s="1">
        <f t="shared" si="11"/>
        <v>2.364240924933882E-2</v>
      </c>
    </row>
    <row r="36" spans="4:8" ht="13.5" customHeight="1" x14ac:dyDescent="0.25">
      <c r="D36" s="2" t="s">
        <v>124</v>
      </c>
      <c r="E36" s="2">
        <f t="shared" ref="E36:H41" si="12">E97*E104</f>
        <v>1.5569643801294915E-2</v>
      </c>
      <c r="F36" s="2">
        <f t="shared" si="12"/>
        <v>1.6045118408706482E-2</v>
      </c>
      <c r="G36" s="2">
        <f t="shared" si="12"/>
        <v>1.2688606018587904E-2</v>
      </c>
      <c r="H36" s="2">
        <f t="shared" si="12"/>
        <v>8.1136314984110412E-3</v>
      </c>
    </row>
    <row r="37" spans="4:8" ht="13.5" customHeight="1" x14ac:dyDescent="0.25">
      <c r="D37" s="2" t="s">
        <v>113</v>
      </c>
      <c r="E37" s="2">
        <f t="shared" si="12"/>
        <v>2.4481280635791465</v>
      </c>
      <c r="F37" s="2">
        <f t="shared" si="12"/>
        <v>2.4650933424605181</v>
      </c>
      <c r="G37" s="2">
        <f t="shared" si="12"/>
        <v>1.9073121857607345</v>
      </c>
      <c r="H37" s="2">
        <f t="shared" si="12"/>
        <v>1.1932750999937514</v>
      </c>
    </row>
    <row r="38" spans="4:8" ht="13.5" customHeight="1" x14ac:dyDescent="0.25">
      <c r="D38" s="2" t="s">
        <v>158</v>
      </c>
      <c r="E38" s="2">
        <f t="shared" si="12"/>
        <v>10.997814010561383</v>
      </c>
      <c r="F38" s="2">
        <f t="shared" si="12"/>
        <v>14.50393284873131</v>
      </c>
      <c r="G38" s="2">
        <f t="shared" si="12"/>
        <v>16.040670161925341</v>
      </c>
      <c r="H38" s="2">
        <f t="shared" si="12"/>
        <v>17.706694222144989</v>
      </c>
    </row>
    <row r="39" spans="4:8" ht="13.5" customHeight="1" x14ac:dyDescent="0.25">
      <c r="D39" s="2" t="s">
        <v>125</v>
      </c>
      <c r="E39" s="2">
        <f t="shared" si="12"/>
        <v>2.9083424595168668E-3</v>
      </c>
      <c r="F39" s="2">
        <f t="shared" si="12"/>
        <v>3.129249884922736E-3</v>
      </c>
      <c r="G39" s="2">
        <f t="shared" si="12"/>
        <v>2.5930880184176813E-3</v>
      </c>
      <c r="H39" s="2">
        <f t="shared" si="12"/>
        <v>1.7374993555482597E-3</v>
      </c>
    </row>
    <row r="40" spans="4:8" ht="13.5" customHeight="1" x14ac:dyDescent="0.25">
      <c r="D40" s="2" t="s">
        <v>144</v>
      </c>
      <c r="E40" s="2">
        <f t="shared" si="12"/>
        <v>2.4118854705242631E-3</v>
      </c>
      <c r="F40" s="2">
        <f t="shared" si="12"/>
        <v>2.5343200002426571E-3</v>
      </c>
      <c r="G40" s="2">
        <f t="shared" si="12"/>
        <v>2.0521301272098838E-3</v>
      </c>
      <c r="H40" s="2">
        <f t="shared" si="12"/>
        <v>1.3436269981476189E-3</v>
      </c>
    </row>
    <row r="41" spans="4:8" ht="13.5" customHeight="1" x14ac:dyDescent="0.25">
      <c r="D41" s="482" t="s">
        <v>68</v>
      </c>
      <c r="E41" s="482">
        <f t="shared" si="12"/>
        <v>1.5788087094109685E-3</v>
      </c>
      <c r="F41" s="482">
        <f t="shared" si="12"/>
        <v>1.6407003848426685E-3</v>
      </c>
      <c r="G41" s="482">
        <f t="shared" si="12"/>
        <v>1.3080822154312444E-3</v>
      </c>
      <c r="H41" s="482">
        <f t="shared" si="12"/>
        <v>8.4327880002200138E-4</v>
      </c>
    </row>
    <row r="42" spans="4:8" ht="13.5" customHeight="1" x14ac:dyDescent="0.25">
      <c r="D42" s="2" t="s">
        <v>156</v>
      </c>
      <c r="E42" s="2">
        <f>E141*E145</f>
        <v>0</v>
      </c>
      <c r="F42" s="2">
        <f t="shared" ref="F42:H45" si="13">F141*F145</f>
        <v>0.38999788087228765</v>
      </c>
      <c r="G42" s="2">
        <f t="shared" si="13"/>
        <v>0.87850891845815715</v>
      </c>
      <c r="H42" s="2">
        <f t="shared" si="13"/>
        <v>1.4841963719475719</v>
      </c>
    </row>
    <row r="43" spans="4:8" ht="13.5" customHeight="1" x14ac:dyDescent="0.25">
      <c r="D43" s="2" t="s">
        <v>182</v>
      </c>
      <c r="E43" s="2">
        <f>E142*E146</f>
        <v>0</v>
      </c>
      <c r="F43" s="2">
        <f t="shared" si="13"/>
        <v>7.932454488830315E-2</v>
      </c>
      <c r="G43" s="2">
        <f t="shared" si="13"/>
        <v>0.1616844765819021</v>
      </c>
      <c r="H43" s="2">
        <f t="shared" si="13"/>
        <v>0.24716690783767503</v>
      </c>
    </row>
    <row r="44" spans="4:8" ht="13.5" customHeight="1" x14ac:dyDescent="0.25">
      <c r="D44" s="2" t="s">
        <v>184</v>
      </c>
      <c r="E44" s="2">
        <f>E143*E147</f>
        <v>0</v>
      </c>
      <c r="F44" s="2">
        <f t="shared" si="13"/>
        <v>0.35654835468558638</v>
      </c>
      <c r="G44" s="2">
        <f t="shared" si="13"/>
        <v>0.83646901738228585</v>
      </c>
      <c r="H44" s="2">
        <f t="shared" si="13"/>
        <v>1.4717788089167103</v>
      </c>
    </row>
    <row r="45" spans="4:8" ht="13.5" customHeight="1" x14ac:dyDescent="0.25">
      <c r="D45" s="482" t="s">
        <v>119</v>
      </c>
      <c r="E45" s="482">
        <f>E144*E148</f>
        <v>0</v>
      </c>
      <c r="F45" s="482">
        <f t="shared" si="13"/>
        <v>0.93269624907766535</v>
      </c>
      <c r="G45" s="482">
        <f t="shared" si="13"/>
        <v>2.0273135059621801</v>
      </c>
      <c r="H45" s="482">
        <f t="shared" si="13"/>
        <v>3.30493452894311</v>
      </c>
    </row>
    <row r="46" spans="4:8" ht="13.5" customHeight="1" thickBot="1" x14ac:dyDescent="0.3">
      <c r="D46" s="483" t="s">
        <v>73</v>
      </c>
      <c r="E46" s="484">
        <f>E172*E173</f>
        <v>0.13729656041773095</v>
      </c>
      <c r="F46" s="484">
        <f t="shared" ref="F46:H46" si="14">F172*F173</f>
        <v>0.30563085466360945</v>
      </c>
      <c r="G46" s="484">
        <f t="shared" si="14"/>
        <v>0.49030102397179237</v>
      </c>
      <c r="H46" s="484">
        <f t="shared" si="14"/>
        <v>0.72234527837792029</v>
      </c>
    </row>
    <row r="47" spans="4:8" ht="13.5" customHeight="1" thickTop="1" thickBot="1" x14ac:dyDescent="0.3">
      <c r="D47" s="104" t="s">
        <v>83</v>
      </c>
      <c r="E47" s="283">
        <f>SUM(E34:E46)</f>
        <v>33.774549196448376</v>
      </c>
      <c r="F47" s="127">
        <f t="shared" ref="F47:H47" si="15">SUM(F34:F46)</f>
        <v>50.889791312954145</v>
      </c>
      <c r="G47" s="127">
        <f t="shared" si="15"/>
        <v>63.052215085406459</v>
      </c>
      <c r="H47" s="127">
        <f t="shared" si="15"/>
        <v>76.927576084751266</v>
      </c>
    </row>
    <row r="48" spans="4:8" ht="13.5" customHeight="1" thickTop="1" x14ac:dyDescent="0.25"/>
    <row r="50" spans="4:8" ht="13.5" customHeight="1" x14ac:dyDescent="0.3">
      <c r="D50" s="32" t="s">
        <v>81</v>
      </c>
    </row>
    <row r="51" spans="4:8" ht="13.5" customHeight="1" x14ac:dyDescent="0.3">
      <c r="D51" s="33" t="s">
        <v>82</v>
      </c>
    </row>
    <row r="52" spans="4:8" ht="13.5" customHeight="1" x14ac:dyDescent="0.3">
      <c r="D52" s="30" t="s">
        <v>800</v>
      </c>
      <c r="E52" s="120">
        <v>2022</v>
      </c>
      <c r="F52" s="120">
        <v>2023</v>
      </c>
      <c r="G52" s="120">
        <v>2024</v>
      </c>
      <c r="H52" s="120">
        <v>2025</v>
      </c>
    </row>
    <row r="53" spans="4:8" ht="13.5" customHeight="1" x14ac:dyDescent="0.25">
      <c r="D53" s="481" t="s">
        <v>167</v>
      </c>
      <c r="E53" s="482">
        <f>E83*E84</f>
        <v>20.132982641750331</v>
      </c>
      <c r="F53" s="482">
        <f t="shared" ref="F53:H53" si="16">F83*F84</f>
        <v>31.793525521753775</v>
      </c>
      <c r="G53" s="482">
        <f t="shared" si="16"/>
        <v>69.652094560077245</v>
      </c>
      <c r="H53" s="482">
        <f t="shared" si="16"/>
        <v>120.97370767104003</v>
      </c>
    </row>
    <row r="54" spans="4:8" ht="13.5" customHeight="1" x14ac:dyDescent="0.25">
      <c r="D54" s="2" t="s">
        <v>136</v>
      </c>
      <c r="E54" s="1">
        <f>E117*E124</f>
        <v>3.5859239699034463E-2</v>
      </c>
      <c r="F54" s="1">
        <f t="shared" ref="F54:H60" si="17">F117*F124</f>
        <v>3.9692327142380898E-2</v>
      </c>
      <c r="G54" s="1">
        <f t="shared" si="17"/>
        <v>0.23139786059998921</v>
      </c>
      <c r="H54" s="1">
        <f t="shared" si="17"/>
        <v>0.25621493517850785</v>
      </c>
    </row>
    <row r="55" spans="4:8" ht="13.5" customHeight="1" x14ac:dyDescent="0.25">
      <c r="D55" s="2" t="s">
        <v>124</v>
      </c>
      <c r="E55" s="2">
        <f t="shared" ref="E55:E60" si="18">E118*E125</f>
        <v>1.5569643801294915E-2</v>
      </c>
      <c r="F55" s="2">
        <f t="shared" si="17"/>
        <v>1.6045118408706482E-2</v>
      </c>
      <c r="G55" s="2">
        <f t="shared" si="17"/>
        <v>9.1888289286534808E-2</v>
      </c>
      <c r="H55" s="2">
        <f t="shared" si="17"/>
        <v>0.10044492244017821</v>
      </c>
    </row>
    <row r="56" spans="4:8" ht="13.5" customHeight="1" x14ac:dyDescent="0.25">
      <c r="D56" s="2" t="s">
        <v>113</v>
      </c>
      <c r="E56" s="2">
        <f t="shared" si="18"/>
        <v>2.4481280635791465</v>
      </c>
      <c r="F56" s="2">
        <f t="shared" si="17"/>
        <v>2.4650933424605181</v>
      </c>
      <c r="G56" s="2">
        <f t="shared" si="17"/>
        <v>1.9073121857607345</v>
      </c>
      <c r="H56" s="2">
        <f t="shared" si="17"/>
        <v>1.1932750999937514</v>
      </c>
    </row>
    <row r="57" spans="4:8" ht="13.5" customHeight="1" x14ac:dyDescent="0.25">
      <c r="D57" s="2" t="s">
        <v>158</v>
      </c>
      <c r="E57" s="2">
        <f t="shared" si="18"/>
        <v>10.997814010561383</v>
      </c>
      <c r="F57" s="2">
        <f t="shared" si="17"/>
        <v>14.50393284873131</v>
      </c>
      <c r="G57" s="2">
        <f t="shared" si="17"/>
        <v>18.228978099500502</v>
      </c>
      <c r="H57" s="2">
        <f t="shared" si="17"/>
        <v>22.251823367718348</v>
      </c>
    </row>
    <row r="58" spans="4:8" ht="13.5" customHeight="1" x14ac:dyDescent="0.25">
      <c r="D58" s="2" t="s">
        <v>125</v>
      </c>
      <c r="E58" s="2">
        <f t="shared" si="18"/>
        <v>2.9083424595168668E-3</v>
      </c>
      <c r="F58" s="2">
        <f t="shared" si="17"/>
        <v>3.129249884922736E-3</v>
      </c>
      <c r="G58" s="2">
        <f t="shared" si="17"/>
        <v>2.7647449593819449E-2</v>
      </c>
      <c r="H58" s="2">
        <f t="shared" si="17"/>
        <v>3.1625244439238566E-2</v>
      </c>
    </row>
    <row r="59" spans="4:8" ht="13.5" customHeight="1" x14ac:dyDescent="0.25">
      <c r="D59" s="2" t="s">
        <v>144</v>
      </c>
      <c r="E59" s="2">
        <f t="shared" si="18"/>
        <v>2.4118854705242631E-3</v>
      </c>
      <c r="F59" s="2">
        <f t="shared" si="17"/>
        <v>2.5343200002426571E-3</v>
      </c>
      <c r="G59" s="2">
        <f t="shared" si="17"/>
        <v>1.950921543229004E-2</v>
      </c>
      <c r="H59" s="2">
        <f t="shared" si="17"/>
        <v>2.1610436216805317E-2</v>
      </c>
    </row>
    <row r="60" spans="4:8" ht="13.5" customHeight="1" x14ac:dyDescent="0.25">
      <c r="D60" s="482" t="s">
        <v>68</v>
      </c>
      <c r="E60" s="482">
        <f t="shared" si="18"/>
        <v>1.5788087094109685E-3</v>
      </c>
      <c r="F60" s="482">
        <f t="shared" si="17"/>
        <v>1.6407003848426685E-3</v>
      </c>
      <c r="G60" s="482">
        <f t="shared" si="17"/>
        <v>1.4264312557809987E-2</v>
      </c>
      <c r="H60" s="482">
        <f t="shared" si="17"/>
        <v>1.6098068801289087E-2</v>
      </c>
    </row>
    <row r="61" spans="4:8" ht="13.5" customHeight="1" x14ac:dyDescent="0.25">
      <c r="D61" s="2" t="s">
        <v>156</v>
      </c>
      <c r="E61" s="2">
        <f>E155*E159</f>
        <v>0</v>
      </c>
      <c r="F61" s="2">
        <f t="shared" ref="F61:H61" si="19">F155*F159</f>
        <v>0.38999788087228765</v>
      </c>
      <c r="G61" s="2">
        <f t="shared" si="19"/>
        <v>1.7474943679959025</v>
      </c>
      <c r="H61" s="2">
        <f t="shared" si="19"/>
        <v>4.2146892682020018</v>
      </c>
    </row>
    <row r="62" spans="4:8" ht="13.5" customHeight="1" x14ac:dyDescent="0.25">
      <c r="D62" s="2" t="s">
        <v>182</v>
      </c>
      <c r="E62" s="2">
        <f t="shared" ref="E62:H64" si="20">E156*E160</f>
        <v>0</v>
      </c>
      <c r="F62" s="2">
        <f t="shared" si="20"/>
        <v>7.932454488830315E-2</v>
      </c>
      <c r="G62" s="2">
        <f t="shared" si="20"/>
        <v>0.72697143982724965</v>
      </c>
      <c r="H62" s="2">
        <f t="shared" si="20"/>
        <v>2.0275941032377736</v>
      </c>
    </row>
    <row r="63" spans="4:8" ht="13.5" customHeight="1" x14ac:dyDescent="0.25">
      <c r="D63" s="2" t="s">
        <v>184</v>
      </c>
      <c r="E63" s="2">
        <f t="shared" si="20"/>
        <v>0</v>
      </c>
      <c r="F63" s="2">
        <f t="shared" si="20"/>
        <v>0.35654835468558638</v>
      </c>
      <c r="G63" s="2">
        <f t="shared" si="20"/>
        <v>0.85312511642892563</v>
      </c>
      <c r="H63" s="2">
        <f t="shared" si="20"/>
        <v>1.5188631881396415</v>
      </c>
    </row>
    <row r="64" spans="4:8" ht="13.5" customHeight="1" x14ac:dyDescent="0.25">
      <c r="D64" s="482" t="s">
        <v>119</v>
      </c>
      <c r="E64" s="482">
        <f t="shared" si="20"/>
        <v>0</v>
      </c>
      <c r="F64" s="482">
        <f t="shared" si="20"/>
        <v>0.93269624907766535</v>
      </c>
      <c r="G64" s="482">
        <f t="shared" si="20"/>
        <v>2.0273135059621801</v>
      </c>
      <c r="H64" s="482">
        <f t="shared" si="20"/>
        <v>3.30493452894311</v>
      </c>
    </row>
    <row r="65" spans="2:19" ht="13.5" customHeight="1" thickBot="1" x14ac:dyDescent="0.3">
      <c r="D65" s="483" t="s">
        <v>73</v>
      </c>
      <c r="E65" s="484">
        <f>E180*E181</f>
        <v>0.13729656041773095</v>
      </c>
      <c r="F65" s="484">
        <f t="shared" ref="F65:H65" si="21">F180*F181</f>
        <v>0.30563085466360945</v>
      </c>
      <c r="G65" s="484">
        <f t="shared" si="21"/>
        <v>1.5424093010509992</v>
      </c>
      <c r="H65" s="484">
        <f t="shared" si="21"/>
        <v>3.2679146719806615</v>
      </c>
    </row>
    <row r="66" spans="2:19" ht="13.5" customHeight="1" thickTop="1" thickBot="1" x14ac:dyDescent="0.3">
      <c r="D66" s="104" t="s">
        <v>83</v>
      </c>
      <c r="E66" s="283">
        <f>SUM(E53:E65)</f>
        <v>33.774549196448376</v>
      </c>
      <c r="F66" s="127">
        <f t="shared" ref="F66:H66" si="22">SUM(F53:F65)</f>
        <v>50.889791312954145</v>
      </c>
      <c r="G66" s="127">
        <f t="shared" si="22"/>
        <v>97.070405704074162</v>
      </c>
      <c r="H66" s="127">
        <f t="shared" si="22"/>
        <v>159.17879550633131</v>
      </c>
    </row>
    <row r="67" spans="2:19" ht="13.5" customHeight="1" thickTop="1" x14ac:dyDescent="0.25"/>
    <row r="69" spans="2:19" ht="13.5" customHeight="1" x14ac:dyDescent="0.35">
      <c r="B69" s="29">
        <v>1</v>
      </c>
      <c r="D69" s="28" t="s">
        <v>794</v>
      </c>
    </row>
    <row r="72" spans="2:19" ht="13.5" customHeight="1" x14ac:dyDescent="0.3">
      <c r="D72" s="32" t="s">
        <v>81</v>
      </c>
    </row>
    <row r="73" spans="2:19" ht="13.5" customHeight="1" thickBot="1" x14ac:dyDescent="0.35">
      <c r="D73" s="33" t="s">
        <v>82</v>
      </c>
      <c r="O73" s="177">
        <f>O76/(O77/1000)</f>
        <v>1.3019622430949502</v>
      </c>
      <c r="P73" s="177">
        <f t="shared" ref="P73:S73" si="23">P76/(P77/1000)</f>
        <v>0.66666666666666663</v>
      </c>
      <c r="Q73" s="177">
        <f t="shared" si="23"/>
        <v>0.68260929108038704</v>
      </c>
      <c r="R73" s="177">
        <f t="shared" si="23"/>
        <v>0</v>
      </c>
      <c r="S73" s="177">
        <f t="shared" si="23"/>
        <v>9.2060309731797629E-2</v>
      </c>
    </row>
    <row r="74" spans="2:19" ht="13.5" customHeight="1" x14ac:dyDescent="0.3">
      <c r="D74" s="30" t="s">
        <v>15</v>
      </c>
      <c r="E74" s="120">
        <v>2022</v>
      </c>
      <c r="F74" s="120">
        <v>2023</v>
      </c>
      <c r="G74" s="120">
        <v>2024</v>
      </c>
      <c r="H74" s="120">
        <v>2025</v>
      </c>
      <c r="O74" s="460" t="s">
        <v>407</v>
      </c>
      <c r="P74" s="454" t="s">
        <v>753</v>
      </c>
      <c r="Q74" s="454" t="s">
        <v>784</v>
      </c>
      <c r="R74" s="454" t="s">
        <v>229</v>
      </c>
      <c r="S74" s="454" t="s">
        <v>220</v>
      </c>
    </row>
    <row r="75" spans="2:19" ht="13.5" customHeight="1" x14ac:dyDescent="0.25">
      <c r="D75" s="1" t="s">
        <v>167</v>
      </c>
      <c r="E75" s="1">
        <f>'Proejction Market product mix'!J15</f>
        <v>33.554971069583885</v>
      </c>
      <c r="F75" s="1">
        <f>ProjectedP205_Consumption!K13</f>
        <v>43.354807529664242</v>
      </c>
      <c r="G75" s="1">
        <f>ProjectedP205_Consumption!L13</f>
        <v>46.912207942870602</v>
      </c>
      <c r="H75" s="1">
        <f>ProjectedP205_Consumption!M13</f>
        <v>50.76150442068807</v>
      </c>
      <c r="N75" s="1" t="s">
        <v>822</v>
      </c>
      <c r="O75" s="1">
        <f>'Proejction Market product mix'!E126</f>
        <v>28.778299524721898</v>
      </c>
      <c r="P75" s="1">
        <f>'Proejction Market product mix'!F101</f>
        <v>0.84558527095351399</v>
      </c>
      <c r="Q75" s="1">
        <f>'Proejction Market product mix'!G126</f>
        <v>13.928827505246625</v>
      </c>
      <c r="R75" s="1">
        <f>'Proejction Market product mix'!H126</f>
        <v>0</v>
      </c>
      <c r="S75" s="1">
        <f>'Proejction Market product mix'!I126</f>
        <v>53.116458141766486</v>
      </c>
    </row>
    <row r="76" spans="2:19" ht="14.5" customHeight="1" thickBot="1" x14ac:dyDescent="0.35">
      <c r="D76" s="478" t="s">
        <v>798</v>
      </c>
      <c r="E76" s="480">
        <v>0.6</v>
      </c>
      <c r="F76" s="189">
        <f>($H$76-$E$76)/3+E76</f>
        <v>0.73333333333333328</v>
      </c>
      <c r="G76" s="189">
        <f t="shared" ref="G76" si="24">($H$76-$E$76)/3+F76</f>
        <v>0.86666666666666659</v>
      </c>
      <c r="H76" s="479">
        <v>1</v>
      </c>
      <c r="N76" s="1" t="s">
        <v>823</v>
      </c>
      <c r="O76" s="2">
        <f>'Proejction Market product mix'!E127</f>
        <v>70</v>
      </c>
      <c r="P76" s="2">
        <f>'Proejction Market product mix'!F127</f>
        <v>4</v>
      </c>
      <c r="Q76" s="2">
        <f>'Proejction Market product mix'!G127</f>
        <v>32</v>
      </c>
      <c r="R76" s="2">
        <f>'Proejction Market product mix'!H127</f>
        <v>0</v>
      </c>
      <c r="S76" s="2">
        <f>'Proejction Market product mix'!I127</f>
        <v>9</v>
      </c>
    </row>
    <row r="77" spans="2:19" ht="13.5" customHeight="1" thickTop="1" thickBot="1" x14ac:dyDescent="0.3">
      <c r="D77" s="281" t="s">
        <v>799</v>
      </c>
      <c r="E77" s="127">
        <f>E76*E75</f>
        <v>20.132982641750331</v>
      </c>
      <c r="F77" s="127">
        <f>F76*F75</f>
        <v>31.793525521753775</v>
      </c>
      <c r="G77" s="127">
        <f>G76*G75</f>
        <v>40.657246883821188</v>
      </c>
      <c r="H77" s="127">
        <f>H76*H75</f>
        <v>50.76150442068807</v>
      </c>
      <c r="N77" s="1" t="s">
        <v>824</v>
      </c>
      <c r="O77" s="2">
        <f>'VIFAA - Consumption per product'!C352</f>
        <v>53765</v>
      </c>
      <c r="P77" s="2">
        <f>'VIFAA - Consumption per product'!C351</f>
        <v>6000</v>
      </c>
      <c r="Q77" s="2">
        <f>'VIFAA - Consumption per product'!C347+'VIFAA - Consumption per product'!C348+'VIFAA - Consumption per product'!C349</f>
        <v>46878.94</v>
      </c>
      <c r="R77" s="2">
        <f>'VIFAA - Consumption per product'!C350</f>
        <v>15710</v>
      </c>
      <c r="S77" s="2">
        <f>'VIFAA - Consumption per product'!C346</f>
        <v>97762</v>
      </c>
    </row>
    <row r="78" spans="2:19" ht="13.5" customHeight="1" thickTop="1" x14ac:dyDescent="0.25">
      <c r="N78" s="1" t="s">
        <v>825</v>
      </c>
      <c r="O78" s="2">
        <f>'Proejction Market product mix'!E54</f>
        <v>55.352183785809849</v>
      </c>
      <c r="P78" s="2">
        <f>'Proejction Market product mix'!F54</f>
        <v>6.127429499663144</v>
      </c>
      <c r="Q78" s="2">
        <f>'Proejction Market product mix'!G54</f>
        <v>45.729853213289054</v>
      </c>
      <c r="R78" s="2">
        <f>'Proejction Market product mix'!H54</f>
        <v>15.034652293957389</v>
      </c>
      <c r="S78" s="2">
        <f>'Proejction Market product mix'!I54</f>
        <v>93.907244484949246</v>
      </c>
    </row>
    <row r="80" spans="2:19" ht="13.5" customHeight="1" x14ac:dyDescent="0.3">
      <c r="D80" s="32" t="s">
        <v>81</v>
      </c>
      <c r="M80" s="30" t="s">
        <v>371</v>
      </c>
      <c r="N80" s="30" t="s">
        <v>237</v>
      </c>
      <c r="O80" s="30" t="s">
        <v>407</v>
      </c>
      <c r="P80" s="34" t="s">
        <v>753</v>
      </c>
      <c r="Q80" s="34" t="s">
        <v>784</v>
      </c>
      <c r="R80" s="34" t="s">
        <v>229</v>
      </c>
      <c r="S80" s="34" t="s">
        <v>220</v>
      </c>
    </row>
    <row r="81" spans="2:19" ht="13.5" customHeight="1" x14ac:dyDescent="0.3">
      <c r="D81" s="33" t="s">
        <v>82</v>
      </c>
      <c r="M81" s="86" t="s">
        <v>158</v>
      </c>
      <c r="N81" s="86" t="s">
        <v>203</v>
      </c>
      <c r="O81" s="451">
        <v>0.25</v>
      </c>
      <c r="P81" s="451">
        <v>0</v>
      </c>
      <c r="Q81" s="451">
        <v>0.25</v>
      </c>
      <c r="R81" s="451">
        <v>0</v>
      </c>
      <c r="S81" s="451">
        <v>0.5</v>
      </c>
    </row>
    <row r="82" spans="2:19" ht="13.5" customHeight="1" x14ac:dyDescent="0.3">
      <c r="D82" s="30" t="s">
        <v>389</v>
      </c>
      <c r="E82" s="120">
        <v>2022</v>
      </c>
      <c r="F82" s="120">
        <v>2023</v>
      </c>
      <c r="G82" s="120">
        <v>2024</v>
      </c>
      <c r="H82" s="120">
        <v>2025</v>
      </c>
      <c r="M82" s="86" t="s">
        <v>167</v>
      </c>
      <c r="N82" s="86" t="s">
        <v>204</v>
      </c>
      <c r="O82" s="451">
        <v>0</v>
      </c>
      <c r="P82" s="451">
        <v>4.2000000000000003E-2</v>
      </c>
      <c r="Q82" s="451">
        <v>0.02</v>
      </c>
      <c r="R82" s="451">
        <v>0</v>
      </c>
      <c r="S82" s="451">
        <f>100%-SUM(O82:R82)</f>
        <v>0.93799999999999994</v>
      </c>
    </row>
    <row r="83" spans="2:19" ht="13.5" customHeight="1" x14ac:dyDescent="0.25">
      <c r="D83" s="1" t="s">
        <v>167</v>
      </c>
      <c r="E83" s="1">
        <f>ProjectedP205_Consumption!J34</f>
        <v>33.554971069583885</v>
      </c>
      <c r="F83" s="1">
        <f>ProjectedP205_Consumption!K34</f>
        <v>43.354807529664242</v>
      </c>
      <c r="G83" s="1">
        <f>ProjectedP205_Consumption!L34</f>
        <v>80.36780141547375</v>
      </c>
      <c r="H83" s="1">
        <f>ProjectedP205_Consumption!M34</f>
        <v>120.97370767104003</v>
      </c>
      <c r="M83" s="86" t="s">
        <v>184</v>
      </c>
      <c r="N83" s="86" t="s">
        <v>205</v>
      </c>
      <c r="O83" s="451">
        <v>0.15</v>
      </c>
      <c r="P83" s="451">
        <v>0</v>
      </c>
      <c r="Q83" s="451">
        <v>0.65</v>
      </c>
      <c r="R83" s="451">
        <v>0</v>
      </c>
      <c r="S83" s="451">
        <v>0.3</v>
      </c>
    </row>
    <row r="84" spans="2:19" ht="13.5" customHeight="1" thickBot="1" x14ac:dyDescent="0.35">
      <c r="D84" s="478" t="s">
        <v>798</v>
      </c>
      <c r="E84" s="480">
        <v>0.6</v>
      </c>
      <c r="F84" s="189">
        <f>($H$76-$E$76)/3+E84</f>
        <v>0.73333333333333328</v>
      </c>
      <c r="G84" s="189">
        <f t="shared" ref="G84" si="25">($H$76-$E$76)/3+F84</f>
        <v>0.86666666666666659</v>
      </c>
      <c r="H84" s="479">
        <v>1</v>
      </c>
      <c r="M84" s="86" t="s">
        <v>113</v>
      </c>
      <c r="N84" s="86" t="s">
        <v>62</v>
      </c>
      <c r="O84" s="451">
        <v>0.4</v>
      </c>
      <c r="P84" s="451">
        <v>0</v>
      </c>
      <c r="Q84" s="451">
        <v>0.25615763546798032</v>
      </c>
      <c r="R84" s="451">
        <v>0</v>
      </c>
      <c r="S84" s="451">
        <v>0</v>
      </c>
    </row>
    <row r="85" spans="2:19" ht="13.5" customHeight="1" thickTop="1" thickBot="1" x14ac:dyDescent="0.3">
      <c r="D85" s="281" t="s">
        <v>799</v>
      </c>
      <c r="E85" s="127">
        <f>E84*E83</f>
        <v>20.132982641750331</v>
      </c>
      <c r="F85" s="127">
        <f t="shared" ref="F85:H85" si="26">F84*F83</f>
        <v>31.793525521753775</v>
      </c>
      <c r="G85" s="127">
        <f t="shared" si="26"/>
        <v>69.652094560077245</v>
      </c>
      <c r="H85" s="127">
        <f t="shared" si="26"/>
        <v>120.97370767104003</v>
      </c>
      <c r="M85" s="86" t="s">
        <v>73</v>
      </c>
      <c r="N85" s="86" t="s">
        <v>73</v>
      </c>
      <c r="O85" s="451">
        <v>0.6</v>
      </c>
      <c r="P85" s="451">
        <v>0</v>
      </c>
      <c r="Q85" s="451">
        <v>0.1</v>
      </c>
      <c r="R85" s="451">
        <v>0</v>
      </c>
      <c r="S85" s="451">
        <v>0.4</v>
      </c>
    </row>
    <row r="86" spans="2:19" ht="13.5" customHeight="1" thickTop="1" x14ac:dyDescent="0.25">
      <c r="M86" s="86" t="s">
        <v>119</v>
      </c>
      <c r="N86" s="86" t="s">
        <v>206</v>
      </c>
      <c r="O86" s="451">
        <v>0</v>
      </c>
      <c r="P86" s="451">
        <v>0</v>
      </c>
      <c r="Q86" s="451">
        <v>0.97810566396953835</v>
      </c>
      <c r="R86" s="451">
        <v>0</v>
      </c>
      <c r="S86" s="451">
        <v>2.1894336030461686E-2</v>
      </c>
    </row>
    <row r="87" spans="2:19" ht="13.5" customHeight="1" x14ac:dyDescent="0.25">
      <c r="M87" s="86" t="s">
        <v>156</v>
      </c>
      <c r="N87" s="86" t="s">
        <v>207</v>
      </c>
      <c r="O87" s="451">
        <v>0</v>
      </c>
      <c r="P87" s="451">
        <v>0</v>
      </c>
      <c r="Q87" s="451">
        <v>0</v>
      </c>
      <c r="R87" s="451">
        <v>0.85</v>
      </c>
      <c r="S87" s="451">
        <v>0.2</v>
      </c>
    </row>
    <row r="88" spans="2:19" ht="13.5" customHeight="1" x14ac:dyDescent="0.25">
      <c r="M88" s="87" t="s">
        <v>182</v>
      </c>
      <c r="N88" s="87" t="s">
        <v>208</v>
      </c>
      <c r="O88" s="274">
        <v>0</v>
      </c>
      <c r="P88" s="274">
        <v>0</v>
      </c>
      <c r="Q88" s="274">
        <v>1</v>
      </c>
      <c r="R88" s="274">
        <v>0</v>
      </c>
      <c r="S88" s="274">
        <v>0</v>
      </c>
    </row>
    <row r="90" spans="2:19" ht="13.5" customHeight="1" x14ac:dyDescent="0.35">
      <c r="B90" s="29">
        <v>2</v>
      </c>
      <c r="D90" s="28" t="s">
        <v>801</v>
      </c>
    </row>
    <row r="93" spans="2:19" ht="13.5" customHeight="1" x14ac:dyDescent="0.3">
      <c r="D93" s="32" t="s">
        <v>81</v>
      </c>
    </row>
    <row r="94" spans="2:19" ht="13.5" customHeight="1" x14ac:dyDescent="0.3">
      <c r="D94" s="33" t="s">
        <v>82</v>
      </c>
    </row>
    <row r="95" spans="2:19" ht="13.5" customHeight="1" x14ac:dyDescent="0.3">
      <c r="D95" s="30" t="s">
        <v>15</v>
      </c>
      <c r="E95" s="120">
        <v>2022</v>
      </c>
      <c r="F95" s="120">
        <v>2023</v>
      </c>
      <c r="G95" s="120">
        <v>2024</v>
      </c>
      <c r="H95" s="120">
        <v>2025</v>
      </c>
      <c r="O95" s="1"/>
    </row>
    <row r="96" spans="2:19" ht="13.5" customHeight="1" x14ac:dyDescent="0.25">
      <c r="D96" s="2" t="s">
        <v>136</v>
      </c>
      <c r="E96" s="1">
        <f>VLOOKUP($D96,ProjectedP205_Consumption!$D$12:$M$26,7,FALSE)</f>
        <v>7.1718479398068927E-2</v>
      </c>
      <c r="F96" s="1">
        <f>VLOOKUP($D96,ProjectedP205_Consumption!$D$12:$M$26,8,FALSE)</f>
        <v>0.10354520124099365</v>
      </c>
      <c r="G96" s="1">
        <f>VLOOKUP($D96,ProjectedP205_Consumption!$D$12:$M$26,9,FALSE)</f>
        <v>0.12775126936211417</v>
      </c>
      <c r="H96" s="1">
        <f>VLOOKUP($D96,ProjectedP205_Consumption!$D$12:$M$26,10,FALSE)</f>
        <v>0.15761606166225881</v>
      </c>
    </row>
    <row r="97" spans="4:8" ht="13.5" customHeight="1" x14ac:dyDescent="0.25">
      <c r="D97" s="2" t="s">
        <v>124</v>
      </c>
      <c r="E97" s="1">
        <f>VLOOKUP($D97,ProjectedP205_Consumption!$D$12:$M$26,7,FALSE)</f>
        <v>3.113928760258983E-2</v>
      </c>
      <c r="F97" s="1">
        <f>VLOOKUP($D97,ProjectedP205_Consumption!$D$12:$M$26,8,FALSE)</f>
        <v>4.1856830631408208E-2</v>
      </c>
      <c r="G97" s="1">
        <f>VLOOKUP($D97,ProjectedP205_Consumption!$D$12:$M$26,9,FALSE)</f>
        <v>4.7582272569704633E-2</v>
      </c>
      <c r="H97" s="1">
        <f>VLOOKUP($D97,ProjectedP205_Consumption!$D$12:$M$26,10,FALSE)</f>
        <v>5.4090876656073615E-2</v>
      </c>
    </row>
    <row r="98" spans="4:8" ht="13.5" customHeight="1" x14ac:dyDescent="0.25">
      <c r="D98" s="2" t="s">
        <v>113</v>
      </c>
      <c r="E98" s="1">
        <f>VLOOKUP($D98,ProjectedP205_Consumption!$D$12:$M$26,7,FALSE)</f>
        <v>4.8962561271582929</v>
      </c>
      <c r="F98" s="1">
        <f>VLOOKUP($D98,ProjectedP205_Consumption!$D$12:$M$26,8,FALSE)</f>
        <v>6.4306782846796127</v>
      </c>
      <c r="G98" s="1">
        <f>VLOOKUP($D98,ProjectedP205_Consumption!$D$12:$M$26,9,FALSE)</f>
        <v>7.1524206966027526</v>
      </c>
      <c r="H98" s="1">
        <f>VLOOKUP($D98,ProjectedP205_Consumption!$D$12:$M$26,10,FALSE)</f>
        <v>7.9551673332916755</v>
      </c>
    </row>
    <row r="99" spans="4:8" ht="13.5" customHeight="1" x14ac:dyDescent="0.25">
      <c r="D99" s="2" t="s">
        <v>158</v>
      </c>
      <c r="E99" s="1">
        <f>VLOOKUP($D99,ProjectedP205_Consumption!$D$12:$M$26,7,FALSE)</f>
        <v>15.711162872230549</v>
      </c>
      <c r="F99" s="1">
        <f>VLOOKUP($D99,ProjectedP205_Consumption!$D$12:$M$26,8,FALSE)</f>
        <v>19.778090248269969</v>
      </c>
      <c r="G99" s="1">
        <f>VLOOKUP($D99,ProjectedP205_Consumption!$D$12:$M$26,9,FALSE)</f>
        <v>20.922613254685228</v>
      </c>
      <c r="H99" s="1">
        <f>VLOOKUP($D99,ProjectedP205_Consumption!$D$12:$M$26,10,FALSE)</f>
        <v>22.133367777681237</v>
      </c>
    </row>
    <row r="100" spans="4:8" ht="13.5" customHeight="1" x14ac:dyDescent="0.25">
      <c r="D100" s="2" t="s">
        <v>125</v>
      </c>
      <c r="E100" s="1">
        <f>VLOOKUP($D100,ProjectedP205_Consumption!$D$12:$M$26,7,FALSE)</f>
        <v>5.8166849190337336E-3</v>
      </c>
      <c r="F100" s="1">
        <f>VLOOKUP($D100,ProjectedP205_Consumption!$D$12:$M$26,8,FALSE)</f>
        <v>8.163260569363659E-3</v>
      </c>
      <c r="G100" s="1">
        <f>VLOOKUP($D100,ProjectedP205_Consumption!$D$12:$M$26,9,FALSE)</f>
        <v>9.7240800690663026E-3</v>
      </c>
      <c r="H100" s="1">
        <f>VLOOKUP($D100,ProjectedP205_Consumption!$D$12:$M$26,10,FALSE)</f>
        <v>1.1583329036988398E-2</v>
      </c>
    </row>
    <row r="101" spans="4:8" ht="13.5" customHeight="1" x14ac:dyDescent="0.25">
      <c r="D101" s="2" t="s">
        <v>144</v>
      </c>
      <c r="E101" s="1">
        <f>VLOOKUP($D101,ProjectedP205_Consumption!$D$12:$M$26,7,FALSE)</f>
        <v>4.8237709410485262E-3</v>
      </c>
      <c r="F101" s="1">
        <f>VLOOKUP($D101,ProjectedP205_Consumption!$D$12:$M$26,8,FALSE)</f>
        <v>6.6112695658504094E-3</v>
      </c>
      <c r="G101" s="1">
        <f>VLOOKUP($D101,ProjectedP205_Consumption!$D$12:$M$26,9,FALSE)</f>
        <v>7.6954879770370624E-3</v>
      </c>
      <c r="H101" s="1">
        <f>VLOOKUP($D101,ProjectedP205_Consumption!$D$12:$M$26,10,FALSE)</f>
        <v>8.9575133209841267E-3</v>
      </c>
    </row>
    <row r="102" spans="4:8" ht="13.5" customHeight="1" x14ac:dyDescent="0.25">
      <c r="D102" s="2" t="s">
        <v>68</v>
      </c>
      <c r="E102" s="1">
        <f>VLOOKUP($D102,ProjectedP205_Consumption!$D$12:$M$26,7,FALSE)</f>
        <v>3.1576174188219369E-3</v>
      </c>
      <c r="F102" s="1">
        <f>VLOOKUP($D102,ProjectedP205_Consumption!$D$12:$M$26,8,FALSE)</f>
        <v>4.2800879604591351E-3</v>
      </c>
      <c r="G102" s="1">
        <f>VLOOKUP($D102,ProjectedP205_Consumption!$D$12:$M$26,9,FALSE)</f>
        <v>4.9053083078671655E-3</v>
      </c>
      <c r="H102" s="1">
        <f>VLOOKUP($D102,ProjectedP205_Consumption!$D$12:$M$26,10,FALSE)</f>
        <v>5.6218586668133428E-3</v>
      </c>
    </row>
    <row r="103" spans="4:8" ht="13.5" customHeight="1" x14ac:dyDescent="0.3">
      <c r="D103" s="478" t="str">
        <f>CONCATENATE("OCP share",":  ",D96)</f>
        <v>OCP share:  Cashew nuts, in shell</v>
      </c>
      <c r="E103" s="480">
        <v>0.5</v>
      </c>
      <c r="F103" s="189">
        <f>($H103-$E103)/3+E103</f>
        <v>0.38333333333333336</v>
      </c>
      <c r="G103" s="189">
        <f t="shared" ref="G103:G109" si="27">($H103-$E103)/3+F103</f>
        <v>0.26666666666666672</v>
      </c>
      <c r="H103" s="479">
        <v>0.15</v>
      </c>
    </row>
    <row r="104" spans="4:8" ht="13.5" customHeight="1" x14ac:dyDescent="0.3">
      <c r="D104" s="478" t="str">
        <f t="shared" ref="D104:D109" si="28">CONCATENATE("OCP share",":  ",D97)</f>
        <v>OCP share:  Cassava, fresh</v>
      </c>
      <c r="E104" s="480">
        <v>0.5</v>
      </c>
      <c r="F104" s="189">
        <f t="shared" ref="F104:F109" si="29">($H104-$E104)/3+E104</f>
        <v>0.38333333333333336</v>
      </c>
      <c r="G104" s="189">
        <f t="shared" si="27"/>
        <v>0.26666666666666672</v>
      </c>
      <c r="H104" s="479">
        <v>0.15</v>
      </c>
    </row>
    <row r="105" spans="4:8" ht="13.5" customHeight="1" x14ac:dyDescent="0.3">
      <c r="D105" s="478" t="str">
        <f t="shared" si="28"/>
        <v>OCP share:  Maize (corn)</v>
      </c>
      <c r="E105" s="480">
        <v>0.5</v>
      </c>
      <c r="F105" s="189">
        <f t="shared" si="29"/>
        <v>0.38333333333333336</v>
      </c>
      <c r="G105" s="189">
        <f t="shared" si="27"/>
        <v>0.26666666666666672</v>
      </c>
      <c r="H105" s="479">
        <v>0.15</v>
      </c>
    </row>
    <row r="106" spans="4:8" ht="13.5" customHeight="1" x14ac:dyDescent="0.3">
      <c r="D106" s="478" t="str">
        <f t="shared" si="28"/>
        <v>OCP share:  Seed cotton, unginned</v>
      </c>
      <c r="E106" s="480">
        <v>0.7</v>
      </c>
      <c r="F106" s="189">
        <f t="shared" si="29"/>
        <v>0.73333333333333328</v>
      </c>
      <c r="G106" s="189">
        <f t="shared" si="27"/>
        <v>0.76666666666666661</v>
      </c>
      <c r="H106" s="479">
        <v>0.8</v>
      </c>
    </row>
    <row r="107" spans="4:8" ht="13.5" customHeight="1" x14ac:dyDescent="0.3">
      <c r="D107" s="478" t="str">
        <f t="shared" si="28"/>
        <v>OCP share:  Mangoes, guavas and mangosteens</v>
      </c>
      <c r="E107" s="480">
        <v>0.5</v>
      </c>
      <c r="F107" s="189">
        <f t="shared" si="29"/>
        <v>0.38333333333333336</v>
      </c>
      <c r="G107" s="189">
        <f t="shared" si="27"/>
        <v>0.26666666666666672</v>
      </c>
      <c r="H107" s="479">
        <v>0.15</v>
      </c>
    </row>
    <row r="108" spans="4:8" ht="13.5" customHeight="1" x14ac:dyDescent="0.3">
      <c r="D108" s="478" t="str">
        <f t="shared" si="28"/>
        <v>OCP share:  Groundnuts, excluding shelled</v>
      </c>
      <c r="E108" s="480">
        <v>0.5</v>
      </c>
      <c r="F108" s="189">
        <f t="shared" si="29"/>
        <v>0.38333333333333336</v>
      </c>
      <c r="G108" s="189">
        <f t="shared" si="27"/>
        <v>0.26666666666666672</v>
      </c>
      <c r="H108" s="479">
        <v>0.15</v>
      </c>
    </row>
    <row r="109" spans="4:8" ht="13.5" customHeight="1" thickBot="1" x14ac:dyDescent="0.35">
      <c r="D109" s="478" t="str">
        <f t="shared" si="28"/>
        <v>OCP share:  Sorghum</v>
      </c>
      <c r="E109" s="480">
        <v>0.5</v>
      </c>
      <c r="F109" s="189">
        <f t="shared" si="29"/>
        <v>0.38333333333333336</v>
      </c>
      <c r="G109" s="189">
        <f t="shared" si="27"/>
        <v>0.26666666666666672</v>
      </c>
      <c r="H109" s="479">
        <v>0.15</v>
      </c>
    </row>
    <row r="110" spans="4:8" ht="13.5" customHeight="1" thickTop="1" thickBot="1" x14ac:dyDescent="0.3">
      <c r="D110" s="281" t="s">
        <v>799</v>
      </c>
      <c r="E110" s="127">
        <f>SUMPRODUCT(E96:E102,E103:E109)</f>
        <v>13.50426999428031</v>
      </c>
      <c r="F110" s="127">
        <f t="shared" ref="F110:H110" si="30">SUMPRODUCT(F96:F102,F103:F109)</f>
        <v>17.032067907012923</v>
      </c>
      <c r="G110" s="127">
        <f t="shared" si="30"/>
        <v>18.000691259228955</v>
      </c>
      <c r="H110" s="127">
        <f t="shared" si="30"/>
        <v>18.935649768040207</v>
      </c>
    </row>
    <row r="111" spans="4:8" ht="13.5" customHeight="1" thickTop="1" x14ac:dyDescent="0.25"/>
    <row r="114" spans="4:8" ht="13.5" customHeight="1" x14ac:dyDescent="0.3">
      <c r="D114" s="32" t="s">
        <v>81</v>
      </c>
    </row>
    <row r="115" spans="4:8" ht="13.5" customHeight="1" x14ac:dyDescent="0.3">
      <c r="D115" s="33" t="s">
        <v>82</v>
      </c>
    </row>
    <row r="116" spans="4:8" ht="13.5" customHeight="1" x14ac:dyDescent="0.3">
      <c r="D116" s="30" t="s">
        <v>800</v>
      </c>
      <c r="E116" s="120">
        <v>2022</v>
      </c>
      <c r="F116" s="120">
        <v>2023</v>
      </c>
      <c r="G116" s="120">
        <v>2024</v>
      </c>
      <c r="H116" s="120">
        <v>2025</v>
      </c>
    </row>
    <row r="117" spans="4:8" ht="13.5" customHeight="1" x14ac:dyDescent="0.25">
      <c r="D117" s="2" t="s">
        <v>136</v>
      </c>
      <c r="E117" s="1">
        <f>VLOOKUP($D117,ProjectedP205_Consumption!$D$33:$M$49,7,FALSE)</f>
        <v>7.1718479398068927E-2</v>
      </c>
      <c r="F117" s="1">
        <f>VLOOKUP($D117,ProjectedP205_Consumption!$D$33:$M$49,8,FALSE)</f>
        <v>0.10354520124099365</v>
      </c>
      <c r="G117" s="1">
        <f>VLOOKUP($D117,ProjectedP205_Consumption!$D$33:$M$49,9,FALSE)</f>
        <v>0.86774197724995938</v>
      </c>
      <c r="H117" s="1">
        <f>VLOOKUP($D117,ProjectedP205_Consumption!$D$33:$M$49,10,FALSE)</f>
        <v>1.708099567856719</v>
      </c>
    </row>
    <row r="118" spans="4:8" ht="13.5" customHeight="1" x14ac:dyDescent="0.25">
      <c r="D118" s="2" t="s">
        <v>124</v>
      </c>
      <c r="E118" s="1">
        <f>VLOOKUP($D118,ProjectedP205_Consumption!$D$33:$M$49,7,FALSE)</f>
        <v>3.113928760258983E-2</v>
      </c>
      <c r="F118" s="1">
        <f>VLOOKUP($D118,ProjectedP205_Consumption!$D$33:$M$49,8,FALSE)</f>
        <v>4.1856830631408208E-2</v>
      </c>
      <c r="G118" s="1">
        <f>VLOOKUP($D118,ProjectedP205_Consumption!$D$33:$M$49,9,FALSE)</f>
        <v>0.34458108482450545</v>
      </c>
      <c r="H118" s="1">
        <f>VLOOKUP($D118,ProjectedP205_Consumption!$D$33:$M$49,10,FALSE)</f>
        <v>0.66963281626785476</v>
      </c>
    </row>
    <row r="119" spans="4:8" ht="13.5" customHeight="1" x14ac:dyDescent="0.25">
      <c r="D119" s="2" t="s">
        <v>113</v>
      </c>
      <c r="E119" s="1">
        <f>VLOOKUP($D119,ProjectedP205_Consumption!$D$33:$M$49,7,FALSE)</f>
        <v>4.8962561271582929</v>
      </c>
      <c r="F119" s="1">
        <f>VLOOKUP($D119,ProjectedP205_Consumption!$D$33:$M$49,8,FALSE)</f>
        <v>6.4306782846796127</v>
      </c>
      <c r="G119" s="1">
        <f>VLOOKUP($D119,ProjectedP205_Consumption!$D$33:$M$49,9,FALSE)</f>
        <v>7.1524206966027526</v>
      </c>
      <c r="H119" s="1">
        <f>VLOOKUP($D119,ProjectedP205_Consumption!$D$33:$M$49,10,FALSE)</f>
        <v>7.9551673332916755</v>
      </c>
    </row>
    <row r="120" spans="4:8" ht="13.5" customHeight="1" x14ac:dyDescent="0.25">
      <c r="D120" s="2" t="s">
        <v>158</v>
      </c>
      <c r="E120" s="1">
        <f>VLOOKUP($D120,ProjectedP205_Consumption!$D$33:$M$49,7,FALSE)</f>
        <v>15.711162872230549</v>
      </c>
      <c r="F120" s="1">
        <f>VLOOKUP($D120,ProjectedP205_Consumption!$D$33:$M$49,8,FALSE)</f>
        <v>19.778090248269969</v>
      </c>
      <c r="G120" s="1">
        <f>VLOOKUP($D120,ProjectedP205_Consumption!$D$33:$M$49,9,FALSE)</f>
        <v>23.776927955870221</v>
      </c>
      <c r="H120" s="1">
        <f>VLOOKUP($D120,ProjectedP205_Consumption!$D$33:$M$49,10,FALSE)</f>
        <v>27.814779209647934</v>
      </c>
    </row>
    <row r="121" spans="4:8" ht="13.5" customHeight="1" x14ac:dyDescent="0.25">
      <c r="D121" s="2" t="s">
        <v>125</v>
      </c>
      <c r="E121" s="1">
        <f>VLOOKUP($D121,ProjectedP205_Consumption!$D$33:$M$49,7,FALSE)</f>
        <v>5.8166849190337336E-3</v>
      </c>
      <c r="F121" s="1">
        <f>VLOOKUP($D121,ProjectedP205_Consumption!$D$33:$M$49,8,FALSE)</f>
        <v>8.163260569363659E-3</v>
      </c>
      <c r="G121" s="1">
        <f>VLOOKUP($D121,ProjectedP205_Consumption!$D$33:$M$49,9,FALSE)</f>
        <v>0.10367793597682291</v>
      </c>
      <c r="H121" s="1">
        <f>VLOOKUP($D121,ProjectedP205_Consumption!$D$33:$M$49,10,FALSE)</f>
        <v>0.2108349629282571</v>
      </c>
    </row>
    <row r="122" spans="4:8" ht="13.5" customHeight="1" x14ac:dyDescent="0.25">
      <c r="D122" s="2" t="s">
        <v>144</v>
      </c>
      <c r="E122" s="1">
        <f>VLOOKUP($D122,ProjectedP205_Consumption!$D$33:$M$49,7,FALSE)</f>
        <v>4.8237709410485262E-3</v>
      </c>
      <c r="F122" s="1">
        <f>VLOOKUP($D122,ProjectedP205_Consumption!$D$33:$M$49,8,FALSE)</f>
        <v>6.6112695658504094E-3</v>
      </c>
      <c r="G122" s="1">
        <f>VLOOKUP($D122,ProjectedP205_Consumption!$D$33:$M$49,9,FALSE)</f>
        <v>7.3159557871087633E-2</v>
      </c>
      <c r="H122" s="1">
        <f>VLOOKUP($D122,ProjectedP205_Consumption!$D$33:$M$49,10,FALSE)</f>
        <v>0.14406957477870211</v>
      </c>
    </row>
    <row r="123" spans="4:8" ht="13.5" customHeight="1" x14ac:dyDescent="0.25">
      <c r="D123" s="2" t="s">
        <v>68</v>
      </c>
      <c r="E123" s="1">
        <f>VLOOKUP($D123,ProjectedP205_Consumption!$D$33:$M$49,7,FALSE)</f>
        <v>3.1576174188219369E-3</v>
      </c>
      <c r="F123" s="1">
        <f>VLOOKUP($D123,ProjectedP205_Consumption!$D$33:$M$49,8,FALSE)</f>
        <v>4.2800879604591351E-3</v>
      </c>
      <c r="G123" s="1">
        <f>VLOOKUP($D123,ProjectedP205_Consumption!$D$33:$M$49,9,FALSE)</f>
        <v>5.3491172091787442E-2</v>
      </c>
      <c r="H123" s="1">
        <f>VLOOKUP($D123,ProjectedP205_Consumption!$D$33:$M$49,10,FALSE)</f>
        <v>0.10732045867526058</v>
      </c>
    </row>
    <row r="124" spans="4:8" ht="13.5" customHeight="1" x14ac:dyDescent="0.3">
      <c r="D124" s="478" t="str">
        <f>CONCATENATE("OCP share",":  ",D117)</f>
        <v>OCP share:  Cashew nuts, in shell</v>
      </c>
      <c r="E124" s="480">
        <f t="shared" ref="E124:E130" si="31">E103</f>
        <v>0.5</v>
      </c>
      <c r="F124" s="189">
        <f>($H124-$E124)/3+E124</f>
        <v>0.38333333333333336</v>
      </c>
      <c r="G124" s="189">
        <f t="shared" ref="G124:G130" si="32">($H124-$E124)/3+F124</f>
        <v>0.26666666666666672</v>
      </c>
      <c r="H124" s="479">
        <f>H103</f>
        <v>0.15</v>
      </c>
    </row>
    <row r="125" spans="4:8" ht="13.5" customHeight="1" x14ac:dyDescent="0.3">
      <c r="D125" s="478" t="str">
        <f t="shared" ref="D125:D130" si="33">CONCATENATE("OCP share",":  ",D118)</f>
        <v>OCP share:  Cassava, fresh</v>
      </c>
      <c r="E125" s="480">
        <f t="shared" si="31"/>
        <v>0.5</v>
      </c>
      <c r="F125" s="189">
        <f t="shared" ref="F125:F130" si="34">($H125-$E125)/3+E125</f>
        <v>0.38333333333333336</v>
      </c>
      <c r="G125" s="189">
        <f t="shared" si="32"/>
        <v>0.26666666666666672</v>
      </c>
      <c r="H125" s="479">
        <f t="shared" ref="H125:H130" si="35">H104</f>
        <v>0.15</v>
      </c>
    </row>
    <row r="126" spans="4:8" ht="13.5" customHeight="1" x14ac:dyDescent="0.3">
      <c r="D126" s="478" t="str">
        <f t="shared" si="33"/>
        <v>OCP share:  Maize (corn)</v>
      </c>
      <c r="E126" s="480">
        <f t="shared" si="31"/>
        <v>0.5</v>
      </c>
      <c r="F126" s="189">
        <f t="shared" si="34"/>
        <v>0.38333333333333336</v>
      </c>
      <c r="G126" s="189">
        <f t="shared" si="32"/>
        <v>0.26666666666666672</v>
      </c>
      <c r="H126" s="479">
        <f t="shared" si="35"/>
        <v>0.15</v>
      </c>
    </row>
    <row r="127" spans="4:8" ht="13.5" customHeight="1" x14ac:dyDescent="0.3">
      <c r="D127" s="478" t="str">
        <f t="shared" si="33"/>
        <v>OCP share:  Seed cotton, unginned</v>
      </c>
      <c r="E127" s="480">
        <f t="shared" si="31"/>
        <v>0.7</v>
      </c>
      <c r="F127" s="189">
        <f t="shared" si="34"/>
        <v>0.73333333333333328</v>
      </c>
      <c r="G127" s="189">
        <f t="shared" si="32"/>
        <v>0.76666666666666661</v>
      </c>
      <c r="H127" s="479">
        <f t="shared" si="35"/>
        <v>0.8</v>
      </c>
    </row>
    <row r="128" spans="4:8" ht="13.5" customHeight="1" x14ac:dyDescent="0.3">
      <c r="D128" s="478" t="str">
        <f t="shared" si="33"/>
        <v>OCP share:  Mangoes, guavas and mangosteens</v>
      </c>
      <c r="E128" s="480">
        <f t="shared" si="31"/>
        <v>0.5</v>
      </c>
      <c r="F128" s="189">
        <f t="shared" si="34"/>
        <v>0.38333333333333336</v>
      </c>
      <c r="G128" s="189">
        <f t="shared" si="32"/>
        <v>0.26666666666666672</v>
      </c>
      <c r="H128" s="479">
        <f t="shared" si="35"/>
        <v>0.15</v>
      </c>
    </row>
    <row r="129" spans="2:8" ht="13.5" customHeight="1" x14ac:dyDescent="0.3">
      <c r="D129" s="478" t="str">
        <f t="shared" si="33"/>
        <v>OCP share:  Groundnuts, excluding shelled</v>
      </c>
      <c r="E129" s="480">
        <f t="shared" si="31"/>
        <v>0.5</v>
      </c>
      <c r="F129" s="189">
        <f t="shared" si="34"/>
        <v>0.38333333333333336</v>
      </c>
      <c r="G129" s="189">
        <f t="shared" si="32"/>
        <v>0.26666666666666672</v>
      </c>
      <c r="H129" s="479">
        <f t="shared" si="35"/>
        <v>0.15</v>
      </c>
    </row>
    <row r="130" spans="2:8" ht="13.5" customHeight="1" thickBot="1" x14ac:dyDescent="0.35">
      <c r="D130" s="478" t="str">
        <f t="shared" si="33"/>
        <v>OCP share:  Sorghum</v>
      </c>
      <c r="E130" s="480">
        <f t="shared" si="31"/>
        <v>0.5</v>
      </c>
      <c r="F130" s="189">
        <f t="shared" si="34"/>
        <v>0.38333333333333336</v>
      </c>
      <c r="G130" s="189">
        <f t="shared" si="32"/>
        <v>0.26666666666666672</v>
      </c>
      <c r="H130" s="479">
        <f t="shared" si="35"/>
        <v>0.15</v>
      </c>
    </row>
    <row r="131" spans="2:8" ht="13.5" customHeight="1" thickTop="1" thickBot="1" x14ac:dyDescent="0.3">
      <c r="D131" s="281" t="s">
        <v>799</v>
      </c>
      <c r="E131" s="127">
        <f>SUMPRODUCT(E117:E123,E124:E130)</f>
        <v>13.50426999428031</v>
      </c>
      <c r="F131" s="127">
        <f t="shared" ref="F131:H131" si="36">SUMPRODUCT(F117:F123,F124:F130)</f>
        <v>17.032067907012923</v>
      </c>
      <c r="G131" s="127">
        <f t="shared" si="36"/>
        <v>20.520997412731678</v>
      </c>
      <c r="H131" s="127">
        <f t="shared" si="36"/>
        <v>23.871092074788113</v>
      </c>
    </row>
    <row r="132" spans="2:8" ht="13.5" customHeight="1" thickTop="1" x14ac:dyDescent="0.25"/>
    <row r="135" spans="2:8" ht="13.5" customHeight="1" x14ac:dyDescent="0.35">
      <c r="B135" s="29">
        <v>3</v>
      </c>
      <c r="D135" s="28" t="s">
        <v>802</v>
      </c>
    </row>
    <row r="138" spans="2:8" ht="13.5" customHeight="1" x14ac:dyDescent="0.3">
      <c r="D138" s="32" t="s">
        <v>81</v>
      </c>
    </row>
    <row r="139" spans="2:8" ht="13.5" customHeight="1" x14ac:dyDescent="0.3">
      <c r="D139" s="33" t="s">
        <v>82</v>
      </c>
    </row>
    <row r="140" spans="2:8" ht="13.5" customHeight="1" x14ac:dyDescent="0.3">
      <c r="D140" s="30" t="s">
        <v>15</v>
      </c>
      <c r="E140" s="120">
        <v>2022</v>
      </c>
      <c r="F140" s="120">
        <v>2023</v>
      </c>
      <c r="G140" s="120">
        <v>2024</v>
      </c>
      <c r="H140" s="120">
        <v>2025</v>
      </c>
    </row>
    <row r="141" spans="2:8" ht="13.5" customHeight="1" x14ac:dyDescent="0.25">
      <c r="D141" s="2" t="s">
        <v>156</v>
      </c>
      <c r="E141" s="1">
        <f>VLOOKUP($D141,ProjectedP205_Consumption!$D$12:$M$26,7,FALSE)</f>
        <v>5.8369826553011048</v>
      </c>
      <c r="F141" s="1">
        <f>VLOOKUP($D141,ProjectedP205_Consumption!$D$12:$M$26,8,FALSE)</f>
        <v>7.7999576174457532</v>
      </c>
      <c r="G141" s="1">
        <f>VLOOKUP($D141,ProjectedP205_Consumption!$D$12:$M$26,9,FALSE)</f>
        <v>8.7850891845815724</v>
      </c>
      <c r="H141" s="1">
        <f>VLOOKUP($D141,ProjectedP205_Consumption!$D$12:$M$26,10,FALSE)</f>
        <v>9.8946424796504804</v>
      </c>
    </row>
    <row r="142" spans="2:8" ht="13.5" customHeight="1" x14ac:dyDescent="0.25">
      <c r="D142" s="2" t="s">
        <v>182</v>
      </c>
      <c r="E142" s="1">
        <f>VLOOKUP($D142,ProjectedP205_Consumption!$D$12:$M$26,7,FALSE)</f>
        <v>1.2907401183436182</v>
      </c>
      <c r="F142" s="1">
        <f>VLOOKUP($D142,ProjectedP205_Consumption!$D$12:$M$26,8,FALSE)</f>
        <v>1.586490897766063</v>
      </c>
      <c r="G142" s="1">
        <f>VLOOKUP($D142,ProjectedP205_Consumption!$D$12:$M$26,9,FALSE)</f>
        <v>1.616844765819021</v>
      </c>
      <c r="H142" s="1">
        <f>VLOOKUP($D142,ProjectedP205_Consumption!$D$12:$M$26,10,FALSE)</f>
        <v>1.6477793855845002</v>
      </c>
    </row>
    <row r="143" spans="2:8" ht="13.5" customHeight="1" x14ac:dyDescent="0.25">
      <c r="D143" s="2" t="s">
        <v>184</v>
      </c>
      <c r="E143" s="1">
        <f>VLOOKUP($D143,ProjectedP205_Consumption!$D$12:$M$26,7,FALSE)</f>
        <v>5.1265044929183459</v>
      </c>
      <c r="F143" s="1">
        <f>VLOOKUP($D143,ProjectedP205_Consumption!$D$12:$M$26,8,FALSE)</f>
        <v>7.1309670937117282</v>
      </c>
      <c r="G143" s="1">
        <f>VLOOKUP($D143,ProjectedP205_Consumption!$D$12:$M$26,9,FALSE)</f>
        <v>8.3646901738228596</v>
      </c>
      <c r="H143" s="1">
        <f>VLOOKUP($D143,ProjectedP205_Consumption!$D$12:$M$26,10,FALSE)</f>
        <v>9.811858726111403</v>
      </c>
    </row>
    <row r="144" spans="2:8" ht="13.5" customHeight="1" x14ac:dyDescent="0.25">
      <c r="D144" s="2" t="s">
        <v>119</v>
      </c>
      <c r="E144" s="1">
        <f>VLOOKUP($D144,ProjectedP205_Consumption!$D$12:$M$26,7,FALSE)</f>
        <v>2.8988228428496847</v>
      </c>
      <c r="F144" s="1">
        <f>VLOOKUP($D144,ProjectedP205_Consumption!$D$12:$M$26,8,FALSE)</f>
        <v>3.7307849963106614</v>
      </c>
      <c r="G144" s="1">
        <f>VLOOKUP($D144,ProjectedP205_Consumption!$D$12:$M$26,9,FALSE)</f>
        <v>4.0546270119243601</v>
      </c>
      <c r="H144" s="1">
        <f>VLOOKUP($D144,ProjectedP205_Consumption!$D$12:$M$26,10,FALSE)</f>
        <v>4.4065793719241464</v>
      </c>
    </row>
    <row r="145" spans="4:8" ht="13.5" customHeight="1" x14ac:dyDescent="0.3">
      <c r="D145" s="478" t="str">
        <f>CONCATENATE("OCP share",":  ",D141)</f>
        <v>OCP share:  Plantains and cooking bananas</v>
      </c>
      <c r="E145" s="480">
        <v>0</v>
      </c>
      <c r="F145" s="189">
        <f>($H145-$E145)/3+E145</f>
        <v>4.9999999999999996E-2</v>
      </c>
      <c r="G145" s="189">
        <f t="shared" ref="G145:G148" si="37">($H145-$E145)/3+F145</f>
        <v>9.9999999999999992E-2</v>
      </c>
      <c r="H145" s="479">
        <v>0.15</v>
      </c>
    </row>
    <row r="146" spans="4:8" ht="13.5" customHeight="1" x14ac:dyDescent="0.3">
      <c r="D146" s="478" t="str">
        <f>CONCATENATE("OCP share",":  ",D142)</f>
        <v>OCP share:  Natural rubber in primary forms</v>
      </c>
      <c r="E146" s="480">
        <v>0</v>
      </c>
      <c r="F146" s="189">
        <f t="shared" ref="F146:F148" si="38">($H146-$E146)/3+E146</f>
        <v>4.9999999999999996E-2</v>
      </c>
      <c r="G146" s="189">
        <f t="shared" si="37"/>
        <v>9.9999999999999992E-2</v>
      </c>
      <c r="H146" s="479">
        <v>0.15</v>
      </c>
    </row>
    <row r="147" spans="4:8" ht="13.5" customHeight="1" x14ac:dyDescent="0.3">
      <c r="D147" s="478" t="str">
        <f>CONCATENATE("OCP share",":  ",D143)</f>
        <v>OCP share:  Oil palm fruit</v>
      </c>
      <c r="E147" s="480">
        <v>0</v>
      </c>
      <c r="F147" s="189">
        <f t="shared" si="38"/>
        <v>4.9999999999999996E-2</v>
      </c>
      <c r="G147" s="189">
        <f t="shared" si="37"/>
        <v>9.9999999999999992E-2</v>
      </c>
      <c r="H147" s="479">
        <v>0.15</v>
      </c>
    </row>
    <row r="148" spans="4:8" ht="13.5" customHeight="1" thickBot="1" x14ac:dyDescent="0.35">
      <c r="D148" s="478" t="str">
        <f>CONCATENATE("OCP share",":  ",D144)</f>
        <v>OCP share:  Sugar cane</v>
      </c>
      <c r="E148" s="480">
        <v>0</v>
      </c>
      <c r="F148" s="189">
        <f t="shared" si="38"/>
        <v>0.25</v>
      </c>
      <c r="G148" s="189">
        <f t="shared" si="37"/>
        <v>0.5</v>
      </c>
      <c r="H148" s="479">
        <v>0.75</v>
      </c>
    </row>
    <row r="149" spans="4:8" ht="13.5" customHeight="1" thickTop="1" thickBot="1" x14ac:dyDescent="0.3">
      <c r="D149" s="281" t="s">
        <v>799</v>
      </c>
      <c r="E149" s="127">
        <f>SUMPRODUCT(E141:E144,E145:E148)</f>
        <v>0</v>
      </c>
      <c r="F149" s="127">
        <f>SUMPRODUCT(F141:F144,F145:F148)</f>
        <v>1.7585670295238425</v>
      </c>
      <c r="G149" s="127">
        <f>SUMPRODUCT(G141:G144,G145:G148)</f>
        <v>3.9039759183845253</v>
      </c>
      <c r="H149" s="127">
        <f>SUMPRODUCT(H141:H144,H145:H148)</f>
        <v>6.5080766176450675</v>
      </c>
    </row>
    <row r="150" spans="4:8" ht="13.5" customHeight="1" thickTop="1" x14ac:dyDescent="0.25"/>
    <row r="152" spans="4:8" ht="13.5" customHeight="1" x14ac:dyDescent="0.3">
      <c r="D152" s="32" t="s">
        <v>81</v>
      </c>
    </row>
    <row r="153" spans="4:8" ht="13.5" customHeight="1" x14ac:dyDescent="0.3">
      <c r="D153" s="33" t="s">
        <v>82</v>
      </c>
    </row>
    <row r="154" spans="4:8" ht="13.5" customHeight="1" x14ac:dyDescent="0.3">
      <c r="D154" s="30" t="s">
        <v>800</v>
      </c>
      <c r="E154" s="120">
        <v>2022</v>
      </c>
      <c r="F154" s="120">
        <v>2023</v>
      </c>
      <c r="G154" s="120">
        <v>2024</v>
      </c>
      <c r="H154" s="120">
        <v>2025</v>
      </c>
    </row>
    <row r="155" spans="4:8" ht="13.5" customHeight="1" x14ac:dyDescent="0.25">
      <c r="D155" s="2" t="s">
        <v>156</v>
      </c>
      <c r="E155" s="1">
        <f>VLOOKUP($D155,ProjectedP205_Consumption!$D$33:$M$49,7,FALSE)</f>
        <v>5.8369826553011048</v>
      </c>
      <c r="F155" s="1">
        <f>VLOOKUP($D155,ProjectedP205_Consumption!$D$33:$M$49,8,FALSE)</f>
        <v>7.7999576174457532</v>
      </c>
      <c r="G155" s="1">
        <f>VLOOKUP($D155,ProjectedP205_Consumption!$D$33:$M$49,9,FALSE)</f>
        <v>17.474943679959026</v>
      </c>
      <c r="H155" s="1">
        <f>VLOOKUP($D155,ProjectedP205_Consumption!$D$33:$M$49,10,FALSE)</f>
        <v>28.097928454680012</v>
      </c>
    </row>
    <row r="156" spans="4:8" ht="13.5" customHeight="1" x14ac:dyDescent="0.25">
      <c r="D156" s="2" t="s">
        <v>182</v>
      </c>
      <c r="E156" s="1">
        <f>VLOOKUP($D156,ProjectedP205_Consumption!$D$33:$M$49,7,FALSE)</f>
        <v>1.2907401183436182</v>
      </c>
      <c r="F156" s="1">
        <f>VLOOKUP($D156,ProjectedP205_Consumption!$D$33:$M$49,8,FALSE)</f>
        <v>1.586490897766063</v>
      </c>
      <c r="G156" s="1">
        <f>VLOOKUP($D156,ProjectedP205_Consumption!$D$33:$M$49,9,FALSE)</f>
        <v>7.2697143982724972</v>
      </c>
      <c r="H156" s="1">
        <f>VLOOKUP($D156,ProjectedP205_Consumption!$D$33:$M$49,10,FALSE)</f>
        <v>13.517294021585158</v>
      </c>
    </row>
    <row r="157" spans="4:8" ht="13.5" customHeight="1" x14ac:dyDescent="0.25">
      <c r="D157" s="2" t="s">
        <v>184</v>
      </c>
      <c r="E157" s="1">
        <f>VLOOKUP($D157,ProjectedP205_Consumption!$D$33:$M$49,7,FALSE)</f>
        <v>5.1265044929183459</v>
      </c>
      <c r="F157" s="1">
        <f>VLOOKUP($D157,ProjectedP205_Consumption!$D$33:$M$49,8,FALSE)</f>
        <v>7.1309670937117282</v>
      </c>
      <c r="G157" s="1">
        <f>VLOOKUP($D157,ProjectedP205_Consumption!$D$33:$M$49,9,FALSE)</f>
        <v>8.531251164289257</v>
      </c>
      <c r="H157" s="1">
        <f>VLOOKUP($D157,ProjectedP205_Consumption!$D$33:$M$49,10,FALSE)</f>
        <v>10.12575458759761</v>
      </c>
    </row>
    <row r="158" spans="4:8" ht="13.5" customHeight="1" x14ac:dyDescent="0.25">
      <c r="D158" s="2" t="s">
        <v>119</v>
      </c>
      <c r="E158" s="1">
        <f>VLOOKUP($D158,ProjectedP205_Consumption!$D$33:$M$49,7,FALSE)</f>
        <v>2.8988228428496847</v>
      </c>
      <c r="F158" s="1">
        <f>VLOOKUP($D158,ProjectedP205_Consumption!$D$33:$M$49,8,FALSE)</f>
        <v>3.7307849963106614</v>
      </c>
      <c r="G158" s="1">
        <f>VLOOKUP($D158,ProjectedP205_Consumption!$D$33:$M$49,9,FALSE)</f>
        <v>4.0546270119243601</v>
      </c>
      <c r="H158" s="1">
        <f>VLOOKUP($D158,ProjectedP205_Consumption!$D$33:$M$49,10,FALSE)</f>
        <v>4.4065793719241464</v>
      </c>
    </row>
    <row r="159" spans="4:8" ht="13.5" customHeight="1" x14ac:dyDescent="0.3">
      <c r="D159" s="478" t="str">
        <f>CONCATENATE("OCP share",":  ",D155)</f>
        <v>OCP share:  Plantains and cooking bananas</v>
      </c>
      <c r="E159" s="480">
        <v>0</v>
      </c>
      <c r="F159" s="189">
        <f>($H159-$E159)/3+E159</f>
        <v>4.9999999999999996E-2</v>
      </c>
      <c r="G159" s="189">
        <f t="shared" ref="G159:G162" si="39">($H159-$E159)/3+F159</f>
        <v>9.9999999999999992E-2</v>
      </c>
      <c r="H159" s="479">
        <v>0.15</v>
      </c>
    </row>
    <row r="160" spans="4:8" ht="13.5" customHeight="1" x14ac:dyDescent="0.3">
      <c r="D160" s="478" t="str">
        <f>CONCATENATE("OCP share",":  ",D156)</f>
        <v>OCP share:  Natural rubber in primary forms</v>
      </c>
      <c r="E160" s="480">
        <v>0</v>
      </c>
      <c r="F160" s="189">
        <f t="shared" ref="F160:F162" si="40">($H160-$E160)/3+E160</f>
        <v>4.9999999999999996E-2</v>
      </c>
      <c r="G160" s="189">
        <f t="shared" si="39"/>
        <v>9.9999999999999992E-2</v>
      </c>
      <c r="H160" s="479">
        <v>0.15</v>
      </c>
    </row>
    <row r="161" spans="2:8" ht="13.5" customHeight="1" x14ac:dyDescent="0.3">
      <c r="D161" s="478" t="str">
        <f>CONCATENATE("OCP share",":  ",D157)</f>
        <v>OCP share:  Oil palm fruit</v>
      </c>
      <c r="E161" s="480">
        <v>0</v>
      </c>
      <c r="F161" s="189">
        <f t="shared" si="40"/>
        <v>4.9999999999999996E-2</v>
      </c>
      <c r="G161" s="189">
        <f t="shared" si="39"/>
        <v>9.9999999999999992E-2</v>
      </c>
      <c r="H161" s="479">
        <v>0.15</v>
      </c>
    </row>
    <row r="162" spans="2:8" ht="13.5" customHeight="1" thickBot="1" x14ac:dyDescent="0.35">
      <c r="D162" s="478" t="str">
        <f>CONCATENATE("OCP share",":  ",D158)</f>
        <v>OCP share:  Sugar cane</v>
      </c>
      <c r="E162" s="480">
        <v>0</v>
      </c>
      <c r="F162" s="189">
        <f t="shared" si="40"/>
        <v>0.25</v>
      </c>
      <c r="G162" s="189">
        <f t="shared" si="39"/>
        <v>0.5</v>
      </c>
      <c r="H162" s="479">
        <v>0.75</v>
      </c>
    </row>
    <row r="163" spans="2:8" ht="13.5" customHeight="1" thickTop="1" thickBot="1" x14ac:dyDescent="0.3">
      <c r="D163" s="281" t="s">
        <v>799</v>
      </c>
      <c r="E163" s="127">
        <f>SUMPRODUCT(E155:E158,E159:E162)</f>
        <v>0</v>
      </c>
      <c r="F163" s="127">
        <f>SUMPRODUCT(F155:F158,F159:F162)</f>
        <v>1.7585670295238425</v>
      </c>
      <c r="G163" s="127">
        <f>SUMPRODUCT(G155:G158,G159:G162)</f>
        <v>5.3549044302142583</v>
      </c>
      <c r="H163" s="127">
        <f>SUMPRODUCT(H155:H158,H159:H162)</f>
        <v>11.066081088522527</v>
      </c>
    </row>
    <row r="164" spans="2:8" ht="13.5" customHeight="1" thickTop="1" x14ac:dyDescent="0.25"/>
    <row r="167" spans="2:8" ht="13.5" customHeight="1" x14ac:dyDescent="0.35">
      <c r="B167" s="29">
        <v>4</v>
      </c>
      <c r="C167" s="51"/>
      <c r="D167" s="28" t="s">
        <v>803</v>
      </c>
    </row>
    <row r="169" spans="2:8" ht="13.5" customHeight="1" x14ac:dyDescent="0.3">
      <c r="D169" s="32" t="s">
        <v>81</v>
      </c>
    </row>
    <row r="170" spans="2:8" ht="13.5" customHeight="1" x14ac:dyDescent="0.3">
      <c r="D170" s="33" t="s">
        <v>82</v>
      </c>
    </row>
    <row r="171" spans="2:8" ht="13.5" customHeight="1" x14ac:dyDescent="0.3">
      <c r="D171" s="30" t="s">
        <v>15</v>
      </c>
      <c r="E171" s="120">
        <v>2022</v>
      </c>
      <c r="F171" s="120">
        <v>2023</v>
      </c>
      <c r="G171" s="120">
        <v>2024</v>
      </c>
      <c r="H171" s="120">
        <v>2025</v>
      </c>
    </row>
    <row r="172" spans="2:8" ht="13.5" customHeight="1" x14ac:dyDescent="0.25">
      <c r="D172" s="1" t="s">
        <v>73</v>
      </c>
      <c r="E172" s="1">
        <f>VLOOKUP($D172,ProjectedP205_Consumption!$D$12:$M$26,7,FALSE)</f>
        <v>2.745931208354619</v>
      </c>
      <c r="F172" s="1">
        <f>VLOOKUP($D172,ProjectedP205_Consumption!$D$12:$M$26,8,FALSE)</f>
        <v>3.6675702559633128</v>
      </c>
      <c r="G172" s="1">
        <f>VLOOKUP($D172,ProjectedP205_Consumption!$D$12:$M$26,9,FALSE)</f>
        <v>4.2025802054725059</v>
      </c>
      <c r="H172" s="1">
        <f>VLOOKUP($D172,ProjectedP205_Consumption!$D$12:$M$26,10,FALSE)</f>
        <v>4.8156351891861355</v>
      </c>
    </row>
    <row r="173" spans="2:8" ht="13.5" customHeight="1" thickBot="1" x14ac:dyDescent="0.35">
      <c r="D173" s="478" t="str">
        <f>CONCATENATE("OCP share",":  ",D172)</f>
        <v>OCP share:  Rice</v>
      </c>
      <c r="E173" s="480">
        <v>0.05</v>
      </c>
      <c r="F173" s="189">
        <f>($H173-$E173)/3+E173</f>
        <v>8.3333333333333343E-2</v>
      </c>
      <c r="G173" s="189">
        <f t="shared" ref="G173" si="41">($H173-$E173)/3+F173</f>
        <v>0.11666666666666667</v>
      </c>
      <c r="H173" s="479">
        <v>0.15</v>
      </c>
    </row>
    <row r="174" spans="2:8" ht="13.5" customHeight="1" thickTop="1" thickBot="1" x14ac:dyDescent="0.3">
      <c r="D174" s="281" t="s">
        <v>799</v>
      </c>
      <c r="E174" s="127">
        <f>SUMPRODUCT(E172:E172,E173:E173)</f>
        <v>0.13729656041773095</v>
      </c>
      <c r="F174" s="127">
        <f>SUMPRODUCT(F172:F172,F173:F173)</f>
        <v>0.30563085466360945</v>
      </c>
      <c r="G174" s="127">
        <f>SUMPRODUCT(G172:G172,G173:G173)</f>
        <v>0.49030102397179237</v>
      </c>
      <c r="H174" s="127">
        <f>SUMPRODUCT(H172:H172,H173:H173)</f>
        <v>0.72234527837792029</v>
      </c>
    </row>
    <row r="175" spans="2:8" ht="13.5" customHeight="1" thickTop="1" x14ac:dyDescent="0.25"/>
    <row r="177" spans="4:8" ht="13.5" customHeight="1" x14ac:dyDescent="0.3">
      <c r="D177" s="32" t="s">
        <v>81</v>
      </c>
    </row>
    <row r="178" spans="4:8" ht="13.5" customHeight="1" x14ac:dyDescent="0.3">
      <c r="D178" s="33" t="s">
        <v>82</v>
      </c>
    </row>
    <row r="179" spans="4:8" ht="13.5" customHeight="1" x14ac:dyDescent="0.3">
      <c r="D179" s="30" t="s">
        <v>800</v>
      </c>
      <c r="E179" s="120">
        <v>2022</v>
      </c>
      <c r="F179" s="120">
        <v>2023</v>
      </c>
      <c r="G179" s="120">
        <v>2024</v>
      </c>
      <c r="H179" s="120">
        <v>2025</v>
      </c>
    </row>
    <row r="180" spans="4:8" ht="13.5" customHeight="1" x14ac:dyDescent="0.25">
      <c r="D180" s="1" t="s">
        <v>73</v>
      </c>
      <c r="E180" s="1">
        <f>VLOOKUP($D180,ProjectedP205_Consumption!$D$33:$M$49,7,FALSE)</f>
        <v>2.745931208354619</v>
      </c>
      <c r="F180" s="1">
        <f>VLOOKUP($D180,ProjectedP205_Consumption!$D$33:$M$49,8,FALSE)</f>
        <v>3.6675702559633128</v>
      </c>
      <c r="G180" s="1">
        <f>VLOOKUP($D180,ProjectedP205_Consumption!$D$33:$M$49,9,FALSE)</f>
        <v>13.220651151865708</v>
      </c>
      <c r="H180" s="1">
        <f>VLOOKUP($D180,ProjectedP205_Consumption!$D$33:$M$49,10,FALSE)</f>
        <v>21.78609781320441</v>
      </c>
    </row>
    <row r="181" spans="4:8" ht="13.5" customHeight="1" thickBot="1" x14ac:dyDescent="0.35">
      <c r="D181" s="478" t="str">
        <f>CONCATENATE("OCP share",":  ",D180)</f>
        <v>OCP share:  Rice</v>
      </c>
      <c r="E181" s="480">
        <v>0.05</v>
      </c>
      <c r="F181" s="189">
        <f>($H181-$E181)/3+E181</f>
        <v>8.3333333333333343E-2</v>
      </c>
      <c r="G181" s="189">
        <f t="shared" ref="G181" si="42">($H181-$E181)/3+F181</f>
        <v>0.11666666666666667</v>
      </c>
      <c r="H181" s="479">
        <v>0.15</v>
      </c>
    </row>
    <row r="182" spans="4:8" ht="13.5" customHeight="1" thickTop="1" thickBot="1" x14ac:dyDescent="0.3">
      <c r="D182" s="281" t="s">
        <v>799</v>
      </c>
      <c r="E182" s="127">
        <f>SUMPRODUCT(E180:E180,E181:E181)</f>
        <v>0.13729656041773095</v>
      </c>
      <c r="F182" s="127">
        <f>SUMPRODUCT(F180:F180,F181:F181)</f>
        <v>0.30563085466360945</v>
      </c>
      <c r="G182" s="127">
        <f>SUMPRODUCT(G180:G180,G181:G181)</f>
        <v>1.5424093010509992</v>
      </c>
      <c r="H182" s="127">
        <f>SUMPRODUCT(H180:H180,H181:H181)</f>
        <v>3.2679146719806615</v>
      </c>
    </row>
    <row r="183" spans="4:8" ht="13.5" customHeight="1" thickTop="1" x14ac:dyDescent="0.25"/>
  </sheetData>
  <pageMargins left="0.75" right="0.75" top="1" bottom="1" header="0.5" footer="0.5"/>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A5ED-7CBE-4FA6-93CC-0DAF3A292606}">
  <sheetPr>
    <tabColor theme="9" tint="-0.499984740745262"/>
  </sheetPr>
  <dimension ref="A1:AD178"/>
  <sheetViews>
    <sheetView topLeftCell="A22" zoomScale="130" zoomScaleNormal="130" workbookViewId="0">
      <selection activeCell="A19" sqref="A19:XFD19"/>
    </sheetView>
  </sheetViews>
  <sheetFormatPr defaultRowHeight="14.5" x14ac:dyDescent="0.35"/>
  <cols>
    <col min="1" max="1" width="44.54296875" style="193" customWidth="1"/>
    <col min="2" max="2" width="23.1796875" style="193" customWidth="1"/>
    <col min="3" max="3" width="32.1796875" style="193" customWidth="1"/>
    <col min="4" max="4" width="24.6328125" style="193" customWidth="1"/>
    <col min="5" max="5" width="27" style="193" bestFit="1" customWidth="1"/>
    <col min="6" max="6" width="46.7265625" style="193" bestFit="1" customWidth="1"/>
    <col min="7" max="7" width="24.1796875" style="193" customWidth="1"/>
    <col min="8" max="8" width="27.81640625" style="193" bestFit="1" customWidth="1"/>
    <col min="9" max="9" width="18.1796875" style="193" customWidth="1"/>
    <col min="10" max="10" width="20.08984375" style="193" customWidth="1"/>
    <col min="11" max="11" width="18.36328125" style="193" customWidth="1"/>
    <col min="12" max="12" width="50.7265625" style="193" bestFit="1" customWidth="1"/>
    <col min="13" max="13" width="49.453125" style="328" bestFit="1" customWidth="1"/>
    <col min="14" max="14" width="10.81640625" style="253" customWidth="1"/>
    <col min="15" max="15" width="48.81640625" style="253" customWidth="1"/>
    <col min="16" max="16" width="16.26953125" style="253" customWidth="1"/>
    <col min="17" max="17" width="14" style="253" bestFit="1" customWidth="1"/>
    <col min="18" max="18" width="15.7265625" style="253" bestFit="1" customWidth="1"/>
    <col min="19" max="19" width="18.08984375" style="253" bestFit="1" customWidth="1"/>
    <col min="20" max="20" width="14" style="253" bestFit="1" customWidth="1"/>
    <col min="21" max="21" width="17.08984375" style="253" bestFit="1" customWidth="1"/>
    <col min="22" max="22" width="12" style="253" bestFit="1" customWidth="1"/>
    <col min="23" max="23" width="16" style="253" bestFit="1" customWidth="1"/>
    <col min="24" max="24" width="12" style="253" bestFit="1" customWidth="1"/>
    <col min="25" max="25" width="15.90625" style="253" bestFit="1" customWidth="1"/>
    <col min="26" max="26" width="12" style="253" bestFit="1" customWidth="1"/>
    <col min="27" max="27" width="16" style="253" bestFit="1" customWidth="1"/>
    <col min="28" max="28" width="16.1796875" style="253" bestFit="1" customWidth="1"/>
    <col min="29" max="29" width="44.26953125" style="253" bestFit="1" customWidth="1"/>
    <col min="30" max="30" width="10" style="253" bestFit="1" customWidth="1"/>
    <col min="31" max="31" width="11" style="253" bestFit="1" customWidth="1"/>
    <col min="32" max="32" width="23.36328125" style="253" bestFit="1" customWidth="1"/>
    <col min="33" max="33" width="16" style="253" bestFit="1" customWidth="1"/>
    <col min="34" max="35" width="12" style="253" bestFit="1" customWidth="1"/>
    <col min="36" max="36" width="16" style="253" bestFit="1" customWidth="1"/>
    <col min="37" max="37" width="44.26953125" style="253" bestFit="1" customWidth="1"/>
    <col min="38" max="38" width="9" style="253" bestFit="1" customWidth="1"/>
    <col min="39" max="39" width="31.6328125" style="253" bestFit="1" customWidth="1"/>
    <col min="40" max="40" width="41.90625" style="253" bestFit="1" customWidth="1"/>
    <col min="41" max="42" width="10" style="253" bestFit="1" customWidth="1"/>
    <col min="43" max="43" width="38.1796875" style="253" bestFit="1" customWidth="1"/>
    <col min="44" max="44" width="44.26953125" style="253" bestFit="1" customWidth="1"/>
    <col min="45" max="45" width="11" style="253" bestFit="1" customWidth="1"/>
    <col min="46" max="46" width="9" style="253" bestFit="1" customWidth="1"/>
    <col min="47" max="47" width="14.453125" style="253" bestFit="1" customWidth="1"/>
    <col min="48" max="48" width="15.36328125" style="253" bestFit="1" customWidth="1"/>
    <col min="49" max="49" width="18.26953125" style="253" bestFit="1" customWidth="1"/>
    <col min="50" max="50" width="37.7265625" style="253" bestFit="1" customWidth="1"/>
    <col min="51" max="51" width="16" style="253" bestFit="1" customWidth="1"/>
    <col min="52" max="52" width="20.7265625" style="253" bestFit="1" customWidth="1"/>
    <col min="53" max="53" width="10.7265625" style="253" bestFit="1" customWidth="1"/>
    <col min="54" max="54" width="11" style="253" bestFit="1" customWidth="1"/>
    <col min="55" max="55" width="9.08984375" style="253" bestFit="1" customWidth="1"/>
    <col min="56" max="56" width="15" style="253" bestFit="1" customWidth="1"/>
    <col min="57" max="57" width="15.54296875" style="253" bestFit="1" customWidth="1"/>
    <col min="58" max="58" width="13.90625" style="253" bestFit="1" customWidth="1"/>
    <col min="59" max="59" width="15.36328125" style="253" bestFit="1" customWidth="1"/>
    <col min="60" max="60" width="18.36328125" style="253" bestFit="1" customWidth="1"/>
    <col min="61" max="61" width="20" style="253" bestFit="1" customWidth="1"/>
    <col min="62" max="62" width="14.453125" style="253" bestFit="1" customWidth="1"/>
    <col min="63" max="63" width="37.7265625" style="253" bestFit="1" customWidth="1"/>
    <col min="64" max="64" width="16.1796875" style="253" bestFit="1" customWidth="1"/>
    <col min="65" max="65" width="17" style="253" bestFit="1" customWidth="1"/>
    <col min="66" max="66" width="21" style="253" bestFit="1" customWidth="1"/>
    <col min="67" max="67" width="7.54296875" style="253" bestFit="1" customWidth="1"/>
    <col min="68" max="68" width="10.7265625" style="253" bestFit="1" customWidth="1"/>
    <col min="69" max="16384" width="8.7265625" style="253"/>
  </cols>
  <sheetData>
    <row r="1" spans="1:13" s="295" customFormat="1" ht="13.5" customHeight="1" x14ac:dyDescent="0.25">
      <c r="A1" s="292"/>
      <c r="B1" s="292"/>
      <c r="C1" s="292"/>
      <c r="D1" s="293"/>
      <c r="E1" s="292"/>
      <c r="F1" s="294" t="str">
        <f>Title</f>
        <v>OCP Africa - Ghana P205</v>
      </c>
      <c r="G1" s="293"/>
    </row>
    <row r="2" spans="1:13" s="295" customFormat="1" ht="13.5" customHeight="1" x14ac:dyDescent="0.25">
      <c r="A2" s="292"/>
      <c r="B2" s="292"/>
      <c r="C2" s="292"/>
      <c r="D2" s="293"/>
      <c r="E2" s="292"/>
      <c r="F2" s="296" t="str">
        <f>Title</f>
        <v>OCP Africa - Ghana P205</v>
      </c>
      <c r="G2" s="297"/>
      <c r="K2" s="295">
        <v>75</v>
      </c>
    </row>
    <row r="3" spans="1:13" s="295" customFormat="1" ht="13.5" customHeight="1" x14ac:dyDescent="0.25">
      <c r="A3" s="292"/>
      <c r="B3" s="292"/>
      <c r="C3" s="292"/>
      <c r="D3" s="293"/>
      <c r="E3" s="292"/>
      <c r="F3" s="27" t="str">
        <f ca="1">MID(CELL("filename",F3),FIND("]",CELL("filename",F3))+1,256)</f>
        <v xml:space="preserve"> Product Mix Hypotheses</v>
      </c>
      <c r="G3" s="298"/>
    </row>
    <row r="4" spans="1:13" s="295" customFormat="1" ht="13.5" customHeight="1" x14ac:dyDescent="0.25">
      <c r="A4" s="292"/>
      <c r="B4" s="292"/>
      <c r="C4" s="292"/>
      <c r="D4" s="293"/>
      <c r="E4" s="292"/>
      <c r="F4" s="294"/>
      <c r="G4" s="293"/>
    </row>
    <row r="5" spans="1:13" s="302" customFormat="1" ht="13.5" customHeight="1" x14ac:dyDescent="0.3">
      <c r="A5" s="299"/>
      <c r="B5" s="299"/>
      <c r="C5" s="299"/>
      <c r="D5" s="300"/>
      <c r="E5" s="299"/>
      <c r="F5" s="301"/>
      <c r="G5" s="301"/>
    </row>
    <row r="6" spans="1:13" x14ac:dyDescent="0.35">
      <c r="A6" s="253"/>
      <c r="B6" s="303"/>
      <c r="C6" s="303"/>
      <c r="D6" s="253"/>
      <c r="E6" s="303"/>
      <c r="F6" s="253"/>
      <c r="G6" s="253"/>
      <c r="H6" s="253"/>
      <c r="I6" s="253"/>
      <c r="J6" s="253"/>
      <c r="K6" s="253"/>
      <c r="L6" s="253"/>
      <c r="M6" s="304"/>
    </row>
    <row r="7" spans="1:13" x14ac:dyDescent="0.35">
      <c r="A7" s="253"/>
      <c r="B7" s="253"/>
      <c r="C7" s="303"/>
      <c r="D7" s="253"/>
      <c r="E7" s="303"/>
      <c r="F7" s="253"/>
      <c r="G7" s="253"/>
      <c r="H7" s="253"/>
      <c r="I7" s="253"/>
      <c r="J7" s="253"/>
      <c r="K7" s="253"/>
      <c r="L7" s="253"/>
      <c r="M7" s="304"/>
    </row>
    <row r="8" spans="1:13" s="309" customFormat="1" ht="13.5" customHeight="1" x14ac:dyDescent="0.3">
      <c r="A8" s="305" t="s">
        <v>458</v>
      </c>
      <c r="B8" s="306"/>
      <c r="C8" s="306"/>
      <c r="D8" s="307"/>
      <c r="E8" s="306"/>
      <c r="F8" s="308"/>
      <c r="G8" s="308"/>
    </row>
    <row r="9" spans="1:13" x14ac:dyDescent="0.35">
      <c r="A9" s="253"/>
      <c r="B9" s="253"/>
      <c r="C9" s="253"/>
      <c r="D9" s="253"/>
      <c r="E9" s="253"/>
      <c r="F9" s="253"/>
      <c r="G9" s="253"/>
      <c r="H9" s="253"/>
      <c r="I9" s="253"/>
      <c r="J9" s="253"/>
      <c r="K9" s="253"/>
      <c r="L9" s="304"/>
      <c r="M9" s="253"/>
    </row>
    <row r="10" spans="1:13" x14ac:dyDescent="0.35">
      <c r="A10" s="310" t="s">
        <v>752</v>
      </c>
      <c r="B10" s="310"/>
      <c r="C10" s="310"/>
      <c r="D10" s="310"/>
      <c r="E10" s="310"/>
      <c r="F10" s="253"/>
      <c r="G10" s="310"/>
      <c r="H10" s="253"/>
      <c r="I10" s="253"/>
      <c r="J10" s="253"/>
      <c r="K10" s="253"/>
      <c r="L10" s="253"/>
      <c r="M10" s="304"/>
    </row>
    <row r="11" spans="1:13" s="313" customFormat="1" ht="15.5" x14ac:dyDescent="0.25">
      <c r="A11" s="311" t="s">
        <v>201</v>
      </c>
      <c r="B11" s="311" t="s">
        <v>550</v>
      </c>
      <c r="C11" s="311" t="s">
        <v>551</v>
      </c>
      <c r="D11" s="311" t="s">
        <v>749</v>
      </c>
      <c r="E11" s="311" t="s">
        <v>751</v>
      </c>
      <c r="H11" s="312"/>
      <c r="I11" s="312"/>
      <c r="J11" s="312"/>
    </row>
    <row r="12" spans="1:13" x14ac:dyDescent="0.35">
      <c r="A12" s="314" t="s">
        <v>220</v>
      </c>
      <c r="B12" s="421">
        <f>VLOOKUP(A12,'VIFAA - Consumption per product'!$B$345:$C$378,2,FALSE)/1000</f>
        <v>97.762</v>
      </c>
      <c r="C12" s="421">
        <f>IF(IFERROR(VLOOKUP(A12,'OCP Sales in CIV - synthesis '!$A$10:$B$17,2,FALSE)/1000,"-")&gt;B12,B12,IFERROR(VLOOKUP(A12,'OCP Sales in CIV - synthesis '!$A$10:$B$17,2,FALSE)/1000,"-"))</f>
        <v>31.822700000000001</v>
      </c>
      <c r="D12" s="315">
        <f>C12/B12</f>
        <v>0.32551195761134183</v>
      </c>
      <c r="E12" s="315">
        <f>H28</f>
        <v>0.46</v>
      </c>
      <c r="F12" s="253"/>
      <c r="G12" s="253"/>
      <c r="H12" s="258"/>
      <c r="I12" s="258"/>
      <c r="J12" s="258"/>
      <c r="K12" s="253"/>
      <c r="L12" s="253"/>
      <c r="M12" s="253"/>
    </row>
    <row r="13" spans="1:13" x14ac:dyDescent="0.35">
      <c r="A13" s="314" t="s">
        <v>231</v>
      </c>
      <c r="B13" s="421">
        <f>VLOOKUP(A13,'VIFAA - Consumption per product'!$B$345:$C$378,2,FALSE)/1000</f>
        <v>46.55</v>
      </c>
      <c r="C13" s="421">
        <f>IF(IFERROR(VLOOKUP(A13,'OCP Sales in CIV - synthesis '!$A$10:$B$17,2,FALSE)/1000,"-")&gt;B13,B13,IFERROR(VLOOKUP(A13,'OCP Sales in CIV - synthesis '!$A$10:$B$17,2,FALSE)/1000,"-"))</f>
        <v>16.492000000000001</v>
      </c>
      <c r="D13" s="315">
        <f t="shared" ref="D13:D19" si="0">C13/B13</f>
        <v>0.35428571428571431</v>
      </c>
      <c r="E13" s="315">
        <f t="shared" ref="E13:E19" si="1">H29</f>
        <v>0.46</v>
      </c>
      <c r="F13" s="253"/>
      <c r="G13" s="253"/>
      <c r="H13" s="258"/>
      <c r="I13" s="258"/>
      <c r="J13" s="258"/>
      <c r="K13" s="253"/>
      <c r="L13" s="253"/>
      <c r="M13" s="253"/>
    </row>
    <row r="14" spans="1:13" x14ac:dyDescent="0.35">
      <c r="A14" s="314" t="s">
        <v>242</v>
      </c>
      <c r="B14" s="421">
        <f>VLOOKUP(A14,'VIFAA - Consumption per product'!$B$345:$C$378,2,FALSE)/1000</f>
        <v>0.27100000000000002</v>
      </c>
      <c r="C14" s="421">
        <f>IF(IFERROR(VLOOKUP(A14,'OCP Sales in CIV - synthesis '!$A$10:$B$17,2,FALSE)/1000,"-")&gt;B14,B14,IFERROR(VLOOKUP(A14,'OCP Sales in CIV - synthesis '!$A$10:$B$17,2,FALSE)/1000,"-"))</f>
        <v>0.27100000000000002</v>
      </c>
      <c r="D14" s="315">
        <f t="shared" si="0"/>
        <v>1</v>
      </c>
      <c r="E14" s="315">
        <f t="shared" si="1"/>
        <v>0.5</v>
      </c>
      <c r="F14" s="253"/>
      <c r="G14" s="253"/>
      <c r="H14" s="258"/>
      <c r="I14" s="258"/>
      <c r="J14" s="258"/>
      <c r="K14" s="253"/>
      <c r="L14" s="253"/>
      <c r="M14" s="253"/>
    </row>
    <row r="15" spans="1:13" x14ac:dyDescent="0.35">
      <c r="A15" s="314" t="s">
        <v>421</v>
      </c>
      <c r="B15" s="421">
        <f>VLOOKUP(A15,'VIFAA - Consumption per product'!$B$345:$C$378,2,FALSE)/1000</f>
        <v>5.7939999999999998E-2</v>
      </c>
      <c r="C15" s="421">
        <f>IF(IFERROR(VLOOKUP(A15,'OCP Sales in CIV - synthesis '!$A$10:$B$17,2,FALSE)/1000,"-")&gt;B15,B15,IFERROR(VLOOKUP(A15,'OCP Sales in CIV - synthesis '!$A$10:$B$17,2,FALSE)/1000,"-"))</f>
        <v>5.7939999999999998E-2</v>
      </c>
      <c r="D15" s="315">
        <f t="shared" si="0"/>
        <v>1</v>
      </c>
      <c r="E15" s="315">
        <f t="shared" si="1"/>
        <v>0.1</v>
      </c>
      <c r="F15" s="253"/>
      <c r="G15" s="253"/>
      <c r="H15" s="258"/>
      <c r="I15" s="258"/>
      <c r="J15" s="258"/>
      <c r="K15" s="253"/>
      <c r="L15" s="253"/>
      <c r="M15" s="253"/>
    </row>
    <row r="16" spans="1:13" x14ac:dyDescent="0.35">
      <c r="A16" s="314" t="s">
        <v>229</v>
      </c>
      <c r="B16" s="421">
        <f>VLOOKUP(A16,'VIFAA - Consumption per product'!$B$345:$C$378,2,FALSE)/1000</f>
        <v>15.71</v>
      </c>
      <c r="C16" s="421">
        <f>IF(IFERROR(VLOOKUP(A16,'OCP Sales in CIV - synthesis '!$A$10:$B$17,2,FALSE)/1000,"-")&gt;B16,B16,IFERROR(VLOOKUP(A16,'OCP Sales in CIV - synthesis '!$A$10:$B$17,2,FALSE)/1000,"-"))</f>
        <v>15.71</v>
      </c>
      <c r="D16" s="315">
        <f t="shared" si="0"/>
        <v>1</v>
      </c>
      <c r="E16" s="315">
        <f t="shared" si="1"/>
        <v>0.33</v>
      </c>
      <c r="F16" s="253"/>
      <c r="G16" s="253"/>
      <c r="H16" s="258"/>
      <c r="I16" s="258"/>
      <c r="J16" s="258"/>
      <c r="K16" s="253"/>
      <c r="L16" s="253"/>
      <c r="M16" s="253"/>
    </row>
    <row r="17" spans="1:30" x14ac:dyDescent="0.35">
      <c r="A17" s="314" t="s">
        <v>406</v>
      </c>
      <c r="B17" s="421">
        <f>VLOOKUP(A17,'VIFAA - Consumption per product'!$B$345:$C$378,2,FALSE)/1000</f>
        <v>6</v>
      </c>
      <c r="C17" s="421">
        <f>IF(IFERROR(VLOOKUP(A17,'OCP Sales in CIV - synthesis '!$A$10:$B$17,2,FALSE)/1000,"-")&gt;B17,B17,IFERROR(VLOOKUP(A17,'OCP Sales in CIV - synthesis '!$A$10:$B$17,2,FALSE)/1000,"-"))</f>
        <v>4.8765499999999999</v>
      </c>
      <c r="D17" s="315">
        <f t="shared" si="0"/>
        <v>0.81275833333333336</v>
      </c>
      <c r="E17" s="315">
        <f t="shared" si="1"/>
        <v>0.23</v>
      </c>
      <c r="F17" s="253"/>
      <c r="G17" s="253"/>
      <c r="H17" s="258"/>
      <c r="I17" s="258"/>
      <c r="J17" s="258"/>
      <c r="K17" s="253"/>
      <c r="L17" s="253"/>
      <c r="M17" s="253"/>
    </row>
    <row r="18" spans="1:30" x14ac:dyDescent="0.35">
      <c r="A18" s="314" t="s">
        <v>407</v>
      </c>
      <c r="B18" s="421">
        <f>VLOOKUP(A18,'VIFAA - Consumption per product'!$B$345:$C$378,2,FALSE)/1000</f>
        <v>53.765000000000001</v>
      </c>
      <c r="C18" s="421">
        <f>IF(IFERROR(VLOOKUP(A18,'OCP Sales in CIV - synthesis '!$A$10:$B$17,2,FALSE)/1000,"-")&gt;B18,B18,IFERROR(VLOOKUP(A18,'OCP Sales in CIV - synthesis '!$A$10:$B$17,2,FALSE)/1000,"-"))</f>
        <v>53.765000000000001</v>
      </c>
      <c r="D18" s="315">
        <f t="shared" si="0"/>
        <v>1</v>
      </c>
      <c r="E18" s="315">
        <f t="shared" si="1"/>
        <v>0.15</v>
      </c>
      <c r="F18" s="253"/>
      <c r="G18" s="253"/>
      <c r="H18" s="258"/>
      <c r="I18" s="258"/>
      <c r="J18" s="258"/>
      <c r="K18" s="253"/>
      <c r="L18" s="253"/>
      <c r="M18" s="253"/>
    </row>
    <row r="19" spans="1:30" x14ac:dyDescent="0.35">
      <c r="A19" s="314" t="s">
        <v>438</v>
      </c>
      <c r="B19" s="421">
        <f>VLOOKUP(A19,'VIFAA - Consumption per product'!$B$345:$C$378,2,FALSE)/1000</f>
        <v>3.3</v>
      </c>
      <c r="C19" s="421">
        <f>IF(IFERROR(VLOOKUP(A19,'OCP Sales in CIV - synthesis '!$A$10:$B$17,2,FALSE)/1000,"-")&gt;B19,B19,IFERROR(VLOOKUP(A19,'OCP Sales in CIV - synthesis '!$A$10:$B$17,2,FALSE)/1000,"-"))</f>
        <v>3.3</v>
      </c>
      <c r="D19" s="315">
        <f t="shared" si="0"/>
        <v>1</v>
      </c>
      <c r="E19" s="315">
        <f t="shared" si="1"/>
        <v>0.02</v>
      </c>
      <c r="F19" s="253"/>
      <c r="G19" s="253"/>
      <c r="H19" s="258"/>
      <c r="I19" s="258"/>
      <c r="J19" s="258"/>
      <c r="K19" s="253"/>
      <c r="L19" s="253"/>
      <c r="M19" s="253"/>
    </row>
    <row r="20" spans="1:30" x14ac:dyDescent="0.35">
      <c r="A20" s="316" t="s">
        <v>83</v>
      </c>
      <c r="B20" s="422">
        <f>SUM(B12:B19)</f>
        <v>223.41594000000003</v>
      </c>
      <c r="C20" s="422">
        <f>SUM(C12:C19)</f>
        <v>126.29519000000001</v>
      </c>
      <c r="D20" s="317">
        <f>C20/B20</f>
        <v>0.56529176029248396</v>
      </c>
      <c r="E20" s="350">
        <f>SUMPRODUCT(B12:B19,E12:E19)/B20</f>
        <v>0.36353656771311837</v>
      </c>
      <c r="F20" s="253"/>
      <c r="G20" s="319"/>
      <c r="H20" s="253"/>
      <c r="I20" s="253"/>
      <c r="J20" s="253"/>
      <c r="K20" s="253"/>
      <c r="L20" s="253"/>
      <c r="M20" s="253"/>
    </row>
    <row r="21" spans="1:30" x14ac:dyDescent="0.35">
      <c r="A21" s="254"/>
      <c r="B21" s="320"/>
      <c r="C21" s="320"/>
      <c r="D21" s="321"/>
      <c r="E21" s="320"/>
      <c r="F21" s="320"/>
      <c r="G21" s="321"/>
      <c r="H21" s="321"/>
      <c r="I21" s="321"/>
      <c r="J21" s="304"/>
      <c r="K21" s="318"/>
      <c r="L21" s="253"/>
      <c r="M21" s="319"/>
    </row>
    <row r="22" spans="1:30" x14ac:dyDescent="0.35">
      <c r="A22" s="323" t="s">
        <v>750</v>
      </c>
      <c r="B22" s="324">
        <f>SUMPRODUCT(B12:B19,H28:H35)/B20</f>
        <v>0.36353656771311837</v>
      </c>
      <c r="C22" s="253"/>
      <c r="D22" s="253"/>
      <c r="E22" s="322"/>
      <c r="F22" s="253"/>
      <c r="G22" s="253"/>
      <c r="J22" s="304"/>
      <c r="K22" s="304"/>
      <c r="L22" s="253"/>
      <c r="M22" s="253"/>
    </row>
    <row r="23" spans="1:30" x14ac:dyDescent="0.35">
      <c r="A23" s="253"/>
      <c r="B23" s="253"/>
      <c r="C23" s="253"/>
      <c r="D23" s="253"/>
      <c r="E23" s="253"/>
      <c r="F23" s="253"/>
      <c r="G23" s="253"/>
      <c r="H23" s="253"/>
      <c r="I23" s="253"/>
      <c r="J23" s="253"/>
      <c r="K23" s="253"/>
      <c r="L23" s="253"/>
      <c r="M23" s="304"/>
      <c r="N23" s="304"/>
      <c r="P23" s="303"/>
      <c r="R23" s="303"/>
      <c r="S23" s="303"/>
      <c r="T23" s="303"/>
      <c r="U23" s="303"/>
      <c r="V23" s="303"/>
      <c r="W23" s="303"/>
      <c r="X23" s="303"/>
      <c r="Y23" s="303"/>
      <c r="Z23" s="303"/>
      <c r="AA23" s="303"/>
      <c r="AB23" s="303"/>
      <c r="AC23" s="303"/>
      <c r="AD23" s="303"/>
    </row>
    <row r="24" spans="1:30" s="309" customFormat="1" ht="13.5" customHeight="1" x14ac:dyDescent="0.3">
      <c r="A24" s="305" t="s">
        <v>462</v>
      </c>
      <c r="B24" s="306"/>
      <c r="C24" s="306"/>
      <c r="D24" s="307"/>
      <c r="E24" s="306"/>
      <c r="F24" s="308"/>
      <c r="G24" s="308"/>
    </row>
    <row r="25" spans="1:30" x14ac:dyDescent="0.35">
      <c r="A25" s="253"/>
      <c r="B25" s="253"/>
      <c r="C25" s="253"/>
      <c r="D25" s="253"/>
      <c r="E25" s="253"/>
      <c r="F25" s="253"/>
      <c r="G25" s="253"/>
      <c r="H25" s="253"/>
      <c r="I25" s="253"/>
      <c r="J25" s="253"/>
      <c r="K25" s="253"/>
      <c r="L25" s="253"/>
      <c r="M25" s="253"/>
      <c r="N25" s="304"/>
    </row>
    <row r="26" spans="1:30" x14ac:dyDescent="0.35">
      <c r="A26" s="325" t="s">
        <v>463</v>
      </c>
      <c r="B26" s="253"/>
      <c r="C26" s="253"/>
      <c r="D26" s="253"/>
      <c r="F26" s="253"/>
      <c r="G26" s="253" t="s">
        <v>464</v>
      </c>
      <c r="H26" s="253"/>
      <c r="I26" s="253"/>
      <c r="J26" s="647"/>
      <c r="K26" s="647"/>
      <c r="L26" s="647"/>
      <c r="M26" s="253"/>
      <c r="O26" s="304"/>
    </row>
    <row r="27" spans="1:30" ht="31" x14ac:dyDescent="0.35">
      <c r="A27" s="311" t="s">
        <v>201</v>
      </c>
      <c r="B27" s="311" t="s">
        <v>558</v>
      </c>
      <c r="C27" s="311" t="s">
        <v>465</v>
      </c>
      <c r="D27" s="311" t="s">
        <v>466</v>
      </c>
      <c r="E27" s="311" t="s">
        <v>467</v>
      </c>
      <c r="F27" s="311" t="s">
        <v>468</v>
      </c>
      <c r="G27" s="311" t="s">
        <v>60</v>
      </c>
      <c r="H27" s="311" t="s">
        <v>469</v>
      </c>
      <c r="I27" s="327" t="s">
        <v>559</v>
      </c>
      <c r="J27" s="327" t="s">
        <v>470</v>
      </c>
      <c r="K27" s="311" t="s">
        <v>471</v>
      </c>
      <c r="L27" s="311" t="s">
        <v>472</v>
      </c>
      <c r="M27" s="311" t="s">
        <v>473</v>
      </c>
      <c r="N27" s="311" t="s">
        <v>60</v>
      </c>
      <c r="O27" s="328"/>
      <c r="Q27" s="304"/>
    </row>
    <row r="28" spans="1:30" x14ac:dyDescent="0.35">
      <c r="A28" s="314" t="s">
        <v>220</v>
      </c>
      <c r="B28" s="375">
        <f>H28*B12</f>
        <v>44.97052</v>
      </c>
      <c r="C28" s="329">
        <f t="shared" ref="C28:F35" si="2">J28*C$36</f>
        <v>39.973171521505563</v>
      </c>
      <c r="D28" s="329">
        <f t="shared" si="2"/>
        <v>51.856639584700787</v>
      </c>
      <c r="E28" s="329">
        <f t="shared" si="2"/>
        <v>56.59636385627185</v>
      </c>
      <c r="F28" s="329">
        <f t="shared" si="2"/>
        <v>61.830588394512716</v>
      </c>
      <c r="G28" s="253"/>
      <c r="H28" s="330">
        <f>VLOOKUP(A28,'VIFAA - Consumption per product'!$D$6:$F$265,3,FALSE)</f>
        <v>0.46</v>
      </c>
      <c r="I28" s="331">
        <f>B28/$B$36</f>
        <v>0.55369622864708179</v>
      </c>
      <c r="J28" s="332">
        <f t="shared" ref="J28:J35" si="3">(B12*H28)/($B$20*$B$22)</f>
        <v>0.553688688767073</v>
      </c>
      <c r="K28" s="332">
        <f t="shared" ref="K28:K35" si="4">J28</f>
        <v>0.553688688767073</v>
      </c>
      <c r="L28" s="332">
        <f>(K28+(M28-K28)/2)</f>
        <v>0.5536924587070774</v>
      </c>
      <c r="M28" s="330">
        <f>I28</f>
        <v>0.55369622864708179</v>
      </c>
      <c r="N28" s="333"/>
      <c r="O28" s="304"/>
      <c r="Q28" s="304"/>
    </row>
    <row r="29" spans="1:30" x14ac:dyDescent="0.35">
      <c r="A29" s="314" t="s">
        <v>231</v>
      </c>
      <c r="B29" s="375">
        <f t="shared" ref="B29:B35" si="5">H29*B13</f>
        <v>21.413</v>
      </c>
      <c r="C29" s="329">
        <f t="shared" si="2"/>
        <v>19.033480639983676</v>
      </c>
      <c r="D29" s="329">
        <f t="shared" si="2"/>
        <v>24.691869772179597</v>
      </c>
      <c r="E29" s="329">
        <f t="shared" si="2"/>
        <v>26.94871972248373</v>
      </c>
      <c r="F29" s="329">
        <f t="shared" si="2"/>
        <v>29.441029129565344</v>
      </c>
      <c r="G29" s="253"/>
      <c r="H29" s="330">
        <f>VLOOKUP(A29,'VIFAA - Consumption per product'!$D$6:$F$265,3,FALSE)</f>
        <v>0.46</v>
      </c>
      <c r="I29" s="331">
        <f t="shared" ref="I29:I36" si="6">B29/$B$36</f>
        <v>0.26364599173013703</v>
      </c>
      <c r="J29" s="332">
        <f t="shared" si="3"/>
        <v>0.26364240156816809</v>
      </c>
      <c r="K29" s="332">
        <f t="shared" si="4"/>
        <v>0.26364240156816809</v>
      </c>
      <c r="L29" s="332">
        <f t="shared" ref="L29:L35" si="7">(K29+(M29-K29)/2)</f>
        <v>0.26364419664915256</v>
      </c>
      <c r="M29" s="330">
        <f t="shared" ref="M29:M35" si="8">I29</f>
        <v>0.26364599173013703</v>
      </c>
      <c r="N29" s="333"/>
      <c r="O29" s="304"/>
      <c r="Q29" s="304"/>
    </row>
    <row r="30" spans="1:30" x14ac:dyDescent="0.35">
      <c r="A30" s="314" t="s">
        <v>242</v>
      </c>
      <c r="B30" s="375">
        <f t="shared" si="5"/>
        <v>0.13550000000000001</v>
      </c>
      <c r="C30" s="329">
        <f t="shared" si="2"/>
        <v>0.12044256417679861</v>
      </c>
      <c r="D30" s="329">
        <f t="shared" si="2"/>
        <v>0.15624846374306897</v>
      </c>
      <c r="E30" s="329">
        <f t="shared" si="2"/>
        <v>0.17052965592848018</v>
      </c>
      <c r="F30" s="329">
        <f t="shared" si="2"/>
        <v>0.1863008194580911</v>
      </c>
      <c r="G30" s="253"/>
      <c r="H30" s="330">
        <f>VLOOKUP(A30,'VIFAA - Consumption per product'!$D$6:$F$265,3,FALSE)</f>
        <v>0.5</v>
      </c>
      <c r="I30" s="331">
        <f t="shared" si="6"/>
        <v>1.6683338102757004E-3</v>
      </c>
      <c r="J30" s="332">
        <f t="shared" si="3"/>
        <v>1.6683110919762192E-3</v>
      </c>
      <c r="K30" s="332">
        <f t="shared" si="4"/>
        <v>1.6683110919762192E-3</v>
      </c>
      <c r="L30" s="332">
        <f t="shared" si="7"/>
        <v>1.6683224511259598E-3</v>
      </c>
      <c r="M30" s="330">
        <f t="shared" si="8"/>
        <v>1.6683338102757004E-3</v>
      </c>
      <c r="N30" s="333"/>
      <c r="O30" s="304"/>
      <c r="Q30" s="304"/>
    </row>
    <row r="31" spans="1:30" x14ac:dyDescent="0.35">
      <c r="A31" s="314" t="s">
        <v>421</v>
      </c>
      <c r="B31" s="375">
        <f t="shared" si="5"/>
        <v>5.7940000000000005E-3</v>
      </c>
      <c r="C31" s="329">
        <f t="shared" si="2"/>
        <v>5.1501418217001554E-3</v>
      </c>
      <c r="D31" s="329">
        <f t="shared" si="2"/>
        <v>6.6812073721575016E-3</v>
      </c>
      <c r="E31" s="329">
        <f t="shared" si="2"/>
        <v>7.2918732579307323E-3</v>
      </c>
      <c r="F31" s="329">
        <f t="shared" si="2"/>
        <v>7.9662505383039095E-3</v>
      </c>
      <c r="G31" s="253"/>
      <c r="H31" s="330">
        <f>VLOOKUP(A31,'VIFAA - Consumption per product'!$D$6:$F$265,3,FALSE)</f>
        <v>0.1</v>
      </c>
      <c r="I31" s="331">
        <f t="shared" si="6"/>
        <v>7.1338199975921836E-5</v>
      </c>
      <c r="J31" s="332">
        <f t="shared" si="3"/>
        <v>7.1337228538082757E-5</v>
      </c>
      <c r="K31" s="332">
        <f t="shared" si="4"/>
        <v>7.1337228538082757E-5</v>
      </c>
      <c r="L31" s="332">
        <f t="shared" si="7"/>
        <v>7.1337714257002296E-5</v>
      </c>
      <c r="M31" s="330">
        <f t="shared" si="8"/>
        <v>7.1338199975921836E-5</v>
      </c>
      <c r="N31" s="333"/>
      <c r="O31" s="304"/>
      <c r="Q31" s="304"/>
    </row>
    <row r="32" spans="1:30" x14ac:dyDescent="0.35">
      <c r="A32" s="314" t="s">
        <v>229</v>
      </c>
      <c r="B32" s="375">
        <f t="shared" si="5"/>
        <v>5.1843000000000004</v>
      </c>
      <c r="C32" s="329">
        <f t="shared" si="2"/>
        <v>4.6081947266551806</v>
      </c>
      <c r="D32" s="329">
        <f t="shared" si="2"/>
        <v>5.9781469415733755</v>
      </c>
      <c r="E32" s="329">
        <f t="shared" si="2"/>
        <v>6.5245527323248691</v>
      </c>
      <c r="F32" s="329">
        <f t="shared" si="2"/>
        <v>7.1279655964323361</v>
      </c>
      <c r="G32" s="253"/>
      <c r="H32" s="330">
        <f>VLOOKUP(A32,'VIFAA - Consumption per product'!$D$6:$F$265,3,FALSE)</f>
        <v>0.33</v>
      </c>
      <c r="I32" s="331">
        <f t="shared" si="6"/>
        <v>6.383131345101338E-2</v>
      </c>
      <c r="J32" s="332">
        <f t="shared" si="3"/>
        <v>6.3830444237138836E-2</v>
      </c>
      <c r="K32" s="332">
        <f t="shared" si="4"/>
        <v>6.3830444237138836E-2</v>
      </c>
      <c r="L32" s="332">
        <f t="shared" si="7"/>
        <v>6.3830878844076108E-2</v>
      </c>
      <c r="M32" s="330">
        <f t="shared" si="8"/>
        <v>6.383131345101338E-2</v>
      </c>
      <c r="N32" s="333"/>
      <c r="O32" s="304"/>
      <c r="Q32" s="304"/>
    </row>
    <row r="33" spans="1:17" x14ac:dyDescent="0.35">
      <c r="A33" s="314" t="s">
        <v>406</v>
      </c>
      <c r="B33" s="375">
        <f t="shared" si="5"/>
        <v>1.3800000000000001</v>
      </c>
      <c r="C33" s="329">
        <f t="shared" si="2"/>
        <v>1.2266475170773583</v>
      </c>
      <c r="D33" s="329">
        <f t="shared" si="2"/>
        <v>1.5913127672725842</v>
      </c>
      <c r="E33" s="329">
        <f t="shared" si="2"/>
        <v>1.7367595954339676</v>
      </c>
      <c r="F33" s="329">
        <f t="shared" si="2"/>
        <v>1.897381039499378</v>
      </c>
      <c r="G33" s="253"/>
      <c r="H33" s="330">
        <f>VLOOKUP(A33,'VIFAA - Consumption per product'!$D$6:$F$265,3,FALSE)</f>
        <v>0.23</v>
      </c>
      <c r="I33" s="331">
        <f t="shared" si="6"/>
        <v>1.6991148768859533E-2</v>
      </c>
      <c r="J33" s="332">
        <f t="shared" si="3"/>
        <v>1.6990917394296548E-2</v>
      </c>
      <c r="K33" s="332">
        <f t="shared" si="4"/>
        <v>1.6990917394296548E-2</v>
      </c>
      <c r="L33" s="332">
        <f t="shared" si="7"/>
        <v>1.6991033081578039E-2</v>
      </c>
      <c r="M33" s="330">
        <f t="shared" si="8"/>
        <v>1.6991148768859533E-2</v>
      </c>
      <c r="N33" s="333"/>
      <c r="O33" s="304"/>
      <c r="Q33" s="304"/>
    </row>
    <row r="34" spans="1:17" x14ac:dyDescent="0.35">
      <c r="A34" s="314" t="s">
        <v>407</v>
      </c>
      <c r="B34" s="375">
        <f t="shared" si="5"/>
        <v>8.0647500000000001</v>
      </c>
      <c r="C34" s="329">
        <f t="shared" si="2"/>
        <v>7.1685547560504537</v>
      </c>
      <c r="D34" s="329">
        <f t="shared" si="2"/>
        <v>9.2996664056967919</v>
      </c>
      <c r="E34" s="329">
        <f t="shared" si="2"/>
        <v>10.149660831359487</v>
      </c>
      <c r="F34" s="329">
        <f t="shared" si="2"/>
        <v>11.088336042248265</v>
      </c>
      <c r="G34" s="253"/>
      <c r="H34" s="330">
        <f>VLOOKUP(A34,'VIFAA - Consumption per product'!$D$6:$F$265,3,FALSE)</f>
        <v>0.15</v>
      </c>
      <c r="I34" s="331">
        <f t="shared" si="6"/>
        <v>9.9296642778014421E-2</v>
      </c>
      <c r="J34" s="332">
        <f t="shared" si="3"/>
        <v>9.9295290620038473E-2</v>
      </c>
      <c r="K34" s="332">
        <f t="shared" si="4"/>
        <v>9.9295290620038473E-2</v>
      </c>
      <c r="L34" s="332">
        <f t="shared" si="7"/>
        <v>9.9295966699026447E-2</v>
      </c>
      <c r="M34" s="330">
        <f t="shared" si="8"/>
        <v>9.9296642778014421E-2</v>
      </c>
      <c r="N34" s="333"/>
      <c r="O34" s="304"/>
      <c r="Q34" s="304"/>
    </row>
    <row r="35" spans="1:17" x14ac:dyDescent="0.35">
      <c r="A35" s="314" t="s">
        <v>438</v>
      </c>
      <c r="B35" s="375">
        <f t="shared" si="5"/>
        <v>6.6000000000000003E-2</v>
      </c>
      <c r="C35" s="329">
        <f t="shared" si="2"/>
        <v>5.8665750816743224E-2</v>
      </c>
      <c r="D35" s="329">
        <f t="shared" si="2"/>
        <v>7.6106262782601852E-2</v>
      </c>
      <c r="E35" s="329">
        <f t="shared" si="2"/>
        <v>8.306241543379847E-2</v>
      </c>
      <c r="F35" s="329">
        <f t="shared" si="2"/>
        <v>9.0744310584752852E-2</v>
      </c>
      <c r="G35" s="253"/>
      <c r="H35" s="330">
        <f>VLOOKUP(A35,'VIFAA - Consumption per product'!$D$6:$F$265,3,FALSE)</f>
        <v>0.02</v>
      </c>
      <c r="I35" s="331">
        <f t="shared" si="6"/>
        <v>8.1262015851067324E-4</v>
      </c>
      <c r="J35" s="332">
        <f t="shared" si="3"/>
        <v>8.1260909277070447E-4</v>
      </c>
      <c r="K35" s="332">
        <f t="shared" si="4"/>
        <v>8.1260909277070447E-4</v>
      </c>
      <c r="L35" s="332">
        <f t="shared" si="7"/>
        <v>8.1261462564068891E-4</v>
      </c>
      <c r="M35" s="330">
        <f t="shared" si="8"/>
        <v>8.1262015851067324E-4</v>
      </c>
      <c r="N35" s="333"/>
      <c r="O35" s="304"/>
      <c r="Q35" s="304"/>
    </row>
    <row r="36" spans="1:17" x14ac:dyDescent="0.35">
      <c r="A36" s="334" t="s">
        <v>83</v>
      </c>
      <c r="B36" s="335">
        <f>ProjectedP205_Consumption!I27</f>
        <v>81.218757999999994</v>
      </c>
      <c r="C36" s="335">
        <f>ProjectedP205_Consumption!J27</f>
        <v>72.194307618087478</v>
      </c>
      <c r="D36" s="335">
        <f>ProjectedP205_Consumption!K27</f>
        <v>93.656671405320964</v>
      </c>
      <c r="E36" s="335">
        <f>ProjectedP205_Consumption!L27</f>
        <v>102.21624471539587</v>
      </c>
      <c r="F36" s="335">
        <f>ProjectedP205_Consumption!M27</f>
        <v>111.66879092817999</v>
      </c>
      <c r="G36" s="334"/>
      <c r="H36" s="335"/>
      <c r="I36" s="336">
        <f t="shared" si="6"/>
        <v>1</v>
      </c>
      <c r="J36" s="337">
        <f>SUM(J28:J35)</f>
        <v>1</v>
      </c>
      <c r="K36" s="337">
        <f>SUM(K28:K35)</f>
        <v>1</v>
      </c>
      <c r="L36" s="337">
        <f>SUM(L28:L35)</f>
        <v>1.0000068087719343</v>
      </c>
      <c r="M36" s="338">
        <f>SUM(M28:M35)</f>
        <v>1.0000136175438683</v>
      </c>
      <c r="N36" s="339"/>
      <c r="O36" s="328"/>
      <c r="Q36" s="304"/>
    </row>
    <row r="37" spans="1:17" x14ac:dyDescent="0.35">
      <c r="A37" s="340"/>
      <c r="B37" s="341"/>
      <c r="C37" s="341"/>
      <c r="D37" s="341"/>
      <c r="E37" s="341"/>
      <c r="F37" s="340"/>
      <c r="G37" s="341"/>
      <c r="H37" s="342"/>
      <c r="I37" s="343"/>
      <c r="J37" s="343"/>
      <c r="K37" s="342"/>
      <c r="L37" s="344"/>
      <c r="O37" s="304"/>
    </row>
    <row r="38" spans="1:17" s="309" customFormat="1" ht="13.5" customHeight="1" x14ac:dyDescent="0.3">
      <c r="A38" s="305" t="s">
        <v>474</v>
      </c>
      <c r="B38" s="306"/>
      <c r="C38" s="306"/>
      <c r="D38" s="307"/>
      <c r="E38" s="306"/>
      <c r="F38" s="308"/>
      <c r="G38" s="308"/>
    </row>
    <row r="39" spans="1:17" x14ac:dyDescent="0.35">
      <c r="A39" s="253"/>
      <c r="B39" s="253"/>
      <c r="C39" s="253"/>
      <c r="D39" s="253"/>
      <c r="E39" s="253"/>
      <c r="F39" s="253"/>
      <c r="G39" s="253"/>
      <c r="H39" s="253"/>
      <c r="I39" s="253"/>
      <c r="J39" s="253"/>
      <c r="K39" s="253"/>
      <c r="L39" s="253"/>
      <c r="M39" s="253"/>
      <c r="O39" s="304"/>
    </row>
    <row r="40" spans="1:17" ht="31" x14ac:dyDescent="0.35">
      <c r="A40" s="311" t="s">
        <v>459</v>
      </c>
      <c r="B40" s="311" t="s">
        <v>561</v>
      </c>
      <c r="C40" s="311" t="s">
        <v>475</v>
      </c>
      <c r="D40" s="311" t="s">
        <v>476</v>
      </c>
      <c r="E40" s="311" t="s">
        <v>477</v>
      </c>
      <c r="F40" s="311" t="s">
        <v>478</v>
      </c>
      <c r="G40" s="327" t="s">
        <v>479</v>
      </c>
      <c r="H40" s="311" t="s">
        <v>480</v>
      </c>
      <c r="I40" s="311" t="s">
        <v>481</v>
      </c>
      <c r="J40" s="311" t="s">
        <v>482</v>
      </c>
      <c r="K40" s="253"/>
      <c r="L40" s="253"/>
      <c r="M40" s="253"/>
      <c r="P40" s="304"/>
    </row>
    <row r="41" spans="1:17" x14ac:dyDescent="0.35">
      <c r="A41" s="314" t="s">
        <v>220</v>
      </c>
      <c r="B41" s="345">
        <f t="shared" ref="B41:F48" si="9">B28/$H28</f>
        <v>97.762</v>
      </c>
      <c r="C41" s="345">
        <f t="shared" si="9"/>
        <v>86.898198959794698</v>
      </c>
      <c r="D41" s="329">
        <f t="shared" si="9"/>
        <v>112.73182518413213</v>
      </c>
      <c r="E41" s="329">
        <f t="shared" si="9"/>
        <v>123.03557360059098</v>
      </c>
      <c r="F41" s="329">
        <f t="shared" si="9"/>
        <v>134.41432259676677</v>
      </c>
      <c r="G41" s="331">
        <f t="shared" ref="G41:J48" si="10">C41/C$50</f>
        <v>0.43757844673034513</v>
      </c>
      <c r="H41" s="332">
        <f t="shared" si="10"/>
        <v>0.43757844673034518</v>
      </c>
      <c r="I41" s="332">
        <f t="shared" si="10"/>
        <v>0.43757844673034518</v>
      </c>
      <c r="J41" s="332">
        <f t="shared" si="10"/>
        <v>0.43757844673034513</v>
      </c>
      <c r="K41" s="253"/>
      <c r="L41" s="253"/>
      <c r="M41" s="253"/>
      <c r="P41" s="304"/>
    </row>
    <row r="42" spans="1:17" x14ac:dyDescent="0.35">
      <c r="A42" s="314" t="s">
        <v>231</v>
      </c>
      <c r="B42" s="345">
        <f t="shared" si="9"/>
        <v>46.55</v>
      </c>
      <c r="C42" s="345">
        <f t="shared" si="9"/>
        <v>41.377131826051468</v>
      </c>
      <c r="D42" s="329">
        <f t="shared" si="9"/>
        <v>53.677977765607821</v>
      </c>
      <c r="E42" s="329">
        <f t="shared" si="9"/>
        <v>58.584173309747236</v>
      </c>
      <c r="F42" s="329">
        <f t="shared" si="9"/>
        <v>64.002237238185529</v>
      </c>
      <c r="G42" s="331">
        <f t="shared" si="10"/>
        <v>0.20835576906464237</v>
      </c>
      <c r="H42" s="332">
        <f t="shared" si="10"/>
        <v>0.20835576906464243</v>
      </c>
      <c r="I42" s="332">
        <f t="shared" si="10"/>
        <v>0.20835576906464237</v>
      </c>
      <c r="J42" s="332">
        <f t="shared" si="10"/>
        <v>0.20835576906464237</v>
      </c>
      <c r="K42" s="253"/>
      <c r="L42" s="253"/>
      <c r="M42" s="253"/>
      <c r="P42" s="304"/>
    </row>
    <row r="43" spans="1:17" x14ac:dyDescent="0.35">
      <c r="A43" s="314" t="s">
        <v>242</v>
      </c>
      <c r="B43" s="345">
        <f t="shared" si="9"/>
        <v>0.27100000000000002</v>
      </c>
      <c r="C43" s="345">
        <f t="shared" si="9"/>
        <v>0.24088512835359721</v>
      </c>
      <c r="D43" s="329">
        <f t="shared" si="9"/>
        <v>0.31249692748613794</v>
      </c>
      <c r="E43" s="329">
        <f t="shared" si="9"/>
        <v>0.34105931185696037</v>
      </c>
      <c r="F43" s="329">
        <f t="shared" si="9"/>
        <v>0.3726016389161822</v>
      </c>
      <c r="G43" s="331">
        <f t="shared" si="10"/>
        <v>1.2129841765095187E-3</v>
      </c>
      <c r="H43" s="332">
        <f t="shared" si="10"/>
        <v>1.2129841765095189E-3</v>
      </c>
      <c r="I43" s="332">
        <f t="shared" si="10"/>
        <v>1.2129841765095187E-3</v>
      </c>
      <c r="J43" s="332">
        <f t="shared" si="10"/>
        <v>1.2129841765095187E-3</v>
      </c>
      <c r="K43" s="253"/>
      <c r="L43" s="253"/>
      <c r="M43" s="253"/>
      <c r="P43" s="304"/>
    </row>
    <row r="44" spans="1:17" x14ac:dyDescent="0.35">
      <c r="A44" s="314" t="s">
        <v>421</v>
      </c>
      <c r="B44" s="345">
        <f t="shared" si="9"/>
        <v>5.7940000000000005E-2</v>
      </c>
      <c r="C44" s="345">
        <f t="shared" si="9"/>
        <v>5.1501418217001549E-2</v>
      </c>
      <c r="D44" s="329">
        <f t="shared" si="9"/>
        <v>6.6812073721575008E-2</v>
      </c>
      <c r="E44" s="329">
        <f t="shared" si="9"/>
        <v>7.2918732579307324E-2</v>
      </c>
      <c r="F44" s="329">
        <f t="shared" si="9"/>
        <v>7.9662505383039095E-2</v>
      </c>
      <c r="G44" s="331">
        <f t="shared" si="10"/>
        <v>2.5933691212900924E-4</v>
      </c>
      <c r="H44" s="332">
        <f t="shared" si="10"/>
        <v>2.5933691212900924E-4</v>
      </c>
      <c r="I44" s="332">
        <f t="shared" si="10"/>
        <v>2.593369121290093E-4</v>
      </c>
      <c r="J44" s="332">
        <f t="shared" si="10"/>
        <v>2.5933691212900924E-4</v>
      </c>
      <c r="K44" s="253"/>
      <c r="L44" s="253"/>
      <c r="M44" s="253"/>
      <c r="P44" s="304"/>
    </row>
    <row r="45" spans="1:17" x14ac:dyDescent="0.35">
      <c r="A45" s="314" t="s">
        <v>229</v>
      </c>
      <c r="B45" s="345">
        <f t="shared" si="9"/>
        <v>15.71</v>
      </c>
      <c r="C45" s="345">
        <f t="shared" si="9"/>
        <v>13.964226444409638</v>
      </c>
      <c r="D45" s="329">
        <f t="shared" si="9"/>
        <v>18.115596792646592</v>
      </c>
      <c r="E45" s="329">
        <f t="shared" si="9"/>
        <v>19.771371916135966</v>
      </c>
      <c r="F45" s="329">
        <f t="shared" si="9"/>
        <v>21.599895746764656</v>
      </c>
      <c r="G45" s="331">
        <f t="shared" si="10"/>
        <v>7.0317274586585016E-2</v>
      </c>
      <c r="H45" s="332">
        <f t="shared" si="10"/>
        <v>7.0317274586585016E-2</v>
      </c>
      <c r="I45" s="332">
        <f t="shared" si="10"/>
        <v>7.0317274586585002E-2</v>
      </c>
      <c r="J45" s="332">
        <f t="shared" si="10"/>
        <v>7.0317274586585002E-2</v>
      </c>
      <c r="K45" s="253"/>
      <c r="L45" s="253"/>
      <c r="M45" s="253"/>
      <c r="P45" s="304"/>
    </row>
    <row r="46" spans="1:17" x14ac:dyDescent="0.35">
      <c r="A46" s="314" t="s">
        <v>406</v>
      </c>
      <c r="B46" s="345">
        <f t="shared" si="9"/>
        <v>6</v>
      </c>
      <c r="C46" s="345">
        <f t="shared" si="9"/>
        <v>5.333250074249384</v>
      </c>
      <c r="D46" s="329">
        <f t="shared" si="9"/>
        <v>6.918751162054714</v>
      </c>
      <c r="E46" s="329">
        <f t="shared" si="9"/>
        <v>7.551128675799859</v>
      </c>
      <c r="F46" s="329">
        <f t="shared" si="9"/>
        <v>8.2494827804320785</v>
      </c>
      <c r="G46" s="331">
        <f t="shared" si="10"/>
        <v>2.6855738225302996E-2</v>
      </c>
      <c r="H46" s="332">
        <f t="shared" si="10"/>
        <v>2.6855738225302999E-2</v>
      </c>
      <c r="I46" s="332">
        <f t="shared" si="10"/>
        <v>2.6855738225302992E-2</v>
      </c>
      <c r="J46" s="332">
        <f t="shared" si="10"/>
        <v>2.6855738225302999E-2</v>
      </c>
      <c r="K46" s="253"/>
      <c r="L46" s="253"/>
      <c r="M46" s="253"/>
      <c r="P46" s="304"/>
    </row>
    <row r="47" spans="1:17" x14ac:dyDescent="0.35">
      <c r="A47" s="314" t="s">
        <v>407</v>
      </c>
      <c r="B47" s="345">
        <f t="shared" si="9"/>
        <v>53.765000000000001</v>
      </c>
      <c r="C47" s="345">
        <f t="shared" si="9"/>
        <v>47.790365040336361</v>
      </c>
      <c r="D47" s="329">
        <f t="shared" si="9"/>
        <v>61.997776037978618</v>
      </c>
      <c r="E47" s="329">
        <f t="shared" si="9"/>
        <v>67.66440554239658</v>
      </c>
      <c r="F47" s="329">
        <f t="shared" si="9"/>
        <v>73.922240281655107</v>
      </c>
      <c r="G47" s="331">
        <f t="shared" si="10"/>
        <v>0.24064979428056929</v>
      </c>
      <c r="H47" s="332">
        <f t="shared" si="10"/>
        <v>0.24064979428056929</v>
      </c>
      <c r="I47" s="332">
        <f t="shared" si="10"/>
        <v>0.24064979428056926</v>
      </c>
      <c r="J47" s="332">
        <f t="shared" si="10"/>
        <v>0.24064979428056926</v>
      </c>
      <c r="K47" s="253"/>
      <c r="L47" s="253"/>
      <c r="M47" s="253"/>
      <c r="P47" s="304"/>
    </row>
    <row r="48" spans="1:17" x14ac:dyDescent="0.35">
      <c r="A48" s="314" t="s">
        <v>438</v>
      </c>
      <c r="B48" s="345">
        <f t="shared" si="9"/>
        <v>3.3000000000000003</v>
      </c>
      <c r="C48" s="345">
        <f t="shared" si="9"/>
        <v>2.9332875408371613</v>
      </c>
      <c r="D48" s="329">
        <f t="shared" si="9"/>
        <v>3.8053131391300927</v>
      </c>
      <c r="E48" s="329">
        <f t="shared" si="9"/>
        <v>4.153120771689923</v>
      </c>
      <c r="F48" s="329">
        <f t="shared" si="9"/>
        <v>4.5372155292376428</v>
      </c>
      <c r="G48" s="331">
        <f t="shared" si="10"/>
        <v>1.4770656023916647E-2</v>
      </c>
      <c r="H48" s="332">
        <f t="shared" si="10"/>
        <v>1.4770656023916648E-2</v>
      </c>
      <c r="I48" s="332">
        <f t="shared" si="10"/>
        <v>1.4770656023916647E-2</v>
      </c>
      <c r="J48" s="332">
        <f t="shared" si="10"/>
        <v>1.4770656023916648E-2</v>
      </c>
      <c r="K48" s="253"/>
      <c r="L48" s="253"/>
      <c r="M48" s="253"/>
      <c r="P48" s="304"/>
    </row>
    <row r="49" spans="1:16" hidden="1" x14ac:dyDescent="0.35">
      <c r="A49" s="254"/>
      <c r="B49" s="320"/>
      <c r="C49" s="320"/>
      <c r="D49" s="320"/>
      <c r="E49" s="321"/>
      <c r="F49" s="320"/>
      <c r="G49" s="346"/>
      <c r="J49" s="347"/>
      <c r="K49" s="253"/>
      <c r="L49" s="253"/>
      <c r="M49" s="253"/>
      <c r="P49" s="304"/>
    </row>
    <row r="50" spans="1:16" x14ac:dyDescent="0.35">
      <c r="A50" s="348" t="s">
        <v>83</v>
      </c>
      <c r="B50" s="335">
        <f t="shared" ref="B50:J50" si="11">SUM(B41:B48)</f>
        <v>223.41594000000003</v>
      </c>
      <c r="C50" s="335">
        <f t="shared" si="11"/>
        <v>198.58884643224931</v>
      </c>
      <c r="D50" s="335">
        <f t="shared" si="11"/>
        <v>257.62654908275766</v>
      </c>
      <c r="E50" s="335">
        <f t="shared" si="11"/>
        <v>281.17375186079681</v>
      </c>
      <c r="F50" s="335">
        <f t="shared" si="11"/>
        <v>307.17765831734101</v>
      </c>
      <c r="G50" s="349">
        <f t="shared" si="11"/>
        <v>0.99999999999999989</v>
      </c>
      <c r="H50" s="350">
        <f t="shared" si="11"/>
        <v>1</v>
      </c>
      <c r="I50" s="350">
        <f t="shared" si="11"/>
        <v>1</v>
      </c>
      <c r="J50" s="350">
        <f t="shared" si="11"/>
        <v>0.99999999999999978</v>
      </c>
      <c r="K50" s="253"/>
      <c r="L50" s="253"/>
      <c r="M50" s="253"/>
      <c r="P50" s="304"/>
    </row>
    <row r="51" spans="1:16" x14ac:dyDescent="0.35">
      <c r="A51" s="351" t="s">
        <v>483</v>
      </c>
      <c r="B51" s="352">
        <f>60%*B50</f>
        <v>134.049564</v>
      </c>
      <c r="C51" s="352">
        <f>60%*C50</f>
        <v>119.15330785934958</v>
      </c>
      <c r="D51" s="352">
        <f t="shared" ref="D51:F51" si="12">60%*D50</f>
        <v>154.57592944965458</v>
      </c>
      <c r="E51" s="352">
        <f t="shared" si="12"/>
        <v>168.70425111647808</v>
      </c>
      <c r="F51" s="352">
        <f t="shared" si="12"/>
        <v>184.30659499040459</v>
      </c>
      <c r="G51" s="353"/>
      <c r="H51" s="353"/>
      <c r="I51" s="253"/>
      <c r="J51" s="354"/>
      <c r="K51" s="354"/>
      <c r="L51" s="354"/>
      <c r="M51" s="354"/>
      <c r="P51" s="304"/>
    </row>
    <row r="52" spans="1:16" x14ac:dyDescent="0.35">
      <c r="A52" s="355" t="s">
        <v>484</v>
      </c>
      <c r="B52" s="356">
        <f>SUMPRODUCT(B41:B48,$H$28:$H$35)/B50</f>
        <v>0.36353656771311837</v>
      </c>
      <c r="C52" s="356">
        <f>SUMPRODUCT(C41:C48,$H$28:$H$35)/C50</f>
        <v>0.36353656771311843</v>
      </c>
      <c r="D52" s="356">
        <f>SUMPRODUCT(D41:D48,$H$28:$H$35)/D50</f>
        <v>0.36353656771311843</v>
      </c>
      <c r="E52" s="356">
        <f>SUMPRODUCT(E41:E48,$H$28:$H$35)/E50</f>
        <v>0.36353656771311837</v>
      </c>
      <c r="F52" s="356">
        <f>SUMPRODUCT(F41:F48,$H$28:$H$35)/F50</f>
        <v>0.36353656771311843</v>
      </c>
      <c r="G52" s="253"/>
      <c r="H52" s="253"/>
      <c r="I52" s="253"/>
      <c r="K52" s="253"/>
      <c r="L52" s="253"/>
      <c r="M52" s="253"/>
      <c r="O52" s="304"/>
    </row>
    <row r="53" spans="1:16" x14ac:dyDescent="0.35">
      <c r="A53" s="253"/>
      <c r="B53" s="253"/>
      <c r="C53" s="253"/>
      <c r="D53" s="253"/>
      <c r="E53" s="253"/>
      <c r="F53" s="253"/>
      <c r="G53" s="253"/>
      <c r="H53" s="253"/>
      <c r="I53" s="253"/>
      <c r="J53" s="253"/>
      <c r="K53" s="253"/>
      <c r="L53" s="253"/>
      <c r="M53" s="304"/>
    </row>
    <row r="54" spans="1:16" s="357" customFormat="1" ht="13.5" customHeight="1" x14ac:dyDescent="0.3">
      <c r="A54" s="305" t="s">
        <v>485</v>
      </c>
      <c r="B54" s="306"/>
      <c r="C54" s="306"/>
      <c r="D54" s="307"/>
      <c r="E54" s="306"/>
      <c r="F54" s="308"/>
      <c r="G54" s="308"/>
      <c r="H54" s="309"/>
      <c r="I54" s="309"/>
      <c r="J54" s="309"/>
      <c r="K54" s="309"/>
      <c r="L54" s="309"/>
      <c r="M54" s="309"/>
    </row>
    <row r="55" spans="1:16" s="357" customFormat="1" ht="13.5" customHeight="1" x14ac:dyDescent="0.3">
      <c r="A55" s="358"/>
      <c r="B55" s="359"/>
      <c r="C55" s="359"/>
      <c r="D55" s="360"/>
      <c r="E55" s="359"/>
      <c r="F55" s="361"/>
      <c r="G55" s="361"/>
    </row>
    <row r="56" spans="1:16" s="357" customFormat="1" ht="25.5" customHeight="1" x14ac:dyDescent="0.35">
      <c r="A56" s="253"/>
      <c r="B56" s="362" t="s">
        <v>560</v>
      </c>
      <c r="C56" s="359"/>
      <c r="D56" s="360"/>
      <c r="E56" s="359"/>
      <c r="F56" s="361"/>
      <c r="G56" s="361"/>
    </row>
    <row r="57" spans="1:16" x14ac:dyDescent="0.35">
      <c r="A57" s="316" t="s">
        <v>486</v>
      </c>
      <c r="B57" s="317">
        <f>'OCP Sales in CIV - synthesis '!F18/(B36*1000)</f>
        <v>0.47228108043710804</v>
      </c>
      <c r="C57" s="253"/>
      <c r="D57" s="253"/>
      <c r="E57" s="253"/>
      <c r="F57" s="253"/>
      <c r="G57" s="253"/>
      <c r="H57" s="253"/>
      <c r="I57" s="253"/>
      <c r="J57" s="253"/>
      <c r="K57" s="253"/>
      <c r="L57" s="253"/>
      <c r="M57" s="304"/>
    </row>
    <row r="58" spans="1:16" x14ac:dyDescent="0.35">
      <c r="A58" s="254"/>
      <c r="B58" s="363"/>
      <c r="C58" s="253"/>
      <c r="D58" s="253"/>
      <c r="E58" s="253"/>
      <c r="F58" s="253"/>
      <c r="G58" s="253"/>
      <c r="H58" s="253"/>
      <c r="I58" s="253"/>
      <c r="J58" s="253"/>
      <c r="K58" s="253"/>
      <c r="L58" s="253"/>
      <c r="M58" s="304"/>
    </row>
    <row r="59" spans="1:16" x14ac:dyDescent="0.35">
      <c r="A59" s="364" t="s">
        <v>487</v>
      </c>
      <c r="B59" s="363"/>
      <c r="C59" s="253"/>
      <c r="D59" s="253"/>
      <c r="E59" s="253"/>
      <c r="F59" s="253"/>
      <c r="G59" s="253"/>
      <c r="H59" s="253"/>
      <c r="I59" s="648" t="s">
        <v>488</v>
      </c>
      <c r="J59" s="648"/>
      <c r="K59" s="253"/>
      <c r="L59" s="253"/>
      <c r="M59" s="253"/>
      <c r="O59" s="304"/>
    </row>
    <row r="60" spans="1:16" x14ac:dyDescent="0.35">
      <c r="A60" s="254"/>
      <c r="B60" s="321"/>
      <c r="C60" s="253"/>
      <c r="D60" s="253"/>
      <c r="E60" s="253"/>
      <c r="F60" s="253"/>
      <c r="G60" s="253"/>
      <c r="H60" s="253"/>
      <c r="I60" s="253"/>
      <c r="J60" s="253"/>
      <c r="K60" s="253"/>
      <c r="L60" s="253"/>
      <c r="M60" s="253"/>
      <c r="O60" s="304"/>
    </row>
    <row r="61" spans="1:16" ht="46.5" x14ac:dyDescent="0.35">
      <c r="A61" s="311" t="s">
        <v>201</v>
      </c>
      <c r="B61" s="311" t="s">
        <v>562</v>
      </c>
      <c r="C61" s="311" t="s">
        <v>489</v>
      </c>
      <c r="D61" s="311" t="s">
        <v>490</v>
      </c>
      <c r="E61" s="311" t="s">
        <v>491</v>
      </c>
      <c r="F61" s="311" t="s">
        <v>492</v>
      </c>
      <c r="G61" s="376"/>
      <c r="H61" s="376"/>
      <c r="I61" s="253"/>
      <c r="J61" s="311" t="s">
        <v>201</v>
      </c>
      <c r="K61" s="311" t="s">
        <v>493</v>
      </c>
      <c r="L61" s="311" t="s">
        <v>494</v>
      </c>
      <c r="M61" s="311" t="s">
        <v>495</v>
      </c>
      <c r="N61" s="311" t="s">
        <v>496</v>
      </c>
      <c r="O61" s="304"/>
      <c r="P61" s="304"/>
    </row>
    <row r="62" spans="1:16" x14ac:dyDescent="0.35">
      <c r="A62" s="365" t="s">
        <v>242</v>
      </c>
      <c r="B62" s="365"/>
      <c r="C62" s="315">
        <f>IFERROR(VLOOKUP(A62,$A$11:$D$19,7,FALSE),0)</f>
        <v>0</v>
      </c>
      <c r="D62" s="332">
        <f>C62</f>
        <v>0</v>
      </c>
      <c r="E62" s="332">
        <f t="shared" ref="E62:F62" si="13">D62</f>
        <v>0</v>
      </c>
      <c r="F62" s="332">
        <f t="shared" si="13"/>
        <v>0</v>
      </c>
      <c r="G62" s="315"/>
      <c r="H62" s="315"/>
      <c r="I62" s="253"/>
      <c r="J62" s="365" t="s">
        <v>242</v>
      </c>
      <c r="K62" s="345">
        <f>C62*VLOOKUP($J62,$A$27:$F$35,2,FALSE)</f>
        <v>0</v>
      </c>
      <c r="L62" s="329">
        <f>D62*VLOOKUP($J62,$A$27:$F$35,3,FALSE)</f>
        <v>0</v>
      </c>
      <c r="M62" s="329">
        <f>E62*VLOOKUP($J62,$A$27:$F$35,4,FALSE)</f>
        <v>0</v>
      </c>
      <c r="N62" s="329">
        <f>F62*VLOOKUP($J62,$A$27:$F$35,5,FALSE)</f>
        <v>0</v>
      </c>
      <c r="O62" s="304"/>
      <c r="P62" s="304"/>
    </row>
    <row r="63" spans="1:16" x14ac:dyDescent="0.35">
      <c r="A63" s="365" t="s">
        <v>220</v>
      </c>
      <c r="B63" s="365"/>
      <c r="C63" s="315">
        <f>IFERROR(VLOOKUP(A63,$A$11:$D$19,7,FALSE),0)</f>
        <v>0</v>
      </c>
      <c r="D63" s="332">
        <f t="shared" ref="D63:F63" si="14">C63</f>
        <v>0</v>
      </c>
      <c r="E63" s="332">
        <f t="shared" si="14"/>
        <v>0</v>
      </c>
      <c r="F63" s="332">
        <f t="shared" si="14"/>
        <v>0</v>
      </c>
      <c r="G63" s="315"/>
      <c r="H63" s="315"/>
      <c r="I63" s="253"/>
      <c r="J63" s="365" t="s">
        <v>220</v>
      </c>
      <c r="K63" s="345">
        <f>C63*VLOOKUP($J63,$A$27:$F$35,2,FALSE)</f>
        <v>0</v>
      </c>
      <c r="L63" s="329">
        <f>D63*VLOOKUP($J63,$A$27:$F$35,3,FALSE)</f>
        <v>0</v>
      </c>
      <c r="M63" s="329">
        <f>E63*VLOOKUP($J63,$A$27:$F$35,4,FALSE)</f>
        <v>0</v>
      </c>
      <c r="N63" s="329">
        <f>F63*VLOOKUP($J63,$A$27:$F$35,5,FALSE)</f>
        <v>0</v>
      </c>
      <c r="O63" s="304"/>
      <c r="P63" s="304"/>
    </row>
    <row r="64" spans="1:16" x14ac:dyDescent="0.35">
      <c r="A64" s="365" t="s">
        <v>407</v>
      </c>
      <c r="B64" s="365"/>
      <c r="C64" s="315">
        <f>IFERROR(VLOOKUP(A64,$A$11:$D$19,7,FALSE),0)</f>
        <v>0</v>
      </c>
      <c r="D64" s="332">
        <f>C64+($F$64-$C$64)/3</f>
        <v>0.13333333333333333</v>
      </c>
      <c r="E64" s="332">
        <f>D64+($F$64-$C$64)/3</f>
        <v>0.26666666666666666</v>
      </c>
      <c r="F64" s="332">
        <v>0.4</v>
      </c>
      <c r="G64" s="315"/>
      <c r="H64" s="315"/>
      <c r="I64" s="253"/>
      <c r="J64" s="365" t="s">
        <v>407</v>
      </c>
      <c r="K64" s="345">
        <f>C64*VLOOKUP($J64,$A$27:$F$35,2,FALSE)</f>
        <v>0</v>
      </c>
      <c r="L64" s="329">
        <f>D64*VLOOKUP($J64,$A$27:$F$35,3,FALSE)</f>
        <v>0.95580730080672716</v>
      </c>
      <c r="M64" s="329">
        <f>E64*VLOOKUP($J64,$A$27:$F$35,4,FALSE)</f>
        <v>2.4799110415191445</v>
      </c>
      <c r="N64" s="329">
        <f>F64*VLOOKUP($J64,$A$27:$F$35,5,FALSE)</f>
        <v>4.0598643325437953</v>
      </c>
      <c r="O64" s="304"/>
      <c r="P64" s="304"/>
    </row>
    <row r="65" spans="1:18" x14ac:dyDescent="0.35">
      <c r="A65" s="366"/>
      <c r="B65" s="367"/>
      <c r="C65" s="253"/>
      <c r="D65" s="253"/>
      <c r="E65" s="253"/>
      <c r="F65" s="253"/>
      <c r="G65" s="253"/>
      <c r="H65" s="253"/>
      <c r="I65" s="348" t="s">
        <v>83</v>
      </c>
      <c r="J65" s="335">
        <f>SUM(K62:K64)</f>
        <v>0</v>
      </c>
      <c r="K65" s="335">
        <f>SUM(L62:L64)</f>
        <v>0.95580730080672716</v>
      </c>
      <c r="L65" s="335">
        <f>SUM(M62:M64)</f>
        <v>2.4799110415191445</v>
      </c>
      <c r="M65" s="335">
        <f>SUM(N62:N64)</f>
        <v>4.0598643325437953</v>
      </c>
      <c r="O65" s="304"/>
    </row>
    <row r="66" spans="1:18" ht="15.5" customHeight="1" x14ac:dyDescent="0.35">
      <c r="A66" s="253"/>
      <c r="B66" s="253"/>
      <c r="C66" s="253"/>
      <c r="D66" s="253"/>
      <c r="E66" s="253"/>
      <c r="F66" s="253"/>
      <c r="G66" s="253"/>
      <c r="H66" s="253"/>
      <c r="I66" s="368" t="s">
        <v>497</v>
      </c>
      <c r="J66" s="369">
        <f>SUM(K62:K64)/C36</f>
        <v>0</v>
      </c>
      <c r="K66" s="369">
        <f>SUM(L62:L64)/D36</f>
        <v>1.020543743937097E-2</v>
      </c>
      <c r="L66" s="369">
        <f>SUM(M62:M64)/E36</f>
        <v>2.4261418020433485E-2</v>
      </c>
      <c r="M66" s="369">
        <f>SUM(N62:N64)/F36</f>
        <v>3.6356302408207371E-2</v>
      </c>
      <c r="O66" s="304"/>
    </row>
    <row r="67" spans="1:18" ht="15.5" customHeight="1" x14ac:dyDescent="0.35">
      <c r="A67" s="253"/>
      <c r="B67" s="253"/>
      <c r="C67" s="253"/>
      <c r="D67" s="253"/>
      <c r="E67" s="253"/>
      <c r="F67" s="253"/>
      <c r="G67" s="370"/>
      <c r="H67" s="371"/>
      <c r="I67" s="371"/>
      <c r="J67" s="371"/>
      <c r="K67" s="371"/>
      <c r="L67" s="253"/>
      <c r="M67" s="304"/>
    </row>
    <row r="68" spans="1:18" ht="15.5" customHeight="1" x14ac:dyDescent="0.35">
      <c r="A68" s="253"/>
      <c r="B68" s="253"/>
      <c r="C68" s="253"/>
      <c r="D68" s="253"/>
      <c r="E68" s="253"/>
      <c r="F68" s="253"/>
      <c r="G68" s="370"/>
      <c r="H68" s="371"/>
      <c r="I68" s="371"/>
      <c r="J68" s="371"/>
      <c r="K68" s="371"/>
      <c r="L68" s="253"/>
      <c r="M68" s="304"/>
    </row>
    <row r="69" spans="1:18" ht="15.5" customHeight="1" x14ac:dyDescent="0.35">
      <c r="A69" s="364" t="s">
        <v>498</v>
      </c>
      <c r="B69" s="253"/>
      <c r="C69" s="253"/>
      <c r="D69" s="253"/>
      <c r="E69" s="253"/>
      <c r="F69" s="253"/>
      <c r="G69" s="370"/>
      <c r="H69" s="371"/>
      <c r="I69" s="371"/>
      <c r="J69" s="371"/>
      <c r="K69" s="371"/>
      <c r="L69" s="253"/>
      <c r="M69" s="304"/>
    </row>
    <row r="70" spans="1:18" x14ac:dyDescent="0.35">
      <c r="A70" s="253"/>
      <c r="B70" s="253"/>
      <c r="C70" s="253"/>
      <c r="D70" s="253"/>
      <c r="E70" s="253"/>
      <c r="F70" s="253"/>
      <c r="G70" s="254"/>
      <c r="H70" s="372"/>
      <c r="I70" s="372"/>
      <c r="J70" s="372"/>
      <c r="K70" s="372"/>
      <c r="L70" s="253"/>
      <c r="M70" s="304"/>
    </row>
    <row r="71" spans="1:18" ht="31" x14ac:dyDescent="0.35">
      <c r="A71" s="311" t="s">
        <v>201</v>
      </c>
      <c r="B71" s="311" t="s">
        <v>499</v>
      </c>
      <c r="C71" s="311" t="s">
        <v>500</v>
      </c>
      <c r="D71" s="311" t="s">
        <v>501</v>
      </c>
      <c r="E71" s="311" t="s">
        <v>502</v>
      </c>
      <c r="F71" s="253"/>
      <c r="G71" s="253"/>
      <c r="H71" s="253"/>
      <c r="I71" s="253"/>
      <c r="J71" s="253"/>
      <c r="K71" s="253"/>
      <c r="L71" s="253"/>
      <c r="M71" s="253"/>
      <c r="R71" s="304"/>
    </row>
    <row r="72" spans="1:18" x14ac:dyDescent="0.35">
      <c r="A72" s="365" t="s">
        <v>242</v>
      </c>
      <c r="B72" s="329" t="e">
        <f t="shared" ref="B72:E74" si="15">K62/VLOOKUP($A72,$A$27:$H$35,7,FALSE)</f>
        <v>#DIV/0!</v>
      </c>
      <c r="C72" s="329" t="e">
        <f t="shared" si="15"/>
        <v>#DIV/0!</v>
      </c>
      <c r="D72" s="329" t="e">
        <f t="shared" si="15"/>
        <v>#DIV/0!</v>
      </c>
      <c r="E72" s="329" t="e">
        <f t="shared" si="15"/>
        <v>#DIV/0!</v>
      </c>
      <c r="F72" s="253"/>
      <c r="G72" s="253"/>
      <c r="H72" s="253"/>
      <c r="I72" s="253"/>
      <c r="J72" s="253"/>
      <c r="K72" s="253"/>
      <c r="L72" s="253"/>
      <c r="M72" s="253"/>
      <c r="R72" s="304"/>
    </row>
    <row r="73" spans="1:18" x14ac:dyDescent="0.35">
      <c r="A73" s="365" t="s">
        <v>220</v>
      </c>
      <c r="B73" s="329" t="e">
        <f t="shared" si="15"/>
        <v>#DIV/0!</v>
      </c>
      <c r="C73" s="329" t="e">
        <f t="shared" si="15"/>
        <v>#DIV/0!</v>
      </c>
      <c r="D73" s="329" t="e">
        <f t="shared" si="15"/>
        <v>#DIV/0!</v>
      </c>
      <c r="E73" s="329" t="e">
        <f t="shared" si="15"/>
        <v>#DIV/0!</v>
      </c>
      <c r="F73" s="253"/>
      <c r="G73" s="253"/>
      <c r="H73" s="253"/>
      <c r="I73" s="253"/>
      <c r="J73" s="253"/>
      <c r="K73" s="253"/>
      <c r="L73" s="253"/>
      <c r="M73" s="253"/>
      <c r="R73" s="304"/>
    </row>
    <row r="74" spans="1:18" x14ac:dyDescent="0.35">
      <c r="A74" s="365" t="s">
        <v>407</v>
      </c>
      <c r="B74" s="329" t="e">
        <f t="shared" si="15"/>
        <v>#DIV/0!</v>
      </c>
      <c r="C74" s="329" t="e">
        <f t="shared" si="15"/>
        <v>#DIV/0!</v>
      </c>
      <c r="D74" s="329" t="e">
        <f t="shared" si="15"/>
        <v>#DIV/0!</v>
      </c>
      <c r="E74" s="329" t="e">
        <f t="shared" si="15"/>
        <v>#DIV/0!</v>
      </c>
      <c r="F74" s="253"/>
      <c r="G74" s="315"/>
      <c r="H74" s="253"/>
      <c r="I74" s="253"/>
      <c r="J74" s="253"/>
      <c r="K74" s="253"/>
      <c r="L74" s="253"/>
      <c r="M74" s="253"/>
      <c r="R74" s="304"/>
    </row>
    <row r="75" spans="1:18" x14ac:dyDescent="0.35">
      <c r="A75" s="366"/>
      <c r="B75" s="367"/>
      <c r="C75" s="253"/>
      <c r="D75" s="253"/>
      <c r="E75" s="253"/>
      <c r="F75" s="253"/>
      <c r="G75" s="315"/>
      <c r="H75" s="253"/>
      <c r="I75" s="253"/>
      <c r="J75" s="253"/>
      <c r="K75" s="253"/>
      <c r="L75" s="253"/>
      <c r="M75" s="253"/>
      <c r="R75" s="304"/>
    </row>
    <row r="76" spans="1:18" x14ac:dyDescent="0.35">
      <c r="A76" s="348" t="s">
        <v>503</v>
      </c>
      <c r="B76" s="335" t="e">
        <f>SUM(B72:B74)</f>
        <v>#DIV/0!</v>
      </c>
      <c r="C76" s="335" t="e">
        <f t="shared" ref="C76:E76" si="16">SUM(C72:C74)</f>
        <v>#DIV/0!</v>
      </c>
      <c r="D76" s="335" t="e">
        <f t="shared" si="16"/>
        <v>#DIV/0!</v>
      </c>
      <c r="E76" s="335" t="e">
        <f t="shared" si="16"/>
        <v>#DIV/0!</v>
      </c>
      <c r="F76" s="253"/>
      <c r="G76" s="315"/>
      <c r="H76" s="253"/>
      <c r="I76" s="253"/>
      <c r="J76" s="253"/>
      <c r="K76" s="253"/>
      <c r="L76" s="253"/>
      <c r="M76" s="253"/>
      <c r="R76" s="304"/>
    </row>
    <row r="77" spans="1:18" x14ac:dyDescent="0.35">
      <c r="A77" s="351" t="s">
        <v>504</v>
      </c>
      <c r="B77" s="373" t="e">
        <f>(B72*$H$31+B73*$H$32+B74*$H$29)/B76</f>
        <v>#DIV/0!</v>
      </c>
      <c r="C77" s="373" t="e">
        <f>(C72*$H$31+C73*$H$32+C74*$H$29)/C76</f>
        <v>#DIV/0!</v>
      </c>
      <c r="D77" s="373" t="e">
        <f>(D72*$H$31+D73*$H$32+D74*$H$29)/D76</f>
        <v>#DIV/0!</v>
      </c>
      <c r="E77" s="373" t="e">
        <f>(E72*$H$31+E73*$H$32+E74*$H$29)/E76</f>
        <v>#DIV/0!</v>
      </c>
      <c r="F77" s="253"/>
      <c r="G77" s="253"/>
      <c r="H77" s="253"/>
      <c r="I77" s="253"/>
      <c r="J77" s="253"/>
      <c r="K77" s="253"/>
      <c r="L77" s="253"/>
      <c r="M77" s="304"/>
    </row>
    <row r="78" spans="1:18" x14ac:dyDescent="0.35">
      <c r="A78" s="351" t="s">
        <v>505</v>
      </c>
      <c r="B78" s="373" t="e">
        <f>B76/C50</f>
        <v>#DIV/0!</v>
      </c>
      <c r="C78" s="373" t="e">
        <f>C76/D50</f>
        <v>#DIV/0!</v>
      </c>
      <c r="D78" s="373" t="e">
        <f>D76/E50</f>
        <v>#DIV/0!</v>
      </c>
      <c r="E78" s="373" t="e">
        <f>E76/F50</f>
        <v>#DIV/0!</v>
      </c>
      <c r="F78" s="253"/>
      <c r="G78" s="253"/>
      <c r="H78" s="253"/>
      <c r="I78" s="253"/>
      <c r="J78" s="253"/>
      <c r="K78" s="253"/>
      <c r="L78" s="253"/>
      <c r="M78" s="304"/>
    </row>
    <row r="79" spans="1:18" x14ac:dyDescent="0.35">
      <c r="A79" s="253"/>
      <c r="B79" s="253"/>
      <c r="C79" s="253"/>
      <c r="D79" s="253"/>
      <c r="E79" s="253"/>
      <c r="F79" s="253"/>
      <c r="G79" s="253"/>
      <c r="H79" s="253"/>
      <c r="I79" s="253"/>
      <c r="J79" s="253"/>
      <c r="K79" s="253"/>
      <c r="L79" s="253"/>
      <c r="M79" s="304"/>
    </row>
    <row r="80" spans="1:18" x14ac:dyDescent="0.35">
      <c r="A80" s="253"/>
      <c r="B80" s="253"/>
      <c r="C80" s="253"/>
      <c r="D80" s="253"/>
      <c r="E80" s="253"/>
      <c r="F80" s="253"/>
      <c r="G80" s="253"/>
      <c r="H80" s="253"/>
      <c r="I80" s="253"/>
      <c r="J80" s="253"/>
      <c r="K80" s="253"/>
      <c r="L80" s="253"/>
      <c r="M80" s="304"/>
    </row>
    <row r="81" spans="1:13" x14ac:dyDescent="0.35">
      <c r="A81" s="253"/>
      <c r="B81" s="253"/>
      <c r="C81" s="253"/>
      <c r="D81" s="253"/>
      <c r="E81" s="253"/>
      <c r="F81" s="253"/>
      <c r="G81" s="253"/>
      <c r="H81" s="253"/>
      <c r="I81" s="253"/>
      <c r="J81" s="253"/>
      <c r="K81" s="253"/>
      <c r="L81" s="253"/>
      <c r="M81" s="304"/>
    </row>
    <row r="82" spans="1:13" x14ac:dyDescent="0.35">
      <c r="A82" s="253"/>
      <c r="B82" s="253"/>
      <c r="C82" s="253"/>
      <c r="D82" s="253"/>
      <c r="E82" s="253"/>
      <c r="F82" s="253"/>
      <c r="G82" s="253"/>
      <c r="H82" s="253"/>
      <c r="I82" s="253"/>
      <c r="J82" s="253"/>
      <c r="K82" s="253"/>
      <c r="L82" s="253"/>
      <c r="M82" s="304"/>
    </row>
    <row r="83" spans="1:13" x14ac:dyDescent="0.35">
      <c r="A83" s="253"/>
      <c r="B83" s="253"/>
      <c r="C83" s="253"/>
      <c r="D83" s="253"/>
      <c r="E83" s="253"/>
      <c r="F83" s="253"/>
      <c r="G83" s="253"/>
      <c r="H83" s="253"/>
      <c r="I83" s="253"/>
      <c r="J83" s="253"/>
      <c r="K83" s="253"/>
      <c r="L83" s="253"/>
      <c r="M83" s="304"/>
    </row>
    <row r="84" spans="1:13" x14ac:dyDescent="0.35">
      <c r="A84" s="253"/>
      <c r="B84" s="253"/>
      <c r="C84" s="253"/>
      <c r="D84" s="253"/>
      <c r="E84" s="253"/>
      <c r="F84" s="253"/>
      <c r="G84" s="253"/>
      <c r="H84" s="253"/>
      <c r="I84" s="253"/>
      <c r="J84" s="253"/>
      <c r="K84" s="253"/>
      <c r="L84" s="253"/>
      <c r="M84" s="304"/>
    </row>
    <row r="85" spans="1:13" x14ac:dyDescent="0.35">
      <c r="A85" s="253"/>
      <c r="B85" s="253"/>
      <c r="C85" s="253"/>
      <c r="D85" s="253"/>
      <c r="E85" s="253"/>
      <c r="F85" s="253"/>
      <c r="G85" s="253"/>
      <c r="H85" s="253"/>
      <c r="I85" s="253"/>
      <c r="J85" s="253"/>
      <c r="K85" s="253"/>
      <c r="L85" s="253"/>
      <c r="M85" s="304"/>
    </row>
    <row r="86" spans="1:13" x14ac:dyDescent="0.35">
      <c r="A86" s="253"/>
      <c r="B86" s="253"/>
      <c r="C86" s="253"/>
      <c r="D86" s="253"/>
      <c r="E86" s="253"/>
      <c r="F86" s="253"/>
      <c r="G86" s="253"/>
      <c r="H86" s="253"/>
      <c r="I86" s="253"/>
      <c r="J86" s="253"/>
      <c r="K86" s="253"/>
      <c r="L86" s="253"/>
      <c r="M86" s="304"/>
    </row>
    <row r="87" spans="1:13" x14ac:dyDescent="0.35">
      <c r="A87" s="253"/>
      <c r="B87" s="253"/>
      <c r="C87" s="253"/>
      <c r="D87" s="253"/>
      <c r="E87" s="253"/>
      <c r="F87" s="253"/>
      <c r="G87" s="253"/>
      <c r="H87" s="253"/>
      <c r="I87" s="253"/>
      <c r="J87" s="253"/>
      <c r="K87" s="253"/>
      <c r="L87" s="253"/>
      <c r="M87" s="304"/>
    </row>
    <row r="88" spans="1:13" x14ac:dyDescent="0.35">
      <c r="A88" s="253"/>
      <c r="B88" s="253"/>
      <c r="C88" s="253"/>
      <c r="D88" s="253"/>
      <c r="E88" s="253"/>
      <c r="F88" s="253"/>
      <c r="G88" s="253"/>
      <c r="H88" s="253"/>
      <c r="I88" s="253"/>
      <c r="J88" s="253"/>
      <c r="K88" s="253"/>
      <c r="L88" s="253"/>
      <c r="M88" s="304"/>
    </row>
    <row r="89" spans="1:13" x14ac:dyDescent="0.35">
      <c r="A89" s="253"/>
      <c r="B89" s="253"/>
      <c r="C89" s="253"/>
      <c r="D89" s="253"/>
      <c r="E89" s="253"/>
      <c r="F89" s="253"/>
      <c r="G89" s="253"/>
      <c r="H89" s="253"/>
      <c r="I89" s="253"/>
      <c r="J89" s="253"/>
      <c r="K89" s="253"/>
      <c r="L89" s="253"/>
      <c r="M89" s="304"/>
    </row>
    <row r="90" spans="1:13" x14ac:dyDescent="0.35">
      <c r="A90" s="253"/>
      <c r="B90" s="253"/>
      <c r="C90" s="253"/>
      <c r="D90" s="253"/>
      <c r="E90" s="253"/>
      <c r="F90" s="253"/>
      <c r="G90" s="253"/>
      <c r="H90" s="253"/>
      <c r="I90" s="253"/>
      <c r="J90" s="253"/>
      <c r="K90" s="253"/>
      <c r="L90" s="253"/>
      <c r="M90" s="304"/>
    </row>
    <row r="91" spans="1:13" x14ac:dyDescent="0.35">
      <c r="A91" s="253"/>
      <c r="B91" s="253"/>
      <c r="C91" s="253"/>
      <c r="D91" s="253"/>
      <c r="E91" s="253"/>
      <c r="F91" s="253"/>
      <c r="G91" s="253"/>
      <c r="H91" s="253"/>
      <c r="I91" s="253"/>
      <c r="J91" s="253"/>
      <c r="K91" s="253"/>
      <c r="L91" s="253"/>
      <c r="M91" s="304"/>
    </row>
    <row r="92" spans="1:13" x14ac:dyDescent="0.35">
      <c r="A92" s="253"/>
      <c r="B92" s="253"/>
      <c r="C92" s="253"/>
      <c r="D92" s="253"/>
      <c r="E92" s="253"/>
      <c r="F92" s="253"/>
      <c r="G92" s="253"/>
      <c r="H92" s="253"/>
      <c r="I92" s="253"/>
      <c r="J92" s="253"/>
      <c r="K92" s="253"/>
      <c r="L92" s="253"/>
      <c r="M92" s="304"/>
    </row>
    <row r="93" spans="1:13" x14ac:dyDescent="0.35">
      <c r="A93" s="253"/>
      <c r="B93" s="253"/>
      <c r="C93" s="253"/>
      <c r="D93" s="253"/>
      <c r="E93" s="253"/>
      <c r="F93" s="253"/>
      <c r="G93" s="253"/>
      <c r="H93" s="253"/>
      <c r="I93" s="253"/>
      <c r="J93" s="253"/>
      <c r="K93" s="253"/>
      <c r="L93" s="253"/>
      <c r="M93" s="304"/>
    </row>
    <row r="94" spans="1:13" x14ac:dyDescent="0.35">
      <c r="A94" s="253"/>
      <c r="B94" s="253"/>
      <c r="C94" s="253"/>
      <c r="D94" s="253"/>
      <c r="E94" s="253"/>
      <c r="F94" s="253"/>
      <c r="G94" s="253"/>
      <c r="H94" s="253"/>
      <c r="I94" s="253"/>
      <c r="J94" s="253"/>
      <c r="K94" s="253"/>
      <c r="L94" s="253"/>
      <c r="M94" s="304"/>
    </row>
    <row r="95" spans="1:13" x14ac:dyDescent="0.35">
      <c r="A95" s="253"/>
      <c r="B95" s="253"/>
      <c r="C95" s="253"/>
      <c r="D95" s="253"/>
      <c r="E95" s="253"/>
      <c r="F95" s="253"/>
      <c r="G95" s="253"/>
      <c r="H95" s="253"/>
      <c r="I95" s="253"/>
      <c r="J95" s="253"/>
      <c r="K95" s="253"/>
      <c r="L95" s="253"/>
      <c r="M95" s="304"/>
    </row>
    <row r="96" spans="1:13" x14ac:dyDescent="0.35">
      <c r="A96" s="253"/>
      <c r="B96" s="253"/>
      <c r="C96" s="253"/>
      <c r="D96" s="253"/>
      <c r="E96" s="253"/>
      <c r="F96" s="253"/>
      <c r="G96" s="253"/>
      <c r="H96" s="253"/>
      <c r="I96" s="253"/>
      <c r="J96" s="253"/>
      <c r="K96" s="253"/>
      <c r="L96" s="253"/>
      <c r="M96" s="304"/>
    </row>
    <row r="97" spans="1:13" x14ac:dyDescent="0.35">
      <c r="A97" s="253"/>
      <c r="B97" s="253"/>
      <c r="C97" s="253"/>
      <c r="D97" s="253"/>
      <c r="E97" s="253"/>
      <c r="F97" s="253"/>
      <c r="G97" s="253"/>
      <c r="H97" s="253"/>
      <c r="I97" s="253"/>
      <c r="J97" s="253"/>
      <c r="K97" s="253"/>
      <c r="L97" s="253"/>
      <c r="M97" s="304"/>
    </row>
    <row r="98" spans="1:13" x14ac:dyDescent="0.35">
      <c r="A98" s="253"/>
      <c r="B98" s="253"/>
      <c r="C98" s="253"/>
      <c r="D98" s="253"/>
      <c r="E98" s="253"/>
      <c r="F98" s="253"/>
      <c r="G98" s="253"/>
      <c r="H98" s="253"/>
      <c r="I98" s="253"/>
      <c r="J98" s="253"/>
      <c r="K98" s="253"/>
      <c r="L98" s="253"/>
      <c r="M98" s="304"/>
    </row>
    <row r="99" spans="1:13" x14ac:dyDescent="0.35">
      <c r="A99" s="253"/>
      <c r="B99" s="253"/>
      <c r="C99" s="253"/>
      <c r="D99" s="253"/>
      <c r="E99" s="253"/>
      <c r="F99" s="253"/>
      <c r="G99" s="253"/>
      <c r="H99" s="253"/>
      <c r="I99" s="253"/>
      <c r="J99" s="253"/>
      <c r="K99" s="253"/>
      <c r="L99" s="253"/>
      <c r="M99" s="304"/>
    </row>
    <row r="100" spans="1:13" x14ac:dyDescent="0.35">
      <c r="A100" s="253"/>
      <c r="B100" s="253"/>
      <c r="C100" s="253"/>
      <c r="D100" s="253"/>
      <c r="E100" s="253"/>
      <c r="F100" s="253"/>
      <c r="G100" s="253"/>
      <c r="H100" s="253"/>
      <c r="I100" s="253"/>
      <c r="J100" s="253"/>
      <c r="K100" s="253"/>
      <c r="L100" s="253"/>
      <c r="M100" s="304"/>
    </row>
    <row r="101" spans="1:13" x14ac:dyDescent="0.35">
      <c r="A101" s="253"/>
      <c r="B101" s="253"/>
      <c r="C101" s="253"/>
      <c r="D101" s="253"/>
      <c r="E101" s="253"/>
      <c r="F101" s="253"/>
      <c r="G101" s="253"/>
      <c r="H101" s="253"/>
      <c r="I101" s="253"/>
      <c r="J101" s="253"/>
      <c r="K101" s="253"/>
      <c r="L101" s="253"/>
      <c r="M101" s="304"/>
    </row>
    <row r="102" spans="1:13" x14ac:dyDescent="0.35">
      <c r="A102" s="253"/>
      <c r="B102" s="253"/>
      <c r="C102" s="253"/>
      <c r="D102" s="253"/>
      <c r="E102" s="253"/>
      <c r="F102" s="253"/>
      <c r="G102" s="253"/>
      <c r="H102" s="253"/>
      <c r="I102" s="253"/>
      <c r="J102" s="253"/>
      <c r="K102" s="253"/>
      <c r="L102" s="253"/>
      <c r="M102" s="304"/>
    </row>
    <row r="103" spans="1:13" x14ac:dyDescent="0.35">
      <c r="A103" s="253"/>
      <c r="B103" s="253"/>
      <c r="C103" s="253"/>
      <c r="D103" s="253"/>
      <c r="E103" s="253"/>
      <c r="F103" s="253"/>
      <c r="G103" s="253"/>
      <c r="H103" s="253"/>
      <c r="I103" s="253"/>
      <c r="J103" s="253"/>
      <c r="K103" s="253"/>
      <c r="L103" s="253"/>
      <c r="M103" s="304"/>
    </row>
    <row r="104" spans="1:13" x14ac:dyDescent="0.35">
      <c r="A104" s="253"/>
      <c r="B104" s="253"/>
      <c r="C104" s="253"/>
      <c r="D104" s="253"/>
      <c r="E104" s="253"/>
      <c r="F104" s="253"/>
      <c r="G104" s="253"/>
      <c r="H104" s="253"/>
      <c r="I104" s="253"/>
      <c r="J104" s="253"/>
      <c r="K104" s="253"/>
      <c r="L104" s="253"/>
      <c r="M104" s="304"/>
    </row>
    <row r="105" spans="1:13" x14ac:dyDescent="0.35">
      <c r="A105" s="253"/>
      <c r="B105" s="253"/>
      <c r="C105" s="253"/>
      <c r="D105" s="253"/>
      <c r="E105" s="253"/>
      <c r="F105" s="253"/>
      <c r="G105" s="253"/>
      <c r="H105" s="253"/>
      <c r="I105" s="253"/>
      <c r="J105" s="253"/>
      <c r="K105" s="253"/>
      <c r="L105" s="253"/>
      <c r="M105" s="304"/>
    </row>
    <row r="106" spans="1:13" x14ac:dyDescent="0.35">
      <c r="A106" s="253"/>
      <c r="B106" s="253"/>
      <c r="C106" s="253"/>
      <c r="D106" s="253"/>
      <c r="E106" s="253"/>
      <c r="F106" s="253"/>
      <c r="G106" s="253"/>
      <c r="H106" s="253"/>
      <c r="I106" s="253"/>
      <c r="J106" s="253"/>
      <c r="K106" s="253"/>
      <c r="L106" s="253"/>
      <c r="M106" s="304"/>
    </row>
    <row r="107" spans="1:13" x14ac:dyDescent="0.35">
      <c r="A107" s="253"/>
      <c r="B107" s="253"/>
      <c r="C107" s="253"/>
      <c r="D107" s="253"/>
      <c r="E107" s="253"/>
      <c r="F107" s="253"/>
      <c r="G107" s="253"/>
      <c r="H107" s="253"/>
      <c r="I107" s="253"/>
      <c r="J107" s="253"/>
      <c r="K107" s="253"/>
      <c r="L107" s="253"/>
      <c r="M107" s="304"/>
    </row>
    <row r="108" spans="1:13" x14ac:dyDescent="0.35">
      <c r="A108" s="253"/>
      <c r="B108" s="253"/>
      <c r="C108" s="253"/>
      <c r="D108" s="253"/>
      <c r="E108" s="253"/>
      <c r="F108" s="253"/>
      <c r="G108" s="253"/>
      <c r="H108" s="253"/>
      <c r="I108" s="253"/>
      <c r="J108" s="253"/>
      <c r="K108" s="253"/>
      <c r="L108" s="253"/>
      <c r="M108" s="304"/>
    </row>
    <row r="109" spans="1:13" x14ac:dyDescent="0.35">
      <c r="A109" s="253"/>
      <c r="B109" s="253"/>
      <c r="C109" s="253"/>
      <c r="D109" s="253"/>
      <c r="E109" s="253"/>
      <c r="F109" s="253"/>
      <c r="G109" s="253"/>
      <c r="H109" s="253"/>
      <c r="I109" s="253"/>
      <c r="J109" s="253"/>
      <c r="K109" s="253"/>
      <c r="L109" s="253"/>
      <c r="M109" s="304"/>
    </row>
    <row r="110" spans="1:13" x14ac:dyDescent="0.35">
      <c r="A110" s="253"/>
      <c r="B110" s="253"/>
      <c r="C110" s="253"/>
      <c r="D110" s="253"/>
      <c r="E110" s="253"/>
      <c r="F110" s="253"/>
      <c r="G110" s="253"/>
      <c r="H110" s="253"/>
      <c r="I110" s="253"/>
      <c r="J110" s="253"/>
      <c r="K110" s="253"/>
      <c r="L110" s="253"/>
      <c r="M110" s="304"/>
    </row>
    <row r="111" spans="1:13" x14ac:dyDescent="0.35">
      <c r="A111" s="253"/>
      <c r="B111" s="253"/>
      <c r="C111" s="253"/>
      <c r="D111" s="253"/>
      <c r="E111" s="253"/>
      <c r="F111" s="253"/>
      <c r="G111" s="253"/>
      <c r="H111" s="253"/>
      <c r="I111" s="253"/>
      <c r="J111" s="253"/>
      <c r="K111" s="253"/>
      <c r="L111" s="253"/>
      <c r="M111" s="304"/>
    </row>
    <row r="112" spans="1:13" x14ac:dyDescent="0.35">
      <c r="A112" s="253"/>
      <c r="B112" s="253"/>
      <c r="C112" s="253"/>
      <c r="D112" s="253"/>
      <c r="E112" s="253"/>
      <c r="F112" s="253"/>
      <c r="G112" s="253"/>
      <c r="H112" s="253"/>
      <c r="I112" s="253"/>
      <c r="J112" s="253"/>
      <c r="K112" s="253"/>
      <c r="L112" s="253"/>
      <c r="M112" s="304"/>
    </row>
    <row r="113" spans="1:30" x14ac:dyDescent="0.35">
      <c r="A113" s="253"/>
      <c r="B113" s="253"/>
      <c r="C113" s="253"/>
      <c r="D113" s="253"/>
      <c r="E113" s="253"/>
      <c r="F113" s="253"/>
      <c r="G113" s="253"/>
      <c r="H113" s="253"/>
      <c r="I113" s="253"/>
      <c r="J113" s="253"/>
      <c r="K113" s="253"/>
      <c r="L113" s="253"/>
      <c r="M113" s="304"/>
    </row>
    <row r="114" spans="1:30" x14ac:dyDescent="0.35">
      <c r="A114" s="253"/>
      <c r="B114" s="253"/>
      <c r="C114" s="253"/>
      <c r="D114" s="253"/>
      <c r="E114" s="253"/>
      <c r="F114" s="253"/>
      <c r="G114" s="253"/>
      <c r="H114" s="253"/>
      <c r="I114" s="253"/>
      <c r="J114" s="253"/>
      <c r="K114" s="253"/>
      <c r="L114" s="253"/>
      <c r="M114" s="304"/>
    </row>
    <row r="115" spans="1:30" x14ac:dyDescent="0.35">
      <c r="A115" s="253"/>
      <c r="B115" s="253"/>
      <c r="C115" s="253"/>
      <c r="D115" s="253"/>
      <c r="E115" s="253"/>
      <c r="F115" s="253"/>
      <c r="G115" s="253"/>
      <c r="H115" s="253"/>
      <c r="I115" s="253"/>
      <c r="J115" s="253"/>
      <c r="K115" s="253"/>
      <c r="L115" s="253"/>
      <c r="M115" s="304"/>
    </row>
    <row r="116" spans="1:30" x14ac:dyDescent="0.35">
      <c r="A116" s="253"/>
      <c r="B116" s="253"/>
      <c r="C116" s="253"/>
      <c r="D116" s="253"/>
      <c r="E116" s="253"/>
      <c r="F116" s="253"/>
      <c r="G116" s="253"/>
      <c r="H116" s="253"/>
      <c r="I116" s="253"/>
      <c r="J116" s="253"/>
      <c r="K116" s="253"/>
      <c r="L116" s="253"/>
      <c r="M116" s="304"/>
    </row>
    <row r="117" spans="1:30" x14ac:dyDescent="0.35">
      <c r="A117" s="253"/>
      <c r="B117" s="253"/>
      <c r="C117" s="253"/>
      <c r="D117" s="253"/>
      <c r="E117" s="253"/>
      <c r="F117" s="253"/>
      <c r="G117" s="253"/>
      <c r="H117" s="253"/>
      <c r="I117" s="253"/>
      <c r="J117" s="253"/>
      <c r="K117" s="253"/>
      <c r="L117" s="253"/>
      <c r="M117" s="304"/>
    </row>
    <row r="118" spans="1:30" x14ac:dyDescent="0.35">
      <c r="A118" s="253"/>
      <c r="B118" s="253"/>
      <c r="C118" s="253"/>
      <c r="D118" s="253"/>
      <c r="E118" s="253"/>
      <c r="F118" s="253"/>
      <c r="G118" s="253"/>
      <c r="H118" s="253"/>
      <c r="I118" s="253"/>
      <c r="J118" s="253"/>
      <c r="K118" s="253"/>
      <c r="L118" s="253"/>
      <c r="M118" s="304"/>
    </row>
    <row r="119" spans="1:30" x14ac:dyDescent="0.35">
      <c r="A119" s="253"/>
      <c r="B119" s="253"/>
      <c r="C119" s="253"/>
      <c r="D119" s="253"/>
      <c r="E119" s="253"/>
      <c r="F119" s="253"/>
      <c r="G119" s="253"/>
      <c r="H119" s="253"/>
      <c r="I119" s="253"/>
      <c r="J119" s="253"/>
      <c r="K119" s="253"/>
      <c r="L119" s="253"/>
      <c r="M119" s="304"/>
    </row>
    <row r="120" spans="1:30" x14ac:dyDescent="0.35">
      <c r="A120" s="253"/>
      <c r="B120" s="253"/>
      <c r="C120" s="253"/>
      <c r="D120" s="253"/>
      <c r="E120" s="253"/>
      <c r="F120" s="253"/>
      <c r="G120" s="253"/>
      <c r="H120" s="253"/>
      <c r="I120" s="253"/>
      <c r="J120" s="253"/>
      <c r="K120" s="253"/>
      <c r="L120" s="253"/>
      <c r="M120" s="304"/>
    </row>
    <row r="121" spans="1:30" x14ac:dyDescent="0.35">
      <c r="A121" s="253"/>
      <c r="B121" s="253"/>
      <c r="C121" s="253"/>
      <c r="D121" s="253"/>
      <c r="E121" s="253"/>
      <c r="F121" s="253"/>
      <c r="G121" s="253"/>
      <c r="H121" s="253"/>
      <c r="I121" s="253"/>
      <c r="J121" s="253"/>
      <c r="K121" s="253"/>
      <c r="L121" s="253"/>
      <c r="M121" s="304"/>
    </row>
    <row r="122" spans="1:30" x14ac:dyDescent="0.35">
      <c r="A122" s="253"/>
      <c r="B122" s="253"/>
      <c r="C122" s="253"/>
      <c r="D122" s="253"/>
      <c r="E122" s="253"/>
      <c r="F122" s="253"/>
      <c r="G122" s="253"/>
      <c r="H122" s="253"/>
      <c r="I122" s="253"/>
      <c r="J122" s="253"/>
      <c r="K122" s="253"/>
      <c r="L122" s="253"/>
      <c r="M122" s="304"/>
    </row>
    <row r="123" spans="1:30" x14ac:dyDescent="0.35">
      <c r="A123" s="223" t="s">
        <v>506</v>
      </c>
      <c r="B123" s="222"/>
      <c r="C123" s="222"/>
      <c r="D123" s="222"/>
      <c r="E123" s="222"/>
      <c r="F123" s="222"/>
      <c r="G123" s="222"/>
      <c r="H123" s="222"/>
      <c r="I123" s="222"/>
      <c r="J123" s="222"/>
      <c r="K123" s="222"/>
      <c r="L123" s="222"/>
      <c r="M123" s="222"/>
    </row>
    <row r="125" spans="1:30" x14ac:dyDescent="0.35">
      <c r="A125" s="193" t="s">
        <v>507</v>
      </c>
      <c r="B125" s="193" t="s">
        <v>397</v>
      </c>
    </row>
    <row r="127" spans="1:30" x14ac:dyDescent="0.35">
      <c r="A127" s="193" t="s">
        <v>94</v>
      </c>
      <c r="B127" s="193" t="s">
        <v>508</v>
      </c>
      <c r="C127" s="193" t="s">
        <v>509</v>
      </c>
      <c r="D127" s="193" t="s">
        <v>201</v>
      </c>
      <c r="F127" s="193" t="s">
        <v>510</v>
      </c>
    </row>
    <row r="128" spans="1:30" s="193" customFormat="1" x14ac:dyDescent="0.35">
      <c r="A128" s="195" t="s">
        <v>329</v>
      </c>
      <c r="B128" s="196">
        <v>84346</v>
      </c>
      <c r="C128" s="374">
        <f t="shared" ref="C128:C177" si="17">B128/$B$178</f>
        <v>0.2529385445642775</v>
      </c>
      <c r="D128" s="193" t="str">
        <f>LEFT(RIGHT(A128,LEN(A128)-4),8)</f>
        <v>23-10-5</v>
      </c>
      <c r="E128" s="374"/>
      <c r="F128" s="374">
        <v>0.2529385445642775</v>
      </c>
      <c r="G128" s="374"/>
      <c r="M128" s="328"/>
      <c r="N128" s="253"/>
      <c r="O128" s="253"/>
      <c r="P128" s="253"/>
      <c r="Q128" s="253"/>
      <c r="R128" s="253"/>
      <c r="S128" s="253"/>
      <c r="T128" s="253"/>
      <c r="U128" s="253"/>
      <c r="V128" s="253"/>
      <c r="W128" s="253"/>
      <c r="X128" s="253"/>
      <c r="Y128" s="253"/>
      <c r="Z128" s="253"/>
      <c r="AA128" s="253"/>
      <c r="AB128" s="253"/>
      <c r="AC128" s="253"/>
      <c r="AD128" s="253"/>
    </row>
    <row r="129" spans="1:30" s="193" customFormat="1" x14ac:dyDescent="0.35">
      <c r="A129" s="195" t="s">
        <v>212</v>
      </c>
      <c r="B129" s="196">
        <v>43247</v>
      </c>
      <c r="C129" s="374">
        <f t="shared" si="17"/>
        <v>0.12969000588968427</v>
      </c>
      <c r="D129" s="193" t="str">
        <f>LEFT(RIGHT(A129,LEN(A129)-4),8)</f>
        <v>15-15-15</v>
      </c>
      <c r="E129" s="374"/>
      <c r="F129" s="374">
        <v>0.12969000588968427</v>
      </c>
      <c r="G129" s="374"/>
      <c r="M129" s="328"/>
      <c r="N129" s="253"/>
      <c r="O129" s="253"/>
      <c r="P129" s="253"/>
      <c r="Q129" s="253"/>
      <c r="R129" s="253"/>
      <c r="S129" s="253"/>
      <c r="T129" s="253"/>
      <c r="U129" s="253"/>
      <c r="V129" s="253"/>
      <c r="W129" s="253"/>
      <c r="X129" s="253"/>
      <c r="Y129" s="253"/>
      <c r="Z129" s="253"/>
      <c r="AA129" s="253"/>
      <c r="AB129" s="253"/>
      <c r="AC129" s="253"/>
      <c r="AD129" s="253"/>
    </row>
    <row r="130" spans="1:30" s="193" customFormat="1" x14ac:dyDescent="0.35">
      <c r="A130" s="195" t="s">
        <v>511</v>
      </c>
      <c r="B130" s="196">
        <v>34689</v>
      </c>
      <c r="C130" s="374">
        <f t="shared" si="17"/>
        <v>0.10402609693868377</v>
      </c>
      <c r="D130" s="193" t="str">
        <f>LEFT(RIGHT(A130,LEN(A130)-4),8)</f>
        <v xml:space="preserve">5-16-15 </v>
      </c>
      <c r="E130" s="374"/>
      <c r="F130" s="374">
        <v>0.10402609693868377</v>
      </c>
      <c r="G130" s="374"/>
      <c r="M130" s="328"/>
      <c r="N130" s="253"/>
      <c r="O130" s="253"/>
      <c r="P130" s="253"/>
      <c r="Q130" s="253"/>
      <c r="R130" s="253"/>
      <c r="S130" s="253"/>
      <c r="T130" s="253"/>
      <c r="U130" s="253"/>
      <c r="V130" s="253"/>
      <c r="W130" s="253"/>
      <c r="X130" s="253"/>
      <c r="Y130" s="253"/>
      <c r="Z130" s="253"/>
      <c r="AA130" s="253"/>
      <c r="AB130" s="253"/>
      <c r="AC130" s="253"/>
      <c r="AD130" s="253"/>
    </row>
    <row r="131" spans="1:30" s="193" customFormat="1" x14ac:dyDescent="0.35">
      <c r="A131" s="195" t="s">
        <v>296</v>
      </c>
      <c r="B131" s="196">
        <v>30722.16</v>
      </c>
      <c r="C131" s="374">
        <f t="shared" si="17"/>
        <v>9.2130254383976276E-2</v>
      </c>
      <c r="D131" s="193" t="s">
        <v>242</v>
      </c>
      <c r="E131" s="374"/>
      <c r="F131" s="374">
        <v>9.2130254383976276E-2</v>
      </c>
      <c r="G131" s="374"/>
      <c r="M131" s="328"/>
      <c r="N131" s="253"/>
      <c r="O131" s="253"/>
      <c r="P131" s="253"/>
      <c r="Q131" s="253"/>
      <c r="R131" s="253"/>
      <c r="S131" s="253"/>
      <c r="T131" s="253"/>
      <c r="U131" s="253"/>
      <c r="V131" s="253"/>
      <c r="W131" s="253"/>
      <c r="X131" s="253"/>
      <c r="Y131" s="253"/>
      <c r="Z131" s="253"/>
      <c r="AA131" s="253"/>
      <c r="AB131" s="253"/>
      <c r="AC131" s="253"/>
      <c r="AD131" s="253"/>
    </row>
    <row r="132" spans="1:30" s="193" customFormat="1" x14ac:dyDescent="0.35">
      <c r="A132" s="195" t="s">
        <v>273</v>
      </c>
      <c r="B132" s="196">
        <v>21900</v>
      </c>
      <c r="C132" s="374">
        <f t="shared" si="17"/>
        <v>6.5674176913637597E-2</v>
      </c>
      <c r="D132" s="193" t="s">
        <v>220</v>
      </c>
      <c r="E132" s="374"/>
      <c r="F132" s="374">
        <v>6.5674176913637597E-2</v>
      </c>
      <c r="G132" s="374"/>
      <c r="M132" s="328"/>
      <c r="N132" s="253"/>
      <c r="O132" s="253"/>
      <c r="P132" s="253"/>
      <c r="Q132" s="253"/>
      <c r="R132" s="253"/>
      <c r="S132" s="253"/>
      <c r="T132" s="253"/>
      <c r="U132" s="253"/>
      <c r="V132" s="253"/>
      <c r="W132" s="253"/>
      <c r="X132" s="253"/>
      <c r="Y132" s="253"/>
      <c r="Z132" s="253"/>
      <c r="AA132" s="253"/>
      <c r="AB132" s="253"/>
      <c r="AC132" s="253"/>
      <c r="AD132" s="253"/>
    </row>
    <row r="133" spans="1:30" s="193" customFormat="1" x14ac:dyDescent="0.35">
      <c r="A133" s="195" t="s">
        <v>512</v>
      </c>
      <c r="B133" s="196">
        <v>20072</v>
      </c>
      <c r="C133" s="374">
        <f t="shared" si="17"/>
        <v>6.0192332374910222E-2</v>
      </c>
      <c r="D133" s="193" t="str">
        <f>LEFT(RIGHT(A133,LEN(A133)-4),8)</f>
        <v xml:space="preserve">2-18-16 </v>
      </c>
      <c r="E133" s="374"/>
      <c r="F133" s="374">
        <v>6.0192332374910222E-2</v>
      </c>
      <c r="G133" s="374"/>
      <c r="M133" s="328"/>
      <c r="N133" s="253"/>
      <c r="O133" s="253"/>
      <c r="P133" s="253"/>
      <c r="Q133" s="253"/>
      <c r="R133" s="253"/>
      <c r="S133" s="253"/>
      <c r="T133" s="253"/>
      <c r="U133" s="253"/>
      <c r="V133" s="253"/>
      <c r="W133" s="253"/>
      <c r="X133" s="253"/>
      <c r="Y133" s="253"/>
      <c r="Z133" s="253"/>
      <c r="AA133" s="253"/>
      <c r="AB133" s="253"/>
      <c r="AC133" s="253"/>
      <c r="AD133" s="253"/>
    </row>
    <row r="134" spans="1:30" s="193" customFormat="1" x14ac:dyDescent="0.35">
      <c r="A134" s="195" t="s">
        <v>513</v>
      </c>
      <c r="B134" s="196">
        <v>19540</v>
      </c>
      <c r="C134" s="374">
        <f t="shared" si="17"/>
        <v>5.8596959675455647E-2</v>
      </c>
      <c r="D134" s="193" t="str">
        <f>LEFT(RIGHT(A134,LEN(A134)-4),8)</f>
        <v>22-5-5</v>
      </c>
      <c r="E134" s="374"/>
      <c r="F134" s="374">
        <v>5.8596959675455647E-2</v>
      </c>
      <c r="G134" s="374"/>
      <c r="M134" s="328"/>
      <c r="N134" s="253"/>
      <c r="O134" s="253"/>
      <c r="P134" s="253"/>
      <c r="Q134" s="253"/>
      <c r="R134" s="253"/>
      <c r="S134" s="253"/>
      <c r="T134" s="253"/>
      <c r="U134" s="253"/>
      <c r="V134" s="253"/>
      <c r="W134" s="253"/>
      <c r="X134" s="253"/>
      <c r="Y134" s="253"/>
      <c r="Z134" s="253"/>
      <c r="AA134" s="253"/>
      <c r="AB134" s="253"/>
      <c r="AC134" s="253"/>
      <c r="AD134" s="253"/>
    </row>
    <row r="135" spans="1:30" s="193" customFormat="1" x14ac:dyDescent="0.35">
      <c r="A135" s="195" t="s">
        <v>514</v>
      </c>
      <c r="B135" s="196">
        <v>17791</v>
      </c>
      <c r="C135" s="374">
        <f t="shared" si="17"/>
        <v>5.3352021984955547E-2</v>
      </c>
      <c r="D135" s="193" t="str">
        <f>LEFT(RIGHT(A135,LEN(A135)-4),8)</f>
        <v xml:space="preserve">23-10-5 </v>
      </c>
      <c r="E135" s="374"/>
      <c r="F135" s="374">
        <v>5.3352021984955547E-2</v>
      </c>
      <c r="G135" s="374"/>
      <c r="M135" s="328"/>
      <c r="N135" s="253"/>
      <c r="O135" s="253"/>
      <c r="P135" s="253"/>
      <c r="Q135" s="253"/>
      <c r="R135" s="253"/>
      <c r="S135" s="253"/>
      <c r="T135" s="253"/>
      <c r="U135" s="253"/>
      <c r="V135" s="253"/>
      <c r="W135" s="253"/>
      <c r="X135" s="253"/>
      <c r="Y135" s="253"/>
      <c r="Z135" s="253"/>
      <c r="AA135" s="253"/>
      <c r="AB135" s="253"/>
      <c r="AC135" s="253"/>
      <c r="AD135" s="253"/>
    </row>
    <row r="136" spans="1:30" s="193" customFormat="1" x14ac:dyDescent="0.35">
      <c r="A136" s="195" t="s">
        <v>515</v>
      </c>
      <c r="B136" s="196">
        <v>17500</v>
      </c>
      <c r="C136" s="374">
        <f t="shared" si="17"/>
        <v>5.247936511363735E-2</v>
      </c>
      <c r="D136" s="193" t="s">
        <v>460</v>
      </c>
      <c r="E136" s="374"/>
      <c r="F136" s="374">
        <v>5.247936511363735E-2</v>
      </c>
      <c r="G136" s="374"/>
      <c r="M136" s="328"/>
      <c r="N136" s="253"/>
      <c r="O136" s="253"/>
      <c r="P136" s="253"/>
      <c r="Q136" s="253"/>
      <c r="R136" s="253"/>
      <c r="S136" s="253"/>
      <c r="T136" s="253"/>
      <c r="U136" s="253"/>
      <c r="V136" s="253"/>
      <c r="W136" s="253"/>
      <c r="X136" s="253"/>
      <c r="Y136" s="253"/>
      <c r="Z136" s="253"/>
      <c r="AA136" s="253"/>
      <c r="AB136" s="253"/>
      <c r="AC136" s="253"/>
      <c r="AD136" s="253"/>
    </row>
    <row r="137" spans="1:30" s="193" customFormat="1" x14ac:dyDescent="0.35">
      <c r="A137" s="195" t="s">
        <v>516</v>
      </c>
      <c r="B137" s="196">
        <v>10800</v>
      </c>
      <c r="C137" s="374">
        <f t="shared" si="17"/>
        <v>3.2387265327273339E-2</v>
      </c>
      <c r="D137" s="193" t="str">
        <f t="shared" ref="D137:D144" si="18">LEFT(RIGHT(A137,LEN(A137)-4),8)</f>
        <v>20-10-10</v>
      </c>
      <c r="E137" s="374"/>
      <c r="F137" s="374">
        <v>3.2387265327273339E-2</v>
      </c>
      <c r="G137" s="374"/>
      <c r="M137" s="328"/>
      <c r="N137" s="253"/>
      <c r="O137" s="253"/>
      <c r="P137" s="253"/>
      <c r="Q137" s="253"/>
      <c r="R137" s="253"/>
      <c r="S137" s="253"/>
      <c r="T137" s="253"/>
      <c r="U137" s="253"/>
      <c r="V137" s="253"/>
      <c r="W137" s="253"/>
      <c r="X137" s="253"/>
      <c r="Y137" s="253"/>
      <c r="Z137" s="253"/>
      <c r="AA137" s="253"/>
      <c r="AB137" s="253"/>
      <c r="AC137" s="253"/>
      <c r="AD137" s="253"/>
    </row>
    <row r="138" spans="1:30" s="193" customFormat="1" x14ac:dyDescent="0.35">
      <c r="A138" s="195" t="s">
        <v>517</v>
      </c>
      <c r="B138" s="196">
        <v>7527.5</v>
      </c>
      <c r="C138" s="374">
        <f t="shared" si="17"/>
        <v>2.2573624051023151E-2</v>
      </c>
      <c r="D138" s="193" t="str">
        <f t="shared" si="18"/>
        <v xml:space="preserve">3-20-18 </v>
      </c>
      <c r="E138" s="374"/>
      <c r="F138" s="374">
        <v>2.2573624051023151E-2</v>
      </c>
      <c r="G138" s="374"/>
      <c r="M138" s="328"/>
      <c r="N138" s="253"/>
      <c r="O138" s="253"/>
      <c r="P138" s="253"/>
      <c r="Q138" s="253"/>
      <c r="R138" s="253"/>
      <c r="S138" s="253"/>
      <c r="T138" s="253"/>
      <c r="U138" s="253"/>
      <c r="V138" s="253"/>
      <c r="W138" s="253"/>
      <c r="X138" s="253"/>
      <c r="Y138" s="253"/>
      <c r="Z138" s="253"/>
      <c r="AA138" s="253"/>
      <c r="AB138" s="253"/>
      <c r="AC138" s="253"/>
      <c r="AD138" s="253"/>
    </row>
    <row r="139" spans="1:30" s="193" customFormat="1" x14ac:dyDescent="0.35">
      <c r="A139" s="195" t="s">
        <v>338</v>
      </c>
      <c r="B139" s="196">
        <v>7437</v>
      </c>
      <c r="C139" s="374">
        <f t="shared" si="17"/>
        <v>2.2302230762864056E-2</v>
      </c>
      <c r="D139" s="193" t="str">
        <f t="shared" si="18"/>
        <v>20-10-10</v>
      </c>
      <c r="E139" s="374"/>
      <c r="F139" s="374">
        <v>2.2302230762864056E-2</v>
      </c>
      <c r="G139" s="374"/>
      <c r="M139" s="328"/>
      <c r="N139" s="253"/>
      <c r="O139" s="253"/>
      <c r="P139" s="253"/>
      <c r="Q139" s="253"/>
      <c r="R139" s="253"/>
      <c r="S139" s="253"/>
      <c r="T139" s="253"/>
      <c r="U139" s="253"/>
      <c r="V139" s="253"/>
      <c r="W139" s="253"/>
      <c r="X139" s="253"/>
      <c r="Y139" s="253"/>
      <c r="Z139" s="253"/>
      <c r="AA139" s="253"/>
      <c r="AB139" s="253"/>
      <c r="AC139" s="253"/>
      <c r="AD139" s="253"/>
    </row>
    <row r="140" spans="1:30" s="193" customFormat="1" x14ac:dyDescent="0.35">
      <c r="A140" s="195" t="s">
        <v>518</v>
      </c>
      <c r="B140" s="196">
        <v>7078</v>
      </c>
      <c r="C140" s="374">
        <f t="shared" si="17"/>
        <v>2.1225654072818581E-2</v>
      </c>
      <c r="D140" s="193" t="str">
        <f t="shared" si="18"/>
        <v>15-15-15</v>
      </c>
      <c r="E140" s="374"/>
      <c r="F140" s="374">
        <v>2.1225654072818581E-2</v>
      </c>
      <c r="G140" s="374"/>
      <c r="M140" s="328"/>
      <c r="N140" s="253"/>
      <c r="O140" s="253"/>
      <c r="P140" s="253"/>
      <c r="Q140" s="253"/>
      <c r="R140" s="253"/>
      <c r="S140" s="253"/>
      <c r="T140" s="253"/>
      <c r="U140" s="253"/>
      <c r="V140" s="253"/>
      <c r="W140" s="253"/>
      <c r="X140" s="253"/>
      <c r="Y140" s="253"/>
      <c r="Z140" s="253"/>
      <c r="AA140" s="253"/>
      <c r="AB140" s="253"/>
      <c r="AC140" s="253"/>
      <c r="AD140" s="253"/>
    </row>
    <row r="141" spans="1:30" s="193" customFormat="1" x14ac:dyDescent="0.35">
      <c r="A141" s="195" t="s">
        <v>519</v>
      </c>
      <c r="B141" s="196">
        <v>3710</v>
      </c>
      <c r="C141" s="374">
        <f t="shared" si="17"/>
        <v>1.1125625404091118E-2</v>
      </c>
      <c r="D141" s="193" t="str">
        <f t="shared" si="18"/>
        <v xml:space="preserve">7-20-13 </v>
      </c>
      <c r="E141" s="374"/>
      <c r="F141" s="374">
        <v>1.1125625404091118E-2</v>
      </c>
      <c r="G141" s="374"/>
      <c r="M141" s="328"/>
      <c r="N141" s="253"/>
      <c r="O141" s="253"/>
      <c r="P141" s="253"/>
      <c r="Q141" s="253"/>
      <c r="R141" s="253"/>
      <c r="S141" s="253"/>
      <c r="T141" s="253"/>
      <c r="U141" s="253"/>
      <c r="V141" s="253"/>
      <c r="W141" s="253"/>
      <c r="X141" s="253"/>
      <c r="Y141" s="253"/>
      <c r="Z141" s="253"/>
      <c r="AA141" s="253"/>
      <c r="AB141" s="253"/>
      <c r="AC141" s="253"/>
      <c r="AD141" s="253"/>
    </row>
    <row r="142" spans="1:30" s="193" customFormat="1" x14ac:dyDescent="0.35">
      <c r="A142" s="195" t="s">
        <v>520</v>
      </c>
      <c r="B142" s="196">
        <v>2715</v>
      </c>
      <c r="C142" s="374">
        <f t="shared" si="17"/>
        <v>8.1417986447728796E-3</v>
      </c>
      <c r="D142" s="193" t="str">
        <f t="shared" si="18"/>
        <v>5-5-45</v>
      </c>
      <c r="E142" s="374"/>
      <c r="F142" s="374">
        <v>8.1417986447728796E-3</v>
      </c>
      <c r="G142" s="374"/>
      <c r="M142" s="328"/>
      <c r="N142" s="253"/>
      <c r="O142" s="253"/>
      <c r="P142" s="253"/>
      <c r="Q142" s="253"/>
      <c r="R142" s="253"/>
      <c r="S142" s="253"/>
      <c r="T142" s="253"/>
      <c r="U142" s="253"/>
      <c r="V142" s="253"/>
      <c r="W142" s="253"/>
      <c r="X142" s="253"/>
      <c r="Y142" s="253"/>
      <c r="Z142" s="253"/>
      <c r="AA142" s="253"/>
      <c r="AB142" s="253"/>
      <c r="AC142" s="253"/>
      <c r="AD142" s="253"/>
    </row>
    <row r="143" spans="1:30" s="193" customFormat="1" x14ac:dyDescent="0.35">
      <c r="A143" s="195" t="s">
        <v>521</v>
      </c>
      <c r="B143" s="196">
        <v>2164</v>
      </c>
      <c r="C143" s="374">
        <f t="shared" si="17"/>
        <v>6.4894483489092132E-3</v>
      </c>
      <c r="D143" s="193" t="str">
        <f t="shared" si="18"/>
        <v xml:space="preserve">3-23-17 </v>
      </c>
      <c r="E143" s="374"/>
      <c r="F143" s="374">
        <v>6.4894483489092132E-3</v>
      </c>
      <c r="G143" s="374"/>
      <c r="M143" s="328"/>
      <c r="N143" s="253"/>
      <c r="O143" s="253"/>
      <c r="P143" s="253"/>
      <c r="Q143" s="253"/>
      <c r="R143" s="253"/>
      <c r="S143" s="253"/>
      <c r="T143" s="253"/>
      <c r="U143" s="253"/>
      <c r="V143" s="253"/>
      <c r="W143" s="253"/>
      <c r="X143" s="253"/>
      <c r="Y143" s="253"/>
      <c r="Z143" s="253"/>
      <c r="AA143" s="253"/>
      <c r="AB143" s="253"/>
      <c r="AC143" s="253"/>
      <c r="AD143" s="253"/>
    </row>
    <row r="144" spans="1:30" s="193" customFormat="1" x14ac:dyDescent="0.35">
      <c r="A144" s="195" t="s">
        <v>522</v>
      </c>
      <c r="B144" s="196">
        <v>1080</v>
      </c>
      <c r="C144" s="374">
        <f t="shared" si="17"/>
        <v>3.2387265327273335E-3</v>
      </c>
      <c r="D144" s="193" t="str">
        <f t="shared" si="18"/>
        <v xml:space="preserve">13-8-30 </v>
      </c>
      <c r="E144" s="374"/>
      <c r="F144" s="374">
        <v>3.2387265327273335E-3</v>
      </c>
      <c r="G144" s="374"/>
      <c r="M144" s="328"/>
      <c r="N144" s="253"/>
      <c r="O144" s="253"/>
      <c r="P144" s="253"/>
      <c r="Q144" s="253"/>
      <c r="R144" s="253"/>
      <c r="S144" s="253"/>
      <c r="T144" s="253"/>
      <c r="U144" s="253"/>
      <c r="V144" s="253"/>
      <c r="W144" s="253"/>
      <c r="X144" s="253"/>
      <c r="Y144" s="253"/>
      <c r="Z144" s="253"/>
      <c r="AA144" s="253"/>
      <c r="AB144" s="253"/>
      <c r="AC144" s="253"/>
      <c r="AD144" s="253"/>
    </row>
    <row r="145" spans="1:30" s="193" customFormat="1" x14ac:dyDescent="0.35">
      <c r="A145" s="195" t="s">
        <v>356</v>
      </c>
      <c r="B145" s="196">
        <v>355.29999999999995</v>
      </c>
      <c r="C145" s="374">
        <f t="shared" si="17"/>
        <v>1.06548105285002E-3</v>
      </c>
      <c r="D145" s="193" t="s">
        <v>356</v>
      </c>
      <c r="E145" s="374"/>
      <c r="F145" s="374">
        <v>1.06548105285002E-3</v>
      </c>
      <c r="G145" s="374"/>
      <c r="M145" s="328"/>
      <c r="N145" s="253"/>
      <c r="O145" s="253"/>
      <c r="P145" s="253"/>
      <c r="Q145" s="253"/>
      <c r="R145" s="253"/>
      <c r="S145" s="253"/>
      <c r="T145" s="253"/>
      <c r="U145" s="253"/>
      <c r="V145" s="253"/>
      <c r="W145" s="253"/>
      <c r="X145" s="253"/>
      <c r="Y145" s="253"/>
      <c r="Z145" s="253"/>
      <c r="AA145" s="253"/>
      <c r="AB145" s="253"/>
      <c r="AC145" s="253"/>
      <c r="AD145" s="253"/>
    </row>
    <row r="146" spans="1:30" s="193" customFormat="1" x14ac:dyDescent="0.35">
      <c r="A146" s="195" t="s">
        <v>523</v>
      </c>
      <c r="B146" s="196">
        <v>156.31</v>
      </c>
      <c r="C146" s="374">
        <f t="shared" si="17"/>
        <v>4.687456891950088E-4</v>
      </c>
      <c r="D146" s="193" t="str">
        <f>LEFT(RIGHT(A146,LEN(A146)-4),8)</f>
        <v>20-20-20</v>
      </c>
      <c r="E146" s="374"/>
      <c r="F146" s="374">
        <v>4.687456891950088E-4</v>
      </c>
      <c r="G146" s="374"/>
      <c r="M146" s="328"/>
      <c r="N146" s="253"/>
      <c r="O146" s="253"/>
      <c r="P146" s="253"/>
      <c r="Q146" s="253"/>
      <c r="R146" s="253"/>
      <c r="S146" s="253"/>
      <c r="T146" s="253"/>
      <c r="U146" s="253"/>
      <c r="V146" s="253"/>
      <c r="W146" s="253"/>
      <c r="X146" s="253"/>
      <c r="Y146" s="253"/>
      <c r="Z146" s="253"/>
      <c r="AA146" s="253"/>
      <c r="AB146" s="253"/>
      <c r="AC146" s="253"/>
      <c r="AD146" s="253"/>
    </row>
    <row r="147" spans="1:30" s="193" customFormat="1" x14ac:dyDescent="0.35">
      <c r="A147" s="195" t="s">
        <v>524</v>
      </c>
      <c r="B147" s="196">
        <v>149.4</v>
      </c>
      <c r="C147" s="374">
        <f t="shared" si="17"/>
        <v>4.4802383702728118E-4</v>
      </c>
      <c r="D147" s="193" t="s">
        <v>461</v>
      </c>
      <c r="E147" s="374"/>
      <c r="F147" s="374">
        <v>4.4802383702728118E-4</v>
      </c>
      <c r="G147" s="374"/>
      <c r="M147" s="328"/>
      <c r="N147" s="253"/>
      <c r="O147" s="253"/>
      <c r="P147" s="253"/>
      <c r="Q147" s="253"/>
      <c r="R147" s="253"/>
      <c r="S147" s="253"/>
      <c r="T147" s="253"/>
      <c r="U147" s="253"/>
      <c r="V147" s="253"/>
      <c r="W147" s="253"/>
      <c r="X147" s="253"/>
      <c r="Y147" s="253"/>
      <c r="Z147" s="253"/>
      <c r="AA147" s="253"/>
      <c r="AB147" s="253"/>
      <c r="AC147" s="253"/>
      <c r="AD147" s="253"/>
    </row>
    <row r="148" spans="1:30" s="193" customFormat="1" x14ac:dyDescent="0.35">
      <c r="A148" s="195" t="s">
        <v>525</v>
      </c>
      <c r="B148" s="196">
        <v>126</v>
      </c>
      <c r="C148" s="374">
        <f t="shared" si="17"/>
        <v>3.7785142881818892E-4</v>
      </c>
      <c r="D148" s="193" t="str">
        <f>LEFT(RIGHT(A148,LEN(A148)-4),8)</f>
        <v>3-2-2</v>
      </c>
      <c r="E148" s="374"/>
      <c r="F148" s="374">
        <v>3.7785142881818892E-4</v>
      </c>
      <c r="G148" s="374"/>
      <c r="M148" s="328"/>
      <c r="N148" s="253"/>
      <c r="O148" s="253"/>
      <c r="P148" s="253"/>
      <c r="Q148" s="253"/>
      <c r="R148" s="253"/>
      <c r="S148" s="253"/>
      <c r="T148" s="253"/>
      <c r="U148" s="253"/>
      <c r="V148" s="253"/>
      <c r="W148" s="253"/>
      <c r="X148" s="253"/>
      <c r="Y148" s="253"/>
      <c r="Z148" s="253"/>
      <c r="AA148" s="253"/>
      <c r="AB148" s="253"/>
      <c r="AC148" s="253"/>
      <c r="AD148" s="253"/>
    </row>
    <row r="149" spans="1:30" s="193" customFormat="1" x14ac:dyDescent="0.35">
      <c r="A149" s="195" t="s">
        <v>313</v>
      </c>
      <c r="B149" s="196">
        <v>85.050000000000011</v>
      </c>
      <c r="C149" s="374">
        <f t="shared" si="17"/>
        <v>2.5504971445227754E-4</v>
      </c>
      <c r="D149" s="193" t="s">
        <v>227</v>
      </c>
      <c r="E149" s="374"/>
      <c r="F149" s="374">
        <v>2.5504971445227754E-4</v>
      </c>
      <c r="G149" s="374"/>
      <c r="M149" s="328"/>
      <c r="N149" s="253"/>
      <c r="O149" s="253"/>
      <c r="P149" s="253"/>
      <c r="Q149" s="253"/>
      <c r="R149" s="253"/>
      <c r="S149" s="253"/>
      <c r="T149" s="253"/>
      <c r="U149" s="253"/>
      <c r="V149" s="253"/>
      <c r="W149" s="253"/>
      <c r="X149" s="253"/>
      <c r="Y149" s="253"/>
      <c r="Z149" s="253"/>
      <c r="AA149" s="253"/>
      <c r="AB149" s="253"/>
      <c r="AC149" s="253"/>
      <c r="AD149" s="253"/>
    </row>
    <row r="150" spans="1:30" s="193" customFormat="1" x14ac:dyDescent="0.35">
      <c r="A150" s="195" t="s">
        <v>526</v>
      </c>
      <c r="B150" s="196">
        <v>75.5</v>
      </c>
      <c r="C150" s="374">
        <f t="shared" si="17"/>
        <v>2.264109752045497E-4</v>
      </c>
      <c r="D150" s="193" t="s">
        <v>227</v>
      </c>
      <c r="E150" s="374"/>
      <c r="F150" s="374">
        <v>2.264109752045497E-4</v>
      </c>
      <c r="G150" s="374"/>
      <c r="M150" s="328"/>
      <c r="N150" s="253"/>
      <c r="O150" s="253"/>
      <c r="P150" s="253"/>
      <c r="Q150" s="253"/>
      <c r="R150" s="253"/>
      <c r="S150" s="253"/>
      <c r="T150" s="253"/>
      <c r="U150" s="253"/>
      <c r="V150" s="253"/>
      <c r="W150" s="253"/>
      <c r="X150" s="253"/>
      <c r="Y150" s="253"/>
      <c r="Z150" s="253"/>
      <c r="AA150" s="253"/>
      <c r="AB150" s="253"/>
      <c r="AC150" s="253"/>
      <c r="AD150" s="253"/>
    </row>
    <row r="151" spans="1:30" s="193" customFormat="1" x14ac:dyDescent="0.35">
      <c r="A151" s="195" t="s">
        <v>527</v>
      </c>
      <c r="B151" s="196">
        <v>60.6</v>
      </c>
      <c r="C151" s="374">
        <f t="shared" si="17"/>
        <v>1.8172854433636706E-4</v>
      </c>
      <c r="D151" s="193" t="s">
        <v>227</v>
      </c>
      <c r="E151" s="374"/>
      <c r="F151" s="374">
        <v>1.8172854433636706E-4</v>
      </c>
      <c r="G151" s="374"/>
      <c r="M151" s="328"/>
      <c r="N151" s="253"/>
      <c r="O151" s="253"/>
      <c r="P151" s="253"/>
      <c r="Q151" s="253"/>
      <c r="R151" s="253"/>
      <c r="S151" s="253"/>
      <c r="T151" s="253"/>
      <c r="U151" s="253"/>
      <c r="V151" s="253"/>
      <c r="W151" s="253"/>
      <c r="X151" s="253"/>
      <c r="Y151" s="253"/>
      <c r="Z151" s="253"/>
      <c r="AA151" s="253"/>
      <c r="AB151" s="253"/>
      <c r="AC151" s="253"/>
      <c r="AD151" s="253"/>
    </row>
    <row r="152" spans="1:30" s="193" customFormat="1" x14ac:dyDescent="0.35">
      <c r="A152" s="195" t="s">
        <v>528</v>
      </c>
      <c r="B152" s="196">
        <v>29.42</v>
      </c>
      <c r="C152" s="374">
        <f t="shared" si="17"/>
        <v>8.8225309808183478E-5</v>
      </c>
      <c r="D152" s="193" t="s">
        <v>227</v>
      </c>
      <c r="E152" s="374"/>
      <c r="F152" s="374">
        <v>8.8225309808183478E-5</v>
      </c>
      <c r="G152" s="374"/>
      <c r="M152" s="328"/>
      <c r="N152" s="253"/>
      <c r="O152" s="253"/>
      <c r="P152" s="253"/>
      <c r="Q152" s="253"/>
      <c r="R152" s="253"/>
      <c r="S152" s="253"/>
      <c r="T152" s="253"/>
      <c r="U152" s="253"/>
      <c r="V152" s="253"/>
      <c r="W152" s="253"/>
      <c r="X152" s="253"/>
      <c r="Y152" s="253"/>
      <c r="Z152" s="253"/>
      <c r="AA152" s="253"/>
      <c r="AB152" s="253"/>
      <c r="AC152" s="253"/>
      <c r="AD152" s="253"/>
    </row>
    <row r="153" spans="1:30" s="193" customFormat="1" x14ac:dyDescent="0.35">
      <c r="A153" s="195" t="s">
        <v>529</v>
      </c>
      <c r="B153" s="196">
        <v>12.22</v>
      </c>
      <c r="C153" s="374">
        <f t="shared" si="17"/>
        <v>3.6645590953637058E-5</v>
      </c>
      <c r="D153" s="193" t="s">
        <v>227</v>
      </c>
      <c r="E153" s="374"/>
      <c r="F153" s="374">
        <v>3.6645590953637058E-5</v>
      </c>
      <c r="G153" s="374"/>
      <c r="M153" s="328"/>
      <c r="N153" s="253"/>
      <c r="O153" s="253"/>
      <c r="P153" s="253"/>
      <c r="Q153" s="253"/>
      <c r="R153" s="253"/>
      <c r="S153" s="253"/>
      <c r="T153" s="253"/>
      <c r="U153" s="253"/>
      <c r="V153" s="253"/>
      <c r="W153" s="253"/>
      <c r="X153" s="253"/>
      <c r="Y153" s="253"/>
      <c r="Z153" s="253"/>
      <c r="AA153" s="253"/>
      <c r="AB153" s="253"/>
      <c r="AC153" s="253"/>
      <c r="AD153" s="253"/>
    </row>
    <row r="154" spans="1:30" s="193" customFormat="1" x14ac:dyDescent="0.35">
      <c r="A154" s="195" t="s">
        <v>251</v>
      </c>
      <c r="B154" s="196">
        <v>12.22</v>
      </c>
      <c r="C154" s="374">
        <f t="shared" si="17"/>
        <v>3.6645590953637058E-5</v>
      </c>
      <c r="D154" s="193" t="s">
        <v>227</v>
      </c>
      <c r="E154" s="374"/>
      <c r="F154" s="374">
        <v>3.6645590953637058E-5</v>
      </c>
      <c r="G154" s="374"/>
      <c r="M154" s="328"/>
      <c r="N154" s="253"/>
      <c r="O154" s="253"/>
      <c r="P154" s="253"/>
      <c r="Q154" s="253"/>
      <c r="R154" s="253"/>
      <c r="S154" s="253"/>
      <c r="T154" s="253"/>
      <c r="U154" s="253"/>
      <c r="V154" s="253"/>
      <c r="W154" s="253"/>
      <c r="X154" s="253"/>
      <c r="Y154" s="253"/>
      <c r="Z154" s="253"/>
      <c r="AA154" s="253"/>
      <c r="AB154" s="253"/>
      <c r="AC154" s="253"/>
      <c r="AD154" s="253"/>
    </row>
    <row r="155" spans="1:30" s="193" customFormat="1" x14ac:dyDescent="0.35">
      <c r="A155" s="195" t="s">
        <v>530</v>
      </c>
      <c r="B155" s="196">
        <v>12</v>
      </c>
      <c r="C155" s="374">
        <f t="shared" si="17"/>
        <v>3.5985850363637038E-5</v>
      </c>
      <c r="D155" s="193" t="s">
        <v>227</v>
      </c>
      <c r="E155" s="374"/>
      <c r="F155" s="374">
        <v>3.5985850363637038E-5</v>
      </c>
      <c r="G155" s="374"/>
      <c r="M155" s="328"/>
      <c r="N155" s="253"/>
      <c r="O155" s="253"/>
      <c r="P155" s="253"/>
      <c r="Q155" s="253"/>
      <c r="R155" s="253"/>
      <c r="S155" s="253"/>
      <c r="T155" s="253"/>
      <c r="U155" s="253"/>
      <c r="V155" s="253"/>
      <c r="W155" s="253"/>
      <c r="X155" s="253"/>
      <c r="Y155" s="253"/>
      <c r="Z155" s="253"/>
      <c r="AA155" s="253"/>
      <c r="AB155" s="253"/>
      <c r="AC155" s="253"/>
      <c r="AD155" s="253"/>
    </row>
    <row r="156" spans="1:30" s="193" customFormat="1" x14ac:dyDescent="0.35">
      <c r="A156" s="195" t="s">
        <v>531</v>
      </c>
      <c r="B156" s="196">
        <v>12</v>
      </c>
      <c r="C156" s="374">
        <f t="shared" si="17"/>
        <v>3.5985850363637038E-5</v>
      </c>
      <c r="D156" s="193" t="s">
        <v>227</v>
      </c>
      <c r="E156" s="374"/>
      <c r="F156" s="374">
        <v>3.5985850363637038E-5</v>
      </c>
      <c r="G156" s="374"/>
      <c r="M156" s="328"/>
      <c r="N156" s="253"/>
      <c r="O156" s="253"/>
      <c r="P156" s="253"/>
      <c r="Q156" s="253"/>
      <c r="R156" s="253"/>
      <c r="S156" s="253"/>
      <c r="T156" s="253"/>
      <c r="U156" s="253"/>
      <c r="V156" s="253"/>
      <c r="W156" s="253"/>
      <c r="X156" s="253"/>
      <c r="Y156" s="253"/>
      <c r="Z156" s="253"/>
      <c r="AA156" s="253"/>
      <c r="AB156" s="253"/>
      <c r="AC156" s="253"/>
      <c r="AD156" s="253"/>
    </row>
    <row r="157" spans="1:30" s="193" customFormat="1" x14ac:dyDescent="0.35">
      <c r="A157" s="195" t="s">
        <v>328</v>
      </c>
      <c r="B157" s="196">
        <v>10</v>
      </c>
      <c r="C157" s="374">
        <f t="shared" si="17"/>
        <v>2.9988208636364202E-5</v>
      </c>
      <c r="D157" s="193" t="s">
        <v>227</v>
      </c>
      <c r="E157" s="374"/>
      <c r="F157" s="374">
        <v>2.9988208636364202E-5</v>
      </c>
      <c r="G157" s="374"/>
      <c r="M157" s="328"/>
      <c r="N157" s="253"/>
      <c r="O157" s="253"/>
      <c r="P157" s="253"/>
      <c r="Q157" s="253"/>
      <c r="R157" s="253"/>
      <c r="S157" s="253"/>
      <c r="T157" s="253"/>
      <c r="U157" s="253"/>
      <c r="V157" s="253"/>
      <c r="W157" s="253"/>
      <c r="X157" s="253"/>
      <c r="Y157" s="253"/>
      <c r="Z157" s="253"/>
      <c r="AA157" s="253"/>
      <c r="AB157" s="253"/>
      <c r="AC157" s="253"/>
      <c r="AD157" s="253"/>
    </row>
    <row r="158" spans="1:30" s="193" customFormat="1" x14ac:dyDescent="0.35">
      <c r="A158" s="195" t="s">
        <v>532</v>
      </c>
      <c r="B158" s="196">
        <v>8</v>
      </c>
      <c r="C158" s="374">
        <f t="shared" si="17"/>
        <v>2.3990566909091359E-5</v>
      </c>
      <c r="D158" s="193" t="s">
        <v>227</v>
      </c>
      <c r="E158" s="374"/>
      <c r="F158" s="374">
        <v>2.3990566909091359E-5</v>
      </c>
      <c r="G158" s="374"/>
      <c r="M158" s="328"/>
      <c r="N158" s="253"/>
      <c r="O158" s="253"/>
      <c r="P158" s="253"/>
      <c r="Q158" s="253"/>
      <c r="R158" s="253"/>
      <c r="S158" s="253"/>
      <c r="T158" s="253"/>
      <c r="U158" s="253"/>
      <c r="V158" s="253"/>
      <c r="W158" s="253"/>
      <c r="X158" s="253"/>
      <c r="Y158" s="253"/>
      <c r="Z158" s="253"/>
      <c r="AA158" s="253"/>
      <c r="AB158" s="253"/>
      <c r="AC158" s="253"/>
      <c r="AD158" s="253"/>
    </row>
    <row r="159" spans="1:30" s="193" customFormat="1" x14ac:dyDescent="0.35">
      <c r="A159" s="195" t="s">
        <v>533</v>
      </c>
      <c r="B159" s="196">
        <v>7.2</v>
      </c>
      <c r="C159" s="374">
        <f t="shared" si="17"/>
        <v>2.1591510218182225E-5</v>
      </c>
      <c r="D159" s="193" t="s">
        <v>227</v>
      </c>
      <c r="E159" s="374"/>
      <c r="F159" s="374">
        <v>2.1591510218182225E-5</v>
      </c>
      <c r="G159" s="374"/>
      <c r="M159" s="328"/>
      <c r="N159" s="253"/>
      <c r="O159" s="253"/>
      <c r="P159" s="253"/>
      <c r="Q159" s="253"/>
      <c r="R159" s="253"/>
      <c r="S159" s="253"/>
      <c r="T159" s="253"/>
      <c r="U159" s="253"/>
      <c r="V159" s="253"/>
      <c r="W159" s="253"/>
      <c r="X159" s="253"/>
      <c r="Y159" s="253"/>
      <c r="Z159" s="253"/>
      <c r="AA159" s="253"/>
      <c r="AB159" s="253"/>
      <c r="AC159" s="253"/>
      <c r="AD159" s="253"/>
    </row>
    <row r="160" spans="1:30" s="193" customFormat="1" x14ac:dyDescent="0.35">
      <c r="A160" s="195" t="s">
        <v>534</v>
      </c>
      <c r="B160" s="196">
        <v>7</v>
      </c>
      <c r="C160" s="374">
        <f t="shared" si="17"/>
        <v>2.0991746045454939E-5</v>
      </c>
      <c r="D160" s="193" t="s">
        <v>227</v>
      </c>
      <c r="E160" s="374"/>
      <c r="F160" s="374">
        <v>2.0991746045454939E-5</v>
      </c>
      <c r="G160" s="374"/>
      <c r="M160" s="328"/>
      <c r="N160" s="253"/>
      <c r="O160" s="253"/>
      <c r="P160" s="253"/>
      <c r="Q160" s="253"/>
      <c r="R160" s="253"/>
      <c r="S160" s="253"/>
      <c r="T160" s="253"/>
      <c r="U160" s="253"/>
      <c r="V160" s="253"/>
      <c r="W160" s="253"/>
      <c r="X160" s="253"/>
      <c r="Y160" s="253"/>
      <c r="Z160" s="253"/>
      <c r="AA160" s="253"/>
      <c r="AB160" s="253"/>
      <c r="AC160" s="253"/>
      <c r="AD160" s="253"/>
    </row>
    <row r="161" spans="1:30" s="193" customFormat="1" x14ac:dyDescent="0.35">
      <c r="A161" s="195" t="s">
        <v>535</v>
      </c>
      <c r="B161" s="196">
        <v>7</v>
      </c>
      <c r="C161" s="374">
        <f t="shared" si="17"/>
        <v>2.0991746045454939E-5</v>
      </c>
      <c r="D161" s="193" t="s">
        <v>227</v>
      </c>
      <c r="E161" s="374"/>
      <c r="F161" s="374">
        <v>2.0991746045454939E-5</v>
      </c>
      <c r="G161" s="374"/>
      <c r="M161" s="328"/>
      <c r="N161" s="253"/>
      <c r="O161" s="253"/>
      <c r="P161" s="253"/>
      <c r="Q161" s="253"/>
      <c r="R161" s="253"/>
      <c r="S161" s="253"/>
      <c r="T161" s="253"/>
      <c r="U161" s="253"/>
      <c r="V161" s="253"/>
      <c r="W161" s="253"/>
      <c r="X161" s="253"/>
      <c r="Y161" s="253"/>
      <c r="Z161" s="253"/>
      <c r="AA161" s="253"/>
      <c r="AB161" s="253"/>
      <c r="AC161" s="253"/>
      <c r="AD161" s="253"/>
    </row>
    <row r="162" spans="1:30" s="193" customFormat="1" x14ac:dyDescent="0.35">
      <c r="A162" s="195" t="s">
        <v>536</v>
      </c>
      <c r="B162" s="196">
        <v>4.8</v>
      </c>
      <c r="C162" s="374">
        <f t="shared" si="17"/>
        <v>1.4394340145454815E-5</v>
      </c>
      <c r="D162" s="193" t="s">
        <v>227</v>
      </c>
      <c r="E162" s="374"/>
      <c r="F162" s="374">
        <v>1.4394340145454815E-5</v>
      </c>
      <c r="G162" s="374"/>
      <c r="M162" s="328"/>
      <c r="N162" s="253"/>
      <c r="O162" s="253"/>
      <c r="P162" s="253"/>
      <c r="Q162" s="253"/>
      <c r="R162" s="253"/>
      <c r="S162" s="253"/>
      <c r="T162" s="253"/>
      <c r="U162" s="253"/>
      <c r="V162" s="253"/>
      <c r="W162" s="253"/>
      <c r="X162" s="253"/>
      <c r="Y162" s="253"/>
      <c r="Z162" s="253"/>
      <c r="AA162" s="253"/>
      <c r="AB162" s="253"/>
      <c r="AC162" s="253"/>
      <c r="AD162" s="253"/>
    </row>
    <row r="163" spans="1:30" s="193" customFormat="1" x14ac:dyDescent="0.35">
      <c r="A163" s="195" t="s">
        <v>306</v>
      </c>
      <c r="B163" s="196">
        <v>4.05</v>
      </c>
      <c r="C163" s="374">
        <f t="shared" si="17"/>
        <v>1.2145224497727501E-5</v>
      </c>
      <c r="D163" s="193" t="s">
        <v>227</v>
      </c>
      <c r="E163" s="374"/>
      <c r="F163" s="374">
        <v>1.2145224497727501E-5</v>
      </c>
      <c r="G163" s="374"/>
      <c r="M163" s="328"/>
      <c r="N163" s="253"/>
      <c r="O163" s="253"/>
      <c r="P163" s="253"/>
      <c r="Q163" s="253"/>
      <c r="R163" s="253"/>
      <c r="S163" s="253"/>
      <c r="T163" s="253"/>
      <c r="U163" s="253"/>
      <c r="V163" s="253"/>
      <c r="W163" s="253"/>
      <c r="X163" s="253"/>
      <c r="Y163" s="253"/>
      <c r="Z163" s="253"/>
      <c r="AA163" s="253"/>
      <c r="AB163" s="253"/>
      <c r="AC163" s="253"/>
      <c r="AD163" s="253"/>
    </row>
    <row r="164" spans="1:30" s="193" customFormat="1" x14ac:dyDescent="0.35">
      <c r="A164" s="195" t="s">
        <v>537</v>
      </c>
      <c r="B164" s="196">
        <v>3.56</v>
      </c>
      <c r="C164" s="374">
        <f t="shared" si="17"/>
        <v>1.0675802274545656E-5</v>
      </c>
      <c r="D164" s="193" t="s">
        <v>227</v>
      </c>
      <c r="E164" s="374"/>
      <c r="F164" s="374">
        <v>1.0675802274545656E-5</v>
      </c>
      <c r="G164" s="374"/>
      <c r="M164" s="328"/>
      <c r="N164" s="253"/>
      <c r="O164" s="253"/>
      <c r="P164" s="253"/>
      <c r="Q164" s="253"/>
      <c r="R164" s="253"/>
      <c r="S164" s="253"/>
      <c r="T164" s="253"/>
      <c r="U164" s="253"/>
      <c r="V164" s="253"/>
      <c r="W164" s="253"/>
      <c r="X164" s="253"/>
      <c r="Y164" s="253"/>
      <c r="Z164" s="253"/>
      <c r="AA164" s="253"/>
      <c r="AB164" s="253"/>
      <c r="AC164" s="253"/>
      <c r="AD164" s="253"/>
    </row>
    <row r="165" spans="1:30" s="193" customFormat="1" x14ac:dyDescent="0.35">
      <c r="A165" s="195" t="s">
        <v>538</v>
      </c>
      <c r="B165" s="196">
        <v>3.55</v>
      </c>
      <c r="C165" s="374">
        <f t="shared" si="17"/>
        <v>1.0645814065909291E-5</v>
      </c>
      <c r="D165" s="193" t="s">
        <v>227</v>
      </c>
      <c r="E165" s="374"/>
      <c r="F165" s="374">
        <v>1.0645814065909291E-5</v>
      </c>
      <c r="G165" s="374"/>
      <c r="M165" s="328"/>
      <c r="N165" s="253"/>
      <c r="O165" s="253"/>
      <c r="P165" s="253"/>
      <c r="Q165" s="253"/>
      <c r="R165" s="253"/>
      <c r="S165" s="253"/>
      <c r="T165" s="253"/>
      <c r="U165" s="253"/>
      <c r="V165" s="253"/>
      <c r="W165" s="253"/>
      <c r="X165" s="253"/>
      <c r="Y165" s="253"/>
      <c r="Z165" s="253"/>
      <c r="AA165" s="253"/>
      <c r="AB165" s="253"/>
      <c r="AC165" s="253"/>
      <c r="AD165" s="253"/>
    </row>
    <row r="166" spans="1:30" s="193" customFormat="1" x14ac:dyDescent="0.35">
      <c r="A166" s="195" t="s">
        <v>539</v>
      </c>
      <c r="B166" s="196">
        <v>2.02</v>
      </c>
      <c r="C166" s="374">
        <f t="shared" si="17"/>
        <v>6.0576181445455688E-6</v>
      </c>
      <c r="D166" s="193" t="s">
        <v>227</v>
      </c>
      <c r="E166" s="374"/>
      <c r="F166" s="374">
        <v>6.0576181445455688E-6</v>
      </c>
      <c r="G166" s="374"/>
      <c r="M166" s="328"/>
      <c r="N166" s="253"/>
      <c r="O166" s="253"/>
      <c r="P166" s="253"/>
      <c r="Q166" s="253"/>
      <c r="R166" s="253"/>
      <c r="S166" s="253"/>
      <c r="T166" s="253"/>
      <c r="U166" s="253"/>
      <c r="V166" s="253"/>
      <c r="W166" s="253"/>
      <c r="X166" s="253"/>
      <c r="Y166" s="253"/>
      <c r="Z166" s="253"/>
      <c r="AA166" s="253"/>
      <c r="AB166" s="253"/>
      <c r="AC166" s="253"/>
      <c r="AD166" s="253"/>
    </row>
    <row r="167" spans="1:30" s="193" customFormat="1" x14ac:dyDescent="0.35">
      <c r="A167" s="195" t="s">
        <v>540</v>
      </c>
      <c r="B167" s="196">
        <v>0.73</v>
      </c>
      <c r="C167" s="374">
        <f t="shared" si="17"/>
        <v>2.1891392304545866E-6</v>
      </c>
      <c r="D167" s="193" t="s">
        <v>227</v>
      </c>
      <c r="E167" s="374"/>
      <c r="F167" s="374">
        <v>2.1891392304545866E-6</v>
      </c>
      <c r="G167" s="374"/>
      <c r="M167" s="328"/>
      <c r="N167" s="253"/>
      <c r="O167" s="253"/>
      <c r="P167" s="253"/>
      <c r="Q167" s="253"/>
      <c r="R167" s="253"/>
      <c r="S167" s="253"/>
      <c r="T167" s="253"/>
      <c r="U167" s="253"/>
      <c r="V167" s="253"/>
      <c r="W167" s="253"/>
      <c r="X167" s="253"/>
      <c r="Y167" s="253"/>
      <c r="Z167" s="253"/>
      <c r="AA167" s="253"/>
      <c r="AB167" s="253"/>
      <c r="AC167" s="253"/>
      <c r="AD167" s="253"/>
    </row>
    <row r="168" spans="1:30" s="193" customFormat="1" x14ac:dyDescent="0.35">
      <c r="A168" s="195" t="s">
        <v>541</v>
      </c>
      <c r="B168" s="196">
        <v>0.65</v>
      </c>
      <c r="C168" s="374">
        <f t="shared" si="17"/>
        <v>1.9492335613636732E-6</v>
      </c>
      <c r="D168" s="193" t="s">
        <v>227</v>
      </c>
      <c r="E168" s="374"/>
      <c r="F168" s="374">
        <v>1.9492335613636732E-6</v>
      </c>
      <c r="G168" s="374"/>
      <c r="M168" s="328"/>
      <c r="N168" s="253"/>
      <c r="O168" s="253"/>
      <c r="P168" s="253"/>
      <c r="Q168" s="253"/>
      <c r="R168" s="253"/>
      <c r="S168" s="253"/>
      <c r="T168" s="253"/>
      <c r="U168" s="253"/>
      <c r="V168" s="253"/>
      <c r="W168" s="253"/>
      <c r="X168" s="253"/>
      <c r="Y168" s="253"/>
      <c r="Z168" s="253"/>
      <c r="AA168" s="253"/>
      <c r="AB168" s="253"/>
      <c r="AC168" s="253"/>
      <c r="AD168" s="253"/>
    </row>
    <row r="169" spans="1:30" s="193" customFormat="1" x14ac:dyDescent="0.35">
      <c r="A169" s="195" t="s">
        <v>542</v>
      </c>
      <c r="B169" s="196">
        <v>0.6</v>
      </c>
      <c r="C169" s="374">
        <f t="shared" si="17"/>
        <v>1.7992925181818519E-6</v>
      </c>
      <c r="D169" s="193" t="s">
        <v>227</v>
      </c>
      <c r="E169" s="374"/>
      <c r="F169" s="374">
        <v>1.7992925181818519E-6</v>
      </c>
      <c r="G169" s="374"/>
      <c r="M169" s="328"/>
      <c r="N169" s="253"/>
      <c r="O169" s="253"/>
      <c r="P169" s="253"/>
      <c r="Q169" s="253"/>
      <c r="R169" s="253"/>
      <c r="S169" s="253"/>
      <c r="T169" s="253"/>
      <c r="U169" s="253"/>
      <c r="V169" s="253"/>
      <c r="W169" s="253"/>
      <c r="X169" s="253"/>
      <c r="Y169" s="253"/>
      <c r="Z169" s="253"/>
      <c r="AA169" s="253"/>
      <c r="AB169" s="253"/>
      <c r="AC169" s="253"/>
      <c r="AD169" s="253"/>
    </row>
    <row r="170" spans="1:30" s="193" customFormat="1" x14ac:dyDescent="0.35">
      <c r="A170" s="195" t="s">
        <v>543</v>
      </c>
      <c r="B170" s="196">
        <v>0.37</v>
      </c>
      <c r="C170" s="374">
        <f t="shared" si="17"/>
        <v>1.1095637195454754E-6</v>
      </c>
      <c r="D170" s="193" t="s">
        <v>227</v>
      </c>
      <c r="E170" s="374"/>
      <c r="F170" s="374">
        <v>1.1095637195454754E-6</v>
      </c>
      <c r="G170" s="374"/>
      <c r="M170" s="328"/>
      <c r="N170" s="253"/>
      <c r="O170" s="253"/>
      <c r="P170" s="253"/>
      <c r="Q170" s="253"/>
      <c r="R170" s="253"/>
      <c r="S170" s="253"/>
      <c r="T170" s="253"/>
      <c r="U170" s="253"/>
      <c r="V170" s="253"/>
      <c r="W170" s="253"/>
      <c r="X170" s="253"/>
      <c r="Y170" s="253"/>
      <c r="Z170" s="253"/>
      <c r="AA170" s="253"/>
      <c r="AB170" s="253"/>
      <c r="AC170" s="253"/>
      <c r="AD170" s="253"/>
    </row>
    <row r="171" spans="1:30" s="193" customFormat="1" x14ac:dyDescent="0.35">
      <c r="A171" s="195" t="s">
        <v>311</v>
      </c>
      <c r="B171" s="196">
        <v>0.1</v>
      </c>
      <c r="C171" s="374">
        <f t="shared" si="17"/>
        <v>2.99882086363642E-7</v>
      </c>
      <c r="D171" s="193" t="s">
        <v>227</v>
      </c>
      <c r="E171" s="374"/>
      <c r="F171" s="374">
        <v>2.99882086363642E-7</v>
      </c>
      <c r="G171" s="374"/>
      <c r="M171" s="328"/>
      <c r="N171" s="253"/>
      <c r="O171" s="253"/>
      <c r="P171" s="253"/>
      <c r="Q171" s="253"/>
      <c r="R171" s="253"/>
      <c r="S171" s="253"/>
      <c r="T171" s="253"/>
      <c r="U171" s="253"/>
      <c r="V171" s="253"/>
      <c r="W171" s="253"/>
      <c r="X171" s="253"/>
      <c r="Y171" s="253"/>
      <c r="Z171" s="253"/>
      <c r="AA171" s="253"/>
      <c r="AB171" s="253"/>
      <c r="AC171" s="253"/>
      <c r="AD171" s="253"/>
    </row>
    <row r="172" spans="1:30" s="193" customFormat="1" x14ac:dyDescent="0.35">
      <c r="A172" s="195" t="s">
        <v>544</v>
      </c>
      <c r="B172" s="196">
        <v>0.03</v>
      </c>
      <c r="C172" s="374">
        <f t="shared" si="17"/>
        <v>8.9964625909092604E-8</v>
      </c>
      <c r="D172" s="193" t="s">
        <v>227</v>
      </c>
      <c r="E172" s="374"/>
      <c r="F172" s="374">
        <v>8.9964625909092604E-8</v>
      </c>
      <c r="G172" s="374"/>
      <c r="M172" s="328"/>
      <c r="N172" s="253"/>
      <c r="O172" s="253"/>
      <c r="P172" s="253"/>
      <c r="Q172" s="253"/>
      <c r="R172" s="253"/>
      <c r="S172" s="253"/>
      <c r="T172" s="253"/>
      <c r="U172" s="253"/>
      <c r="V172" s="253"/>
      <c r="W172" s="253"/>
      <c r="X172" s="253"/>
      <c r="Y172" s="253"/>
      <c r="Z172" s="253"/>
      <c r="AA172" s="253"/>
      <c r="AB172" s="253"/>
      <c r="AC172" s="253"/>
      <c r="AD172" s="253"/>
    </row>
    <row r="173" spans="1:30" s="193" customFormat="1" x14ac:dyDescent="0.35">
      <c r="A173" s="195" t="s">
        <v>545</v>
      </c>
      <c r="B173" s="196">
        <v>0.02</v>
      </c>
      <c r="C173" s="374">
        <f t="shared" si="17"/>
        <v>5.9976417272728407E-8</v>
      </c>
      <c r="D173" s="193" t="s">
        <v>227</v>
      </c>
      <c r="E173" s="374"/>
      <c r="F173" s="374">
        <v>5.9976417272728407E-8</v>
      </c>
      <c r="G173" s="374"/>
      <c r="M173" s="328"/>
      <c r="N173" s="253"/>
      <c r="O173" s="253"/>
      <c r="P173" s="253"/>
      <c r="Q173" s="253"/>
      <c r="R173" s="253"/>
      <c r="S173" s="253"/>
      <c r="T173" s="253"/>
      <c r="U173" s="253"/>
      <c r="V173" s="253"/>
      <c r="W173" s="253"/>
      <c r="X173" s="253"/>
      <c r="Y173" s="253"/>
      <c r="Z173" s="253"/>
      <c r="AA173" s="253"/>
      <c r="AB173" s="253"/>
      <c r="AC173" s="253"/>
      <c r="AD173" s="253"/>
    </row>
    <row r="174" spans="1:30" s="193" customFormat="1" x14ac:dyDescent="0.35">
      <c r="A174" s="195" t="s">
        <v>546</v>
      </c>
      <c r="B174" s="196">
        <v>0.01</v>
      </c>
      <c r="C174" s="374">
        <f t="shared" si="17"/>
        <v>2.9988208636364204E-8</v>
      </c>
      <c r="D174" s="193" t="s">
        <v>227</v>
      </c>
      <c r="E174" s="374"/>
      <c r="F174" s="374">
        <v>2.9988208636364204E-8</v>
      </c>
      <c r="G174" s="374"/>
      <c r="M174" s="328"/>
      <c r="N174" s="253"/>
      <c r="O174" s="253"/>
      <c r="P174" s="253"/>
      <c r="Q174" s="253"/>
      <c r="R174" s="253"/>
      <c r="S174" s="253"/>
      <c r="T174" s="253"/>
      <c r="U174" s="253"/>
      <c r="V174" s="253"/>
      <c r="W174" s="253"/>
      <c r="X174" s="253"/>
      <c r="Y174" s="253"/>
      <c r="Z174" s="253"/>
      <c r="AA174" s="253"/>
      <c r="AB174" s="253"/>
      <c r="AC174" s="253"/>
      <c r="AD174" s="253"/>
    </row>
    <row r="175" spans="1:30" s="193" customFormat="1" x14ac:dyDescent="0.35">
      <c r="A175" s="195" t="s">
        <v>547</v>
      </c>
      <c r="B175" s="196">
        <v>0.01</v>
      </c>
      <c r="C175" s="374">
        <f t="shared" si="17"/>
        <v>2.9988208636364204E-8</v>
      </c>
      <c r="D175" s="193" t="s">
        <v>227</v>
      </c>
      <c r="E175" s="374"/>
      <c r="F175" s="374">
        <v>2.9988208636364204E-8</v>
      </c>
      <c r="G175" s="374"/>
      <c r="M175" s="328"/>
      <c r="N175" s="253"/>
      <c r="O175" s="253"/>
      <c r="P175" s="253"/>
      <c r="Q175" s="253"/>
      <c r="R175" s="253"/>
      <c r="S175" s="253"/>
      <c r="T175" s="253"/>
      <c r="U175" s="253"/>
      <c r="V175" s="253"/>
      <c r="W175" s="253"/>
      <c r="X175" s="253"/>
      <c r="Y175" s="253"/>
      <c r="Z175" s="253"/>
      <c r="AA175" s="253"/>
      <c r="AB175" s="253"/>
      <c r="AC175" s="253"/>
      <c r="AD175" s="253"/>
    </row>
    <row r="176" spans="1:30" s="193" customFormat="1" x14ac:dyDescent="0.35">
      <c r="A176" s="195" t="s">
        <v>548</v>
      </c>
      <c r="B176" s="196">
        <v>0.01</v>
      </c>
      <c r="C176" s="374">
        <f t="shared" si="17"/>
        <v>2.9988208636364204E-8</v>
      </c>
      <c r="D176" s="193" t="s">
        <v>227</v>
      </c>
      <c r="E176" s="374"/>
      <c r="F176" s="374">
        <v>2.9988208636364204E-8</v>
      </c>
      <c r="G176" s="374"/>
      <c r="M176" s="328"/>
      <c r="N176" s="253"/>
      <c r="O176" s="253"/>
      <c r="P176" s="253"/>
      <c r="Q176" s="253"/>
      <c r="R176" s="253"/>
      <c r="S176" s="253"/>
      <c r="T176" s="253"/>
      <c r="U176" s="253"/>
      <c r="V176" s="253"/>
      <c r="W176" s="253"/>
      <c r="X176" s="253"/>
      <c r="Y176" s="253"/>
      <c r="Z176" s="253"/>
      <c r="AA176" s="253"/>
      <c r="AB176" s="253"/>
      <c r="AC176" s="253"/>
      <c r="AD176" s="253"/>
    </row>
    <row r="177" spans="1:30" s="193" customFormat="1" x14ac:dyDescent="0.35">
      <c r="A177" s="195" t="s">
        <v>549</v>
      </c>
      <c r="B177" s="196">
        <v>0.01</v>
      </c>
      <c r="C177" s="374">
        <f t="shared" si="17"/>
        <v>2.9988208636364204E-8</v>
      </c>
      <c r="D177" s="193" t="s">
        <v>227</v>
      </c>
      <c r="E177" s="374"/>
      <c r="F177" s="374">
        <v>2.9988208636364204E-8</v>
      </c>
      <c r="G177" s="374"/>
      <c r="M177" s="328"/>
      <c r="N177" s="253"/>
      <c r="O177" s="253"/>
      <c r="P177" s="253"/>
      <c r="Q177" s="253"/>
      <c r="R177" s="253"/>
      <c r="S177" s="253"/>
      <c r="T177" s="253"/>
      <c r="U177" s="253"/>
      <c r="V177" s="253"/>
      <c r="W177" s="253"/>
      <c r="X177" s="253"/>
      <c r="Y177" s="253"/>
      <c r="Z177" s="253"/>
      <c r="AA177" s="253"/>
      <c r="AB177" s="253"/>
      <c r="AC177" s="253"/>
      <c r="AD177" s="253"/>
    </row>
    <row r="178" spans="1:30" s="193" customFormat="1" x14ac:dyDescent="0.35">
      <c r="A178" s="195" t="s">
        <v>95</v>
      </c>
      <c r="B178" s="196">
        <v>333464.39999999979</v>
      </c>
      <c r="M178" s="328"/>
      <c r="N178" s="253"/>
      <c r="O178" s="253"/>
      <c r="P178" s="253"/>
      <c r="Q178" s="253"/>
      <c r="R178" s="253"/>
      <c r="S178" s="253"/>
      <c r="T178" s="253"/>
      <c r="U178" s="253"/>
      <c r="V178" s="253"/>
      <c r="W178" s="253"/>
      <c r="X178" s="253"/>
      <c r="Y178" s="253"/>
      <c r="Z178" s="253"/>
      <c r="AA178" s="253"/>
      <c r="AB178" s="253"/>
      <c r="AC178" s="253"/>
      <c r="AD178" s="253"/>
    </row>
  </sheetData>
  <mergeCells count="2">
    <mergeCell ref="J26:L26"/>
    <mergeCell ref="I59:J59"/>
  </mergeCells>
  <pageMargins left="0.7" right="0.7" top="0.75" bottom="0.75" header="0.3" footer="0.3"/>
  <pageSetup orientation="portrait" r:id="rId2"/>
  <ignoredErrors>
    <ignoredError sqref="A19" twoDigitTextYear="1"/>
    <ignoredError sqref="D20" formula="1"/>
  </ignoredErrors>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C7720-C246-4AB8-AA82-031C0D659CD4}">
  <sheetPr>
    <tabColor rgb="FF0070C0"/>
  </sheetPr>
  <dimension ref="A1:H43"/>
  <sheetViews>
    <sheetView zoomScaleNormal="100" workbookViewId="0">
      <selection activeCell="H32" sqref="H32"/>
    </sheetView>
  </sheetViews>
  <sheetFormatPr defaultColWidth="8.7265625" defaultRowHeight="12.5" x14ac:dyDescent="0.25"/>
  <cols>
    <col min="1" max="1" width="4" style="611" customWidth="1"/>
    <col min="2" max="2" width="33.90625" style="611" bestFit="1" customWidth="1"/>
    <col min="3" max="3" width="19.6328125" style="611" bestFit="1" customWidth="1"/>
    <col min="4" max="4" width="20.54296875" style="611" bestFit="1" customWidth="1"/>
    <col min="5" max="5" width="18.6328125" style="611" customWidth="1"/>
    <col min="6" max="6" width="19.54296875" style="611" customWidth="1"/>
    <col min="7" max="7" width="20.453125" style="611" customWidth="1"/>
    <col min="8" max="8" width="86.08984375" style="611" bestFit="1" customWidth="1"/>
    <col min="9" max="10" width="8.7265625" style="611"/>
    <col min="11" max="11" width="12.453125" style="611" customWidth="1"/>
    <col min="12" max="16384" width="8.7265625" style="611"/>
  </cols>
  <sheetData>
    <row r="1" spans="1:8" s="585" customFormat="1" ht="13.5" customHeight="1" x14ac:dyDescent="0.25">
      <c r="A1" s="602"/>
      <c r="B1" s="602"/>
      <c r="C1" s="603"/>
      <c r="D1" s="602"/>
      <c r="E1" s="604"/>
      <c r="F1" s="602"/>
      <c r="H1" s="604"/>
    </row>
    <row r="2" spans="1:8" s="585" customFormat="1" ht="13.5" customHeight="1" x14ac:dyDescent="0.25">
      <c r="A2" s="602"/>
      <c r="B2" s="602"/>
      <c r="C2" s="603" t="str">
        <f>Title</f>
        <v>OCP Africa - Ghana P205</v>
      </c>
      <c r="D2" s="602"/>
      <c r="E2" s="604"/>
      <c r="F2" s="602"/>
      <c r="H2" s="605"/>
    </row>
    <row r="3" spans="1:8" s="585" customFormat="1" ht="13.5" customHeight="1" x14ac:dyDescent="0.25">
      <c r="A3" s="602"/>
      <c r="B3" s="602"/>
      <c r="C3" s="27" t="str">
        <f ca="1">MID(CELL("filename",C3),FIND("]",CELL("filename",C3))+1,256)</f>
        <v>Investments &amp; capabilities</v>
      </c>
      <c r="D3" s="602"/>
      <c r="E3" s="604"/>
      <c r="F3" s="602"/>
      <c r="H3" s="298"/>
    </row>
    <row r="4" spans="1:8" s="585" customFormat="1" ht="13.5" customHeight="1" x14ac:dyDescent="0.25">
      <c r="A4" s="602"/>
      <c r="B4" s="602"/>
      <c r="C4" s="606"/>
      <c r="D4" s="602"/>
      <c r="E4" s="604"/>
      <c r="F4" s="602"/>
      <c r="H4" s="604"/>
    </row>
    <row r="5" spans="1:8" s="610" customFormat="1" ht="13.5" customHeight="1" x14ac:dyDescent="0.3">
      <c r="A5" s="607"/>
      <c r="B5" s="607"/>
      <c r="C5" s="607"/>
      <c r="D5" s="607"/>
      <c r="E5" s="608"/>
      <c r="F5" s="607"/>
      <c r="G5" s="609"/>
      <c r="H5" s="609"/>
    </row>
    <row r="8" spans="1:8" ht="15.5" x14ac:dyDescent="0.3">
      <c r="A8" s="612">
        <v>1</v>
      </c>
      <c r="B8" s="613" t="s">
        <v>870</v>
      </c>
    </row>
    <row r="10" spans="1:8" ht="28" x14ac:dyDescent="0.25">
      <c r="B10" s="614" t="s">
        <v>101</v>
      </c>
      <c r="C10" s="614" t="s">
        <v>871</v>
      </c>
      <c r="D10" s="614" t="s">
        <v>872</v>
      </c>
      <c r="E10" s="614" t="s">
        <v>873</v>
      </c>
      <c r="F10" s="614" t="s">
        <v>874</v>
      </c>
      <c r="G10" s="615"/>
    </row>
    <row r="11" spans="1:8" x14ac:dyDescent="0.25">
      <c r="B11" s="611" t="s">
        <v>875</v>
      </c>
      <c r="C11" s="616">
        <f>F22</f>
        <v>117000</v>
      </c>
      <c r="D11" s="616">
        <f t="shared" ref="D11" si="0">G22</f>
        <v>124800</v>
      </c>
      <c r="E11" s="611" t="s">
        <v>876</v>
      </c>
    </row>
    <row r="12" spans="1:8" x14ac:dyDescent="0.25">
      <c r="B12" s="611" t="s">
        <v>878</v>
      </c>
      <c r="C12" s="616">
        <f>F32</f>
        <v>37800</v>
      </c>
      <c r="D12" s="616">
        <f>G32</f>
        <v>53200</v>
      </c>
      <c r="E12" s="611" t="s">
        <v>876</v>
      </c>
    </row>
    <row r="13" spans="1:8" x14ac:dyDescent="0.25">
      <c r="B13" s="611" t="s">
        <v>893</v>
      </c>
      <c r="C13" s="616">
        <f>C41</f>
        <v>20000</v>
      </c>
      <c r="D13" s="616">
        <f>D41</f>
        <v>36000</v>
      </c>
      <c r="E13" s="611" t="s">
        <v>876</v>
      </c>
    </row>
    <row r="14" spans="1:8" x14ac:dyDescent="0.25">
      <c r="B14" s="617" t="s">
        <v>879</v>
      </c>
      <c r="C14" s="618">
        <f>SUM(C11:C13)</f>
        <v>174800</v>
      </c>
      <c r="D14" s="618">
        <f>SUM(D11:D13)</f>
        <v>214000</v>
      </c>
      <c r="E14" s="617"/>
      <c r="F14" s="617"/>
    </row>
    <row r="15" spans="1:8" x14ac:dyDescent="0.25">
      <c r="B15" s="611" t="s">
        <v>880</v>
      </c>
      <c r="C15" s="626">
        <v>14000000</v>
      </c>
      <c r="D15" s="626">
        <v>14000000</v>
      </c>
      <c r="E15" s="611" t="s">
        <v>877</v>
      </c>
    </row>
    <row r="16" spans="1:8" x14ac:dyDescent="0.25">
      <c r="B16" s="617" t="s">
        <v>881</v>
      </c>
      <c r="C16" s="618">
        <f>C15+C14</f>
        <v>14174800</v>
      </c>
      <c r="D16" s="618">
        <f t="shared" ref="D16" si="1">D15+D14</f>
        <v>14214000</v>
      </c>
      <c r="E16" s="617"/>
      <c r="F16" s="617"/>
    </row>
    <row r="17" spans="1:8" x14ac:dyDescent="0.25">
      <c r="B17" s="617" t="s">
        <v>910</v>
      </c>
      <c r="C17" s="618">
        <f>SUMIFS(C11:C13,$E$11:$E$13,"Yes")</f>
        <v>174800</v>
      </c>
      <c r="D17" s="618">
        <f>SUMIFS(D11:D13,$E$11:$E$13,"Yes")</f>
        <v>214000</v>
      </c>
      <c r="E17" s="617"/>
      <c r="F17" s="617"/>
    </row>
    <row r="18" spans="1:8" x14ac:dyDescent="0.25">
      <c r="C18" s="616"/>
      <c r="D18" s="616"/>
    </row>
    <row r="19" spans="1:8" ht="15.5" x14ac:dyDescent="0.3">
      <c r="A19" s="612">
        <v>2</v>
      </c>
      <c r="B19" s="613" t="s">
        <v>882</v>
      </c>
    </row>
    <row r="21" spans="1:8" ht="28" x14ac:dyDescent="0.25">
      <c r="B21" s="614" t="s">
        <v>101</v>
      </c>
      <c r="C21" s="614" t="s">
        <v>883</v>
      </c>
      <c r="D21" s="614" t="s">
        <v>884</v>
      </c>
      <c r="E21" s="614" t="s">
        <v>885</v>
      </c>
      <c r="F21" s="614" t="s">
        <v>871</v>
      </c>
      <c r="G21" s="614" t="s">
        <v>872</v>
      </c>
      <c r="H21" s="614" t="s">
        <v>874</v>
      </c>
    </row>
    <row r="22" spans="1:8" ht="13" x14ac:dyDescent="0.3">
      <c r="B22" s="619" t="s">
        <v>888</v>
      </c>
      <c r="C22" s="620">
        <f>AVERAGE(C23:C27)</f>
        <v>1500</v>
      </c>
      <c r="D22" s="620">
        <f t="shared" ref="D22" si="2">AVERAGE(D23:D27)</f>
        <v>1600</v>
      </c>
      <c r="E22" s="620">
        <f>SUM(E23:E27)</f>
        <v>6</v>
      </c>
      <c r="F22" s="599">
        <f>SUM(F23:F27)*13</f>
        <v>117000</v>
      </c>
      <c r="G22" s="599">
        <f t="shared" ref="G22" si="3">SUM(G23:G27)*13</f>
        <v>124800</v>
      </c>
      <c r="H22" s="624" t="s">
        <v>903</v>
      </c>
    </row>
    <row r="23" spans="1:8" x14ac:dyDescent="0.25">
      <c r="B23" s="621" t="s">
        <v>894</v>
      </c>
      <c r="C23" s="611">
        <v>1500</v>
      </c>
      <c r="D23" s="611">
        <v>1600</v>
      </c>
      <c r="E23" s="611">
        <v>2</v>
      </c>
      <c r="F23" s="611">
        <f>E23*C23</f>
        <v>3000</v>
      </c>
      <c r="G23" s="611">
        <f>E23*D23</f>
        <v>3200</v>
      </c>
      <c r="H23" s="611" t="s">
        <v>908</v>
      </c>
    </row>
    <row r="24" spans="1:8" x14ac:dyDescent="0.25">
      <c r="B24" s="621" t="s">
        <v>895</v>
      </c>
      <c r="C24" s="611">
        <v>1500</v>
      </c>
      <c r="D24" s="611">
        <v>1600</v>
      </c>
      <c r="E24" s="611">
        <v>1</v>
      </c>
      <c r="F24" s="611">
        <f t="shared" ref="F24:F27" si="4">E24*C24</f>
        <v>1500</v>
      </c>
      <c r="G24" s="611">
        <f t="shared" ref="G24:G27" si="5">E24*D24</f>
        <v>1600</v>
      </c>
      <c r="H24" s="611" t="s">
        <v>904</v>
      </c>
    </row>
    <row r="25" spans="1:8" x14ac:dyDescent="0.25">
      <c r="B25" s="621" t="s">
        <v>896</v>
      </c>
      <c r="C25" s="611">
        <v>1500</v>
      </c>
      <c r="D25" s="611">
        <v>1600</v>
      </c>
      <c r="E25" s="611">
        <v>1</v>
      </c>
      <c r="F25" s="611">
        <f t="shared" si="4"/>
        <v>1500</v>
      </c>
      <c r="G25" s="611">
        <f t="shared" si="5"/>
        <v>1600</v>
      </c>
      <c r="H25" s="611" t="s">
        <v>905</v>
      </c>
    </row>
    <row r="26" spans="1:8" x14ac:dyDescent="0.25">
      <c r="B26" s="621" t="s">
        <v>897</v>
      </c>
      <c r="C26" s="611">
        <v>1500</v>
      </c>
      <c r="D26" s="611">
        <v>1600</v>
      </c>
      <c r="E26" s="611">
        <v>1</v>
      </c>
      <c r="F26" s="611">
        <f t="shared" si="4"/>
        <v>1500</v>
      </c>
      <c r="G26" s="611">
        <f t="shared" si="5"/>
        <v>1600</v>
      </c>
      <c r="H26" s="611" t="s">
        <v>906</v>
      </c>
    </row>
    <row r="27" spans="1:8" x14ac:dyDescent="0.25">
      <c r="B27" s="621" t="s">
        <v>898</v>
      </c>
      <c r="C27" s="611">
        <v>1500</v>
      </c>
      <c r="D27" s="611">
        <v>1600</v>
      </c>
      <c r="E27" s="611">
        <v>1</v>
      </c>
      <c r="F27" s="611">
        <f t="shared" si="4"/>
        <v>1500</v>
      </c>
      <c r="G27" s="611">
        <f t="shared" si="5"/>
        <v>1600</v>
      </c>
      <c r="H27" s="611" t="s">
        <v>907</v>
      </c>
    </row>
    <row r="28" spans="1:8" x14ac:dyDescent="0.25">
      <c r="B28" s="621"/>
    </row>
    <row r="29" spans="1:8" ht="15.5" x14ac:dyDescent="0.3">
      <c r="A29" s="612">
        <v>3</v>
      </c>
      <c r="B29" s="613" t="s">
        <v>889</v>
      </c>
    </row>
    <row r="31" spans="1:8" ht="28" x14ac:dyDescent="0.25">
      <c r="B31" s="614" t="s">
        <v>101</v>
      </c>
      <c r="C31" s="614" t="s">
        <v>883</v>
      </c>
      <c r="D31" s="614" t="s">
        <v>884</v>
      </c>
      <c r="E31" s="614" t="s">
        <v>885</v>
      </c>
      <c r="F31" s="614" t="s">
        <v>886</v>
      </c>
      <c r="G31" s="614" t="s">
        <v>887</v>
      </c>
      <c r="H31" s="614" t="s">
        <v>874</v>
      </c>
    </row>
    <row r="32" spans="1:8" ht="13" x14ac:dyDescent="0.3">
      <c r="B32" s="619" t="s">
        <v>890</v>
      </c>
      <c r="C32" s="599">
        <f>+C33*C34</f>
        <v>37800</v>
      </c>
      <c r="D32" s="599">
        <f>+D33*D34</f>
        <v>53200</v>
      </c>
      <c r="E32" s="620">
        <v>1</v>
      </c>
      <c r="F32" s="599">
        <f>E32*C32</f>
        <v>37800</v>
      </c>
      <c r="G32" s="599">
        <f>E32*D32</f>
        <v>53200</v>
      </c>
      <c r="H32" s="624" t="s">
        <v>902</v>
      </c>
    </row>
    <row r="33" spans="1:8" ht="13" x14ac:dyDescent="0.3">
      <c r="B33" s="622" t="s">
        <v>891</v>
      </c>
      <c r="C33" s="625">
        <v>6.3</v>
      </c>
      <c r="D33" s="625">
        <v>7.6</v>
      </c>
      <c r="E33" s="601" t="s">
        <v>34</v>
      </c>
      <c r="F33" s="601" t="s">
        <v>34</v>
      </c>
      <c r="G33" s="600"/>
    </row>
    <row r="34" spans="1:8" ht="13" x14ac:dyDescent="0.3">
      <c r="B34" s="622" t="s">
        <v>892</v>
      </c>
      <c r="C34" s="625">
        <v>6000</v>
      </c>
      <c r="D34" s="625">
        <v>7000</v>
      </c>
      <c r="E34" s="601" t="s">
        <v>34</v>
      </c>
      <c r="F34" s="601" t="s">
        <v>34</v>
      </c>
      <c r="G34" s="600"/>
    </row>
    <row r="38" spans="1:8" ht="15.5" x14ac:dyDescent="0.3">
      <c r="A38" s="612">
        <v>4</v>
      </c>
      <c r="B38" s="613" t="s">
        <v>893</v>
      </c>
    </row>
    <row r="40" spans="1:8" ht="28" x14ac:dyDescent="0.25">
      <c r="B40" s="614" t="s">
        <v>101</v>
      </c>
      <c r="C40" s="614" t="s">
        <v>883</v>
      </c>
      <c r="D40" s="614" t="s">
        <v>884</v>
      </c>
      <c r="E40" s="614" t="s">
        <v>885</v>
      </c>
      <c r="F40" s="614" t="s">
        <v>886</v>
      </c>
      <c r="G40" s="614" t="s">
        <v>872</v>
      </c>
      <c r="H40" s="614" t="s">
        <v>874</v>
      </c>
    </row>
    <row r="41" spans="1:8" ht="13" x14ac:dyDescent="0.3">
      <c r="B41" s="619" t="s">
        <v>893</v>
      </c>
      <c r="C41" s="599">
        <f>+C42*C43</f>
        <v>20000</v>
      </c>
      <c r="D41" s="599">
        <f>+D42*D43</f>
        <v>36000</v>
      </c>
      <c r="E41" s="599">
        <f>E42</f>
        <v>0</v>
      </c>
      <c r="F41" s="599">
        <f>C41</f>
        <v>20000</v>
      </c>
      <c r="G41" s="599">
        <f>D41</f>
        <v>36000</v>
      </c>
      <c r="H41" s="624" t="s">
        <v>909</v>
      </c>
    </row>
    <row r="42" spans="1:8" ht="13" x14ac:dyDescent="0.3">
      <c r="A42" s="623"/>
      <c r="B42" s="622" t="s">
        <v>899</v>
      </c>
      <c r="C42" s="601">
        <v>20</v>
      </c>
      <c r="D42" s="601">
        <v>30</v>
      </c>
      <c r="E42" s="601"/>
      <c r="F42" s="600"/>
      <c r="G42" s="600"/>
    </row>
    <row r="43" spans="1:8" ht="13" x14ac:dyDescent="0.3">
      <c r="A43" s="623"/>
      <c r="B43" s="622" t="s">
        <v>900</v>
      </c>
      <c r="C43" s="625">
        <v>1000</v>
      </c>
      <c r="D43" s="625">
        <v>1200</v>
      </c>
      <c r="E43" s="601"/>
      <c r="F43" s="600"/>
      <c r="G43" s="600"/>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0180-E413-40E6-A014-DEBCC8247687}">
  <sheetPr>
    <tabColor theme="3"/>
  </sheetPr>
  <dimension ref="A1"/>
  <sheetViews>
    <sheetView showGridLines="0" workbookViewId="0">
      <selection activeCell="G42" sqref="G42"/>
    </sheetView>
  </sheetViews>
  <sheetFormatPr defaultRowHeight="12.5" x14ac:dyDescent="0.25"/>
  <cols>
    <col min="5" max="5" width="13.7265625" customWidth="1"/>
    <col min="6" max="6" width="24" customWidth="1"/>
  </cols>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48168-D125-4287-8E41-AD9443B2E288}">
  <sheetPr>
    <tabColor theme="3"/>
  </sheetPr>
  <dimension ref="A1:H55"/>
  <sheetViews>
    <sheetView topLeftCell="A4" zoomScale="115" zoomScaleNormal="115" workbookViewId="0">
      <selection activeCell="B18" sqref="B18"/>
    </sheetView>
  </sheetViews>
  <sheetFormatPr defaultRowHeight="12.5" x14ac:dyDescent="0.25"/>
  <cols>
    <col min="1" max="1" width="35.90625" style="280" customWidth="1"/>
    <col min="2" max="2" width="18.08984375" style="280" bestFit="1" customWidth="1"/>
    <col min="3" max="3" width="20.7265625" style="280" bestFit="1" customWidth="1"/>
    <col min="4" max="4" width="9.453125" style="280" bestFit="1" customWidth="1"/>
    <col min="5" max="5" width="19.7265625" style="280" bestFit="1" customWidth="1"/>
    <col min="6" max="6" width="20.7265625" style="280" bestFit="1" customWidth="1"/>
    <col min="7" max="7" width="9.453125" style="280" bestFit="1" customWidth="1"/>
    <col min="8" max="16384" width="8.7265625" style="280"/>
  </cols>
  <sheetData>
    <row r="1" spans="1:8" s="7" customFormat="1" ht="13.5" customHeight="1" x14ac:dyDescent="0.25">
      <c r="A1" s="5"/>
      <c r="B1" s="5"/>
      <c r="C1" s="5"/>
      <c r="D1" s="6"/>
      <c r="E1" s="25"/>
    </row>
    <row r="2" spans="1:8" s="7" customFormat="1" ht="13.5" customHeight="1" x14ac:dyDescent="0.25">
      <c r="A2" s="5"/>
      <c r="B2" s="5"/>
      <c r="C2" s="5"/>
      <c r="D2" s="6"/>
      <c r="E2" s="26" t="str">
        <f>Title</f>
        <v>OCP Africa - CIV P205</v>
      </c>
    </row>
    <row r="3" spans="1:8" s="7" customFormat="1" ht="13.5" customHeight="1" x14ac:dyDescent="0.25">
      <c r="A3" s="5"/>
      <c r="B3" s="5"/>
      <c r="C3" s="5"/>
      <c r="D3" s="6"/>
      <c r="E3" s="27" t="str">
        <f ca="1">MID(CELL("filename",E3),FIND("]",CELL("filename",E3))+1,256)</f>
        <v xml:space="preserve">OCP Sales in CIV - synthesis </v>
      </c>
    </row>
    <row r="4" spans="1:8" s="7" customFormat="1" ht="13.5" customHeight="1" x14ac:dyDescent="0.25">
      <c r="A4" s="5"/>
      <c r="B4" s="5"/>
      <c r="C4" s="5"/>
      <c r="D4" s="6"/>
      <c r="E4" s="27"/>
    </row>
    <row r="5" spans="1:8" s="11" customFormat="1" ht="13.5" customHeight="1" x14ac:dyDescent="0.3">
      <c r="A5" s="8"/>
      <c r="B5" s="8"/>
      <c r="C5" s="8"/>
      <c r="D5" s="9"/>
      <c r="E5" s="10"/>
    </row>
    <row r="6" spans="1:8" s="184" customFormat="1" ht="13.5" customHeight="1" x14ac:dyDescent="0.3">
      <c r="A6" s="181"/>
      <c r="B6" s="181"/>
      <c r="C6" s="181"/>
      <c r="D6" s="182"/>
      <c r="E6" s="183"/>
    </row>
    <row r="7" spans="1:8" s="184" customFormat="1" ht="13.5" customHeight="1" x14ac:dyDescent="0.3">
      <c r="A7" s="181"/>
      <c r="B7" s="181"/>
      <c r="C7" s="181"/>
      <c r="D7" s="182"/>
      <c r="E7" s="183"/>
    </row>
    <row r="8" spans="1:8" ht="13" x14ac:dyDescent="0.3">
      <c r="A8" s="32" t="s">
        <v>417</v>
      </c>
    </row>
    <row r="9" spans="1:8" ht="13" x14ac:dyDescent="0.3">
      <c r="A9" s="33" t="s">
        <v>391</v>
      </c>
    </row>
    <row r="10" spans="1:8" ht="13" x14ac:dyDescent="0.3">
      <c r="A10" s="30" t="s">
        <v>201</v>
      </c>
      <c r="B10" s="414" t="s">
        <v>552</v>
      </c>
      <c r="C10" s="120" t="s">
        <v>746</v>
      </c>
      <c r="D10" s="120" t="s">
        <v>211</v>
      </c>
      <c r="E10" s="414" t="s">
        <v>563</v>
      </c>
      <c r="F10" s="120" t="s">
        <v>747</v>
      </c>
      <c r="G10" s="120" t="s">
        <v>416</v>
      </c>
    </row>
    <row r="11" spans="1:8" x14ac:dyDescent="0.25">
      <c r="A11" s="59" t="s">
        <v>231</v>
      </c>
      <c r="B11" s="407">
        <f t="shared" ref="B11:B17" si="0">SUMIFS($C$47:$C$53,$B$47:$B$53,A11)</f>
        <v>16492</v>
      </c>
      <c r="C11" s="411">
        <f t="shared" ref="C11:C17" si="1">G11*B11</f>
        <v>7586.3200000000006</v>
      </c>
      <c r="D11" s="285">
        <f>G11</f>
        <v>0.46</v>
      </c>
      <c r="E11" s="407">
        <f t="shared" ref="E11:E17" si="2">SUMIFS($C$27:$C$39,$B$27:$B$39,A11)</f>
        <v>32617.498</v>
      </c>
      <c r="F11" s="287">
        <f t="shared" ref="F11:F17" si="3">G11*E11</f>
        <v>15004.049080000001</v>
      </c>
      <c r="G11" s="285">
        <f>VLOOKUP(A11,$B$26:$D$39,3,FALSE)</f>
        <v>0.46</v>
      </c>
    </row>
    <row r="12" spans="1:8" x14ac:dyDescent="0.25">
      <c r="A12" s="415" t="s">
        <v>408</v>
      </c>
      <c r="B12" s="416">
        <f t="shared" si="0"/>
        <v>47734.5</v>
      </c>
      <c r="C12" s="417">
        <f t="shared" si="1"/>
        <v>8592.2099999999991</v>
      </c>
      <c r="D12" s="418">
        <f t="shared" ref="D12:D17" si="4">G12</f>
        <v>0.18</v>
      </c>
      <c r="E12" s="416">
        <f t="shared" si="2"/>
        <v>42226.7</v>
      </c>
      <c r="F12" s="419">
        <f t="shared" si="3"/>
        <v>7600.8059999999996</v>
      </c>
      <c r="G12" s="285">
        <f>VLOOKUP(A12,$B$26:$D$39,3,FALSE)</f>
        <v>0.18</v>
      </c>
      <c r="H12" s="420" t="s">
        <v>748</v>
      </c>
    </row>
    <row r="13" spans="1:8" x14ac:dyDescent="0.25">
      <c r="A13" s="59" t="s">
        <v>407</v>
      </c>
      <c r="B13" s="407">
        <f t="shared" si="0"/>
        <v>126066.02</v>
      </c>
      <c r="C13" s="411">
        <f t="shared" si="1"/>
        <v>18909.902999999998</v>
      </c>
      <c r="D13" s="285">
        <f t="shared" si="4"/>
        <v>0.15</v>
      </c>
      <c r="E13" s="407">
        <f t="shared" si="2"/>
        <v>69916</v>
      </c>
      <c r="F13" s="287">
        <f t="shared" si="3"/>
        <v>10487.4</v>
      </c>
      <c r="G13" s="285">
        <f>VLOOKUP(A13,$B$26:$D$39,3,FALSE)</f>
        <v>0.15</v>
      </c>
    </row>
    <row r="14" spans="1:8" x14ac:dyDescent="0.25">
      <c r="A14" s="59" t="s">
        <v>220</v>
      </c>
      <c r="B14" s="407">
        <f t="shared" si="0"/>
        <v>31822.7</v>
      </c>
      <c r="C14" s="411">
        <f t="shared" si="1"/>
        <v>14638.442000000001</v>
      </c>
      <c r="D14" s="285">
        <f t="shared" si="4"/>
        <v>0.46</v>
      </c>
      <c r="E14" s="407">
        <f t="shared" si="2"/>
        <v>8980.02</v>
      </c>
      <c r="F14" s="287">
        <f t="shared" si="3"/>
        <v>4130.8092000000006</v>
      </c>
      <c r="G14" s="285">
        <f>VLOOKUP(A14,$B$26:$D$39,3,FALSE)</f>
        <v>0.46</v>
      </c>
    </row>
    <row r="15" spans="1:8" x14ac:dyDescent="0.25">
      <c r="A15" s="59" t="s">
        <v>406</v>
      </c>
      <c r="B15" s="407">
        <f t="shared" si="0"/>
        <v>4876.55</v>
      </c>
      <c r="C15" s="411">
        <f t="shared" si="1"/>
        <v>1121.6065000000001</v>
      </c>
      <c r="D15" s="285">
        <f t="shared" si="4"/>
        <v>0.23</v>
      </c>
      <c r="E15" s="407">
        <f t="shared" si="2"/>
        <v>4483.05</v>
      </c>
      <c r="F15" s="287">
        <f t="shared" si="3"/>
        <v>1031.1015</v>
      </c>
      <c r="G15" s="285">
        <f>VLOOKUP(A15,$B$26:$D$39,3,FALSE)</f>
        <v>0.23</v>
      </c>
    </row>
    <row r="16" spans="1:8" x14ac:dyDescent="0.25">
      <c r="A16" s="59" t="s">
        <v>454</v>
      </c>
      <c r="B16" s="407">
        <f t="shared" si="0"/>
        <v>50.9</v>
      </c>
      <c r="C16" s="411">
        <f t="shared" si="1"/>
        <v>11.198</v>
      </c>
      <c r="D16" s="285">
        <f t="shared" si="4"/>
        <v>0.22</v>
      </c>
      <c r="E16" s="407">
        <f t="shared" si="2"/>
        <v>0</v>
      </c>
      <c r="F16" s="287">
        <f t="shared" si="3"/>
        <v>0</v>
      </c>
      <c r="G16" s="285">
        <v>0.22</v>
      </c>
    </row>
    <row r="17" spans="1:7" ht="13" thickBot="1" x14ac:dyDescent="0.3">
      <c r="A17" s="59" t="s">
        <v>409</v>
      </c>
      <c r="B17" s="407">
        <f t="shared" si="0"/>
        <v>5414.95</v>
      </c>
      <c r="C17" s="411">
        <f t="shared" si="1"/>
        <v>1786.9335000000001</v>
      </c>
      <c r="D17" s="285">
        <f t="shared" si="4"/>
        <v>0.33</v>
      </c>
      <c r="E17" s="407">
        <f t="shared" si="2"/>
        <v>314.89999999999998</v>
      </c>
      <c r="F17" s="287">
        <f t="shared" si="3"/>
        <v>103.917</v>
      </c>
      <c r="G17" s="285">
        <f>VLOOKUP(A17,$B$26:$D$39,3,FALSE)</f>
        <v>0.33</v>
      </c>
    </row>
    <row r="18" spans="1:7" ht="13.5" thickTop="1" thickBot="1" x14ac:dyDescent="0.3">
      <c r="A18" s="281" t="s">
        <v>414</v>
      </c>
      <c r="B18" s="408">
        <f>SUM(B11:B17)</f>
        <v>232457.62000000002</v>
      </c>
      <c r="C18" s="412">
        <f>SUM(C11:C17)</f>
        <v>52646.612999999998</v>
      </c>
      <c r="D18" s="413">
        <f>C18/B18</f>
        <v>0.22647832753342304</v>
      </c>
      <c r="E18" s="408">
        <f>SUM(E11:E17)</f>
        <v>158538.16799999998</v>
      </c>
      <c r="F18" s="409">
        <f>SUM(F11:F17)</f>
        <v>38358.082780000004</v>
      </c>
      <c r="G18" s="410">
        <f>F18/E18</f>
        <v>0.24194856837250706</v>
      </c>
    </row>
    <row r="19" spans="1:7" ht="13" thickTop="1" x14ac:dyDescent="0.25"/>
    <row r="21" spans="1:7" s="288" customFormat="1" ht="13" x14ac:dyDescent="0.3">
      <c r="A21" s="289" t="s">
        <v>418</v>
      </c>
    </row>
    <row r="24" spans="1:7" ht="13" x14ac:dyDescent="0.3">
      <c r="A24" s="32" t="s">
        <v>390</v>
      </c>
    </row>
    <row r="25" spans="1:7" ht="13" x14ac:dyDescent="0.3">
      <c r="A25" s="33" t="s">
        <v>391</v>
      </c>
    </row>
    <row r="26" spans="1:7" ht="13" x14ac:dyDescent="0.3">
      <c r="A26" s="30" t="s">
        <v>201</v>
      </c>
      <c r="B26" s="120" t="s">
        <v>410</v>
      </c>
      <c r="C26" s="120" t="s">
        <v>413</v>
      </c>
      <c r="D26" s="120" t="s">
        <v>416</v>
      </c>
      <c r="E26" s="120" t="s">
        <v>411</v>
      </c>
    </row>
    <row r="27" spans="1:7" x14ac:dyDescent="0.25">
      <c r="A27" s="59" t="s">
        <v>231</v>
      </c>
      <c r="B27" s="59" t="s">
        <v>231</v>
      </c>
      <c r="C27" s="282">
        <v>5500</v>
      </c>
      <c r="D27" s="285">
        <v>0.46</v>
      </c>
      <c r="E27" s="59" t="s">
        <v>412</v>
      </c>
    </row>
    <row r="28" spans="1:7" x14ac:dyDescent="0.25">
      <c r="A28" s="59" t="s">
        <v>393</v>
      </c>
      <c r="B28" s="59" t="s">
        <v>231</v>
      </c>
      <c r="C28" s="282">
        <v>16349.84</v>
      </c>
      <c r="D28" s="285">
        <v>0.46</v>
      </c>
      <c r="E28" s="59" t="s">
        <v>412</v>
      </c>
    </row>
    <row r="29" spans="1:7" x14ac:dyDescent="0.25">
      <c r="A29" s="59" t="s">
        <v>395</v>
      </c>
      <c r="B29" s="59" t="s">
        <v>408</v>
      </c>
      <c r="C29" s="282">
        <v>24750</v>
      </c>
      <c r="D29" s="285">
        <v>0.18</v>
      </c>
      <c r="E29" s="59" t="s">
        <v>412</v>
      </c>
    </row>
    <row r="30" spans="1:7" x14ac:dyDescent="0.25">
      <c r="A30" s="59" t="s">
        <v>394</v>
      </c>
      <c r="B30" s="59" t="s">
        <v>407</v>
      </c>
      <c r="C30" s="282">
        <v>33000</v>
      </c>
      <c r="D30" s="285">
        <v>0.15</v>
      </c>
      <c r="E30" s="59" t="s">
        <v>412</v>
      </c>
    </row>
    <row r="31" spans="1:7" x14ac:dyDescent="0.25">
      <c r="A31" s="59" t="s">
        <v>396</v>
      </c>
      <c r="B31" s="59" t="s">
        <v>220</v>
      </c>
      <c r="C31" s="282">
        <v>4480</v>
      </c>
      <c r="D31" s="285">
        <v>0.46</v>
      </c>
      <c r="E31" s="59" t="s">
        <v>412</v>
      </c>
    </row>
    <row r="32" spans="1:7" x14ac:dyDescent="0.25">
      <c r="A32" s="59" t="s">
        <v>398</v>
      </c>
      <c r="B32" s="59" t="s">
        <v>231</v>
      </c>
      <c r="C32" s="282">
        <v>267.64</v>
      </c>
      <c r="D32" s="285">
        <v>0.46</v>
      </c>
      <c r="E32" s="59" t="s">
        <v>415</v>
      </c>
    </row>
    <row r="33" spans="1:5" x14ac:dyDescent="0.25">
      <c r="A33" s="59" t="s">
        <v>399</v>
      </c>
      <c r="B33" s="59" t="s">
        <v>231</v>
      </c>
      <c r="C33" s="282">
        <v>10500.018</v>
      </c>
      <c r="D33" s="285">
        <v>0.46</v>
      </c>
      <c r="E33" s="59" t="s">
        <v>415</v>
      </c>
    </row>
    <row r="34" spans="1:5" x14ac:dyDescent="0.25">
      <c r="A34" s="59" t="s">
        <v>400</v>
      </c>
      <c r="B34" s="59" t="s">
        <v>406</v>
      </c>
      <c r="C34" s="282">
        <v>4483.05</v>
      </c>
      <c r="D34" s="285">
        <v>0.23</v>
      </c>
      <c r="E34" s="59" t="s">
        <v>415</v>
      </c>
    </row>
    <row r="35" spans="1:5" x14ac:dyDescent="0.25">
      <c r="A35" s="59" t="s">
        <v>401</v>
      </c>
      <c r="B35" s="59" t="s">
        <v>407</v>
      </c>
      <c r="C35" s="282">
        <v>36916</v>
      </c>
      <c r="D35" s="285">
        <v>0.15</v>
      </c>
      <c r="E35" s="59" t="s">
        <v>415</v>
      </c>
    </row>
    <row r="36" spans="1:5" x14ac:dyDescent="0.25">
      <c r="A36" s="59" t="s">
        <v>402</v>
      </c>
      <c r="B36" s="59" t="s">
        <v>408</v>
      </c>
      <c r="C36" s="282">
        <v>2064.5</v>
      </c>
      <c r="D36" s="285">
        <v>0.18</v>
      </c>
      <c r="E36" s="59" t="s">
        <v>415</v>
      </c>
    </row>
    <row r="37" spans="1:5" x14ac:dyDescent="0.25">
      <c r="A37" s="59" t="s">
        <v>403</v>
      </c>
      <c r="B37" s="59" t="s">
        <v>408</v>
      </c>
      <c r="C37" s="282">
        <v>15412.199999999999</v>
      </c>
      <c r="D37" s="285">
        <v>0.18</v>
      </c>
      <c r="E37" s="59" t="s">
        <v>415</v>
      </c>
    </row>
    <row r="38" spans="1:5" x14ac:dyDescent="0.25">
      <c r="A38" s="59" t="s">
        <v>404</v>
      </c>
      <c r="B38" s="59" t="s">
        <v>409</v>
      </c>
      <c r="C38" s="282">
        <v>314.89999999999998</v>
      </c>
      <c r="D38" s="285">
        <v>0.33</v>
      </c>
      <c r="E38" s="59" t="s">
        <v>415</v>
      </c>
    </row>
    <row r="39" spans="1:5" ht="13" thickBot="1" x14ac:dyDescent="0.3">
      <c r="A39" s="59" t="s">
        <v>405</v>
      </c>
      <c r="B39" s="59" t="s">
        <v>220</v>
      </c>
      <c r="C39" s="282">
        <v>4500.0199999999995</v>
      </c>
      <c r="D39" s="285">
        <v>0.46</v>
      </c>
      <c r="E39" s="59" t="s">
        <v>415</v>
      </c>
    </row>
    <row r="40" spans="1:5" ht="13.5" thickTop="1" thickBot="1" x14ac:dyDescent="0.3">
      <c r="A40" s="281" t="s">
        <v>414</v>
      </c>
      <c r="B40" s="284" t="s">
        <v>34</v>
      </c>
      <c r="C40" s="283">
        <f>SUM(C27:C39)</f>
        <v>158538.16800000001</v>
      </c>
      <c r="D40" s="286">
        <f>SUMPRODUCT(D27:D39,C27:C39)/C40</f>
        <v>0.24194856837250697</v>
      </c>
      <c r="E40" s="284" t="s">
        <v>34</v>
      </c>
    </row>
    <row r="41" spans="1:5" ht="13" thickTop="1" x14ac:dyDescent="0.25"/>
    <row r="44" spans="1:5" ht="13" x14ac:dyDescent="0.3">
      <c r="A44" s="32" t="s">
        <v>553</v>
      </c>
    </row>
    <row r="45" spans="1:5" ht="13" x14ac:dyDescent="0.3">
      <c r="A45" s="33" t="s">
        <v>391</v>
      </c>
    </row>
    <row r="46" spans="1:5" ht="13" x14ac:dyDescent="0.3">
      <c r="A46" s="30" t="s">
        <v>201</v>
      </c>
      <c r="B46" s="120" t="s">
        <v>410</v>
      </c>
      <c r="C46" s="120" t="s">
        <v>413</v>
      </c>
      <c r="D46" s="120" t="s">
        <v>416</v>
      </c>
    </row>
    <row r="47" spans="1:5" x14ac:dyDescent="0.25">
      <c r="A47" s="59" t="s">
        <v>231</v>
      </c>
      <c r="B47" s="59" t="str">
        <f>A47</f>
        <v>DAP</v>
      </c>
      <c r="C47" s="282">
        <f>SUMIFS('Vente 2021 OCP CIV'!$R$7:$R$18,'Vente 2021 OCP CIV'!$P$7:$P$18,B47)+SUMIFS('OCPA sales in CIV 2021'!$C$6:$C$10,'OCPA sales in CIV 2021'!$A$6:$A$10,B47)</f>
        <v>16492</v>
      </c>
      <c r="D47" s="285">
        <v>0.46</v>
      </c>
    </row>
    <row r="48" spans="1:5" x14ac:dyDescent="0.25">
      <c r="A48" s="59" t="s">
        <v>406</v>
      </c>
      <c r="B48" s="59" t="str">
        <f t="shared" ref="B48:B53" si="5">A48</f>
        <v>00-23-19</v>
      </c>
      <c r="C48" s="282">
        <f>SUMIFS('Vente 2021 OCP CIV'!$R$7:$R$18,'Vente 2021 OCP CIV'!$P$7:$P$18,B48)+SUMIFS('OCPA sales in CIV 2021'!$C$6:$C$10,'OCPA sales in CIV 2021'!$A$6:$A$10,B48)</f>
        <v>4876.55</v>
      </c>
      <c r="D48" s="285">
        <v>0.23</v>
      </c>
    </row>
    <row r="49" spans="1:4" x14ac:dyDescent="0.25">
      <c r="A49" s="59" t="s">
        <v>454</v>
      </c>
      <c r="B49" s="59" t="str">
        <f t="shared" si="5"/>
        <v>11-22-21</v>
      </c>
      <c r="C49" s="282">
        <f>SUMIFS('Vente 2021 OCP CIV'!$R$7:$R$18,'Vente 2021 OCP CIV'!$P$7:$P$18,B49)+SUMIFS('OCPA sales in CIV 2021'!$C$6:$C$10,'OCPA sales in CIV 2021'!$A$6:$A$10,B49)</f>
        <v>50.9</v>
      </c>
      <c r="D49" s="285">
        <v>0.22</v>
      </c>
    </row>
    <row r="50" spans="1:4" x14ac:dyDescent="0.25">
      <c r="A50" s="59" t="s">
        <v>407</v>
      </c>
      <c r="B50" s="59" t="str">
        <f t="shared" si="5"/>
        <v>15-15-15</v>
      </c>
      <c r="C50" s="282">
        <f>SUMIFS('Vente 2021 OCP CIV'!$R$7:$R$18,'Vente 2021 OCP CIV'!$P$7:$P$18,B50)+SUMIFS('OCPA sales in CIV 2021'!$C$6:$C$10,'OCPA sales in CIV 2021'!$A$6:$A$10,B50)</f>
        <v>126066.02</v>
      </c>
      <c r="D50" s="285">
        <v>0.15</v>
      </c>
    </row>
    <row r="51" spans="1:4" x14ac:dyDescent="0.25">
      <c r="A51" s="59" t="s">
        <v>408</v>
      </c>
      <c r="B51" s="59" t="str">
        <f t="shared" si="5"/>
        <v>14-18-18</v>
      </c>
      <c r="C51" s="282">
        <f>SUMIFS('Vente 2021 OCP CIV'!$R$7:$R$18,'Vente 2021 OCP CIV'!$P$7:$P$18,B51)+SUMIFS('OCPA sales in CIV 2021'!$C$6:$C$10,'OCPA sales in CIV 2021'!$A$6:$A$10,B51)</f>
        <v>47734.5</v>
      </c>
      <c r="D51" s="285">
        <v>0.18</v>
      </c>
    </row>
    <row r="52" spans="1:4" x14ac:dyDescent="0.25">
      <c r="A52" s="59" t="s">
        <v>409</v>
      </c>
      <c r="B52" s="59" t="str">
        <f t="shared" si="5"/>
        <v>Phosphate rock</v>
      </c>
      <c r="C52" s="282">
        <f>SUMIFS('Vente 2021 OCP CIV'!$R$7:$R$18,'Vente 2021 OCP CIV'!$P$7:$P$18,B52)+SUMIFS('OCPA sales in CIV 2021'!$C$6:$C$10,'OCPA sales in CIV 2021'!$A$6:$A$10,B52)</f>
        <v>5414.95</v>
      </c>
      <c r="D52" s="285">
        <v>0.33</v>
      </c>
    </row>
    <row r="53" spans="1:4" ht="13" thickBot="1" x14ac:dyDescent="0.3">
      <c r="A53" s="59" t="s">
        <v>220</v>
      </c>
      <c r="B53" s="59" t="str">
        <f t="shared" si="5"/>
        <v>TSP</v>
      </c>
      <c r="C53" s="282">
        <f>SUMIFS('Vente 2021 OCP CIV'!$R$7:$R$18,'Vente 2021 OCP CIV'!$P$7:$P$18,B53)+SUMIFS('OCPA sales in CIV 2021'!$C$6:$C$10,'OCPA sales in CIV 2021'!$A$6:$A$10,B53)</f>
        <v>31822.7</v>
      </c>
      <c r="D53" s="285">
        <v>0.46</v>
      </c>
    </row>
    <row r="54" spans="1:4" ht="13.5" thickTop="1" thickBot="1" x14ac:dyDescent="0.3">
      <c r="A54" s="281" t="s">
        <v>414</v>
      </c>
      <c r="B54" s="284" t="s">
        <v>34</v>
      </c>
      <c r="C54" s="283">
        <f>SUM(C47:C53)</f>
        <v>232457.62000000002</v>
      </c>
      <c r="D54" s="286">
        <f>SUMPRODUCT(D47:D53,C47:C53)/C54</f>
        <v>0.22647832753342309</v>
      </c>
    </row>
    <row r="55" spans="1:4" ht="13" thickTop="1" x14ac:dyDescent="0.25"/>
  </sheetData>
  <pageMargins left="0.7" right="0.7" top="0.75" bottom="0.75" header="0.3" footer="0.3"/>
  <pageSetup orientation="portrait" r:id="rId1"/>
  <ignoredErrors>
    <ignoredError sqref="D18" formula="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A4AB-87E9-4ABA-B11B-91D36CED7916}">
  <sheetPr>
    <tabColor theme="3"/>
  </sheetPr>
  <dimension ref="A1:T77"/>
  <sheetViews>
    <sheetView showGridLines="0" zoomScale="140" zoomScaleNormal="85" workbookViewId="0">
      <selection activeCell="G17" sqref="G17"/>
    </sheetView>
  </sheetViews>
  <sheetFormatPr defaultColWidth="9.26953125" defaultRowHeight="13.5" customHeight="1" outlineLevelRow="1" x14ac:dyDescent="0.25"/>
  <cols>
    <col min="1" max="1" width="1.7265625" style="2" customWidth="1"/>
    <col min="2" max="2" width="2.7265625" style="2" customWidth="1"/>
    <col min="3" max="3" width="2" style="2" customWidth="1"/>
    <col min="4" max="4" width="37.26953125" style="2" bestFit="1" customWidth="1"/>
    <col min="5" max="5" width="29.7265625" style="2" bestFit="1" customWidth="1"/>
    <col min="6" max="6" width="18.26953125" style="2" customWidth="1"/>
    <col min="7" max="10" width="14.26953125" style="2" customWidth="1"/>
    <col min="11" max="11" width="16.26953125" style="2" bestFit="1" customWidth="1"/>
    <col min="12" max="13" width="14.26953125" style="2" customWidth="1"/>
    <col min="14" max="14" width="9.26953125" style="2"/>
    <col min="15" max="15" width="14.26953125" style="2" customWidth="1"/>
    <col min="16" max="16" width="11.26953125" style="2" customWidth="1"/>
    <col min="17" max="17" width="26.7265625" style="2" customWidth="1"/>
    <col min="18" max="18" width="29.453125" style="2" bestFit="1" customWidth="1"/>
    <col min="19" max="19" width="11.7265625" style="2" customWidth="1"/>
    <col min="20" max="16384" width="9.26953125" style="2"/>
  </cols>
  <sheetData>
    <row r="1" spans="1:18" s="7" customFormat="1" ht="13.5" customHeight="1" x14ac:dyDescent="0.25">
      <c r="A1" s="5"/>
      <c r="B1" s="5"/>
      <c r="C1" s="5"/>
      <c r="D1" s="6"/>
      <c r="E1" s="25"/>
    </row>
    <row r="2" spans="1:18" s="7" customFormat="1" ht="13.5" customHeight="1" x14ac:dyDescent="0.25">
      <c r="A2" s="5"/>
      <c r="B2" s="5"/>
      <c r="C2" s="5"/>
      <c r="D2" s="6"/>
      <c r="E2" s="26" t="str">
        <f>Title</f>
        <v>OCP Africa - CIV P205</v>
      </c>
    </row>
    <row r="3" spans="1:18" s="7" customFormat="1" ht="13.5" customHeight="1" x14ac:dyDescent="0.25">
      <c r="A3" s="5"/>
      <c r="B3" s="5"/>
      <c r="C3" s="5"/>
      <c r="D3" s="6"/>
      <c r="E3" s="27" t="str">
        <f ca="1">MID(CELL("filename",E3),FIND("]",CELL("filename",E3))+1,256)</f>
        <v>RAR_OCP</v>
      </c>
    </row>
    <row r="4" spans="1:18" s="7" customFormat="1" ht="13.5" customHeight="1" x14ac:dyDescent="0.25">
      <c r="A4" s="5"/>
      <c r="B4" s="5"/>
      <c r="C4" s="5"/>
      <c r="D4" s="6"/>
      <c r="E4" s="27"/>
    </row>
    <row r="5" spans="1:18" s="11" customFormat="1" ht="13.5" customHeight="1" x14ac:dyDescent="0.3">
      <c r="A5" s="8"/>
      <c r="B5" s="8"/>
      <c r="C5" s="8"/>
      <c r="D5" s="9"/>
      <c r="E5" s="10"/>
    </row>
    <row r="6" spans="1:18" ht="13.5" customHeight="1" x14ac:dyDescent="0.25">
      <c r="B6" s="7"/>
      <c r="C6" s="7"/>
      <c r="D6" s="7"/>
      <c r="E6" s="59" t="s">
        <v>85</v>
      </c>
      <c r="F6" s="7"/>
      <c r="G6" s="7"/>
      <c r="H6" s="7"/>
      <c r="I6" s="7"/>
      <c r="J6" s="7"/>
      <c r="K6" s="7"/>
      <c r="L6" s="7"/>
      <c r="M6" s="7"/>
      <c r="N6" s="7"/>
    </row>
    <row r="7" spans="1:18" ht="13.5" customHeight="1" x14ac:dyDescent="0.35">
      <c r="B7" s="51"/>
      <c r="C7" s="7"/>
      <c r="D7" s="52"/>
      <c r="E7" s="7"/>
      <c r="F7" s="7"/>
      <c r="G7" s="7" t="s">
        <v>86</v>
      </c>
      <c r="H7" s="7"/>
      <c r="I7" s="7" t="s">
        <v>87</v>
      </c>
      <c r="J7" s="7"/>
      <c r="K7" s="7"/>
      <c r="L7" s="7"/>
      <c r="M7" s="7"/>
      <c r="N7" s="7"/>
    </row>
    <row r="8" spans="1:18" ht="13.5" customHeight="1" x14ac:dyDescent="0.35">
      <c r="B8" s="7"/>
      <c r="C8" s="7"/>
      <c r="D8" s="7"/>
      <c r="E8" s="71" t="s">
        <v>88</v>
      </c>
      <c r="F8" s="71"/>
      <c r="G8" s="77">
        <v>31.05</v>
      </c>
      <c r="H8" s="77"/>
      <c r="I8" s="77">
        <v>31.05</v>
      </c>
      <c r="J8" s="71"/>
      <c r="K8" s="71"/>
      <c r="L8" s="71"/>
      <c r="M8" s="7"/>
      <c r="N8" s="7"/>
    </row>
    <row r="9" spans="1:18" ht="13.5" customHeight="1" x14ac:dyDescent="0.35">
      <c r="B9" s="7"/>
      <c r="C9" s="7"/>
      <c r="D9" s="35"/>
      <c r="E9" s="71" t="s">
        <v>71</v>
      </c>
      <c r="F9" s="72"/>
      <c r="G9" s="77">
        <v>184</v>
      </c>
      <c r="H9" s="77"/>
      <c r="I9" s="77">
        <v>184</v>
      </c>
      <c r="J9" s="72"/>
      <c r="K9" s="72"/>
      <c r="L9" s="73"/>
      <c r="M9" s="57"/>
      <c r="N9" s="57"/>
      <c r="O9" s="57"/>
      <c r="P9" s="58"/>
      <c r="Q9" s="57"/>
      <c r="R9" s="57"/>
    </row>
    <row r="10" spans="1:18" ht="13.5" customHeight="1" x14ac:dyDescent="0.35">
      <c r="B10" s="7"/>
      <c r="C10" s="7"/>
      <c r="D10" s="36"/>
      <c r="E10" s="72" t="s">
        <v>62</v>
      </c>
      <c r="G10" s="77">
        <v>44.895833333333336</v>
      </c>
      <c r="H10" s="77"/>
      <c r="I10" s="77">
        <v>36.042162698412703</v>
      </c>
      <c r="J10" s="72"/>
      <c r="K10" s="72"/>
      <c r="L10" s="73"/>
      <c r="M10" s="57"/>
      <c r="N10" s="57"/>
      <c r="O10" s="57"/>
      <c r="P10" s="58"/>
      <c r="Q10" s="57"/>
      <c r="R10" s="57"/>
    </row>
    <row r="11" spans="1:18" ht="13.5" customHeight="1" x14ac:dyDescent="0.35">
      <c r="B11" s="7"/>
      <c r="C11" s="7"/>
      <c r="D11" s="7"/>
      <c r="E11" s="180" t="s">
        <v>73</v>
      </c>
      <c r="G11" s="77">
        <v>51.857142857142854</v>
      </c>
      <c r="H11" s="77"/>
      <c r="I11" s="77"/>
      <c r="J11" s="72"/>
      <c r="K11" s="72"/>
      <c r="L11" s="73"/>
      <c r="M11" s="57"/>
      <c r="N11" s="57"/>
      <c r="O11" s="57"/>
      <c r="P11" s="58"/>
      <c r="Q11" s="57"/>
      <c r="R11" s="57"/>
    </row>
    <row r="12" spans="1:18" ht="13.5" customHeight="1" x14ac:dyDescent="0.35">
      <c r="B12" s="7"/>
      <c r="C12" s="7"/>
      <c r="D12" s="35"/>
      <c r="E12" s="72" t="s">
        <v>69</v>
      </c>
      <c r="G12" s="77">
        <v>53.5</v>
      </c>
      <c r="H12" s="77"/>
      <c r="I12" s="77"/>
      <c r="J12" s="72"/>
      <c r="K12" s="72"/>
      <c r="L12" s="73"/>
      <c r="M12" s="57"/>
      <c r="N12" s="57"/>
      <c r="O12" s="57"/>
      <c r="P12" s="58"/>
      <c r="Q12" s="57"/>
      <c r="R12" s="57"/>
    </row>
    <row r="13" spans="1:18" ht="13.5" customHeight="1" outlineLevel="1" x14ac:dyDescent="0.35">
      <c r="B13" s="7"/>
      <c r="C13" s="7"/>
      <c r="D13" s="7"/>
      <c r="E13" s="180" t="s">
        <v>68</v>
      </c>
      <c r="G13" s="77">
        <v>22.75</v>
      </c>
      <c r="H13" s="77"/>
      <c r="I13" s="77"/>
      <c r="J13" s="72"/>
      <c r="K13" s="72"/>
      <c r="L13" s="73"/>
      <c r="M13" s="57"/>
      <c r="N13" s="57"/>
      <c r="O13" s="57"/>
      <c r="P13" s="58"/>
      <c r="Q13" s="57"/>
      <c r="R13" s="57"/>
    </row>
    <row r="14" spans="1:18" ht="13.5" customHeight="1" outlineLevel="1" x14ac:dyDescent="0.25">
      <c r="B14" s="7"/>
      <c r="C14" s="7"/>
      <c r="D14" s="7"/>
      <c r="E14" t="s">
        <v>89</v>
      </c>
      <c r="G14" s="78">
        <v>22.5</v>
      </c>
      <c r="H14" s="78"/>
      <c r="I14" s="78"/>
      <c r="J14"/>
      <c r="K14"/>
      <c r="L14" s="53"/>
      <c r="M14" s="53"/>
      <c r="N14" s="7"/>
    </row>
    <row r="15" spans="1:18" ht="13.5" customHeight="1" outlineLevel="1" x14ac:dyDescent="0.25">
      <c r="B15" s="7"/>
      <c r="C15" s="7"/>
      <c r="D15" s="7"/>
      <c r="E15" s="103" t="s">
        <v>70</v>
      </c>
      <c r="G15" s="78">
        <v>20.75</v>
      </c>
      <c r="H15" s="78"/>
      <c r="I15" s="78"/>
      <c r="J15"/>
      <c r="K15"/>
      <c r="L15" s="53"/>
      <c r="M15" s="53"/>
      <c r="N15" s="7"/>
    </row>
    <row r="16" spans="1:18" ht="13.5" customHeight="1" outlineLevel="1" x14ac:dyDescent="0.25">
      <c r="B16" s="7"/>
      <c r="C16" s="7"/>
      <c r="D16" s="7"/>
      <c r="E16" t="s">
        <v>90</v>
      </c>
      <c r="F16" t="s">
        <v>91</v>
      </c>
      <c r="G16" s="78">
        <v>70</v>
      </c>
      <c r="H16" s="78"/>
      <c r="I16" s="78">
        <v>39.125</v>
      </c>
      <c r="J16"/>
      <c r="K16"/>
      <c r="L16" s="53"/>
      <c r="M16" s="53"/>
      <c r="N16" s="7"/>
    </row>
    <row r="17" spans="2:14" ht="13.5" customHeight="1" outlineLevel="1" x14ac:dyDescent="0.25">
      <c r="B17" s="7"/>
      <c r="C17" s="7"/>
      <c r="D17" s="7"/>
      <c r="E17" s="53" t="s">
        <v>67</v>
      </c>
      <c r="F17" s="75" t="s">
        <v>67</v>
      </c>
      <c r="G17" s="79">
        <v>82.40625</v>
      </c>
      <c r="H17" s="79"/>
      <c r="I17" s="79">
        <v>82.40625</v>
      </c>
      <c r="J17" s="53"/>
      <c r="K17" s="53"/>
      <c r="L17" s="53"/>
      <c r="M17" s="53"/>
      <c r="N17" s="7"/>
    </row>
    <row r="18" spans="2:14" ht="13.5" customHeight="1" outlineLevel="1" x14ac:dyDescent="0.25">
      <c r="B18" s="7"/>
      <c r="C18" s="7"/>
      <c r="D18" s="7"/>
      <c r="E18" s="53" t="s">
        <v>92</v>
      </c>
      <c r="F18" s="53" t="s">
        <v>92</v>
      </c>
      <c r="G18" s="79">
        <v>143.3125</v>
      </c>
      <c r="H18" s="79"/>
      <c r="I18" s="79">
        <v>143.3125</v>
      </c>
      <c r="J18" s="53"/>
      <c r="K18" s="53"/>
      <c r="L18" s="53"/>
      <c r="M18" s="53"/>
      <c r="N18" s="7"/>
    </row>
    <row r="19" spans="2:14" ht="13.5" customHeight="1" outlineLevel="1" x14ac:dyDescent="0.25">
      <c r="B19" s="7"/>
      <c r="C19" s="7"/>
      <c r="D19" s="7"/>
      <c r="E19" s="53" t="s">
        <v>66</v>
      </c>
      <c r="F19" s="53"/>
      <c r="G19" s="79">
        <v>60.765625</v>
      </c>
      <c r="H19" s="79"/>
      <c r="J19" s="53"/>
      <c r="K19" s="53"/>
      <c r="L19" s="53"/>
      <c r="M19" s="53"/>
      <c r="N19" s="7"/>
    </row>
    <row r="20" spans="2:14" ht="13.5" customHeight="1" outlineLevel="1" x14ac:dyDescent="0.25">
      <c r="B20" s="7"/>
      <c r="C20" s="7"/>
      <c r="D20" s="7"/>
      <c r="E20" s="53"/>
      <c r="F20" s="53"/>
      <c r="G20" s="76"/>
      <c r="H20" s="74"/>
      <c r="I20" s="74"/>
      <c r="J20" s="53"/>
      <c r="K20" s="53"/>
      <c r="L20" s="53"/>
      <c r="M20" s="53"/>
      <c r="N20" s="7"/>
    </row>
    <row r="21" spans="2:14" ht="13.5" customHeight="1" outlineLevel="1" x14ac:dyDescent="0.25">
      <c r="B21" s="7"/>
      <c r="C21" s="7"/>
      <c r="D21" s="7"/>
      <c r="E21" s="7"/>
      <c r="F21" s="7"/>
      <c r="G21" s="7"/>
      <c r="H21" s="7"/>
      <c r="I21" s="7"/>
      <c r="J21" s="7"/>
      <c r="K21" s="7"/>
      <c r="L21" s="7"/>
      <c r="M21" s="7"/>
      <c r="N21" s="7"/>
    </row>
    <row r="22" spans="2:14" ht="13.5" customHeight="1" outlineLevel="1" x14ac:dyDescent="0.25">
      <c r="B22" s="7"/>
      <c r="C22" s="7"/>
      <c r="D22" s="7"/>
      <c r="E22" s="7"/>
      <c r="F22" s="59"/>
      <c r="G22" s="7"/>
      <c r="H22" s="7"/>
      <c r="I22" s="7"/>
      <c r="J22" s="7"/>
      <c r="K22" s="7"/>
      <c r="L22" s="7"/>
      <c r="M22" s="7"/>
      <c r="N22" s="7"/>
    </row>
    <row r="23" spans="2:14" ht="13.5" customHeight="1" outlineLevel="1" x14ac:dyDescent="0.25">
      <c r="B23" s="7"/>
      <c r="C23" s="7"/>
      <c r="D23" s="7"/>
      <c r="E23" s="7"/>
      <c r="F23" s="7"/>
      <c r="G23" s="7"/>
      <c r="H23" s="7"/>
      <c r="I23" s="7"/>
      <c r="J23" s="7"/>
      <c r="K23" s="7"/>
      <c r="L23" s="7"/>
      <c r="M23" s="7"/>
      <c r="N23" s="7"/>
    </row>
    <row r="24" spans="2:14" ht="13.5" customHeight="1" outlineLevel="1" x14ac:dyDescent="0.35">
      <c r="B24" s="51"/>
      <c r="C24" s="7"/>
      <c r="D24" s="52"/>
      <c r="E24" s="7"/>
      <c r="F24" s="7"/>
      <c r="G24" s="7"/>
      <c r="H24" s="7"/>
      <c r="I24" s="7"/>
      <c r="J24" s="7"/>
      <c r="K24" s="7"/>
      <c r="L24" s="7"/>
      <c r="M24" s="7"/>
      <c r="N24" s="7"/>
    </row>
    <row r="25" spans="2:14" ht="13.5" customHeight="1" outlineLevel="1" x14ac:dyDescent="0.25">
      <c r="B25" s="7"/>
      <c r="C25" s="7"/>
      <c r="D25" s="7"/>
      <c r="E25" s="7"/>
      <c r="F25" s="7"/>
      <c r="G25" s="7"/>
      <c r="H25" s="7"/>
      <c r="I25" s="7"/>
      <c r="J25" s="7"/>
      <c r="K25" s="7"/>
      <c r="L25" s="7"/>
      <c r="M25" s="7"/>
      <c r="N25" s="7"/>
    </row>
    <row r="26" spans="2:14" ht="13.5" customHeight="1" outlineLevel="1" x14ac:dyDescent="0.25">
      <c r="B26" s="7"/>
      <c r="C26" s="7"/>
      <c r="D26" s="7"/>
      <c r="E26" s="7"/>
      <c r="F26" s="7"/>
      <c r="G26" s="7"/>
      <c r="H26" s="7"/>
      <c r="I26" s="7"/>
      <c r="J26" s="7"/>
      <c r="K26" s="7"/>
      <c r="L26" s="7"/>
      <c r="M26" s="7"/>
      <c r="N26" s="7"/>
    </row>
    <row r="27" spans="2:14" ht="13.5" customHeight="1" outlineLevel="1" x14ac:dyDescent="0.25">
      <c r="B27" s="7"/>
      <c r="C27" s="7"/>
      <c r="D27" s="7"/>
      <c r="E27" s="7"/>
      <c r="F27" s="7"/>
      <c r="G27" s="7"/>
      <c r="H27" s="7"/>
      <c r="I27" s="7"/>
      <c r="J27" s="7"/>
      <c r="K27" s="7"/>
      <c r="L27" s="7"/>
      <c r="M27" s="7"/>
      <c r="N27" s="7"/>
    </row>
    <row r="28" spans="2:14" ht="13.5" customHeight="1" outlineLevel="1" x14ac:dyDescent="0.25">
      <c r="B28" s="7"/>
      <c r="C28" s="7"/>
      <c r="D28" s="7"/>
      <c r="E28" s="7"/>
      <c r="F28" s="7"/>
      <c r="G28" s="7"/>
      <c r="H28" s="7"/>
      <c r="I28" s="7"/>
      <c r="J28" s="7"/>
      <c r="K28" s="7"/>
      <c r="L28" s="7"/>
      <c r="M28" s="7"/>
      <c r="N28" s="7"/>
    </row>
    <row r="29" spans="2:14" ht="13.5" customHeight="1" outlineLevel="1" x14ac:dyDescent="0.25">
      <c r="B29" s="7"/>
      <c r="C29" s="7"/>
      <c r="D29" s="7"/>
      <c r="E29" s="7"/>
      <c r="F29" s="7"/>
      <c r="G29" s="7"/>
      <c r="H29" s="7"/>
      <c r="I29" s="7"/>
      <c r="J29" s="7"/>
      <c r="K29" s="7"/>
      <c r="L29" s="7"/>
      <c r="M29" s="7"/>
      <c r="N29" s="7"/>
    </row>
    <row r="30" spans="2:14" ht="13.5" customHeight="1" outlineLevel="1" x14ac:dyDescent="0.25">
      <c r="B30" s="7"/>
      <c r="C30" s="7"/>
      <c r="D30" s="7"/>
      <c r="E30" s="7"/>
      <c r="F30" s="7"/>
      <c r="G30" s="7"/>
      <c r="H30" s="7"/>
      <c r="I30" s="7"/>
      <c r="J30" s="7"/>
      <c r="K30" s="7"/>
      <c r="L30" s="7"/>
      <c r="M30" s="7"/>
      <c r="N30" s="7"/>
    </row>
    <row r="31" spans="2:14" ht="13.5" customHeight="1" outlineLevel="1" x14ac:dyDescent="0.25">
      <c r="B31" s="7"/>
      <c r="C31" s="7"/>
      <c r="D31" s="7"/>
      <c r="E31" s="7"/>
      <c r="F31" s="7"/>
      <c r="G31" s="7"/>
      <c r="H31" s="7"/>
      <c r="I31" s="7"/>
      <c r="J31" s="7"/>
      <c r="K31" s="7"/>
      <c r="L31" s="7"/>
      <c r="M31" s="7"/>
      <c r="N31" s="7"/>
    </row>
    <row r="32" spans="2:14" ht="13.5" customHeight="1" x14ac:dyDescent="0.25">
      <c r="B32" s="7"/>
      <c r="C32" s="7"/>
      <c r="D32" s="7"/>
      <c r="E32" s="7"/>
      <c r="F32" s="7"/>
      <c r="G32" s="7"/>
      <c r="H32" s="7"/>
      <c r="I32" s="7"/>
      <c r="J32" s="7"/>
      <c r="K32" s="7"/>
      <c r="L32" s="7"/>
      <c r="M32" s="7"/>
      <c r="N32" s="7"/>
    </row>
    <row r="33" spans="2:14" ht="13.5" customHeight="1" x14ac:dyDescent="0.25">
      <c r="B33" s="7"/>
      <c r="C33" s="7"/>
      <c r="D33" s="7"/>
      <c r="E33" s="7"/>
      <c r="F33" s="7"/>
      <c r="G33" s="7"/>
      <c r="H33" s="7"/>
      <c r="I33" s="7"/>
      <c r="J33" s="7"/>
      <c r="K33" s="7"/>
      <c r="L33" s="7"/>
      <c r="M33" s="7"/>
      <c r="N33" s="7"/>
    </row>
    <row r="63" spans="20:20" ht="13.5" customHeight="1" x14ac:dyDescent="0.25">
      <c r="T63" s="7"/>
    </row>
    <row r="64" spans="20:20" ht="13.5" customHeight="1" x14ac:dyDescent="0.25">
      <c r="T64" s="7"/>
    </row>
    <row r="65" spans="20:20" ht="13.5" customHeight="1" x14ac:dyDescent="0.25">
      <c r="T65" s="7"/>
    </row>
    <row r="66" spans="20:20" ht="13.5" customHeight="1" x14ac:dyDescent="0.25">
      <c r="T66" s="7"/>
    </row>
    <row r="67" spans="20:20" ht="13.5" customHeight="1" x14ac:dyDescent="0.25">
      <c r="T67" s="7"/>
    </row>
    <row r="68" spans="20:20" ht="13.5" customHeight="1" x14ac:dyDescent="0.25">
      <c r="T68" s="7"/>
    </row>
    <row r="69" spans="20:20" ht="13.5" customHeight="1" x14ac:dyDescent="0.25">
      <c r="T69" s="7"/>
    </row>
    <row r="70" spans="20:20" ht="13.5" customHeight="1" x14ac:dyDescent="0.25">
      <c r="T70" s="7"/>
    </row>
    <row r="71" spans="20:20" ht="13.5" customHeight="1" x14ac:dyDescent="0.25">
      <c r="T71" s="7"/>
    </row>
    <row r="72" spans="20:20" ht="13.5" customHeight="1" x14ac:dyDescent="0.25">
      <c r="T72" s="7"/>
    </row>
    <row r="73" spans="20:20" ht="13.5" customHeight="1" x14ac:dyDescent="0.25">
      <c r="T73" s="7"/>
    </row>
    <row r="74" spans="20:20" ht="13.5" customHeight="1" x14ac:dyDescent="0.25">
      <c r="T74" s="7"/>
    </row>
    <row r="75" spans="20:20" ht="13.5" customHeight="1" x14ac:dyDescent="0.25">
      <c r="T75" s="7"/>
    </row>
    <row r="76" spans="20:20" ht="13.5" customHeight="1" x14ac:dyDescent="0.25">
      <c r="T76" s="7"/>
    </row>
    <row r="77" spans="20:20" ht="13.5" customHeight="1" x14ac:dyDescent="0.25">
      <c r="T77" s="7"/>
    </row>
  </sheetData>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BF76D-76BB-4114-BFCD-0DF8A8DB0AD3}">
  <sheetPr>
    <tabColor theme="3"/>
  </sheetPr>
  <dimension ref="A1:P298"/>
  <sheetViews>
    <sheetView topLeftCell="A190" zoomScale="70" zoomScaleNormal="70" workbookViewId="0">
      <selection activeCell="J242" sqref="A242:XFD242"/>
    </sheetView>
  </sheetViews>
  <sheetFormatPr defaultRowHeight="14.5" x14ac:dyDescent="0.35"/>
  <cols>
    <col min="1" max="1" width="62" style="253" customWidth="1"/>
    <col min="2" max="2" width="30" style="253" bestFit="1" customWidth="1"/>
    <col min="3" max="3" width="18" style="253" bestFit="1" customWidth="1"/>
    <col min="4" max="4" width="15.6328125" style="253" customWidth="1"/>
    <col min="5" max="5" width="13.36328125" style="253" bestFit="1" customWidth="1"/>
    <col min="6" max="6" width="18.453125" style="253" bestFit="1" customWidth="1"/>
    <col min="7" max="7" width="16.36328125" style="253" bestFit="1" customWidth="1"/>
    <col min="8" max="8" width="18.36328125" style="253" bestFit="1" customWidth="1"/>
    <col min="9" max="9" width="13.36328125" style="253" customWidth="1"/>
    <col min="10" max="11" width="9.26953125" style="253" customWidth="1"/>
    <col min="12" max="12" width="10.81640625" style="253" customWidth="1"/>
    <col min="13" max="13" width="11.90625" style="253" customWidth="1"/>
    <col min="14" max="14" width="13.08984375" style="253" customWidth="1"/>
    <col min="15" max="15" width="16.6328125" style="253" customWidth="1"/>
    <col min="16" max="16" width="68.90625" style="253" bestFit="1" customWidth="1"/>
    <col min="17" max="17" width="8.7265625" style="253"/>
    <col min="18" max="18" width="50.36328125" style="253" customWidth="1"/>
    <col min="19" max="19" width="33.26953125" style="253" bestFit="1" customWidth="1"/>
    <col min="20" max="20" width="15.7265625" style="253" bestFit="1" customWidth="1"/>
    <col min="21" max="21" width="13.08984375" style="253" bestFit="1" customWidth="1"/>
    <col min="22" max="22" width="19.7265625" style="253" bestFit="1" customWidth="1"/>
    <col min="23" max="23" width="17.26953125" style="253" bestFit="1" customWidth="1"/>
    <col min="24" max="24" width="18" style="253" bestFit="1" customWidth="1"/>
    <col min="25" max="25" width="13.90625" style="253" bestFit="1" customWidth="1"/>
    <col min="26" max="26" width="13.453125" style="253" bestFit="1" customWidth="1"/>
    <col min="27" max="27" width="15" style="253" bestFit="1" customWidth="1"/>
    <col min="28" max="28" width="13.08984375" style="253" bestFit="1" customWidth="1"/>
    <col min="29" max="29" width="11.54296875" style="253" bestFit="1" customWidth="1"/>
    <col min="30" max="30" width="18.54296875" style="253" bestFit="1" customWidth="1"/>
    <col min="31" max="31" width="14.26953125" style="253" bestFit="1" customWidth="1"/>
    <col min="32" max="32" width="14.453125" style="253" bestFit="1" customWidth="1"/>
    <col min="33" max="33" width="16.453125" style="253" bestFit="1" customWidth="1"/>
    <col min="34" max="34" width="16.7265625" style="253" bestFit="1" customWidth="1"/>
    <col min="35" max="35" width="18.26953125" style="253" bestFit="1" customWidth="1"/>
    <col min="36" max="36" width="12.36328125" style="253" bestFit="1" customWidth="1"/>
    <col min="37" max="16384" width="8.7265625" style="253"/>
  </cols>
  <sheetData>
    <row r="1" spans="1:7" s="7" customFormat="1" ht="13.5" customHeight="1" x14ac:dyDescent="0.25">
      <c r="A1" s="5"/>
      <c r="B1" s="5"/>
      <c r="C1" s="5"/>
      <c r="D1" s="6" t="s">
        <v>80</v>
      </c>
      <c r="E1" s="25"/>
    </row>
    <row r="2" spans="1:7" s="7" customFormat="1" ht="13.5" customHeight="1" x14ac:dyDescent="0.25">
      <c r="A2" s="5"/>
      <c r="B2" s="5"/>
      <c r="C2" s="5"/>
      <c r="D2" s="6"/>
      <c r="E2" s="26" t="str">
        <f>Title</f>
        <v>OCP Africa - CIV P205</v>
      </c>
    </row>
    <row r="3" spans="1:7" s="7" customFormat="1" ht="13.5" customHeight="1" x14ac:dyDescent="0.25">
      <c r="A3" s="5"/>
      <c r="B3" s="5"/>
      <c r="C3" s="5"/>
      <c r="D3" s="6"/>
      <c r="E3" s="27" t="str">
        <f ca="1">MID(CELL("filename",E3),FIND("]",CELL("filename",E3))+1,256)</f>
        <v>Argus - Consumption per crop</v>
      </c>
    </row>
    <row r="4" spans="1:7" s="7" customFormat="1" ht="13.5" customHeight="1" x14ac:dyDescent="0.25">
      <c r="A4" s="5"/>
      <c r="B4" s="5"/>
      <c r="C4" s="5"/>
      <c r="D4" s="6"/>
      <c r="E4" s="25"/>
    </row>
    <row r="5" spans="1:7" s="11" customFormat="1" ht="13.25" customHeight="1" x14ac:dyDescent="0.3">
      <c r="A5" s="8"/>
      <c r="B5" s="8"/>
      <c r="C5" s="8"/>
      <c r="D5" s="9"/>
      <c r="E5" s="10"/>
    </row>
    <row r="6" spans="1:7" s="184" customFormat="1" ht="13.25" customHeight="1" x14ac:dyDescent="0.3">
      <c r="A6" s="181"/>
      <c r="B6" s="181"/>
      <c r="C6" s="181"/>
      <c r="D6" s="182"/>
      <c r="E6" s="183"/>
    </row>
    <row r="7" spans="1:7" s="184" customFormat="1" ht="13.25" customHeight="1" x14ac:dyDescent="0.3">
      <c r="A7" s="181"/>
      <c r="B7" s="181"/>
      <c r="C7" s="181"/>
      <c r="D7" s="182"/>
      <c r="E7" s="183"/>
    </row>
    <row r="8" spans="1:7" s="184" customFormat="1" ht="13.25" customHeight="1" x14ac:dyDescent="0.3">
      <c r="A8" s="32" t="s">
        <v>375</v>
      </c>
      <c r="B8" s="181"/>
      <c r="C8" s="181"/>
      <c r="D8" s="182"/>
      <c r="E8" s="183"/>
    </row>
    <row r="9" spans="1:7" x14ac:dyDescent="0.35">
      <c r="A9" s="33"/>
    </row>
    <row r="10" spans="1:7" x14ac:dyDescent="0.35">
      <c r="A10" s="30" t="s">
        <v>371</v>
      </c>
      <c r="B10" s="34" t="s">
        <v>237</v>
      </c>
      <c r="C10" s="34" t="s">
        <v>372</v>
      </c>
      <c r="D10" s="34" t="s">
        <v>373</v>
      </c>
      <c r="E10" s="34" t="s">
        <v>367</v>
      </c>
      <c r="F10" s="34" t="s">
        <v>368</v>
      </c>
      <c r="G10" s="34" t="s">
        <v>377</v>
      </c>
    </row>
    <row r="11" spans="1:7" x14ac:dyDescent="0.35">
      <c r="A11" s="86" t="s">
        <v>158</v>
      </c>
      <c r="B11" s="130" t="s">
        <v>203</v>
      </c>
      <c r="C11" s="227">
        <v>81900</v>
      </c>
      <c r="D11" s="227">
        <v>9825</v>
      </c>
      <c r="E11" s="227">
        <f>VLOOKUP(A11,ProjectedP205_Consumption!$D$57:$E$71,2,FALSE)</f>
        <v>402000</v>
      </c>
      <c r="F11" s="264">
        <f>D11*1000/E11</f>
        <v>24.440298507462686</v>
      </c>
      <c r="G11" s="263">
        <f t="shared" ref="G11:G18" si="0">D11/$D$26</f>
        <v>0.22441286741582719</v>
      </c>
    </row>
    <row r="12" spans="1:7" x14ac:dyDescent="0.35">
      <c r="A12" s="86" t="s">
        <v>167</v>
      </c>
      <c r="B12" s="130" t="s">
        <v>204</v>
      </c>
      <c r="C12" s="227">
        <v>91400</v>
      </c>
      <c r="D12" s="227">
        <v>20542</v>
      </c>
      <c r="E12" s="227">
        <f>VLOOKUP(A12,ProjectedP205_Consumption!$D$57:$E$71,2,FALSE)</f>
        <v>3458163</v>
      </c>
      <c r="F12" s="264">
        <f t="shared" ref="F12:F25" si="1">D12*1000/E12</f>
        <v>5.9401479918673585</v>
      </c>
      <c r="G12" s="263">
        <f t="shared" si="0"/>
        <v>0.46919991068253658</v>
      </c>
    </row>
    <row r="13" spans="1:7" x14ac:dyDescent="0.35">
      <c r="A13" s="86" t="s">
        <v>184</v>
      </c>
      <c r="B13" s="130" t="s">
        <v>205</v>
      </c>
      <c r="C13" s="227">
        <v>37100</v>
      </c>
      <c r="D13" s="227">
        <v>2869</v>
      </c>
      <c r="E13" s="227">
        <f>VLOOKUP(A13,ProjectedP205_Consumption!$D$57:$E$71,2,FALSE)</f>
        <v>274000</v>
      </c>
      <c r="F13" s="264">
        <f t="shared" si="1"/>
        <v>10.47080291970803</v>
      </c>
      <c r="G13" s="263">
        <f t="shared" si="0"/>
        <v>6.5530841385853258E-2</v>
      </c>
    </row>
    <row r="14" spans="1:7" x14ac:dyDescent="0.35">
      <c r="A14" s="86" t="s">
        <v>113</v>
      </c>
      <c r="B14" s="130" t="s">
        <v>62</v>
      </c>
      <c r="C14" s="227">
        <v>24000</v>
      </c>
      <c r="D14" s="227">
        <v>2889</v>
      </c>
      <c r="E14" s="227">
        <f>VLOOKUP(A14,ProjectedP205_Consumption!$D$57:$E$71,2,FALSE)</f>
        <v>497864</v>
      </c>
      <c r="F14" s="264">
        <f t="shared" si="1"/>
        <v>5.802789516815837</v>
      </c>
      <c r="G14" s="263">
        <f t="shared" si="0"/>
        <v>6.5987661472195897E-2</v>
      </c>
    </row>
    <row r="15" spans="1:7" x14ac:dyDescent="0.35">
      <c r="A15" s="86" t="s">
        <v>73</v>
      </c>
      <c r="B15" s="130" t="s">
        <v>73</v>
      </c>
      <c r="C15" s="227">
        <v>12000</v>
      </c>
      <c r="D15" s="227">
        <v>1557</v>
      </c>
      <c r="E15" s="227">
        <f>VLOOKUP(A15,ProjectedP205_Consumption!$D$57:$E$71,2,FALSE)</f>
        <v>844023</v>
      </c>
      <c r="F15" s="264">
        <f t="shared" si="1"/>
        <v>1.8447364586036163</v>
      </c>
      <c r="G15" s="263">
        <f t="shared" si="0"/>
        <v>3.5563443721775362E-2</v>
      </c>
    </row>
    <row r="16" spans="1:7" x14ac:dyDescent="0.35">
      <c r="A16" s="86" t="s">
        <v>119</v>
      </c>
      <c r="B16" s="130" t="s">
        <v>206</v>
      </c>
      <c r="C16" s="227">
        <v>18900</v>
      </c>
      <c r="D16" s="227">
        <v>1756</v>
      </c>
      <c r="E16" s="227">
        <f>VLOOKUP(A16,ProjectedP205_Consumption!$D$57:$E$71,2,FALSE)</f>
        <v>25804</v>
      </c>
      <c r="F16" s="264">
        <f t="shared" si="1"/>
        <v>68.051464889164464</v>
      </c>
      <c r="G16" s="263">
        <f t="shared" si="0"/>
        <v>4.0108803580884735E-2</v>
      </c>
    </row>
    <row r="17" spans="1:8" x14ac:dyDescent="0.35">
      <c r="A17" s="86" t="s">
        <v>156</v>
      </c>
      <c r="B17" s="130" t="s">
        <v>207</v>
      </c>
      <c r="C17" s="227">
        <v>17700</v>
      </c>
      <c r="D17" s="227">
        <v>3410.14</v>
      </c>
      <c r="E17" s="227">
        <f>VLOOKUP(A17,ProjectedP205_Consumption!$D$57:$E$71,2,FALSE)</f>
        <v>453217</v>
      </c>
      <c r="F17" s="264">
        <f t="shared" si="1"/>
        <v>7.5242985148394697</v>
      </c>
      <c r="G17" s="263">
        <f t="shared" si="0"/>
        <v>7.7891022462026352E-2</v>
      </c>
    </row>
    <row r="18" spans="1:8" x14ac:dyDescent="0.35">
      <c r="A18" s="87" t="s">
        <v>182</v>
      </c>
      <c r="B18" s="131" t="s">
        <v>208</v>
      </c>
      <c r="C18" s="272">
        <v>2960</v>
      </c>
      <c r="D18" s="272">
        <v>847.88</v>
      </c>
      <c r="E18" s="272">
        <f>VLOOKUP(A18,ProjectedP205_Consumption!$D$57:$E$71,2,FALSE)</f>
        <v>215583</v>
      </c>
      <c r="F18" s="273">
        <f t="shared" si="1"/>
        <v>3.932963174276265</v>
      </c>
      <c r="G18" s="274">
        <f t="shared" si="0"/>
        <v>1.9366430740410338E-2</v>
      </c>
    </row>
    <row r="19" spans="1:8" x14ac:dyDescent="0.35">
      <c r="A19" s="86" t="s">
        <v>136</v>
      </c>
      <c r="B19" s="130" t="str">
        <f>A19</f>
        <v>Cashew nuts, in shell</v>
      </c>
      <c r="C19" s="227"/>
      <c r="D19" s="227">
        <f>G19*$D$26</f>
        <v>37.716067393086711</v>
      </c>
      <c r="E19" s="227">
        <f>VLOOKUP(A19,ProjectedP205_Consumption!$D$57:$E$71,2,FALSE)</f>
        <v>1675000</v>
      </c>
      <c r="F19" s="264">
        <f t="shared" ref="F19:F24" si="2">G19*$D$25/E19</f>
        <v>4.3660987387550034E-8</v>
      </c>
      <c r="G19" s="265">
        <f>$G$25*(E19/$E$25)</f>
        <v>8.6147285815075527E-4</v>
      </c>
    </row>
    <row r="20" spans="1:8" x14ac:dyDescent="0.35">
      <c r="A20" s="86" t="s">
        <v>117</v>
      </c>
      <c r="B20" s="130" t="str">
        <f t="shared" ref="B20:B23" si="3">A20</f>
        <v>Coffee, green</v>
      </c>
      <c r="C20" s="227"/>
      <c r="D20" s="227">
        <f t="shared" ref="D20:D24" si="4">G20*$D$26</f>
        <v>21.499126647431307</v>
      </c>
      <c r="E20" s="227">
        <f>VLOOKUP(A20,ProjectedP205_Consumption!$D$57:$E$71,2,FALSE)</f>
        <v>954793</v>
      </c>
      <c r="F20" s="264">
        <f t="shared" si="2"/>
        <v>4.3660987387550041E-8</v>
      </c>
      <c r="G20" s="265">
        <f t="shared" ref="G20:G24" si="5">$G$25*(E20/$E$25)</f>
        <v>4.910616445685577E-4</v>
      </c>
    </row>
    <row r="21" spans="1:8" x14ac:dyDescent="0.35">
      <c r="A21" s="86" t="s">
        <v>124</v>
      </c>
      <c r="B21" s="130" t="str">
        <f t="shared" si="3"/>
        <v>Cassava, fresh</v>
      </c>
      <c r="C21" s="227"/>
      <c r="D21" s="227">
        <f t="shared" si="4"/>
        <v>17.973135945808483</v>
      </c>
      <c r="E21" s="227">
        <f>VLOOKUP(A21,ProjectedP205_Consumption!$D$57:$E$71,2,FALSE)</f>
        <v>798201</v>
      </c>
      <c r="F21" s="264">
        <f t="shared" si="2"/>
        <v>4.3660987387550041E-8</v>
      </c>
      <c r="G21" s="265">
        <f t="shared" si="5"/>
        <v>4.1052447573062156E-4</v>
      </c>
    </row>
    <row r="22" spans="1:8" x14ac:dyDescent="0.35">
      <c r="A22" s="86" t="s">
        <v>144</v>
      </c>
      <c r="B22" s="130" t="str">
        <f t="shared" si="3"/>
        <v>Groundnuts, excluding shelled</v>
      </c>
      <c r="C22" s="227"/>
      <c r="D22" s="227">
        <f t="shared" si="4"/>
        <v>2.7079686047133058</v>
      </c>
      <c r="E22" s="227">
        <f>VLOOKUP(A22,ProjectedP205_Consumption!$D$57:$E$71,2,FALSE)</f>
        <v>120263</v>
      </c>
      <c r="F22" s="264">
        <f t="shared" si="2"/>
        <v>4.3660987387550034E-8</v>
      </c>
      <c r="G22" s="265">
        <f t="shared" si="5"/>
        <v>6.1852722590915993E-5</v>
      </c>
    </row>
    <row r="23" spans="1:8" x14ac:dyDescent="0.35">
      <c r="A23" s="86" t="s">
        <v>68</v>
      </c>
      <c r="B23" s="130" t="str">
        <f t="shared" si="3"/>
        <v>Sorghum</v>
      </c>
      <c r="C23" s="227"/>
      <c r="D23" s="227">
        <f t="shared" si="4"/>
        <v>1.8073089153663953</v>
      </c>
      <c r="E23" s="227">
        <f>VLOOKUP(A23,ProjectedP205_Consumption!$D$57:$E$71,2,FALSE)</f>
        <v>80264</v>
      </c>
      <c r="F23" s="264">
        <f t="shared" si="2"/>
        <v>4.3660987387550041E-8</v>
      </c>
      <c r="G23" s="265">
        <f t="shared" si="5"/>
        <v>4.1280750738275959E-5</v>
      </c>
    </row>
    <row r="24" spans="1:8" x14ac:dyDescent="0.35">
      <c r="A24" s="86" t="s">
        <v>125</v>
      </c>
      <c r="B24" s="130" t="s">
        <v>125</v>
      </c>
      <c r="C24" s="227"/>
      <c r="D24" s="227">
        <f t="shared" si="4"/>
        <v>3.1883924936081702</v>
      </c>
      <c r="E24" s="227">
        <f>VLOOKUP(A24,ProjectedP205_Consumption!$D$57:$E$71,2,FALSE)</f>
        <v>141599</v>
      </c>
      <c r="F24" s="264">
        <f t="shared" si="2"/>
        <v>4.3660987387550034E-8</v>
      </c>
      <c r="G24" s="265">
        <f t="shared" si="5"/>
        <v>7.2826086711217197E-5</v>
      </c>
    </row>
    <row r="25" spans="1:8" ht="15" thickBot="1" x14ac:dyDescent="0.4">
      <c r="A25" s="267" t="s">
        <v>376</v>
      </c>
      <c r="B25" s="268" t="s">
        <v>376</v>
      </c>
      <c r="C25" s="269">
        <f>IF('VIFAA - Consumption per product'!T8-SUM(C11:C18)&lt;0,0,'VIFAA - Consumption per product'!T8-SUM(C11:C18))</f>
        <v>0</v>
      </c>
      <c r="D25" s="269">
        <f>'VIFAA - Consumption per product'!T10-SUM(D11:D18)</f>
        <v>84.892000000014377</v>
      </c>
      <c r="E25" s="269">
        <f>ProjectedP205_Consumption!E72-SUM(E11:E18)</f>
        <v>3770120</v>
      </c>
      <c r="F25" s="270">
        <f t="shared" si="1"/>
        <v>2.2517055160051768E-2</v>
      </c>
      <c r="G25" s="271">
        <f>D25/$D$26</f>
        <v>1.9390185384903437E-3</v>
      </c>
      <c r="H25" s="253" t="s">
        <v>378</v>
      </c>
    </row>
    <row r="26" spans="1:8" ht="15.5" thickTop="1" thickBot="1" x14ac:dyDescent="0.4">
      <c r="A26" s="133" t="s">
        <v>83</v>
      </c>
      <c r="B26" s="225"/>
      <c r="C26" s="228">
        <f>SUM(C11:C25)</f>
        <v>285960</v>
      </c>
      <c r="D26" s="228">
        <f>SUM(D11:D18,D25)</f>
        <v>43780.912000000011</v>
      </c>
      <c r="E26" s="228">
        <f>SUM(E11:E25)</f>
        <v>13710894</v>
      </c>
      <c r="F26" s="226">
        <f>D26*1000/E26</f>
        <v>3.1931478720497739</v>
      </c>
      <c r="G26" s="262">
        <f>SUM(G11:G23)</f>
        <v>0.999927173913289</v>
      </c>
    </row>
    <row r="27" spans="1:8" ht="15" thickTop="1" x14ac:dyDescent="0.35"/>
    <row r="28" spans="1:8" x14ac:dyDescent="0.35">
      <c r="D28" s="322"/>
    </row>
    <row r="29" spans="1:8" s="326" customFormat="1" x14ac:dyDescent="0.35">
      <c r="D29" s="322"/>
    </row>
    <row r="30" spans="1:8" s="222" customFormat="1" ht="15.5" x14ac:dyDescent="0.35">
      <c r="A30" s="224" t="s">
        <v>789</v>
      </c>
    </row>
    <row r="31" spans="1:8" s="326" customFormat="1" x14ac:dyDescent="0.35">
      <c r="D31" s="322"/>
    </row>
    <row r="32" spans="1:8" s="326" customFormat="1" x14ac:dyDescent="0.35">
      <c r="D32" s="322"/>
    </row>
    <row r="33" spans="1:16" s="326" customFormat="1" x14ac:dyDescent="0.35">
      <c r="A33" s="32" t="s">
        <v>785</v>
      </c>
      <c r="B33" s="184"/>
      <c r="C33" s="184"/>
      <c r="D33" s="184"/>
      <c r="E33" s="184"/>
      <c r="F33" s="184"/>
      <c r="G33" s="184"/>
      <c r="H33" s="184"/>
      <c r="I33" s="184"/>
      <c r="J33" s="184"/>
      <c r="K33" s="184"/>
      <c r="L33" s="184"/>
    </row>
    <row r="34" spans="1:16" s="326" customFormat="1" x14ac:dyDescent="0.35">
      <c r="A34" s="33" t="s">
        <v>786</v>
      </c>
      <c r="B34" s="184"/>
      <c r="C34" s="184"/>
      <c r="D34" s="184"/>
      <c r="E34" s="184"/>
      <c r="F34" s="184"/>
      <c r="G34" s="184"/>
      <c r="H34" s="184"/>
      <c r="I34" s="184"/>
      <c r="J34" s="184"/>
    </row>
    <row r="35" spans="1:16" s="326" customFormat="1" x14ac:dyDescent="0.35">
      <c r="A35" s="30" t="s">
        <v>371</v>
      </c>
      <c r="B35" s="30" t="s">
        <v>237</v>
      </c>
      <c r="C35" s="30" t="s">
        <v>407</v>
      </c>
      <c r="D35" s="34" t="s">
        <v>753</v>
      </c>
      <c r="E35" s="34" t="s">
        <v>784</v>
      </c>
      <c r="F35" s="34" t="s">
        <v>229</v>
      </c>
      <c r="G35" s="34" t="s">
        <v>220</v>
      </c>
      <c r="H35" s="35"/>
      <c r="I35" s="433"/>
      <c r="J35" s="433"/>
      <c r="K35" s="433"/>
    </row>
    <row r="36" spans="1:16" s="326" customFormat="1" x14ac:dyDescent="0.35">
      <c r="A36" s="86" t="s">
        <v>158</v>
      </c>
      <c r="B36" s="86" t="s">
        <v>203</v>
      </c>
      <c r="C36" s="449">
        <f>SUMIFS(C$268:C$298,$A$268:$A$298,C$35)</f>
        <v>65500</v>
      </c>
      <c r="D36" s="449">
        <f>SUMIFS(C$268:C$298,$A$268:$A$298,D$35)</f>
        <v>0</v>
      </c>
      <c r="E36" s="449">
        <f>SUMIFS(C$268:C$298,$A$268:$A$298,E$35)</f>
        <v>0</v>
      </c>
      <c r="F36" s="449">
        <f>SUMIFS(C$268:C$298,$A$268:$A$298,F$35)</f>
        <v>0</v>
      </c>
      <c r="G36" s="449">
        <f>SUMIFS(C$268:C$298,$A$268:$A$298,G$35)</f>
        <v>0</v>
      </c>
      <c r="H36" s="449"/>
      <c r="I36" s="449"/>
      <c r="J36" s="449"/>
      <c r="K36" s="449"/>
    </row>
    <row r="37" spans="1:16" s="326" customFormat="1" x14ac:dyDescent="0.35">
      <c r="A37" s="86" t="s">
        <v>167</v>
      </c>
      <c r="B37" s="86" t="s">
        <v>204</v>
      </c>
      <c r="C37" s="449">
        <f>SUMIFS(D$268:D$298,$A$268:$A$298,C$35)</f>
        <v>0</v>
      </c>
      <c r="D37" s="449">
        <f>SUMIFS(D$268:D$298,$A$268:$A$298,D$35)</f>
        <v>84000</v>
      </c>
      <c r="E37" s="449">
        <f>SUMIFS(D$268:D$298,$A$268:$A$298,E$35)</f>
        <v>5000</v>
      </c>
      <c r="F37" s="449">
        <f>SUMIFS(D$268:D$298,$A$268:$A$298,F$35)</f>
        <v>0</v>
      </c>
      <c r="G37" s="449">
        <f>SUMIFS(D$268:D$298,$A$268:$A$298,G$35)</f>
        <v>700</v>
      </c>
      <c r="H37" s="449"/>
      <c r="I37" s="449"/>
      <c r="J37" s="449"/>
      <c r="K37" s="449"/>
    </row>
    <row r="38" spans="1:16" s="326" customFormat="1" x14ac:dyDescent="0.35">
      <c r="A38" s="86" t="s">
        <v>184</v>
      </c>
      <c r="B38" s="86" t="s">
        <v>205</v>
      </c>
      <c r="C38" s="449">
        <f>SUMIFS(E$268:E$298,$A$268:$A$298,C$35)</f>
        <v>1100</v>
      </c>
      <c r="D38" s="449">
        <f>SUMIFS(E$268:E$298,$A$268:$A$298,D$35)</f>
        <v>0</v>
      </c>
      <c r="E38" s="449">
        <f>SUMIFS(E$268:E$298,$A$268:$A$298,E$35)</f>
        <v>19900</v>
      </c>
      <c r="F38" s="449">
        <f>SUMIFS(E$268:E$298,$A$268:$A$298,F$35)</f>
        <v>0</v>
      </c>
      <c r="G38" s="449">
        <f>SUMIFS(E$268:E$298,$A$268:$A$298,G$35)</f>
        <v>0</v>
      </c>
      <c r="H38" s="449"/>
      <c r="I38" s="449"/>
      <c r="J38" s="449"/>
      <c r="K38" s="449"/>
    </row>
    <row r="39" spans="1:16" s="326" customFormat="1" x14ac:dyDescent="0.35">
      <c r="A39" s="86" t="s">
        <v>113</v>
      </c>
      <c r="B39" s="86" t="s">
        <v>62</v>
      </c>
      <c r="C39" s="449">
        <f>SUMIFS(F$268:F$298,$A$268:$A$298,C$35)</f>
        <v>15100</v>
      </c>
      <c r="D39" s="449">
        <f>SUMIFS(F$268:F$298,$A$268:$A$298,D$35)</f>
        <v>0</v>
      </c>
      <c r="E39" s="449">
        <f>SUMIFS(F$268:F$298,$A$268:$A$298,E$35)</f>
        <v>2600</v>
      </c>
      <c r="F39" s="449">
        <f>SUMIFS(F$268:F$298,$A$268:$A$298,F$35)</f>
        <v>0</v>
      </c>
      <c r="G39" s="449">
        <f>SUMIFS(F$268:F$298,$A$268:$A$298,G$35)</f>
        <v>0</v>
      </c>
      <c r="H39" s="449"/>
      <c r="I39" s="449"/>
      <c r="J39" s="449"/>
      <c r="K39" s="449"/>
    </row>
    <row r="40" spans="1:16" s="326" customFormat="1" x14ac:dyDescent="0.35">
      <c r="A40" s="86" t="s">
        <v>73</v>
      </c>
      <c r="B40" s="86" t="s">
        <v>73</v>
      </c>
      <c r="C40" s="449">
        <f>SUMIFS(G$268:G$298,$A$268:$A$298,C$35)</f>
        <v>3500</v>
      </c>
      <c r="D40" s="449">
        <f>SUMIFS(G$268:G$298,$A$268:$A$298,D$35)</f>
        <v>0</v>
      </c>
      <c r="E40" s="449">
        <f>SUMIFS(G$268:G$298,$A$268:$A$298,E$35)</f>
        <v>4300</v>
      </c>
      <c r="F40" s="449">
        <f>SUMIFS(G$268:G$298,$A$268:$A$298,F$35)</f>
        <v>0</v>
      </c>
      <c r="G40" s="449">
        <f>SUMIFS(G$268:G$298,$A$268:$A$298,G$35)</f>
        <v>0</v>
      </c>
      <c r="H40" s="449"/>
      <c r="I40" s="449"/>
      <c r="J40" s="449"/>
      <c r="K40" s="449"/>
    </row>
    <row r="41" spans="1:16" s="326" customFormat="1" x14ac:dyDescent="0.35">
      <c r="A41" s="86" t="s">
        <v>119</v>
      </c>
      <c r="B41" s="86" t="s">
        <v>206</v>
      </c>
      <c r="C41" s="449">
        <f>SUMIFS(H$268:H$298,$A$268:$A$298,C$35)</f>
        <v>0</v>
      </c>
      <c r="D41" s="449">
        <f>SUMIFS(H$268:H$298,$A$268:$A$298,D$35)</f>
        <v>0</v>
      </c>
      <c r="E41" s="449">
        <f>SUMIFS(H$268:H$298,$A$268:$A$298,E$35)</f>
        <v>13700</v>
      </c>
      <c r="F41" s="449">
        <f>SUMIFS(H$268:H$298,$A$268:$A$298,F$35)</f>
        <v>0</v>
      </c>
      <c r="G41" s="449">
        <f>SUMIFS(H$268:H$298,$A$268:$A$298,G$35)</f>
        <v>200</v>
      </c>
      <c r="H41" s="449"/>
      <c r="I41" s="449"/>
      <c r="J41" s="449"/>
      <c r="K41" s="449"/>
    </row>
    <row r="42" spans="1:16" s="326" customFormat="1" x14ac:dyDescent="0.35">
      <c r="A42" s="86" t="s">
        <v>156</v>
      </c>
      <c r="B42" s="86" t="s">
        <v>207</v>
      </c>
      <c r="C42" s="449">
        <f>SUMIFS(I$268:I$298,$A$268:$A$298,C$35)</f>
        <v>0</v>
      </c>
      <c r="D42" s="449">
        <f>SUMIFS(I$268:I$298,$A$268:$A$298,D$35)</f>
        <v>0</v>
      </c>
      <c r="E42" s="449">
        <f>SUMIFS(I$268:I$298,$A$268:$A$298,E$35)</f>
        <v>8060</v>
      </c>
      <c r="F42" s="449">
        <f>SUMIFS(I$268:I$298,$A$268:$A$298,F$35)</f>
        <v>7000</v>
      </c>
      <c r="G42" s="449">
        <f>SUMIFS(I$268:I$298,$A$268:$A$298,G$35)</f>
        <v>0</v>
      </c>
      <c r="H42" s="449"/>
      <c r="I42" s="449"/>
      <c r="J42" s="449"/>
      <c r="K42" s="449"/>
    </row>
    <row r="43" spans="1:16" s="326" customFormat="1" x14ac:dyDescent="0.35">
      <c r="A43" s="87" t="s">
        <v>182</v>
      </c>
      <c r="B43" s="92" t="s">
        <v>208</v>
      </c>
      <c r="C43" s="449">
        <f>SUMIFS(J$268:J$298,$A$268:$A$298,C$35)</f>
        <v>0</v>
      </c>
      <c r="D43" s="449">
        <f>SUMIFS(J$268:J$298,$A$268:$A$298,D$35)</f>
        <v>0</v>
      </c>
      <c r="E43" s="449">
        <f>SUMIFS(J$268:J$298,$A$268:$A$298,E$35)</f>
        <v>2940</v>
      </c>
      <c r="F43" s="449">
        <f>SUMIFS(J$268:J$298,$A$268:$A$298,F$35)</f>
        <v>0</v>
      </c>
      <c r="G43" s="449">
        <f>SUMIFS(J$268:J$298,$A$268:$A$298,G$35)</f>
        <v>0</v>
      </c>
    </row>
    <row r="44" spans="1:16" s="326" customFormat="1" x14ac:dyDescent="0.35">
      <c r="A44" s="452"/>
      <c r="B44" s="452" t="s">
        <v>211</v>
      </c>
      <c r="C44" s="452">
        <v>0.15</v>
      </c>
      <c r="D44" s="452">
        <v>0.23</v>
      </c>
      <c r="E44" s="452">
        <v>0.3</v>
      </c>
      <c r="F44" s="452">
        <v>0.33</v>
      </c>
      <c r="G44" s="452">
        <v>0.46</v>
      </c>
    </row>
    <row r="45" spans="1:16" s="326" customFormat="1" x14ac:dyDescent="0.35">
      <c r="A45" s="7"/>
      <c r="B45" s="449"/>
      <c r="C45" s="449"/>
      <c r="D45" s="449"/>
      <c r="E45" s="449"/>
      <c r="F45" s="449"/>
      <c r="G45" s="449"/>
    </row>
    <row r="46" spans="1:16" s="326" customFormat="1" x14ac:dyDescent="0.35">
      <c r="A46" s="32" t="s">
        <v>788</v>
      </c>
    </row>
    <row r="47" spans="1:16" s="326" customFormat="1" x14ac:dyDescent="0.35">
      <c r="A47" s="33" t="s">
        <v>787</v>
      </c>
    </row>
    <row r="48" spans="1:16" s="326" customFormat="1" x14ac:dyDescent="0.35">
      <c r="A48" s="30" t="s">
        <v>371</v>
      </c>
      <c r="B48" s="30" t="s">
        <v>237</v>
      </c>
      <c r="C48" s="30" t="s">
        <v>407</v>
      </c>
      <c r="D48" s="34" t="s">
        <v>753</v>
      </c>
      <c r="E48" s="34" t="s">
        <v>784</v>
      </c>
      <c r="F48" s="34" t="s">
        <v>229</v>
      </c>
      <c r="G48" s="34" t="s">
        <v>220</v>
      </c>
      <c r="I48" s="30" t="s">
        <v>371</v>
      </c>
      <c r="J48" s="30" t="s">
        <v>237</v>
      </c>
      <c r="K48" s="30" t="s">
        <v>407</v>
      </c>
      <c r="L48" s="34" t="s">
        <v>753</v>
      </c>
      <c r="M48" s="34" t="s">
        <v>784</v>
      </c>
      <c r="N48" s="34" t="s">
        <v>229</v>
      </c>
      <c r="O48" s="34" t="s">
        <v>220</v>
      </c>
      <c r="P48" s="34" t="s">
        <v>60</v>
      </c>
    </row>
    <row r="49" spans="1:16" s="326" customFormat="1" x14ac:dyDescent="0.35">
      <c r="A49" s="86" t="s">
        <v>158</v>
      </c>
      <c r="B49" s="86" t="s">
        <v>203</v>
      </c>
      <c r="C49" s="449">
        <f t="shared" ref="C49:G56" si="6">C$44*C36</f>
        <v>9825</v>
      </c>
      <c r="D49" s="449">
        <f t="shared" si="6"/>
        <v>0</v>
      </c>
      <c r="E49" s="449">
        <f t="shared" si="6"/>
        <v>0</v>
      </c>
      <c r="F49" s="449">
        <f t="shared" si="6"/>
        <v>0</v>
      </c>
      <c r="G49" s="449">
        <f t="shared" si="6"/>
        <v>0</v>
      </c>
      <c r="I49" s="86" t="s">
        <v>158</v>
      </c>
      <c r="J49" s="86" t="s">
        <v>203</v>
      </c>
      <c r="K49" s="451">
        <f>'OCPLevers &amp; MS- P2O5'!O81</f>
        <v>0.25</v>
      </c>
      <c r="L49" s="451">
        <f>'OCPLevers &amp; MS- P2O5'!P81</f>
        <v>0</v>
      </c>
      <c r="M49" s="451">
        <f>'OCPLevers &amp; MS- P2O5'!Q81</f>
        <v>0.25</v>
      </c>
      <c r="N49" s="451">
        <f>'OCPLevers &amp; MS- P2O5'!R81</f>
        <v>0</v>
      </c>
      <c r="O49" s="451">
        <f>'OCPLevers &amp; MS- P2O5'!S81</f>
        <v>0.5</v>
      </c>
      <c r="P49" s="514" t="s">
        <v>821</v>
      </c>
    </row>
    <row r="50" spans="1:16" s="326" customFormat="1" x14ac:dyDescent="0.35">
      <c r="A50" s="86" t="s">
        <v>167</v>
      </c>
      <c r="B50" s="86" t="s">
        <v>204</v>
      </c>
      <c r="C50" s="449">
        <f t="shared" si="6"/>
        <v>0</v>
      </c>
      <c r="D50" s="449">
        <f t="shared" si="6"/>
        <v>19320</v>
      </c>
      <c r="E50" s="449">
        <f t="shared" si="6"/>
        <v>1500</v>
      </c>
      <c r="F50" s="449">
        <f t="shared" si="6"/>
        <v>0</v>
      </c>
      <c r="G50" s="449">
        <f t="shared" si="6"/>
        <v>322</v>
      </c>
      <c r="I50" s="86" t="s">
        <v>167</v>
      </c>
      <c r="J50" s="86" t="s">
        <v>204</v>
      </c>
      <c r="K50" s="451">
        <f>'OCPLevers &amp; MS- P2O5'!O82</f>
        <v>0</v>
      </c>
      <c r="L50" s="451">
        <f>'OCPLevers &amp; MS- P2O5'!P82</f>
        <v>4.2000000000000003E-2</v>
      </c>
      <c r="M50" s="451">
        <f>'OCPLevers &amp; MS- P2O5'!Q82</f>
        <v>0.02</v>
      </c>
      <c r="N50" s="451">
        <f>'OCPLevers &amp; MS- P2O5'!R82</f>
        <v>0</v>
      </c>
      <c r="O50" s="451">
        <f>'OCPLevers &amp; MS- P2O5'!S82</f>
        <v>0.93799999999999994</v>
      </c>
      <c r="P50" s="514" t="s">
        <v>821</v>
      </c>
    </row>
    <row r="51" spans="1:16" s="326" customFormat="1" x14ac:dyDescent="0.35">
      <c r="A51" s="86" t="s">
        <v>184</v>
      </c>
      <c r="B51" s="86" t="s">
        <v>205</v>
      </c>
      <c r="C51" s="449">
        <f t="shared" si="6"/>
        <v>165</v>
      </c>
      <c r="D51" s="449">
        <f t="shared" si="6"/>
        <v>0</v>
      </c>
      <c r="E51" s="449">
        <f t="shared" si="6"/>
        <v>5970</v>
      </c>
      <c r="F51" s="449">
        <f t="shared" si="6"/>
        <v>0</v>
      </c>
      <c r="G51" s="449">
        <f t="shared" si="6"/>
        <v>0</v>
      </c>
      <c r="I51" s="86" t="s">
        <v>184</v>
      </c>
      <c r="J51" s="86" t="s">
        <v>205</v>
      </c>
      <c r="K51" s="451">
        <f>'OCPLevers &amp; MS- P2O5'!O83</f>
        <v>0.15</v>
      </c>
      <c r="L51" s="451">
        <f>'OCPLevers &amp; MS- P2O5'!P83</f>
        <v>0</v>
      </c>
      <c r="M51" s="451">
        <f>'OCPLevers &amp; MS- P2O5'!Q83</f>
        <v>0.65</v>
      </c>
      <c r="N51" s="451">
        <f>'OCPLevers &amp; MS- P2O5'!R83</f>
        <v>0</v>
      </c>
      <c r="O51" s="451">
        <f>'OCPLevers &amp; MS- P2O5'!S83</f>
        <v>0.3</v>
      </c>
      <c r="P51" s="514" t="s">
        <v>821</v>
      </c>
    </row>
    <row r="52" spans="1:16" s="326" customFormat="1" x14ac:dyDescent="0.35">
      <c r="A52" s="86" t="s">
        <v>113</v>
      </c>
      <c r="B52" s="86" t="s">
        <v>62</v>
      </c>
      <c r="C52" s="449">
        <f t="shared" si="6"/>
        <v>2265</v>
      </c>
      <c r="D52" s="449">
        <f t="shared" si="6"/>
        <v>0</v>
      </c>
      <c r="E52" s="449">
        <f t="shared" si="6"/>
        <v>780</v>
      </c>
      <c r="F52" s="449">
        <f t="shared" si="6"/>
        <v>0</v>
      </c>
      <c r="G52" s="449">
        <f t="shared" si="6"/>
        <v>0</v>
      </c>
      <c r="I52" s="86" t="s">
        <v>113</v>
      </c>
      <c r="J52" s="86" t="s">
        <v>62</v>
      </c>
      <c r="K52" s="451">
        <f>'OCPLevers &amp; MS- P2O5'!O84</f>
        <v>0.4</v>
      </c>
      <c r="L52" s="451">
        <f>'OCPLevers &amp; MS- P2O5'!P84</f>
        <v>0</v>
      </c>
      <c r="M52" s="451">
        <f>'OCPLevers &amp; MS- P2O5'!Q84</f>
        <v>0.25615763546798032</v>
      </c>
      <c r="N52" s="451">
        <f>'OCPLevers &amp; MS- P2O5'!R84</f>
        <v>0</v>
      </c>
      <c r="O52" s="451">
        <f>'OCPLevers &amp; MS- P2O5'!S84</f>
        <v>0</v>
      </c>
      <c r="P52" s="514" t="s">
        <v>821</v>
      </c>
    </row>
    <row r="53" spans="1:16" s="326" customFormat="1" x14ac:dyDescent="0.35">
      <c r="A53" s="86" t="s">
        <v>73</v>
      </c>
      <c r="B53" s="86" t="s">
        <v>73</v>
      </c>
      <c r="C53" s="449">
        <f t="shared" si="6"/>
        <v>525</v>
      </c>
      <c r="D53" s="449">
        <f t="shared" si="6"/>
        <v>0</v>
      </c>
      <c r="E53" s="449">
        <f t="shared" si="6"/>
        <v>1290</v>
      </c>
      <c r="F53" s="449">
        <f t="shared" si="6"/>
        <v>0</v>
      </c>
      <c r="G53" s="449">
        <f t="shared" si="6"/>
        <v>0</v>
      </c>
      <c r="I53" s="86" t="s">
        <v>73</v>
      </c>
      <c r="J53" s="86" t="s">
        <v>73</v>
      </c>
      <c r="K53" s="451">
        <f>'OCPLevers &amp; MS- P2O5'!O85</f>
        <v>0.6</v>
      </c>
      <c r="L53" s="451">
        <f>'OCPLevers &amp; MS- P2O5'!P85</f>
        <v>0</v>
      </c>
      <c r="M53" s="451">
        <f>'OCPLevers &amp; MS- P2O5'!Q85</f>
        <v>0.1</v>
      </c>
      <c r="N53" s="451">
        <f>'OCPLevers &amp; MS- P2O5'!R85</f>
        <v>0</v>
      </c>
      <c r="O53" s="451">
        <f>'OCPLevers &amp; MS- P2O5'!S85</f>
        <v>0.4</v>
      </c>
      <c r="P53" s="514" t="s">
        <v>821</v>
      </c>
    </row>
    <row r="54" spans="1:16" s="326" customFormat="1" x14ac:dyDescent="0.35">
      <c r="A54" s="86" t="s">
        <v>119</v>
      </c>
      <c r="B54" s="86" t="s">
        <v>206</v>
      </c>
      <c r="C54" s="449">
        <f t="shared" si="6"/>
        <v>0</v>
      </c>
      <c r="D54" s="449">
        <f t="shared" si="6"/>
        <v>0</v>
      </c>
      <c r="E54" s="449">
        <f t="shared" si="6"/>
        <v>4110</v>
      </c>
      <c r="F54" s="449">
        <f t="shared" si="6"/>
        <v>0</v>
      </c>
      <c r="G54" s="449">
        <f t="shared" si="6"/>
        <v>92</v>
      </c>
      <c r="I54" s="86" t="s">
        <v>119</v>
      </c>
      <c r="J54" s="86" t="s">
        <v>206</v>
      </c>
      <c r="K54" s="451">
        <f>'OCPLevers &amp; MS- P2O5'!O86</f>
        <v>0</v>
      </c>
      <c r="L54" s="451">
        <f>'OCPLevers &amp; MS- P2O5'!P86</f>
        <v>0</v>
      </c>
      <c r="M54" s="451">
        <f>'OCPLevers &amp; MS- P2O5'!Q86</f>
        <v>0.97810566396953835</v>
      </c>
      <c r="N54" s="451">
        <f>'OCPLevers &amp; MS- P2O5'!R86</f>
        <v>0</v>
      </c>
      <c r="O54" s="451">
        <f>'OCPLevers &amp; MS- P2O5'!S86</f>
        <v>2.1894336030461686E-2</v>
      </c>
      <c r="P54" s="514" t="s">
        <v>821</v>
      </c>
    </row>
    <row r="55" spans="1:16" s="326" customFormat="1" x14ac:dyDescent="0.35">
      <c r="A55" s="86" t="s">
        <v>156</v>
      </c>
      <c r="B55" s="86" t="s">
        <v>207</v>
      </c>
      <c r="C55" s="449">
        <f t="shared" si="6"/>
        <v>0</v>
      </c>
      <c r="D55" s="449">
        <f t="shared" si="6"/>
        <v>0</v>
      </c>
      <c r="E55" s="449">
        <f t="shared" si="6"/>
        <v>2418</v>
      </c>
      <c r="F55" s="449">
        <f t="shared" si="6"/>
        <v>2310</v>
      </c>
      <c r="G55" s="449">
        <f t="shared" si="6"/>
        <v>0</v>
      </c>
      <c r="I55" s="86" t="s">
        <v>156</v>
      </c>
      <c r="J55" s="86" t="s">
        <v>207</v>
      </c>
      <c r="K55" s="451">
        <f>'OCPLevers &amp; MS- P2O5'!O87</f>
        <v>0</v>
      </c>
      <c r="L55" s="451">
        <f>'OCPLevers &amp; MS- P2O5'!P87</f>
        <v>0</v>
      </c>
      <c r="M55" s="451">
        <f>'OCPLevers &amp; MS- P2O5'!Q87</f>
        <v>0</v>
      </c>
      <c r="N55" s="451">
        <f>'OCPLevers &amp; MS- P2O5'!R87</f>
        <v>0.85</v>
      </c>
      <c r="O55" s="451">
        <f>'OCPLevers &amp; MS- P2O5'!S87</f>
        <v>0.2</v>
      </c>
      <c r="P55" s="514" t="s">
        <v>821</v>
      </c>
    </row>
    <row r="56" spans="1:16" s="326" customFormat="1" x14ac:dyDescent="0.35">
      <c r="A56" s="87" t="s">
        <v>182</v>
      </c>
      <c r="B56" s="87" t="s">
        <v>208</v>
      </c>
      <c r="C56" s="272">
        <f t="shared" si="6"/>
        <v>0</v>
      </c>
      <c r="D56" s="272">
        <f t="shared" si="6"/>
        <v>0</v>
      </c>
      <c r="E56" s="272">
        <f t="shared" si="6"/>
        <v>882</v>
      </c>
      <c r="F56" s="272">
        <f t="shared" si="6"/>
        <v>0</v>
      </c>
      <c r="G56" s="272">
        <f t="shared" si="6"/>
        <v>0</v>
      </c>
      <c r="I56" s="87" t="s">
        <v>182</v>
      </c>
      <c r="J56" s="87" t="s">
        <v>208</v>
      </c>
      <c r="K56" s="451">
        <f>'OCPLevers &amp; MS- P2O5'!O88</f>
        <v>0</v>
      </c>
      <c r="L56" s="451">
        <f>'OCPLevers &amp; MS- P2O5'!P88</f>
        <v>0</v>
      </c>
      <c r="M56" s="451">
        <f>'OCPLevers &amp; MS- P2O5'!Q88</f>
        <v>1</v>
      </c>
      <c r="N56" s="451">
        <f>'OCPLevers &amp; MS- P2O5'!R88</f>
        <v>0</v>
      </c>
      <c r="O56" s="451">
        <f>'OCPLevers &amp; MS- P2O5'!S88</f>
        <v>0</v>
      </c>
      <c r="P56" s="515" t="s">
        <v>821</v>
      </c>
    </row>
    <row r="57" spans="1:16" s="326" customFormat="1" x14ac:dyDescent="0.35">
      <c r="A57" s="7"/>
      <c r="B57" s="449"/>
      <c r="C57" s="449"/>
      <c r="D57" s="449"/>
      <c r="E57" s="449"/>
      <c r="F57" s="449"/>
      <c r="G57" s="449"/>
      <c r="K57" s="255"/>
      <c r="L57" s="255"/>
      <c r="M57" s="255"/>
      <c r="N57" s="255"/>
      <c r="O57" s="255"/>
      <c r="P57" s="516"/>
    </row>
    <row r="58" spans="1:16" s="326" customFormat="1" x14ac:dyDescent="0.35">
      <c r="D58" s="322"/>
      <c r="K58" s="255"/>
      <c r="L58" s="255"/>
      <c r="M58" s="255"/>
      <c r="N58" s="255"/>
      <c r="O58" s="255"/>
    </row>
    <row r="59" spans="1:16" s="222" customFormat="1" ht="15.5" x14ac:dyDescent="0.35">
      <c r="A59" s="224" t="s">
        <v>374</v>
      </c>
    </row>
    <row r="60" spans="1:16" ht="15" thickBot="1" x14ac:dyDescent="0.4"/>
    <row r="61" spans="1:16" s="254" customFormat="1" x14ac:dyDescent="0.35">
      <c r="A61" s="234" t="s">
        <v>201</v>
      </c>
      <c r="B61" s="235" t="s">
        <v>202</v>
      </c>
      <c r="C61" s="235" t="s">
        <v>370</v>
      </c>
      <c r="D61" s="235" t="s">
        <v>745</v>
      </c>
      <c r="E61" s="236" t="s">
        <v>203</v>
      </c>
      <c r="F61" s="236" t="s">
        <v>204</v>
      </c>
      <c r="G61" s="236" t="s">
        <v>205</v>
      </c>
      <c r="H61" s="236" t="s">
        <v>62</v>
      </c>
      <c r="I61" s="236" t="s">
        <v>73</v>
      </c>
      <c r="J61" s="236" t="s">
        <v>206</v>
      </c>
      <c r="K61" s="236" t="s">
        <v>207</v>
      </c>
      <c r="L61" s="236" t="s">
        <v>208</v>
      </c>
      <c r="M61" s="236" t="s">
        <v>209</v>
      </c>
      <c r="N61" s="236" t="s">
        <v>200</v>
      </c>
      <c r="O61" s="237" t="s">
        <v>210</v>
      </c>
      <c r="P61" s="229" t="s">
        <v>211</v>
      </c>
    </row>
    <row r="62" spans="1:16" x14ac:dyDescent="0.35">
      <c r="A62" s="238" t="s">
        <v>212</v>
      </c>
      <c r="B62" s="214" t="s">
        <v>213</v>
      </c>
      <c r="C62" s="214" t="s">
        <v>213</v>
      </c>
      <c r="D62" s="423" t="s">
        <v>407</v>
      </c>
      <c r="E62" s="215">
        <v>65500</v>
      </c>
      <c r="F62" s="215"/>
      <c r="G62" s="215">
        <v>1100</v>
      </c>
      <c r="H62" s="215"/>
      <c r="I62" s="215">
        <v>3500</v>
      </c>
      <c r="J62" s="215"/>
      <c r="K62" s="215"/>
      <c r="L62" s="215"/>
      <c r="M62" s="215"/>
      <c r="N62" s="215"/>
      <c r="O62" s="239"/>
      <c r="P62" s="230">
        <f t="shared" ref="P62:P93" si="7">VLOOKUP(A62,$A$133:$B$175,2,FALSE)</f>
        <v>0.15</v>
      </c>
    </row>
    <row r="63" spans="1:16" x14ac:dyDescent="0.35">
      <c r="A63" s="240" t="s">
        <v>214</v>
      </c>
      <c r="B63" s="216" t="s">
        <v>214</v>
      </c>
      <c r="C63" s="216" t="s">
        <v>214</v>
      </c>
      <c r="D63" s="424" t="s">
        <v>214</v>
      </c>
      <c r="E63" s="217">
        <v>16400</v>
      </c>
      <c r="F63" s="217"/>
      <c r="G63" s="217">
        <v>200</v>
      </c>
      <c r="H63" s="217"/>
      <c r="I63" s="217">
        <v>4200</v>
      </c>
      <c r="J63" s="217"/>
      <c r="K63" s="217"/>
      <c r="L63" s="217">
        <v>20</v>
      </c>
      <c r="M63" s="217"/>
      <c r="N63" s="217"/>
      <c r="O63" s="241"/>
      <c r="P63" s="231">
        <f t="shared" si="7"/>
        <v>0</v>
      </c>
    </row>
    <row r="64" spans="1:16" x14ac:dyDescent="0.35">
      <c r="A64" s="242" t="s">
        <v>215</v>
      </c>
      <c r="B64" s="218" t="s">
        <v>216</v>
      </c>
      <c r="C64" s="218" t="s">
        <v>216</v>
      </c>
      <c r="D64" s="425" t="s">
        <v>753</v>
      </c>
      <c r="E64" s="219"/>
      <c r="F64" s="219">
        <v>84000</v>
      </c>
      <c r="G64" s="219"/>
      <c r="H64" s="219"/>
      <c r="I64" s="219"/>
      <c r="J64" s="219"/>
      <c r="K64" s="219"/>
      <c r="L64" s="219"/>
      <c r="M64" s="219"/>
      <c r="N64" s="219"/>
      <c r="O64" s="243"/>
      <c r="P64" s="232">
        <f t="shared" si="7"/>
        <v>0.23</v>
      </c>
    </row>
    <row r="65" spans="1:16" x14ac:dyDescent="0.35">
      <c r="A65" s="240" t="s">
        <v>217</v>
      </c>
      <c r="B65" s="216" t="s">
        <v>218</v>
      </c>
      <c r="C65" s="216" t="s">
        <v>218</v>
      </c>
      <c r="D65" s="424" t="s">
        <v>217</v>
      </c>
      <c r="E65" s="217"/>
      <c r="F65" s="217">
        <v>1700</v>
      </c>
      <c r="G65" s="217"/>
      <c r="H65" s="217"/>
      <c r="I65" s="217"/>
      <c r="J65" s="217"/>
      <c r="K65" s="217"/>
      <c r="L65" s="217"/>
      <c r="M65" s="217"/>
      <c r="N65" s="217"/>
      <c r="O65" s="241"/>
      <c r="P65" s="231">
        <f t="shared" si="7"/>
        <v>0</v>
      </c>
    </row>
    <row r="66" spans="1:16" x14ac:dyDescent="0.35">
      <c r="A66" s="242" t="s">
        <v>219</v>
      </c>
      <c r="B66" s="218" t="s">
        <v>216</v>
      </c>
      <c r="C66" s="218" t="s">
        <v>216</v>
      </c>
      <c r="D66" s="425" t="s">
        <v>754</v>
      </c>
      <c r="E66" s="219"/>
      <c r="F66" s="219">
        <v>5000</v>
      </c>
      <c r="G66" s="219"/>
      <c r="H66" s="219"/>
      <c r="I66" s="219"/>
      <c r="J66" s="219"/>
      <c r="K66" s="219"/>
      <c r="L66" s="219"/>
      <c r="M66" s="219"/>
      <c r="N66" s="219"/>
      <c r="O66" s="243"/>
      <c r="P66" s="232">
        <f t="shared" si="7"/>
        <v>0.18</v>
      </c>
    </row>
    <row r="67" spans="1:16" x14ac:dyDescent="0.35">
      <c r="A67" s="240" t="s">
        <v>220</v>
      </c>
      <c r="B67" s="216" t="s">
        <v>220</v>
      </c>
      <c r="C67" s="216" t="s">
        <v>220</v>
      </c>
      <c r="D67" s="216" t="s">
        <v>220</v>
      </c>
      <c r="E67" s="217"/>
      <c r="F67" s="217">
        <v>700</v>
      </c>
      <c r="G67" s="217"/>
      <c r="H67" s="217"/>
      <c r="I67" s="217"/>
      <c r="J67" s="217"/>
      <c r="K67" s="217"/>
      <c r="L67" s="217"/>
      <c r="M67" s="217"/>
      <c r="N67" s="217"/>
      <c r="O67" s="241"/>
      <c r="P67" s="231">
        <f t="shared" si="7"/>
        <v>0.46</v>
      </c>
    </row>
    <row r="68" spans="1:16" x14ac:dyDescent="0.35">
      <c r="A68" s="242" t="s">
        <v>221</v>
      </c>
      <c r="B68" s="218" t="s">
        <v>221</v>
      </c>
      <c r="C68" s="218" t="s">
        <v>221</v>
      </c>
      <c r="D68" s="218" t="s">
        <v>221</v>
      </c>
      <c r="E68" s="219"/>
      <c r="F68" s="219"/>
      <c r="G68" s="219">
        <v>15900</v>
      </c>
      <c r="H68" s="219"/>
      <c r="I68" s="219"/>
      <c r="J68" s="219"/>
      <c r="K68" s="219"/>
      <c r="L68" s="219"/>
      <c r="M68" s="219"/>
      <c r="N68" s="219"/>
      <c r="O68" s="243"/>
      <c r="P68" s="232">
        <f t="shared" si="7"/>
        <v>0</v>
      </c>
    </row>
    <row r="69" spans="1:16" x14ac:dyDescent="0.35">
      <c r="A69" s="240" t="s">
        <v>223</v>
      </c>
      <c r="B69" s="216" t="s">
        <v>222</v>
      </c>
      <c r="C69" s="216" t="s">
        <v>222</v>
      </c>
      <c r="D69" s="428" t="s">
        <v>760</v>
      </c>
      <c r="E69" s="217"/>
      <c r="F69" s="217"/>
      <c r="G69" s="217">
        <v>7200</v>
      </c>
      <c r="H69" s="217"/>
      <c r="I69" s="217"/>
      <c r="J69" s="217"/>
      <c r="K69" s="217"/>
      <c r="L69" s="217"/>
      <c r="M69" s="217"/>
      <c r="N69" s="217"/>
      <c r="O69" s="241"/>
      <c r="P69" s="231">
        <f t="shared" si="7"/>
        <v>0.1</v>
      </c>
    </row>
    <row r="70" spans="1:16" x14ac:dyDescent="0.35">
      <c r="A70" s="242" t="s">
        <v>224</v>
      </c>
      <c r="B70" s="218" t="s">
        <v>222</v>
      </c>
      <c r="C70" s="218" t="s">
        <v>222</v>
      </c>
      <c r="D70" s="429" t="s">
        <v>755</v>
      </c>
      <c r="E70" s="219"/>
      <c r="F70" s="219"/>
      <c r="G70" s="219">
        <v>5800</v>
      </c>
      <c r="H70" s="219"/>
      <c r="I70" s="219"/>
      <c r="J70" s="219"/>
      <c r="K70" s="219"/>
      <c r="L70" s="219"/>
      <c r="M70" s="219"/>
      <c r="N70" s="219"/>
      <c r="O70" s="243"/>
      <c r="P70" s="232">
        <f t="shared" si="7"/>
        <v>0</v>
      </c>
    </row>
    <row r="71" spans="1:16" x14ac:dyDescent="0.35">
      <c r="A71" s="240" t="s">
        <v>225</v>
      </c>
      <c r="B71" s="216" t="s">
        <v>216</v>
      </c>
      <c r="C71" s="216" t="s">
        <v>216</v>
      </c>
      <c r="D71" s="424" t="s">
        <v>225</v>
      </c>
      <c r="E71" s="217"/>
      <c r="F71" s="217"/>
      <c r="G71" s="217">
        <v>4000</v>
      </c>
      <c r="H71" s="217"/>
      <c r="I71" s="217"/>
      <c r="J71" s="217"/>
      <c r="K71" s="217"/>
      <c r="L71" s="217"/>
      <c r="M71" s="217"/>
      <c r="N71" s="217"/>
      <c r="O71" s="241"/>
      <c r="P71" s="231">
        <f t="shared" si="7"/>
        <v>0.46</v>
      </c>
    </row>
    <row r="72" spans="1:16" x14ac:dyDescent="0.35">
      <c r="A72" s="242" t="s">
        <v>226</v>
      </c>
      <c r="B72" s="218" t="s">
        <v>222</v>
      </c>
      <c r="C72" s="218" t="s">
        <v>222</v>
      </c>
      <c r="D72" s="425" t="s">
        <v>761</v>
      </c>
      <c r="E72" s="219"/>
      <c r="F72" s="219"/>
      <c r="G72" s="219">
        <v>2800</v>
      </c>
      <c r="H72" s="219"/>
      <c r="I72" s="219"/>
      <c r="J72" s="219"/>
      <c r="K72" s="219"/>
      <c r="L72" s="219"/>
      <c r="M72" s="219"/>
      <c r="N72" s="219"/>
      <c r="O72" s="243"/>
      <c r="P72" s="232">
        <f t="shared" si="7"/>
        <v>3.5000000000000003E-2</v>
      </c>
    </row>
    <row r="73" spans="1:16" x14ac:dyDescent="0.35">
      <c r="A73" s="240" t="s">
        <v>228</v>
      </c>
      <c r="B73" s="216" t="s">
        <v>213</v>
      </c>
      <c r="C73" s="216" t="s">
        <v>213</v>
      </c>
      <c r="D73" s="428" t="s">
        <v>407</v>
      </c>
      <c r="E73" s="217"/>
      <c r="F73" s="217"/>
      <c r="G73" s="217"/>
      <c r="H73" s="217"/>
      <c r="I73" s="217"/>
      <c r="J73" s="217"/>
      <c r="K73" s="217"/>
      <c r="L73" s="217"/>
      <c r="M73" s="217"/>
      <c r="N73" s="217"/>
      <c r="O73" s="241"/>
      <c r="P73" s="231">
        <f t="shared" si="7"/>
        <v>0.15</v>
      </c>
    </row>
    <row r="74" spans="1:16" x14ac:dyDescent="0.35">
      <c r="A74" s="242" t="s">
        <v>214</v>
      </c>
      <c r="B74" s="218" t="s">
        <v>214</v>
      </c>
      <c r="C74" s="218" t="s">
        <v>214</v>
      </c>
      <c r="D74" s="218" t="s">
        <v>214</v>
      </c>
      <c r="E74" s="219"/>
      <c r="F74" s="219"/>
      <c r="G74" s="219"/>
      <c r="H74" s="219"/>
      <c r="I74" s="219"/>
      <c r="J74" s="219"/>
      <c r="K74" s="219"/>
      <c r="L74" s="219"/>
      <c r="M74" s="219"/>
      <c r="N74" s="219"/>
      <c r="O74" s="243"/>
      <c r="P74" s="232">
        <f t="shared" si="7"/>
        <v>0</v>
      </c>
    </row>
    <row r="75" spans="1:16" x14ac:dyDescent="0.35">
      <c r="A75" s="240" t="s">
        <v>231</v>
      </c>
      <c r="B75" s="216" t="s">
        <v>231</v>
      </c>
      <c r="C75" s="216" t="s">
        <v>216</v>
      </c>
      <c r="D75" s="424" t="s">
        <v>231</v>
      </c>
      <c r="E75" s="217"/>
      <c r="F75" s="217"/>
      <c r="G75" s="217">
        <v>100</v>
      </c>
      <c r="H75" s="217"/>
      <c r="I75" s="217"/>
      <c r="J75" s="217"/>
      <c r="K75" s="217"/>
      <c r="L75" s="217">
        <v>1600</v>
      </c>
      <c r="M75" s="217"/>
      <c r="N75" s="217"/>
      <c r="O75" s="241"/>
      <c r="P75" s="231">
        <f t="shared" si="7"/>
        <v>0.46</v>
      </c>
    </row>
    <row r="76" spans="1:16" x14ac:dyDescent="0.35">
      <c r="A76" s="242" t="s">
        <v>232</v>
      </c>
      <c r="B76" s="218" t="s">
        <v>213</v>
      </c>
      <c r="C76" s="218" t="s">
        <v>213</v>
      </c>
      <c r="D76" s="425" t="s">
        <v>407</v>
      </c>
      <c r="E76" s="219"/>
      <c r="F76" s="219"/>
      <c r="G76" s="219"/>
      <c r="H76" s="219">
        <v>15100</v>
      </c>
      <c r="I76" s="219"/>
      <c r="J76" s="219"/>
      <c r="K76" s="218"/>
      <c r="L76" s="218"/>
      <c r="M76" s="218"/>
      <c r="N76" s="218"/>
      <c r="O76" s="244"/>
      <c r="P76" s="232">
        <f t="shared" si="7"/>
        <v>0.15</v>
      </c>
    </row>
    <row r="77" spans="1:16" x14ac:dyDescent="0.35">
      <c r="A77" s="240" t="s">
        <v>214</v>
      </c>
      <c r="B77" s="216" t="s">
        <v>214</v>
      </c>
      <c r="C77" s="216" t="s">
        <v>214</v>
      </c>
      <c r="D77" s="216" t="s">
        <v>214</v>
      </c>
      <c r="E77" s="217"/>
      <c r="F77" s="217"/>
      <c r="G77" s="217"/>
      <c r="H77" s="217">
        <v>6300</v>
      </c>
      <c r="I77" s="217"/>
      <c r="J77" s="217"/>
      <c r="K77" s="216"/>
      <c r="L77" s="216"/>
      <c r="M77" s="216"/>
      <c r="N77" s="216"/>
      <c r="O77" s="245"/>
      <c r="P77" s="231">
        <f t="shared" si="7"/>
        <v>0</v>
      </c>
    </row>
    <row r="78" spans="1:16" x14ac:dyDescent="0.35">
      <c r="A78" s="242" t="s">
        <v>233</v>
      </c>
      <c r="B78" s="218" t="s">
        <v>216</v>
      </c>
      <c r="C78" s="218" t="s">
        <v>216</v>
      </c>
      <c r="D78" s="425" t="s">
        <v>756</v>
      </c>
      <c r="E78" s="219"/>
      <c r="F78" s="219"/>
      <c r="G78" s="219"/>
      <c r="H78" s="219">
        <v>2600</v>
      </c>
      <c r="I78" s="219"/>
      <c r="J78" s="219"/>
      <c r="K78" s="218"/>
      <c r="L78" s="218"/>
      <c r="M78" s="218"/>
      <c r="N78" s="218"/>
      <c r="O78" s="244"/>
      <c r="P78" s="232">
        <f t="shared" si="7"/>
        <v>0.24</v>
      </c>
    </row>
    <row r="79" spans="1:16" x14ac:dyDescent="0.35">
      <c r="A79" s="240" t="s">
        <v>232</v>
      </c>
      <c r="B79" s="216" t="s">
        <v>213</v>
      </c>
      <c r="C79" s="216" t="s">
        <v>213</v>
      </c>
      <c r="D79" s="424" t="s">
        <v>407</v>
      </c>
      <c r="E79" s="217"/>
      <c r="F79" s="217"/>
      <c r="G79" s="217"/>
      <c r="H79" s="217"/>
      <c r="I79" s="217"/>
      <c r="J79" s="217"/>
      <c r="K79" s="216"/>
      <c r="L79" s="216"/>
      <c r="M79" s="216"/>
      <c r="N79" s="216"/>
      <c r="O79" s="245"/>
      <c r="P79" s="231">
        <f t="shared" si="7"/>
        <v>0.15</v>
      </c>
    </row>
    <row r="80" spans="1:16" x14ac:dyDescent="0.35">
      <c r="A80" s="242" t="s">
        <v>214</v>
      </c>
      <c r="B80" s="218" t="s">
        <v>214</v>
      </c>
      <c r="C80" s="218" t="s">
        <v>214</v>
      </c>
      <c r="D80" s="218" t="s">
        <v>214</v>
      </c>
      <c r="E80" s="219"/>
      <c r="F80" s="219"/>
      <c r="G80" s="219"/>
      <c r="H80" s="219"/>
      <c r="I80" s="219"/>
      <c r="J80" s="219"/>
      <c r="K80" s="218"/>
      <c r="L80" s="218"/>
      <c r="M80" s="218"/>
      <c r="N80" s="218"/>
      <c r="O80" s="244"/>
      <c r="P80" s="232">
        <f t="shared" si="7"/>
        <v>0</v>
      </c>
    </row>
    <row r="81" spans="1:16" x14ac:dyDescent="0.35">
      <c r="A81" s="240" t="s">
        <v>233</v>
      </c>
      <c r="B81" s="216" t="s">
        <v>216</v>
      </c>
      <c r="C81" s="216" t="s">
        <v>216</v>
      </c>
      <c r="D81" s="424" t="s">
        <v>756</v>
      </c>
      <c r="E81" s="217"/>
      <c r="F81" s="217"/>
      <c r="G81" s="217"/>
      <c r="H81" s="217"/>
      <c r="I81" s="217">
        <v>4300</v>
      </c>
      <c r="J81" s="217"/>
      <c r="K81" s="216"/>
      <c r="L81" s="216"/>
      <c r="M81" s="216"/>
      <c r="N81" s="216"/>
      <c r="O81" s="245"/>
      <c r="P81" s="231">
        <f t="shared" si="7"/>
        <v>0.24</v>
      </c>
    </row>
    <row r="82" spans="1:16" x14ac:dyDescent="0.35">
      <c r="A82" s="242" t="s">
        <v>234</v>
      </c>
      <c r="B82" s="218" t="s">
        <v>222</v>
      </c>
      <c r="C82" s="218" t="s">
        <v>222</v>
      </c>
      <c r="D82" s="425" t="s">
        <v>763</v>
      </c>
      <c r="E82" s="219"/>
      <c r="F82" s="219"/>
      <c r="G82" s="219"/>
      <c r="H82" s="219"/>
      <c r="I82" s="219"/>
      <c r="J82" s="219">
        <v>5000</v>
      </c>
      <c r="K82" s="218"/>
      <c r="L82" s="218"/>
      <c r="M82" s="218"/>
      <c r="N82" s="218"/>
      <c r="O82" s="244"/>
      <c r="P82" s="232">
        <f t="shared" si="7"/>
        <v>8.5000000000000006E-2</v>
      </c>
    </row>
    <row r="83" spans="1:16" x14ac:dyDescent="0.35">
      <c r="A83" s="240" t="s">
        <v>235</v>
      </c>
      <c r="B83" s="216" t="s">
        <v>222</v>
      </c>
      <c r="C83" s="216" t="s">
        <v>222</v>
      </c>
      <c r="D83" s="428" t="s">
        <v>762</v>
      </c>
      <c r="E83" s="217"/>
      <c r="F83" s="217"/>
      <c r="G83" s="217"/>
      <c r="H83" s="217"/>
      <c r="I83" s="217"/>
      <c r="J83" s="217">
        <v>4100</v>
      </c>
      <c r="K83" s="216"/>
      <c r="L83" s="216"/>
      <c r="M83" s="216"/>
      <c r="N83" s="216"/>
      <c r="O83" s="245"/>
      <c r="P83" s="231">
        <f t="shared" si="7"/>
        <v>0.09</v>
      </c>
    </row>
    <row r="84" spans="1:16" x14ac:dyDescent="0.35">
      <c r="A84" s="242" t="s">
        <v>236</v>
      </c>
      <c r="B84" s="218" t="s">
        <v>222</v>
      </c>
      <c r="C84" s="218" t="s">
        <v>222</v>
      </c>
      <c r="D84" s="425" t="s">
        <v>762</v>
      </c>
      <c r="E84" s="219"/>
      <c r="F84" s="219"/>
      <c r="G84" s="219"/>
      <c r="H84" s="219"/>
      <c r="I84" s="219"/>
      <c r="J84" s="219">
        <v>3400</v>
      </c>
      <c r="K84" s="218"/>
      <c r="L84" s="218"/>
      <c r="M84" s="218"/>
      <c r="N84" s="218"/>
      <c r="O84" s="244"/>
      <c r="P84" s="232">
        <f t="shared" si="7"/>
        <v>0.09</v>
      </c>
    </row>
    <row r="85" spans="1:16" x14ac:dyDescent="0.35">
      <c r="A85" s="240" t="s">
        <v>214</v>
      </c>
      <c r="B85" s="216" t="s">
        <v>214</v>
      </c>
      <c r="C85" s="216" t="s">
        <v>214</v>
      </c>
      <c r="D85" s="216" t="s">
        <v>214</v>
      </c>
      <c r="E85" s="217"/>
      <c r="F85" s="217"/>
      <c r="G85" s="217"/>
      <c r="H85" s="217"/>
      <c r="I85" s="217"/>
      <c r="J85" s="217">
        <v>2100</v>
      </c>
      <c r="K85" s="216"/>
      <c r="L85" s="216"/>
      <c r="M85" s="216"/>
      <c r="N85" s="216"/>
      <c r="O85" s="245"/>
      <c r="P85" s="231">
        <f t="shared" si="7"/>
        <v>0</v>
      </c>
    </row>
    <row r="86" spans="1:16" x14ac:dyDescent="0.35">
      <c r="A86" s="242" t="s">
        <v>221</v>
      </c>
      <c r="B86" s="218" t="s">
        <v>221</v>
      </c>
      <c r="C86" s="218" t="s">
        <v>221</v>
      </c>
      <c r="D86" s="218" t="s">
        <v>221</v>
      </c>
      <c r="E86" s="219"/>
      <c r="F86" s="219"/>
      <c r="G86" s="219"/>
      <c r="H86" s="219"/>
      <c r="I86" s="219"/>
      <c r="J86" s="219">
        <v>1100</v>
      </c>
      <c r="K86" s="218"/>
      <c r="L86" s="218"/>
      <c r="M86" s="218"/>
      <c r="N86" s="218"/>
      <c r="O86" s="244"/>
      <c r="P86" s="232">
        <f t="shared" si="7"/>
        <v>0</v>
      </c>
    </row>
    <row r="87" spans="1:16" x14ac:dyDescent="0.35">
      <c r="A87" s="240" t="s">
        <v>240</v>
      </c>
      <c r="B87" s="216" t="s">
        <v>227</v>
      </c>
      <c r="C87" s="216" t="s">
        <v>227</v>
      </c>
      <c r="D87" s="424" t="s">
        <v>240</v>
      </c>
      <c r="E87" s="217"/>
      <c r="F87" s="217"/>
      <c r="G87" s="217"/>
      <c r="H87" s="217"/>
      <c r="I87" s="217"/>
      <c r="J87" s="217">
        <v>1800</v>
      </c>
      <c r="K87" s="216"/>
      <c r="L87" s="216"/>
      <c r="M87" s="216"/>
      <c r="N87" s="216"/>
      <c r="O87" s="245"/>
      <c r="P87" s="231">
        <f t="shared" si="7"/>
        <v>0</v>
      </c>
    </row>
    <row r="88" spans="1:16" x14ac:dyDescent="0.35">
      <c r="A88" s="242" t="s">
        <v>241</v>
      </c>
      <c r="B88" s="218" t="s">
        <v>216</v>
      </c>
      <c r="C88" s="218" t="s">
        <v>216</v>
      </c>
      <c r="D88" s="425" t="s">
        <v>241</v>
      </c>
      <c r="E88" s="219"/>
      <c r="F88" s="219"/>
      <c r="G88" s="219"/>
      <c r="H88" s="219"/>
      <c r="I88" s="219"/>
      <c r="J88" s="219">
        <v>600</v>
      </c>
      <c r="K88" s="218"/>
      <c r="L88" s="218"/>
      <c r="M88" s="218"/>
      <c r="N88" s="218"/>
      <c r="O88" s="244"/>
      <c r="P88" s="232">
        <f t="shared" si="7"/>
        <v>0.46</v>
      </c>
    </row>
    <row r="89" spans="1:16" x14ac:dyDescent="0.35">
      <c r="A89" s="240" t="s">
        <v>242</v>
      </c>
      <c r="B89" s="216" t="s">
        <v>242</v>
      </c>
      <c r="C89" s="216" t="s">
        <v>216</v>
      </c>
      <c r="D89" s="216" t="s">
        <v>242</v>
      </c>
      <c r="E89" s="217"/>
      <c r="F89" s="217"/>
      <c r="G89" s="217"/>
      <c r="H89" s="217"/>
      <c r="I89" s="217"/>
      <c r="J89" s="217">
        <v>300</v>
      </c>
      <c r="K89" s="216"/>
      <c r="L89" s="216"/>
      <c r="M89" s="216"/>
      <c r="N89" s="216"/>
      <c r="O89" s="245"/>
      <c r="P89" s="231">
        <f t="shared" si="7"/>
        <v>0.5</v>
      </c>
    </row>
    <row r="90" spans="1:16" x14ac:dyDescent="0.35">
      <c r="A90" s="242" t="s">
        <v>231</v>
      </c>
      <c r="B90" s="218" t="s">
        <v>231</v>
      </c>
      <c r="C90" s="218" t="s">
        <v>216</v>
      </c>
      <c r="D90" s="218" t="s">
        <v>231</v>
      </c>
      <c r="E90" s="219"/>
      <c r="F90" s="219"/>
      <c r="G90" s="219"/>
      <c r="H90" s="219"/>
      <c r="I90" s="219"/>
      <c r="J90" s="219">
        <v>300</v>
      </c>
      <c r="K90" s="219"/>
      <c r="L90" s="219"/>
      <c r="M90" s="218"/>
      <c r="N90" s="218"/>
      <c r="O90" s="244"/>
      <c r="P90" s="232">
        <f t="shared" si="7"/>
        <v>0.46</v>
      </c>
    </row>
    <row r="91" spans="1:16" x14ac:dyDescent="0.35">
      <c r="A91" s="240" t="s">
        <v>220</v>
      </c>
      <c r="B91" s="216" t="s">
        <v>220</v>
      </c>
      <c r="C91" s="216" t="s">
        <v>220</v>
      </c>
      <c r="D91" s="216" t="s">
        <v>220</v>
      </c>
      <c r="E91" s="217"/>
      <c r="F91" s="217"/>
      <c r="G91" s="217"/>
      <c r="H91" s="217"/>
      <c r="I91" s="217"/>
      <c r="J91" s="217">
        <v>200</v>
      </c>
      <c r="K91" s="217"/>
      <c r="L91" s="217"/>
      <c r="M91" s="216"/>
      <c r="N91" s="216"/>
      <c r="O91" s="245"/>
      <c r="P91" s="231">
        <f t="shared" si="7"/>
        <v>0.46</v>
      </c>
    </row>
    <row r="92" spans="1:16" x14ac:dyDescent="0.35">
      <c r="A92" s="242" t="s">
        <v>229</v>
      </c>
      <c r="B92" s="218" t="s">
        <v>229</v>
      </c>
      <c r="C92" s="218" t="s">
        <v>229</v>
      </c>
      <c r="D92" s="425" t="s">
        <v>229</v>
      </c>
      <c r="E92" s="219"/>
      <c r="F92" s="219"/>
      <c r="G92" s="219"/>
      <c r="H92" s="219"/>
      <c r="I92" s="219"/>
      <c r="J92" s="219"/>
      <c r="K92" s="219">
        <v>7000</v>
      </c>
      <c r="L92" s="219"/>
      <c r="M92" s="218"/>
      <c r="N92" s="218"/>
      <c r="O92" s="244"/>
      <c r="P92" s="232">
        <f t="shared" si="7"/>
        <v>0.33</v>
      </c>
    </row>
    <row r="93" spans="1:16" x14ac:dyDescent="0.35">
      <c r="A93" s="240" t="s">
        <v>243</v>
      </c>
      <c r="B93" s="216" t="s">
        <v>218</v>
      </c>
      <c r="C93" s="216" t="s">
        <v>218</v>
      </c>
      <c r="D93" s="428" t="s">
        <v>764</v>
      </c>
      <c r="E93" s="217"/>
      <c r="F93" s="217"/>
      <c r="G93" s="217"/>
      <c r="H93" s="217"/>
      <c r="I93" s="217"/>
      <c r="J93" s="217"/>
      <c r="K93" s="217">
        <v>4800</v>
      </c>
      <c r="L93" s="217"/>
      <c r="M93" s="216"/>
      <c r="N93" s="216"/>
      <c r="O93" s="245"/>
      <c r="P93" s="231">
        <f t="shared" si="7"/>
        <v>0.02</v>
      </c>
    </row>
    <row r="94" spans="1:16" x14ac:dyDescent="0.35">
      <c r="A94" s="242" t="s">
        <v>244</v>
      </c>
      <c r="B94" s="218" t="s">
        <v>216</v>
      </c>
      <c r="C94" s="218" t="s">
        <v>216</v>
      </c>
      <c r="D94" s="429" t="s">
        <v>765</v>
      </c>
      <c r="E94" s="219"/>
      <c r="F94" s="219"/>
      <c r="G94" s="219"/>
      <c r="H94" s="219"/>
      <c r="I94" s="219"/>
      <c r="J94" s="219"/>
      <c r="K94" s="219">
        <v>3000</v>
      </c>
      <c r="L94" s="219"/>
      <c r="M94" s="218"/>
      <c r="N94" s="218"/>
      <c r="O94" s="244"/>
      <c r="P94" s="232">
        <f t="shared" ref="P94:P125" si="8">VLOOKUP(A94,$A$133:$B$175,2,FALSE)</f>
        <v>0.32</v>
      </c>
    </row>
    <row r="95" spans="1:16" x14ac:dyDescent="0.35">
      <c r="A95" s="240" t="s">
        <v>221</v>
      </c>
      <c r="B95" s="216" t="s">
        <v>221</v>
      </c>
      <c r="C95" s="216" t="s">
        <v>221</v>
      </c>
      <c r="D95" s="216" t="s">
        <v>221</v>
      </c>
      <c r="E95" s="217"/>
      <c r="F95" s="217"/>
      <c r="G95" s="217"/>
      <c r="H95" s="217"/>
      <c r="I95" s="217"/>
      <c r="J95" s="217"/>
      <c r="K95" s="217">
        <v>1420</v>
      </c>
      <c r="L95" s="217"/>
      <c r="M95" s="216"/>
      <c r="N95" s="216"/>
      <c r="O95" s="245"/>
      <c r="P95" s="231">
        <f t="shared" si="8"/>
        <v>0</v>
      </c>
    </row>
    <row r="96" spans="1:16" x14ac:dyDescent="0.35">
      <c r="A96" s="242" t="s">
        <v>214</v>
      </c>
      <c r="B96" s="218" t="s">
        <v>214</v>
      </c>
      <c r="C96" s="218" t="s">
        <v>214</v>
      </c>
      <c r="D96" s="218" t="s">
        <v>214</v>
      </c>
      <c r="E96" s="219"/>
      <c r="F96" s="219"/>
      <c r="G96" s="219"/>
      <c r="H96" s="219"/>
      <c r="I96" s="219"/>
      <c r="J96" s="219"/>
      <c r="K96" s="219">
        <v>1200</v>
      </c>
      <c r="L96" s="219"/>
      <c r="M96" s="218"/>
      <c r="N96" s="218"/>
      <c r="O96" s="244"/>
      <c r="P96" s="232">
        <f t="shared" si="8"/>
        <v>0</v>
      </c>
    </row>
    <row r="97" spans="1:16" x14ac:dyDescent="0.35">
      <c r="A97" s="240" t="s">
        <v>245</v>
      </c>
      <c r="B97" s="216" t="s">
        <v>222</v>
      </c>
      <c r="C97" s="216" t="s">
        <v>222</v>
      </c>
      <c r="D97" s="428" t="s">
        <v>766</v>
      </c>
      <c r="E97" s="217"/>
      <c r="F97" s="217"/>
      <c r="G97" s="217"/>
      <c r="H97" s="217"/>
      <c r="I97" s="217"/>
      <c r="J97" s="217"/>
      <c r="K97" s="217">
        <v>180</v>
      </c>
      <c r="L97" s="217"/>
      <c r="M97" s="216"/>
      <c r="N97" s="216"/>
      <c r="O97" s="245"/>
      <c r="P97" s="231">
        <f t="shared" si="8"/>
        <v>2.3E-2</v>
      </c>
    </row>
    <row r="98" spans="1:16" x14ac:dyDescent="0.35">
      <c r="A98" s="242" t="s">
        <v>242</v>
      </c>
      <c r="B98" s="218" t="s">
        <v>242</v>
      </c>
      <c r="C98" s="218" t="s">
        <v>216</v>
      </c>
      <c r="D98" s="218" t="s">
        <v>242</v>
      </c>
      <c r="E98" s="219"/>
      <c r="F98" s="219"/>
      <c r="G98" s="219"/>
      <c r="H98" s="219"/>
      <c r="I98" s="219"/>
      <c r="J98" s="219"/>
      <c r="K98" s="219">
        <v>80</v>
      </c>
      <c r="L98" s="219"/>
      <c r="M98" s="218"/>
      <c r="N98" s="218"/>
      <c r="O98" s="244"/>
      <c r="P98" s="232">
        <f t="shared" si="8"/>
        <v>0.5</v>
      </c>
    </row>
    <row r="99" spans="1:16" x14ac:dyDescent="0.35">
      <c r="A99" s="240" t="s">
        <v>240</v>
      </c>
      <c r="B99" s="216" t="s">
        <v>227</v>
      </c>
      <c r="C99" s="216" t="s">
        <v>227</v>
      </c>
      <c r="D99" s="424" t="s">
        <v>240</v>
      </c>
      <c r="E99" s="217"/>
      <c r="F99" s="217"/>
      <c r="G99" s="217"/>
      <c r="H99" s="217"/>
      <c r="I99" s="217"/>
      <c r="J99" s="217"/>
      <c r="K99" s="217">
        <v>20</v>
      </c>
      <c r="L99" s="217"/>
      <c r="M99" s="216"/>
      <c r="N99" s="216"/>
      <c r="O99" s="245"/>
      <c r="P99" s="231">
        <f t="shared" si="8"/>
        <v>0</v>
      </c>
    </row>
    <row r="100" spans="1:16" x14ac:dyDescent="0.35">
      <c r="A100" s="242" t="s">
        <v>231</v>
      </c>
      <c r="B100" s="218" t="s">
        <v>231</v>
      </c>
      <c r="C100" s="218" t="s">
        <v>216</v>
      </c>
      <c r="D100" s="218" t="s">
        <v>231</v>
      </c>
      <c r="E100" s="219"/>
      <c r="F100" s="219"/>
      <c r="G100" s="219"/>
      <c r="H100" s="219"/>
      <c r="I100" s="219"/>
      <c r="J100" s="219"/>
      <c r="K100" s="219"/>
      <c r="L100" s="219"/>
      <c r="M100" s="218"/>
      <c r="N100" s="218"/>
      <c r="O100" s="244"/>
      <c r="P100" s="232">
        <f t="shared" si="8"/>
        <v>0.46</v>
      </c>
    </row>
    <row r="101" spans="1:16" x14ac:dyDescent="0.35">
      <c r="A101" s="240" t="s">
        <v>246</v>
      </c>
      <c r="B101" s="216" t="s">
        <v>218</v>
      </c>
      <c r="C101" s="216" t="s">
        <v>218</v>
      </c>
      <c r="D101" s="428" t="s">
        <v>767</v>
      </c>
      <c r="E101" s="217"/>
      <c r="F101" s="217"/>
      <c r="G101" s="217"/>
      <c r="H101" s="217"/>
      <c r="I101" s="217"/>
      <c r="J101" s="217"/>
      <c r="K101" s="217"/>
      <c r="L101" s="217">
        <v>800</v>
      </c>
      <c r="M101" s="216"/>
      <c r="N101" s="216"/>
      <c r="O101" s="245"/>
      <c r="P101" s="231">
        <f t="shared" si="8"/>
        <v>7.0000000000000007E-2</v>
      </c>
    </row>
    <row r="102" spans="1:16" x14ac:dyDescent="0.35">
      <c r="A102" s="242" t="s">
        <v>247</v>
      </c>
      <c r="B102" s="218" t="s">
        <v>222</v>
      </c>
      <c r="C102" s="218" t="s">
        <v>222</v>
      </c>
      <c r="D102" s="429" t="s">
        <v>768</v>
      </c>
      <c r="E102" s="219"/>
      <c r="F102" s="219"/>
      <c r="G102" s="219"/>
      <c r="H102" s="219"/>
      <c r="I102" s="219"/>
      <c r="J102" s="219"/>
      <c r="K102" s="219"/>
      <c r="L102" s="219">
        <v>390</v>
      </c>
      <c r="M102" s="218"/>
      <c r="N102" s="218"/>
      <c r="O102" s="244"/>
      <c r="P102" s="232">
        <f t="shared" si="8"/>
        <v>0.1</v>
      </c>
    </row>
    <row r="103" spans="1:16" x14ac:dyDescent="0.35">
      <c r="A103" s="240" t="s">
        <v>248</v>
      </c>
      <c r="B103" s="216" t="s">
        <v>222</v>
      </c>
      <c r="C103" s="216" t="s">
        <v>222</v>
      </c>
      <c r="D103" s="424" t="s">
        <v>759</v>
      </c>
      <c r="E103" s="217"/>
      <c r="F103" s="217"/>
      <c r="G103" s="217"/>
      <c r="H103" s="217"/>
      <c r="I103" s="217"/>
      <c r="J103" s="217"/>
      <c r="K103" s="217"/>
      <c r="L103" s="217">
        <v>70</v>
      </c>
      <c r="M103" s="216"/>
      <c r="N103" s="216"/>
      <c r="O103" s="245"/>
      <c r="P103" s="231">
        <f t="shared" si="8"/>
        <v>0.13</v>
      </c>
    </row>
    <row r="104" spans="1:16" x14ac:dyDescent="0.35">
      <c r="A104" s="242" t="s">
        <v>249</v>
      </c>
      <c r="B104" s="218" t="s">
        <v>230</v>
      </c>
      <c r="C104" s="218" t="s">
        <v>230</v>
      </c>
      <c r="D104" s="429" t="s">
        <v>760</v>
      </c>
      <c r="E104" s="219"/>
      <c r="F104" s="219"/>
      <c r="G104" s="219"/>
      <c r="H104" s="219"/>
      <c r="I104" s="219"/>
      <c r="J104" s="219"/>
      <c r="K104" s="219"/>
      <c r="L104" s="219">
        <v>20</v>
      </c>
      <c r="M104" s="218"/>
      <c r="N104" s="218"/>
      <c r="O104" s="244"/>
      <c r="P104" s="232">
        <f t="shared" si="8"/>
        <v>0.1</v>
      </c>
    </row>
    <row r="105" spans="1:16" x14ac:dyDescent="0.35">
      <c r="A105" s="240" t="s">
        <v>250</v>
      </c>
      <c r="B105" s="216" t="s">
        <v>218</v>
      </c>
      <c r="C105" s="216" t="s">
        <v>218</v>
      </c>
      <c r="D105" s="428" t="s">
        <v>450</v>
      </c>
      <c r="E105" s="217"/>
      <c r="F105" s="217"/>
      <c r="G105" s="217"/>
      <c r="H105" s="217"/>
      <c r="I105" s="217"/>
      <c r="J105" s="217"/>
      <c r="K105" s="217"/>
      <c r="L105" s="217">
        <v>20</v>
      </c>
      <c r="M105" s="216"/>
      <c r="N105" s="216"/>
      <c r="O105" s="245"/>
      <c r="P105" s="231">
        <f t="shared" si="8"/>
        <v>8.8999999999999996E-2</v>
      </c>
    </row>
    <row r="106" spans="1:16" x14ac:dyDescent="0.35">
      <c r="A106" s="242" t="s">
        <v>214</v>
      </c>
      <c r="B106" s="218" t="s">
        <v>214</v>
      </c>
      <c r="C106" s="218" t="s">
        <v>214</v>
      </c>
      <c r="D106" s="218" t="s">
        <v>214</v>
      </c>
      <c r="E106" s="219"/>
      <c r="F106" s="219"/>
      <c r="G106" s="219"/>
      <c r="H106" s="219"/>
      <c r="I106" s="219"/>
      <c r="J106" s="219"/>
      <c r="K106" s="219"/>
      <c r="L106" s="219"/>
      <c r="M106" s="219"/>
      <c r="N106" s="219"/>
      <c r="O106" s="244"/>
      <c r="P106" s="232">
        <f t="shared" si="8"/>
        <v>0</v>
      </c>
    </row>
    <row r="107" spans="1:16" x14ac:dyDescent="0.35">
      <c r="A107" s="240" t="s">
        <v>251</v>
      </c>
      <c r="B107" s="216" t="s">
        <v>218</v>
      </c>
      <c r="C107" s="216" t="s">
        <v>218</v>
      </c>
      <c r="D107" s="428" t="s">
        <v>769</v>
      </c>
      <c r="E107" s="217"/>
      <c r="F107" s="217"/>
      <c r="G107" s="217"/>
      <c r="H107" s="217"/>
      <c r="I107" s="217"/>
      <c r="J107" s="217"/>
      <c r="K107" s="217"/>
      <c r="L107" s="217">
        <v>20</v>
      </c>
      <c r="M107" s="217"/>
      <c r="N107" s="217"/>
      <c r="O107" s="245"/>
      <c r="P107" s="231">
        <f t="shared" si="8"/>
        <v>0.1</v>
      </c>
    </row>
    <row r="108" spans="1:16" x14ac:dyDescent="0.35">
      <c r="A108" s="242" t="s">
        <v>252</v>
      </c>
      <c r="B108" s="218" t="s">
        <v>218</v>
      </c>
      <c r="C108" s="218" t="s">
        <v>218</v>
      </c>
      <c r="D108" s="429" t="s">
        <v>431</v>
      </c>
      <c r="E108" s="219"/>
      <c r="F108" s="219"/>
      <c r="G108" s="219"/>
      <c r="H108" s="219"/>
      <c r="I108" s="219"/>
      <c r="J108" s="219"/>
      <c r="K108" s="219"/>
      <c r="L108" s="219">
        <v>20</v>
      </c>
      <c r="M108" s="219"/>
      <c r="N108" s="219"/>
      <c r="O108" s="244"/>
      <c r="P108" s="232">
        <f t="shared" si="8"/>
        <v>0.1</v>
      </c>
    </row>
    <row r="109" spans="1:16" x14ac:dyDescent="0.35">
      <c r="A109" s="240" t="s">
        <v>253</v>
      </c>
      <c r="B109" s="216" t="s">
        <v>222</v>
      </c>
      <c r="C109" s="216" t="s">
        <v>222</v>
      </c>
      <c r="D109" s="428" t="s">
        <v>770</v>
      </c>
      <c r="E109" s="217"/>
      <c r="F109" s="217"/>
      <c r="G109" s="217"/>
      <c r="H109" s="217"/>
      <c r="I109" s="217"/>
      <c r="J109" s="217"/>
      <c r="K109" s="217"/>
      <c r="L109" s="217"/>
      <c r="M109" s="217"/>
      <c r="N109" s="217"/>
      <c r="O109" s="245"/>
      <c r="P109" s="231">
        <f t="shared" si="8"/>
        <v>0.12</v>
      </c>
    </row>
    <row r="110" spans="1:16" x14ac:dyDescent="0.35">
      <c r="A110" s="242" t="s">
        <v>254</v>
      </c>
      <c r="B110" s="218" t="s">
        <v>222</v>
      </c>
      <c r="C110" s="218" t="s">
        <v>222</v>
      </c>
      <c r="D110" s="429" t="s">
        <v>443</v>
      </c>
      <c r="E110" s="219"/>
      <c r="F110" s="219"/>
      <c r="G110" s="219"/>
      <c r="H110" s="219"/>
      <c r="I110" s="219"/>
      <c r="J110" s="219"/>
      <c r="K110" s="219"/>
      <c r="L110" s="219"/>
      <c r="M110" s="219"/>
      <c r="N110" s="219"/>
      <c r="O110" s="244"/>
      <c r="P110" s="232">
        <f t="shared" si="8"/>
        <v>0.11</v>
      </c>
    </row>
    <row r="111" spans="1:16" x14ac:dyDescent="0.35">
      <c r="A111" s="240" t="s">
        <v>220</v>
      </c>
      <c r="B111" s="216" t="s">
        <v>220</v>
      </c>
      <c r="C111" s="216" t="s">
        <v>220</v>
      </c>
      <c r="D111" s="216" t="s">
        <v>220</v>
      </c>
      <c r="E111" s="217"/>
      <c r="F111" s="217"/>
      <c r="G111" s="217"/>
      <c r="H111" s="217"/>
      <c r="I111" s="217"/>
      <c r="J111" s="217"/>
      <c r="K111" s="217"/>
      <c r="L111" s="217"/>
      <c r="M111" s="217"/>
      <c r="N111" s="217"/>
      <c r="O111" s="245"/>
      <c r="P111" s="231">
        <f t="shared" si="8"/>
        <v>0.46</v>
      </c>
    </row>
    <row r="112" spans="1:16" x14ac:dyDescent="0.35">
      <c r="A112" s="242" t="s">
        <v>255</v>
      </c>
      <c r="B112" s="218" t="s">
        <v>213</v>
      </c>
      <c r="C112" s="218" t="s">
        <v>213</v>
      </c>
      <c r="D112" s="425" t="s">
        <v>407</v>
      </c>
      <c r="E112" s="219"/>
      <c r="F112" s="219"/>
      <c r="G112" s="219"/>
      <c r="H112" s="219"/>
      <c r="I112" s="219"/>
      <c r="J112" s="219"/>
      <c r="K112" s="219"/>
      <c r="L112" s="219"/>
      <c r="M112" s="219">
        <v>1300</v>
      </c>
      <c r="N112" s="219"/>
      <c r="O112" s="244"/>
      <c r="P112" s="232">
        <f t="shared" si="8"/>
        <v>0.15</v>
      </c>
    </row>
    <row r="113" spans="1:16" x14ac:dyDescent="0.35">
      <c r="A113" s="240" t="s">
        <v>214</v>
      </c>
      <c r="B113" s="216" t="s">
        <v>214</v>
      </c>
      <c r="C113" s="216" t="s">
        <v>214</v>
      </c>
      <c r="D113" s="216" t="s">
        <v>214</v>
      </c>
      <c r="E113" s="217"/>
      <c r="F113" s="217"/>
      <c r="G113" s="217"/>
      <c r="H113" s="217"/>
      <c r="I113" s="217"/>
      <c r="J113" s="217"/>
      <c r="K113" s="217"/>
      <c r="L113" s="217"/>
      <c r="M113" s="217">
        <v>350</v>
      </c>
      <c r="N113" s="217"/>
      <c r="O113" s="245"/>
      <c r="P113" s="231">
        <f t="shared" si="8"/>
        <v>0</v>
      </c>
    </row>
    <row r="114" spans="1:16" x14ac:dyDescent="0.35">
      <c r="A114" s="242" t="s">
        <v>256</v>
      </c>
      <c r="B114" s="218" t="s">
        <v>216</v>
      </c>
      <c r="C114" s="218" t="s">
        <v>216</v>
      </c>
      <c r="D114" s="425" t="s">
        <v>757</v>
      </c>
      <c r="E114" s="219"/>
      <c r="F114" s="219"/>
      <c r="G114" s="219"/>
      <c r="H114" s="219"/>
      <c r="I114" s="219"/>
      <c r="J114" s="219"/>
      <c r="K114" s="219"/>
      <c r="L114" s="219"/>
      <c r="M114" s="219">
        <v>200</v>
      </c>
      <c r="N114" s="219"/>
      <c r="O114" s="244"/>
      <c r="P114" s="232">
        <f t="shared" si="8"/>
        <v>0.22</v>
      </c>
    </row>
    <row r="115" spans="1:16" x14ac:dyDescent="0.35">
      <c r="A115" s="240" t="s">
        <v>214</v>
      </c>
      <c r="B115" s="216" t="s">
        <v>214</v>
      </c>
      <c r="C115" s="216" t="s">
        <v>214</v>
      </c>
      <c r="D115" s="216" t="s">
        <v>214</v>
      </c>
      <c r="E115" s="217"/>
      <c r="F115" s="217"/>
      <c r="G115" s="217"/>
      <c r="H115" s="217"/>
      <c r="I115" s="217"/>
      <c r="J115" s="217"/>
      <c r="K115" s="217"/>
      <c r="L115" s="217"/>
      <c r="M115" s="217"/>
      <c r="N115" s="217">
        <v>500</v>
      </c>
      <c r="O115" s="245"/>
      <c r="P115" s="231">
        <f t="shared" si="8"/>
        <v>0</v>
      </c>
    </row>
    <row r="116" spans="1:16" x14ac:dyDescent="0.35">
      <c r="A116" s="242" t="s">
        <v>257</v>
      </c>
      <c r="B116" s="218" t="s">
        <v>218</v>
      </c>
      <c r="C116" s="218" t="s">
        <v>218</v>
      </c>
      <c r="D116" s="430" t="s">
        <v>771</v>
      </c>
      <c r="E116" s="219"/>
      <c r="F116" s="219"/>
      <c r="G116" s="219"/>
      <c r="H116" s="219"/>
      <c r="I116" s="219"/>
      <c r="J116" s="219"/>
      <c r="K116" s="219"/>
      <c r="L116" s="219"/>
      <c r="M116" s="219"/>
      <c r="N116" s="219">
        <v>400</v>
      </c>
      <c r="O116" s="244"/>
      <c r="P116" s="232">
        <f t="shared" si="8"/>
        <v>0.04</v>
      </c>
    </row>
    <row r="117" spans="1:16" x14ac:dyDescent="0.35">
      <c r="A117" s="240" t="s">
        <v>258</v>
      </c>
      <c r="B117" s="216" t="s">
        <v>222</v>
      </c>
      <c r="C117" s="216" t="s">
        <v>222</v>
      </c>
      <c r="D117" s="424" t="s">
        <v>258</v>
      </c>
      <c r="E117" s="217"/>
      <c r="F117" s="217"/>
      <c r="G117" s="217"/>
      <c r="H117" s="217"/>
      <c r="I117" s="217"/>
      <c r="J117" s="217"/>
      <c r="K117" s="217"/>
      <c r="L117" s="217"/>
      <c r="M117" s="217"/>
      <c r="N117" s="217">
        <v>320</v>
      </c>
      <c r="O117" s="245"/>
      <c r="P117" s="231">
        <f t="shared" si="8"/>
        <v>0</v>
      </c>
    </row>
    <row r="118" spans="1:16" x14ac:dyDescent="0.35">
      <c r="A118" s="242" t="s">
        <v>221</v>
      </c>
      <c r="B118" s="218" t="s">
        <v>221</v>
      </c>
      <c r="C118" s="218" t="s">
        <v>221</v>
      </c>
      <c r="D118" s="218" t="s">
        <v>221</v>
      </c>
      <c r="E118" s="219"/>
      <c r="F118" s="219"/>
      <c r="G118" s="219"/>
      <c r="H118" s="219"/>
      <c r="I118" s="219"/>
      <c r="J118" s="219"/>
      <c r="K118" s="219"/>
      <c r="L118" s="219"/>
      <c r="M118" s="219"/>
      <c r="N118" s="219">
        <v>140</v>
      </c>
      <c r="O118" s="244"/>
      <c r="P118" s="232">
        <f t="shared" si="8"/>
        <v>0</v>
      </c>
    </row>
    <row r="119" spans="1:16" x14ac:dyDescent="0.35">
      <c r="A119" s="240" t="s">
        <v>259</v>
      </c>
      <c r="B119" s="216" t="s">
        <v>222</v>
      </c>
      <c r="C119" s="216" t="s">
        <v>222</v>
      </c>
      <c r="D119" s="428" t="s">
        <v>772</v>
      </c>
      <c r="E119" s="217"/>
      <c r="F119" s="217"/>
      <c r="G119" s="217"/>
      <c r="H119" s="217"/>
      <c r="I119" s="217"/>
      <c r="J119" s="217"/>
      <c r="K119" s="217"/>
      <c r="L119" s="217"/>
      <c r="M119" s="217"/>
      <c r="N119" s="217">
        <v>91</v>
      </c>
      <c r="O119" s="245"/>
      <c r="P119" s="231">
        <f t="shared" si="8"/>
        <v>0.05</v>
      </c>
    </row>
    <row r="120" spans="1:16" x14ac:dyDescent="0.35">
      <c r="A120" s="242" t="s">
        <v>260</v>
      </c>
      <c r="B120" s="218" t="s">
        <v>227</v>
      </c>
      <c r="C120" s="218" t="s">
        <v>227</v>
      </c>
      <c r="D120" s="425" t="s">
        <v>260</v>
      </c>
      <c r="E120" s="219"/>
      <c r="F120" s="219"/>
      <c r="G120" s="219"/>
      <c r="H120" s="219"/>
      <c r="I120" s="219"/>
      <c r="J120" s="219"/>
      <c r="K120" s="219"/>
      <c r="L120" s="219"/>
      <c r="M120" s="219"/>
      <c r="N120" s="219">
        <v>70</v>
      </c>
      <c r="O120" s="244"/>
      <c r="P120" s="232">
        <f t="shared" si="8"/>
        <v>0</v>
      </c>
    </row>
    <row r="121" spans="1:16" x14ac:dyDescent="0.35">
      <c r="A121" s="240" t="s">
        <v>242</v>
      </c>
      <c r="B121" s="216" t="s">
        <v>242</v>
      </c>
      <c r="C121" s="216" t="s">
        <v>216</v>
      </c>
      <c r="D121" s="216" t="s">
        <v>242</v>
      </c>
      <c r="E121" s="217"/>
      <c r="F121" s="217"/>
      <c r="G121" s="217"/>
      <c r="H121" s="217"/>
      <c r="I121" s="217"/>
      <c r="J121" s="217"/>
      <c r="K121" s="217"/>
      <c r="L121" s="217"/>
      <c r="M121" s="217"/>
      <c r="N121" s="217">
        <v>34</v>
      </c>
      <c r="O121" s="245"/>
      <c r="P121" s="231">
        <f t="shared" si="8"/>
        <v>0.5</v>
      </c>
    </row>
    <row r="122" spans="1:16" x14ac:dyDescent="0.35">
      <c r="A122" s="242" t="s">
        <v>261</v>
      </c>
      <c r="B122" s="218" t="s">
        <v>227</v>
      </c>
      <c r="C122" s="218" t="s">
        <v>227</v>
      </c>
      <c r="D122" s="425" t="s">
        <v>261</v>
      </c>
      <c r="E122" s="219"/>
      <c r="F122" s="219"/>
      <c r="G122" s="219"/>
      <c r="H122" s="219"/>
      <c r="I122" s="219"/>
      <c r="J122" s="219"/>
      <c r="K122" s="219"/>
      <c r="L122" s="219"/>
      <c r="M122" s="219"/>
      <c r="N122" s="219">
        <v>15</v>
      </c>
      <c r="O122" s="243"/>
      <c r="P122" s="232">
        <f t="shared" si="8"/>
        <v>0</v>
      </c>
    </row>
    <row r="123" spans="1:16" x14ac:dyDescent="0.35">
      <c r="A123" s="240" t="s">
        <v>262</v>
      </c>
      <c r="B123" s="216" t="s">
        <v>216</v>
      </c>
      <c r="C123" s="216" t="s">
        <v>216</v>
      </c>
      <c r="D123" s="424" t="s">
        <v>758</v>
      </c>
      <c r="E123" s="217"/>
      <c r="F123" s="217"/>
      <c r="G123" s="217"/>
      <c r="H123" s="217"/>
      <c r="I123" s="217"/>
      <c r="J123" s="217"/>
      <c r="K123" s="217"/>
      <c r="L123" s="217"/>
      <c r="M123" s="217"/>
      <c r="N123" s="217"/>
      <c r="O123" s="241">
        <v>500</v>
      </c>
      <c r="P123" s="231">
        <f t="shared" si="8"/>
        <v>0.18</v>
      </c>
    </row>
    <row r="124" spans="1:16" x14ac:dyDescent="0.35">
      <c r="A124" s="242" t="s">
        <v>214</v>
      </c>
      <c r="B124" s="218" t="s">
        <v>214</v>
      </c>
      <c r="C124" s="218" t="s">
        <v>214</v>
      </c>
      <c r="D124" s="218" t="s">
        <v>214</v>
      </c>
      <c r="E124" s="219"/>
      <c r="F124" s="219"/>
      <c r="G124" s="219"/>
      <c r="H124" s="219"/>
      <c r="I124" s="219"/>
      <c r="J124" s="219"/>
      <c r="K124" s="219"/>
      <c r="L124" s="219"/>
      <c r="M124" s="219"/>
      <c r="N124" s="219"/>
      <c r="O124" s="243">
        <v>200</v>
      </c>
      <c r="P124" s="232">
        <f t="shared" si="8"/>
        <v>0</v>
      </c>
    </row>
    <row r="125" spans="1:16" ht="15" thickBot="1" x14ac:dyDescent="0.4">
      <c r="A125" s="246" t="s">
        <v>221</v>
      </c>
      <c r="B125" s="220" t="s">
        <v>221</v>
      </c>
      <c r="C125" s="220" t="s">
        <v>221</v>
      </c>
      <c r="D125" s="220" t="s">
        <v>221</v>
      </c>
      <c r="E125" s="221"/>
      <c r="F125" s="221"/>
      <c r="G125" s="221"/>
      <c r="H125" s="221"/>
      <c r="I125" s="221"/>
      <c r="J125" s="221"/>
      <c r="K125" s="221"/>
      <c r="L125" s="221"/>
      <c r="M125" s="221"/>
      <c r="N125" s="221"/>
      <c r="O125" s="247">
        <v>40</v>
      </c>
      <c r="P125" s="233">
        <f t="shared" si="8"/>
        <v>0</v>
      </c>
    </row>
    <row r="126" spans="1:16" ht="15" thickBot="1" x14ac:dyDescent="0.4">
      <c r="A126" s="248" t="s">
        <v>238</v>
      </c>
      <c r="B126" s="213"/>
      <c r="C126" s="213"/>
      <c r="D126" s="426" t="s">
        <v>238</v>
      </c>
      <c r="E126" s="213">
        <f>SUM(E62:E125)</f>
        <v>81900</v>
      </c>
      <c r="F126" s="213">
        <f t="shared" ref="F126:O126" si="9">SUM(F62:F125)</f>
        <v>91400</v>
      </c>
      <c r="G126" s="213">
        <f t="shared" si="9"/>
        <v>37100</v>
      </c>
      <c r="H126" s="213">
        <f t="shared" si="9"/>
        <v>24000</v>
      </c>
      <c r="I126" s="213">
        <f t="shared" si="9"/>
        <v>12000</v>
      </c>
      <c r="J126" s="213">
        <f t="shared" si="9"/>
        <v>18900</v>
      </c>
      <c r="K126" s="213">
        <f t="shared" si="9"/>
        <v>17700</v>
      </c>
      <c r="L126" s="213">
        <f t="shared" si="9"/>
        <v>2960</v>
      </c>
      <c r="M126" s="213">
        <f t="shared" si="9"/>
        <v>1850</v>
      </c>
      <c r="N126" s="213">
        <f t="shared" si="9"/>
        <v>1570</v>
      </c>
      <c r="O126" s="249">
        <f t="shared" si="9"/>
        <v>740</v>
      </c>
      <c r="P126" s="213">
        <f>SUM(E126:O126)</f>
        <v>290120</v>
      </c>
    </row>
    <row r="127" spans="1:16" ht="15.5" thickTop="1" thickBot="1" x14ac:dyDescent="0.4">
      <c r="A127" s="250" t="s">
        <v>239</v>
      </c>
      <c r="B127" s="251"/>
      <c r="C127" s="251"/>
      <c r="D127" s="427" t="s">
        <v>239</v>
      </c>
      <c r="E127" s="251">
        <f>SUMPRODUCT(E62:E125,$P$62:$P$125)</f>
        <v>9825</v>
      </c>
      <c r="F127" s="251">
        <f t="shared" ref="F127:O127" si="10">SUMPRODUCT(F62:F125,$P$62:$P$125)</f>
        <v>20542</v>
      </c>
      <c r="G127" s="251">
        <f t="shared" si="10"/>
        <v>2869</v>
      </c>
      <c r="H127" s="251">
        <f t="shared" si="10"/>
        <v>2889</v>
      </c>
      <c r="I127" s="251">
        <f t="shared" si="10"/>
        <v>1557</v>
      </c>
      <c r="J127" s="251">
        <f t="shared" si="10"/>
        <v>1756</v>
      </c>
      <c r="K127" s="251">
        <f t="shared" si="10"/>
        <v>3410.14</v>
      </c>
      <c r="L127" s="251">
        <f t="shared" si="10"/>
        <v>847.88</v>
      </c>
      <c r="M127" s="251">
        <f t="shared" si="10"/>
        <v>239</v>
      </c>
      <c r="N127" s="251">
        <f t="shared" si="10"/>
        <v>37.549999999999997</v>
      </c>
      <c r="O127" s="252">
        <f t="shared" si="10"/>
        <v>90</v>
      </c>
      <c r="P127" s="197">
        <f>SUM(E127:O127)</f>
        <v>44062.57</v>
      </c>
    </row>
    <row r="128" spans="1:16" x14ac:dyDescent="0.35">
      <c r="A128" s="256"/>
      <c r="D128" s="256"/>
      <c r="E128" s="256"/>
      <c r="F128" s="256"/>
      <c r="G128" s="256"/>
      <c r="H128" s="256"/>
      <c r="I128" s="256"/>
      <c r="J128" s="256"/>
      <c r="K128" s="256"/>
      <c r="L128" s="256"/>
      <c r="M128" s="256"/>
      <c r="N128" s="256"/>
    </row>
    <row r="129" spans="1:14" x14ac:dyDescent="0.35">
      <c r="A129" s="256"/>
      <c r="D129" s="256"/>
      <c r="E129" s="256"/>
      <c r="F129" s="256"/>
      <c r="G129" s="256"/>
      <c r="H129" s="256"/>
      <c r="I129" s="256"/>
      <c r="J129" s="256"/>
      <c r="K129" s="256"/>
      <c r="L129" s="256"/>
      <c r="M129" s="256"/>
      <c r="N129" s="256"/>
    </row>
    <row r="130" spans="1:14" x14ac:dyDescent="0.35">
      <c r="A130" s="256"/>
      <c r="D130" s="256"/>
      <c r="E130" s="256"/>
      <c r="F130" s="256"/>
      <c r="G130" s="256"/>
      <c r="H130" s="256"/>
      <c r="I130" s="256"/>
      <c r="J130" s="256"/>
      <c r="K130" s="256"/>
      <c r="L130" s="256"/>
      <c r="M130" s="256"/>
      <c r="N130" s="256"/>
    </row>
    <row r="131" spans="1:14" x14ac:dyDescent="0.35">
      <c r="A131" s="256"/>
      <c r="D131" s="256"/>
      <c r="E131" s="256"/>
      <c r="F131" s="256"/>
      <c r="G131" s="256"/>
      <c r="H131" s="256"/>
      <c r="I131" s="256"/>
      <c r="J131" s="256"/>
      <c r="K131" s="256"/>
      <c r="L131" s="256"/>
      <c r="M131" s="256"/>
      <c r="N131" s="256"/>
    </row>
    <row r="132" spans="1:14" x14ac:dyDescent="0.35">
      <c r="A132" s="256"/>
      <c r="D132" s="256"/>
      <c r="E132" s="256"/>
      <c r="F132" s="256"/>
      <c r="G132" s="256"/>
      <c r="H132" s="256"/>
      <c r="I132" s="256"/>
      <c r="J132" s="256"/>
      <c r="K132" s="256"/>
      <c r="L132" s="256"/>
      <c r="M132" s="256"/>
      <c r="N132" s="256"/>
    </row>
    <row r="133" spans="1:14" x14ac:dyDescent="0.35">
      <c r="A133" s="260" t="s">
        <v>201</v>
      </c>
      <c r="B133" s="261" t="s">
        <v>263</v>
      </c>
      <c r="D133" s="256"/>
      <c r="E133" s="256"/>
      <c r="F133" s="256"/>
      <c r="G133" s="256"/>
      <c r="H133" s="256"/>
      <c r="I133" s="256"/>
      <c r="J133" s="256"/>
      <c r="K133" s="256"/>
      <c r="L133" s="256"/>
      <c r="M133" s="256"/>
      <c r="N133" s="256"/>
    </row>
    <row r="134" spans="1:14" x14ac:dyDescent="0.35">
      <c r="A134" s="257" t="s">
        <v>212</v>
      </c>
      <c r="B134" s="258">
        <v>0.15</v>
      </c>
    </row>
    <row r="135" spans="1:14" x14ac:dyDescent="0.35">
      <c r="A135" s="257" t="s">
        <v>214</v>
      </c>
      <c r="B135" s="258">
        <v>0</v>
      </c>
    </row>
    <row r="136" spans="1:14" x14ac:dyDescent="0.35">
      <c r="A136" s="257" t="s">
        <v>215</v>
      </c>
      <c r="B136" s="258">
        <v>0.23</v>
      </c>
    </row>
    <row r="137" spans="1:14" x14ac:dyDescent="0.35">
      <c r="A137" s="257" t="s">
        <v>217</v>
      </c>
      <c r="B137" s="258">
        <v>0</v>
      </c>
    </row>
    <row r="138" spans="1:14" x14ac:dyDescent="0.35">
      <c r="A138" s="257" t="s">
        <v>219</v>
      </c>
      <c r="B138" s="258">
        <v>0.18</v>
      </c>
    </row>
    <row r="139" spans="1:14" x14ac:dyDescent="0.35">
      <c r="A139" s="257" t="s">
        <v>220</v>
      </c>
      <c r="B139" s="258">
        <v>0.46</v>
      </c>
    </row>
    <row r="140" spans="1:14" x14ac:dyDescent="0.35">
      <c r="A140" s="257" t="s">
        <v>221</v>
      </c>
      <c r="B140" s="258">
        <v>0</v>
      </c>
    </row>
    <row r="141" spans="1:14" x14ac:dyDescent="0.35">
      <c r="A141" s="257" t="s">
        <v>223</v>
      </c>
      <c r="B141" s="258">
        <v>0.1</v>
      </c>
    </row>
    <row r="142" spans="1:14" x14ac:dyDescent="0.35">
      <c r="A142" s="257" t="s">
        <v>224</v>
      </c>
      <c r="B142" s="258">
        <v>0</v>
      </c>
    </row>
    <row r="143" spans="1:14" x14ac:dyDescent="0.35">
      <c r="A143" s="257" t="s">
        <v>225</v>
      </c>
      <c r="B143" s="258">
        <v>0.46</v>
      </c>
    </row>
    <row r="144" spans="1:14" x14ac:dyDescent="0.35">
      <c r="A144" s="257" t="s">
        <v>226</v>
      </c>
      <c r="B144" s="259">
        <v>3.5000000000000003E-2</v>
      </c>
    </row>
    <row r="145" spans="1:2" x14ac:dyDescent="0.35">
      <c r="A145" s="257" t="s">
        <v>228</v>
      </c>
      <c r="B145" s="258">
        <v>0.15</v>
      </c>
    </row>
    <row r="146" spans="1:2" x14ac:dyDescent="0.35">
      <c r="A146" s="257" t="s">
        <v>231</v>
      </c>
      <c r="B146" s="258">
        <v>0.46</v>
      </c>
    </row>
    <row r="147" spans="1:2" x14ac:dyDescent="0.35">
      <c r="A147" s="257" t="s">
        <v>232</v>
      </c>
      <c r="B147" s="258">
        <v>0.15</v>
      </c>
    </row>
    <row r="148" spans="1:2" x14ac:dyDescent="0.35">
      <c r="A148" s="257" t="s">
        <v>233</v>
      </c>
      <c r="B148" s="258">
        <v>0.24</v>
      </c>
    </row>
    <row r="149" spans="1:2" x14ac:dyDescent="0.35">
      <c r="A149" s="257" t="s">
        <v>234</v>
      </c>
      <c r="B149" s="259">
        <v>8.5000000000000006E-2</v>
      </c>
    </row>
    <row r="150" spans="1:2" x14ac:dyDescent="0.35">
      <c r="A150" s="257" t="s">
        <v>235</v>
      </c>
      <c r="B150" s="258">
        <v>0.09</v>
      </c>
    </row>
    <row r="151" spans="1:2" x14ac:dyDescent="0.35">
      <c r="A151" s="257" t="s">
        <v>236</v>
      </c>
      <c r="B151" s="258">
        <v>0.09</v>
      </c>
    </row>
    <row r="152" spans="1:2" x14ac:dyDescent="0.35">
      <c r="A152" s="257" t="s">
        <v>240</v>
      </c>
      <c r="B152" s="258">
        <v>0</v>
      </c>
    </row>
    <row r="153" spans="1:2" x14ac:dyDescent="0.35">
      <c r="A153" s="257" t="s">
        <v>241</v>
      </c>
      <c r="B153" s="258">
        <v>0.46</v>
      </c>
    </row>
    <row r="154" spans="1:2" x14ac:dyDescent="0.35">
      <c r="A154" s="257" t="s">
        <v>242</v>
      </c>
      <c r="B154" s="258">
        <v>0.5</v>
      </c>
    </row>
    <row r="155" spans="1:2" x14ac:dyDescent="0.35">
      <c r="A155" s="257" t="s">
        <v>229</v>
      </c>
      <c r="B155" s="258">
        <v>0.33</v>
      </c>
    </row>
    <row r="156" spans="1:2" x14ac:dyDescent="0.35">
      <c r="A156" s="257" t="s">
        <v>243</v>
      </c>
      <c r="B156" s="258">
        <v>0.02</v>
      </c>
    </row>
    <row r="157" spans="1:2" x14ac:dyDescent="0.35">
      <c r="A157" s="257" t="s">
        <v>244</v>
      </c>
      <c r="B157" s="258">
        <v>0.32</v>
      </c>
    </row>
    <row r="158" spans="1:2" x14ac:dyDescent="0.35">
      <c r="A158" s="257" t="s">
        <v>245</v>
      </c>
      <c r="B158" s="259">
        <v>2.3E-2</v>
      </c>
    </row>
    <row r="159" spans="1:2" x14ac:dyDescent="0.35">
      <c r="A159" s="257" t="s">
        <v>246</v>
      </c>
      <c r="B159" s="258">
        <v>7.0000000000000007E-2</v>
      </c>
    </row>
    <row r="160" spans="1:2" x14ac:dyDescent="0.35">
      <c r="A160" s="257" t="s">
        <v>247</v>
      </c>
      <c r="B160" s="258">
        <v>0.1</v>
      </c>
    </row>
    <row r="161" spans="1:2" x14ac:dyDescent="0.35">
      <c r="A161" s="257" t="s">
        <v>248</v>
      </c>
      <c r="B161" s="258">
        <v>0.13</v>
      </c>
    </row>
    <row r="162" spans="1:2" x14ac:dyDescent="0.35">
      <c r="A162" s="257" t="s">
        <v>249</v>
      </c>
      <c r="B162" s="258">
        <v>0.1</v>
      </c>
    </row>
    <row r="163" spans="1:2" x14ac:dyDescent="0.35">
      <c r="A163" s="257" t="s">
        <v>250</v>
      </c>
      <c r="B163" s="259">
        <v>8.8999999999999996E-2</v>
      </c>
    </row>
    <row r="164" spans="1:2" x14ac:dyDescent="0.35">
      <c r="A164" s="257" t="s">
        <v>251</v>
      </c>
      <c r="B164" s="258">
        <v>0.1</v>
      </c>
    </row>
    <row r="165" spans="1:2" x14ac:dyDescent="0.35">
      <c r="A165" s="257" t="s">
        <v>252</v>
      </c>
      <c r="B165" s="258">
        <v>0.1</v>
      </c>
    </row>
    <row r="166" spans="1:2" x14ac:dyDescent="0.35">
      <c r="A166" s="257" t="s">
        <v>253</v>
      </c>
      <c r="B166" s="258">
        <v>0.12</v>
      </c>
    </row>
    <row r="167" spans="1:2" x14ac:dyDescent="0.35">
      <c r="A167" s="257" t="s">
        <v>254</v>
      </c>
      <c r="B167" s="258">
        <v>0.11</v>
      </c>
    </row>
    <row r="168" spans="1:2" x14ac:dyDescent="0.35">
      <c r="A168" s="257" t="s">
        <v>255</v>
      </c>
      <c r="B168" s="258">
        <v>0.15</v>
      </c>
    </row>
    <row r="169" spans="1:2" x14ac:dyDescent="0.35">
      <c r="A169" s="257" t="s">
        <v>256</v>
      </c>
      <c r="B169" s="258">
        <v>0.22</v>
      </c>
    </row>
    <row r="170" spans="1:2" x14ac:dyDescent="0.35">
      <c r="A170" s="257" t="s">
        <v>257</v>
      </c>
      <c r="B170" s="258">
        <v>0.04</v>
      </c>
    </row>
    <row r="171" spans="1:2" x14ac:dyDescent="0.35">
      <c r="A171" s="257" t="s">
        <v>258</v>
      </c>
      <c r="B171" s="258">
        <v>0</v>
      </c>
    </row>
    <row r="172" spans="1:2" x14ac:dyDescent="0.35">
      <c r="A172" s="257" t="s">
        <v>259</v>
      </c>
      <c r="B172" s="258">
        <v>0.05</v>
      </c>
    </row>
    <row r="173" spans="1:2" x14ac:dyDescent="0.35">
      <c r="A173" s="257" t="s">
        <v>260</v>
      </c>
      <c r="B173" s="258">
        <v>0</v>
      </c>
    </row>
    <row r="174" spans="1:2" x14ac:dyDescent="0.35">
      <c r="A174" s="257" t="s">
        <v>261</v>
      </c>
      <c r="B174" s="258">
        <v>0</v>
      </c>
    </row>
    <row r="175" spans="1:2" x14ac:dyDescent="0.35">
      <c r="A175" s="257" t="s">
        <v>262</v>
      </c>
      <c r="B175" s="258">
        <v>0.18</v>
      </c>
    </row>
    <row r="176" spans="1:2" x14ac:dyDescent="0.35">
      <c r="A176" s="257"/>
    </row>
    <row r="177" spans="1:16" x14ac:dyDescent="0.35">
      <c r="A177" s="257"/>
    </row>
    <row r="178" spans="1:16" x14ac:dyDescent="0.35">
      <c r="A178" s="257"/>
    </row>
    <row r="179" spans="1:16" x14ac:dyDescent="0.35">
      <c r="A179" s="257"/>
    </row>
    <row r="180" spans="1:16" x14ac:dyDescent="0.35">
      <c r="A180" s="257"/>
    </row>
    <row r="181" spans="1:16" x14ac:dyDescent="0.35">
      <c r="A181" s="254"/>
      <c r="B181" s="61" t="s">
        <v>94</v>
      </c>
      <c r="C181" t="s">
        <v>773</v>
      </c>
      <c r="D181" t="s">
        <v>774</v>
      </c>
      <c r="E181" t="s">
        <v>775</v>
      </c>
      <c r="F181" t="s">
        <v>776</v>
      </c>
      <c r="G181" t="s">
        <v>777</v>
      </c>
      <c r="H181" t="s">
        <v>778</v>
      </c>
      <c r="I181" t="s">
        <v>779</v>
      </c>
      <c r="J181" t="s">
        <v>780</v>
      </c>
      <c r="K181" t="s">
        <v>781</v>
      </c>
      <c r="L181" t="s">
        <v>782</v>
      </c>
      <c r="M181" t="s">
        <v>783</v>
      </c>
      <c r="N181" s="254" t="s">
        <v>83</v>
      </c>
      <c r="O181" s="254"/>
      <c r="P181" s="254"/>
    </row>
    <row r="182" spans="1:16" x14ac:dyDescent="0.35">
      <c r="B182" s="46" t="s">
        <v>759</v>
      </c>
      <c r="C182" s="397"/>
      <c r="D182" s="397"/>
      <c r="E182" s="397"/>
      <c r="F182" s="397"/>
      <c r="G182" s="397"/>
      <c r="H182" s="397"/>
      <c r="I182" s="397"/>
      <c r="J182" s="397">
        <v>70</v>
      </c>
      <c r="K182" s="397"/>
      <c r="L182" s="397"/>
      <c r="M182" s="397"/>
      <c r="N182" s="255">
        <f>SUM(C182:M182)</f>
        <v>70</v>
      </c>
    </row>
    <row r="183" spans="1:16" x14ac:dyDescent="0.35">
      <c r="B183" s="46" t="s">
        <v>754</v>
      </c>
      <c r="C183" s="397"/>
      <c r="D183" s="397">
        <v>5000</v>
      </c>
      <c r="E183" s="397"/>
      <c r="F183" s="397"/>
      <c r="G183" s="397"/>
      <c r="H183" s="397"/>
      <c r="I183" s="397"/>
      <c r="J183" s="397"/>
      <c r="K183" s="397"/>
      <c r="L183" s="397"/>
      <c r="M183" s="397"/>
      <c r="N183" s="255">
        <f t="shared" ref="N183:N221" si="11">SUM(C183:M183)</f>
        <v>5000</v>
      </c>
    </row>
    <row r="184" spans="1:16" x14ac:dyDescent="0.35">
      <c r="B184" s="46" t="s">
        <v>753</v>
      </c>
      <c r="C184" s="397"/>
      <c r="D184" s="397">
        <v>84000</v>
      </c>
      <c r="E184" s="397"/>
      <c r="F184" s="397"/>
      <c r="G184" s="397"/>
      <c r="H184" s="397"/>
      <c r="I184" s="397"/>
      <c r="J184" s="397"/>
      <c r="K184" s="397"/>
      <c r="L184" s="397"/>
      <c r="M184" s="397"/>
      <c r="N184" s="255">
        <f t="shared" si="11"/>
        <v>84000</v>
      </c>
    </row>
    <row r="185" spans="1:16" x14ac:dyDescent="0.35">
      <c r="B185" s="46" t="s">
        <v>755</v>
      </c>
      <c r="C185" s="397"/>
      <c r="D185" s="397"/>
      <c r="E185" s="397">
        <v>5800</v>
      </c>
      <c r="F185" s="397"/>
      <c r="G185" s="397"/>
      <c r="H185" s="397"/>
      <c r="I185" s="397"/>
      <c r="J185" s="397"/>
      <c r="K185" s="397"/>
      <c r="L185" s="397"/>
      <c r="M185" s="397"/>
      <c r="N185" s="255">
        <f t="shared" si="11"/>
        <v>5800</v>
      </c>
    </row>
    <row r="186" spans="1:16" x14ac:dyDescent="0.35">
      <c r="B186" s="46" t="s">
        <v>760</v>
      </c>
      <c r="C186" s="397"/>
      <c r="D186" s="397"/>
      <c r="E186" s="397">
        <v>7200</v>
      </c>
      <c r="F186" s="397"/>
      <c r="G186" s="397"/>
      <c r="H186" s="397"/>
      <c r="I186" s="397"/>
      <c r="J186" s="397">
        <v>20</v>
      </c>
      <c r="K186" s="397"/>
      <c r="L186" s="397"/>
      <c r="M186" s="397"/>
      <c r="N186" s="255">
        <f t="shared" si="11"/>
        <v>7220</v>
      </c>
    </row>
    <row r="187" spans="1:16" x14ac:dyDescent="0.35">
      <c r="B187" s="46" t="s">
        <v>758</v>
      </c>
      <c r="C187" s="397"/>
      <c r="D187" s="397"/>
      <c r="E187" s="397"/>
      <c r="F187" s="397"/>
      <c r="G187" s="397"/>
      <c r="H187" s="397"/>
      <c r="I187" s="397"/>
      <c r="J187" s="397"/>
      <c r="K187" s="397"/>
      <c r="L187" s="397"/>
      <c r="M187" s="397">
        <v>500</v>
      </c>
      <c r="N187" s="255">
        <f t="shared" si="11"/>
        <v>500</v>
      </c>
    </row>
    <row r="188" spans="1:16" x14ac:dyDescent="0.35">
      <c r="B188" s="46" t="s">
        <v>772</v>
      </c>
      <c r="C188" s="397"/>
      <c r="D188" s="397"/>
      <c r="E188" s="397"/>
      <c r="F188" s="397"/>
      <c r="G188" s="397"/>
      <c r="H188" s="397"/>
      <c r="I188" s="397"/>
      <c r="J188" s="397"/>
      <c r="K188" s="397"/>
      <c r="L188" s="397">
        <v>91</v>
      </c>
      <c r="M188" s="397"/>
      <c r="N188" s="255">
        <f t="shared" si="11"/>
        <v>91</v>
      </c>
    </row>
    <row r="189" spans="1:16" x14ac:dyDescent="0.35">
      <c r="B189" s="46" t="s">
        <v>770</v>
      </c>
      <c r="C189" s="397"/>
      <c r="D189" s="397"/>
      <c r="E189" s="397"/>
      <c r="F189" s="397"/>
      <c r="G189" s="397"/>
      <c r="H189" s="397"/>
      <c r="I189" s="397"/>
      <c r="J189" s="397"/>
      <c r="K189" s="397"/>
      <c r="L189" s="397"/>
      <c r="M189" s="397"/>
      <c r="N189" s="255">
        <f t="shared" si="11"/>
        <v>0</v>
      </c>
    </row>
    <row r="190" spans="1:16" x14ac:dyDescent="0.35">
      <c r="B190" s="46" t="s">
        <v>757</v>
      </c>
      <c r="C190" s="397"/>
      <c r="D190" s="397"/>
      <c r="E190" s="397"/>
      <c r="F190" s="397"/>
      <c r="G190" s="397"/>
      <c r="H190" s="397"/>
      <c r="I190" s="397"/>
      <c r="J190" s="397"/>
      <c r="K190" s="397">
        <v>200</v>
      </c>
      <c r="L190" s="397"/>
      <c r="M190" s="397"/>
      <c r="N190" s="255">
        <f t="shared" si="11"/>
        <v>200</v>
      </c>
    </row>
    <row r="191" spans="1:16" x14ac:dyDescent="0.35">
      <c r="B191" s="46" t="s">
        <v>756</v>
      </c>
      <c r="C191" s="397"/>
      <c r="D191" s="397"/>
      <c r="E191" s="397"/>
      <c r="F191" s="397">
        <v>2600</v>
      </c>
      <c r="G191" s="397">
        <v>4300</v>
      </c>
      <c r="H191" s="397"/>
      <c r="I191" s="397"/>
      <c r="J191" s="397"/>
      <c r="K191" s="397"/>
      <c r="L191" s="397"/>
      <c r="M191" s="397"/>
      <c r="N191" s="255">
        <f t="shared" si="11"/>
        <v>6900</v>
      </c>
    </row>
    <row r="192" spans="1:16" x14ac:dyDescent="0.35">
      <c r="B192" s="46" t="s">
        <v>443</v>
      </c>
      <c r="C192" s="397"/>
      <c r="D192" s="397"/>
      <c r="E192" s="397"/>
      <c r="F192" s="397"/>
      <c r="G192" s="397"/>
      <c r="H192" s="397"/>
      <c r="I192" s="397"/>
      <c r="J192" s="397"/>
      <c r="K192" s="397"/>
      <c r="L192" s="397"/>
      <c r="M192" s="397"/>
      <c r="N192" s="255">
        <f t="shared" si="11"/>
        <v>0</v>
      </c>
    </row>
    <row r="193" spans="2:14" x14ac:dyDescent="0.35">
      <c r="B193" s="46" t="s">
        <v>768</v>
      </c>
      <c r="C193" s="397"/>
      <c r="D193" s="397"/>
      <c r="E193" s="397"/>
      <c r="F193" s="397"/>
      <c r="G193" s="397"/>
      <c r="H193" s="397"/>
      <c r="I193" s="397"/>
      <c r="J193" s="397">
        <v>390</v>
      </c>
      <c r="K193" s="397"/>
      <c r="L193" s="397"/>
      <c r="M193" s="397"/>
      <c r="N193" s="255">
        <f t="shared" si="11"/>
        <v>390</v>
      </c>
    </row>
    <row r="194" spans="2:14" x14ac:dyDescent="0.35">
      <c r="B194" s="46" t="s">
        <v>765</v>
      </c>
      <c r="C194" s="397"/>
      <c r="D194" s="397"/>
      <c r="E194" s="397"/>
      <c r="F194" s="397"/>
      <c r="G194" s="397"/>
      <c r="H194" s="397"/>
      <c r="I194" s="397">
        <v>3000</v>
      </c>
      <c r="J194" s="397"/>
      <c r="K194" s="397"/>
      <c r="L194" s="397"/>
      <c r="M194" s="397"/>
      <c r="N194" s="255">
        <f t="shared" si="11"/>
        <v>3000</v>
      </c>
    </row>
    <row r="195" spans="2:14" x14ac:dyDescent="0.35">
      <c r="B195" s="46" t="s">
        <v>407</v>
      </c>
      <c r="C195" s="397">
        <v>65500</v>
      </c>
      <c r="D195" s="397"/>
      <c r="E195" s="397">
        <v>1100</v>
      </c>
      <c r="F195" s="397">
        <v>15100</v>
      </c>
      <c r="G195" s="397">
        <v>3500</v>
      </c>
      <c r="H195" s="397"/>
      <c r="I195" s="397"/>
      <c r="J195" s="397"/>
      <c r="K195" s="397">
        <v>1300</v>
      </c>
      <c r="L195" s="397"/>
      <c r="M195" s="397"/>
      <c r="N195" s="255">
        <f t="shared" si="11"/>
        <v>86500</v>
      </c>
    </row>
    <row r="196" spans="2:14" x14ac:dyDescent="0.35">
      <c r="B196" s="46" t="s">
        <v>767</v>
      </c>
      <c r="C196" s="397"/>
      <c r="D196" s="397"/>
      <c r="E196" s="397"/>
      <c r="F196" s="397"/>
      <c r="G196" s="397"/>
      <c r="H196" s="397"/>
      <c r="I196" s="397"/>
      <c r="J196" s="397">
        <v>800</v>
      </c>
      <c r="K196" s="397"/>
      <c r="L196" s="397"/>
      <c r="M196" s="397"/>
      <c r="N196" s="255">
        <f t="shared" si="11"/>
        <v>800</v>
      </c>
    </row>
    <row r="197" spans="2:14" x14ac:dyDescent="0.35">
      <c r="B197" s="46" t="s">
        <v>763</v>
      </c>
      <c r="C197" s="397"/>
      <c r="D197" s="397"/>
      <c r="E197" s="397"/>
      <c r="F197" s="397"/>
      <c r="G197" s="397"/>
      <c r="H197" s="397">
        <v>5000</v>
      </c>
      <c r="I197" s="397"/>
      <c r="J197" s="397"/>
      <c r="K197" s="397"/>
      <c r="L197" s="397"/>
      <c r="M197" s="397"/>
      <c r="N197" s="255">
        <f t="shared" si="11"/>
        <v>5000</v>
      </c>
    </row>
    <row r="198" spans="2:14" x14ac:dyDescent="0.35">
      <c r="B198" s="46" t="s">
        <v>450</v>
      </c>
      <c r="C198" s="397"/>
      <c r="D198" s="397"/>
      <c r="E198" s="397"/>
      <c r="F198" s="397"/>
      <c r="G198" s="397"/>
      <c r="H198" s="397"/>
      <c r="I198" s="397"/>
      <c r="J198" s="397">
        <v>20</v>
      </c>
      <c r="K198" s="397"/>
      <c r="L198" s="397"/>
      <c r="M198" s="397"/>
      <c r="N198" s="255">
        <f t="shared" si="11"/>
        <v>20</v>
      </c>
    </row>
    <row r="199" spans="2:14" x14ac:dyDescent="0.35">
      <c r="B199" s="46" t="s">
        <v>762</v>
      </c>
      <c r="C199" s="397"/>
      <c r="D199" s="397"/>
      <c r="E199" s="397"/>
      <c r="F199" s="397"/>
      <c r="G199" s="397"/>
      <c r="H199" s="397">
        <v>7500</v>
      </c>
      <c r="I199" s="397"/>
      <c r="J199" s="397"/>
      <c r="K199" s="397"/>
      <c r="L199" s="397"/>
      <c r="M199" s="397"/>
      <c r="N199" s="255">
        <f t="shared" si="11"/>
        <v>7500</v>
      </c>
    </row>
    <row r="200" spans="2:14" x14ac:dyDescent="0.35">
      <c r="B200" s="46" t="s">
        <v>431</v>
      </c>
      <c r="C200" s="397"/>
      <c r="D200" s="397"/>
      <c r="E200" s="397"/>
      <c r="F200" s="397"/>
      <c r="G200" s="397"/>
      <c r="H200" s="397"/>
      <c r="I200" s="397"/>
      <c r="J200" s="397">
        <v>20</v>
      </c>
      <c r="K200" s="397"/>
      <c r="L200" s="397"/>
      <c r="M200" s="397"/>
      <c r="N200" s="255">
        <f t="shared" si="11"/>
        <v>20</v>
      </c>
    </row>
    <row r="201" spans="2:14" x14ac:dyDescent="0.35">
      <c r="B201" s="46" t="s">
        <v>766</v>
      </c>
      <c r="C201" s="397"/>
      <c r="D201" s="397"/>
      <c r="E201" s="397"/>
      <c r="F201" s="397"/>
      <c r="G201" s="397"/>
      <c r="H201" s="397"/>
      <c r="I201" s="397">
        <v>180</v>
      </c>
      <c r="J201" s="397"/>
      <c r="K201" s="397"/>
      <c r="L201" s="397"/>
      <c r="M201" s="397"/>
      <c r="N201" s="255">
        <f t="shared" si="11"/>
        <v>180</v>
      </c>
    </row>
    <row r="202" spans="2:14" x14ac:dyDescent="0.35">
      <c r="B202" s="46" t="s">
        <v>764</v>
      </c>
      <c r="C202" s="397"/>
      <c r="D202" s="397"/>
      <c r="E202" s="397"/>
      <c r="F202" s="397"/>
      <c r="G202" s="397"/>
      <c r="H202" s="397"/>
      <c r="I202" s="397">
        <v>4800</v>
      </c>
      <c r="J202" s="397"/>
      <c r="K202" s="397"/>
      <c r="L202" s="397"/>
      <c r="M202" s="397"/>
      <c r="N202" s="255">
        <f t="shared" si="11"/>
        <v>4800</v>
      </c>
    </row>
    <row r="203" spans="2:14" x14ac:dyDescent="0.35">
      <c r="B203" s="46" t="s">
        <v>771</v>
      </c>
      <c r="C203" s="397"/>
      <c r="D203" s="397"/>
      <c r="E203" s="397"/>
      <c r="F203" s="397"/>
      <c r="G203" s="397"/>
      <c r="H203" s="397"/>
      <c r="I203" s="397"/>
      <c r="J203" s="397"/>
      <c r="K203" s="397"/>
      <c r="L203" s="397">
        <v>400</v>
      </c>
      <c r="M203" s="397"/>
      <c r="N203" s="255">
        <f t="shared" si="11"/>
        <v>400</v>
      </c>
    </row>
    <row r="204" spans="2:14" x14ac:dyDescent="0.35">
      <c r="B204" s="46" t="s">
        <v>761</v>
      </c>
      <c r="C204" s="397"/>
      <c r="D204" s="397"/>
      <c r="E204" s="397">
        <v>2800</v>
      </c>
      <c r="F204" s="397"/>
      <c r="G204" s="397"/>
      <c r="H204" s="397"/>
      <c r="I204" s="397"/>
      <c r="J204" s="397"/>
      <c r="K204" s="397"/>
      <c r="L204" s="397"/>
      <c r="M204" s="397"/>
      <c r="N204" s="255">
        <f t="shared" si="11"/>
        <v>2800</v>
      </c>
    </row>
    <row r="205" spans="2:14" x14ac:dyDescent="0.35">
      <c r="B205" s="46" t="s">
        <v>769</v>
      </c>
      <c r="C205" s="397"/>
      <c r="D205" s="397"/>
      <c r="E205" s="397"/>
      <c r="F205" s="397"/>
      <c r="G205" s="397"/>
      <c r="H205" s="397"/>
      <c r="I205" s="397"/>
      <c r="J205" s="397">
        <v>20</v>
      </c>
      <c r="K205" s="397"/>
      <c r="L205" s="397"/>
      <c r="M205" s="397"/>
      <c r="N205" s="255">
        <f t="shared" si="11"/>
        <v>20</v>
      </c>
    </row>
    <row r="206" spans="2:14" x14ac:dyDescent="0.35">
      <c r="B206" s="46" t="s">
        <v>261</v>
      </c>
      <c r="C206" s="397"/>
      <c r="D206" s="397"/>
      <c r="E206" s="397"/>
      <c r="F206" s="397"/>
      <c r="G206" s="397"/>
      <c r="H206" s="397"/>
      <c r="I206" s="397"/>
      <c r="J206" s="397"/>
      <c r="K206" s="397"/>
      <c r="L206" s="397">
        <v>15</v>
      </c>
      <c r="M206" s="397"/>
      <c r="N206" s="255">
        <f t="shared" si="11"/>
        <v>15</v>
      </c>
    </row>
    <row r="207" spans="2:14" x14ac:dyDescent="0.35">
      <c r="B207" s="46" t="s">
        <v>231</v>
      </c>
      <c r="C207" s="397"/>
      <c r="D207" s="397"/>
      <c r="E207" s="397">
        <v>100</v>
      </c>
      <c r="F207" s="397"/>
      <c r="G207" s="397"/>
      <c r="H207" s="397">
        <v>300</v>
      </c>
      <c r="I207" s="397"/>
      <c r="J207" s="397">
        <v>1600</v>
      </c>
      <c r="K207" s="397"/>
      <c r="L207" s="397"/>
      <c r="M207" s="397"/>
      <c r="N207" s="255">
        <f t="shared" si="11"/>
        <v>2000</v>
      </c>
    </row>
    <row r="208" spans="2:14" x14ac:dyDescent="0.35">
      <c r="B208" s="46" t="s">
        <v>240</v>
      </c>
      <c r="C208" s="397"/>
      <c r="D208" s="397"/>
      <c r="E208" s="397"/>
      <c r="F208" s="397"/>
      <c r="G208" s="397"/>
      <c r="H208" s="397">
        <v>1800</v>
      </c>
      <c r="I208" s="397">
        <v>20</v>
      </c>
      <c r="J208" s="397"/>
      <c r="K208" s="397"/>
      <c r="L208" s="397"/>
      <c r="M208" s="397"/>
      <c r="N208" s="255">
        <f t="shared" si="11"/>
        <v>1820</v>
      </c>
    </row>
    <row r="209" spans="2:14" x14ac:dyDescent="0.35">
      <c r="B209" s="46" t="s">
        <v>260</v>
      </c>
      <c r="C209" s="397"/>
      <c r="D209" s="397"/>
      <c r="E209" s="397"/>
      <c r="F209" s="397"/>
      <c r="G209" s="397"/>
      <c r="H209" s="397"/>
      <c r="I209" s="397"/>
      <c r="J209" s="397"/>
      <c r="K209" s="397"/>
      <c r="L209" s="397">
        <v>70</v>
      </c>
      <c r="M209" s="397"/>
      <c r="N209" s="255">
        <f t="shared" si="11"/>
        <v>70</v>
      </c>
    </row>
    <row r="210" spans="2:14" x14ac:dyDescent="0.35">
      <c r="B210" s="46" t="s">
        <v>242</v>
      </c>
      <c r="C210" s="397"/>
      <c r="D210" s="397"/>
      <c r="E210" s="397"/>
      <c r="F210" s="397"/>
      <c r="G210" s="397"/>
      <c r="H210" s="397">
        <v>300</v>
      </c>
      <c r="I210" s="397">
        <v>80</v>
      </c>
      <c r="J210" s="397"/>
      <c r="K210" s="397"/>
      <c r="L210" s="397">
        <v>34</v>
      </c>
      <c r="M210" s="397"/>
      <c r="N210" s="255">
        <f t="shared" si="11"/>
        <v>414</v>
      </c>
    </row>
    <row r="211" spans="2:14" x14ac:dyDescent="0.35">
      <c r="B211" s="46" t="s">
        <v>221</v>
      </c>
      <c r="C211" s="397"/>
      <c r="D211" s="397"/>
      <c r="E211" s="397">
        <v>15900</v>
      </c>
      <c r="F211" s="397"/>
      <c r="G211" s="397"/>
      <c r="H211" s="397">
        <v>1100</v>
      </c>
      <c r="I211" s="397">
        <v>1420</v>
      </c>
      <c r="J211" s="397"/>
      <c r="K211" s="397"/>
      <c r="L211" s="397">
        <v>140</v>
      </c>
      <c r="M211" s="397">
        <v>40</v>
      </c>
      <c r="N211" s="255">
        <f t="shared" si="11"/>
        <v>18600</v>
      </c>
    </row>
    <row r="212" spans="2:14" x14ac:dyDescent="0.35">
      <c r="B212" s="46" t="s">
        <v>217</v>
      </c>
      <c r="C212" s="397"/>
      <c r="D212" s="397">
        <v>1700</v>
      </c>
      <c r="E212" s="397"/>
      <c r="F212" s="397"/>
      <c r="G212" s="397"/>
      <c r="H212" s="397"/>
      <c r="I212" s="397"/>
      <c r="J212" s="397"/>
      <c r="K212" s="397"/>
      <c r="L212" s="397"/>
      <c r="M212" s="397"/>
      <c r="N212" s="255">
        <f t="shared" si="11"/>
        <v>1700</v>
      </c>
    </row>
    <row r="213" spans="2:14" x14ac:dyDescent="0.35">
      <c r="B213" s="46" t="s">
        <v>229</v>
      </c>
      <c r="C213" s="397"/>
      <c r="D213" s="397"/>
      <c r="E213" s="397"/>
      <c r="F213" s="397"/>
      <c r="G213" s="397"/>
      <c r="H213" s="397"/>
      <c r="I213" s="397">
        <v>7000</v>
      </c>
      <c r="J213" s="397"/>
      <c r="K213" s="397"/>
      <c r="L213" s="397"/>
      <c r="M213" s="397"/>
      <c r="N213" s="255">
        <f t="shared" si="11"/>
        <v>7000</v>
      </c>
    </row>
    <row r="214" spans="2:14" x14ac:dyDescent="0.35">
      <c r="B214" s="46" t="s">
        <v>241</v>
      </c>
      <c r="C214" s="397"/>
      <c r="D214" s="397"/>
      <c r="E214" s="397"/>
      <c r="F214" s="397"/>
      <c r="G214" s="397"/>
      <c r="H214" s="397">
        <v>600</v>
      </c>
      <c r="I214" s="397"/>
      <c r="J214" s="397"/>
      <c r="K214" s="397"/>
      <c r="L214" s="397"/>
      <c r="M214" s="397"/>
      <c r="N214" s="255">
        <f t="shared" si="11"/>
        <v>600</v>
      </c>
    </row>
    <row r="215" spans="2:14" x14ac:dyDescent="0.35">
      <c r="B215" s="46" t="s">
        <v>258</v>
      </c>
      <c r="C215" s="397"/>
      <c r="D215" s="397"/>
      <c r="E215" s="397"/>
      <c r="F215" s="397"/>
      <c r="G215" s="397"/>
      <c r="H215" s="397"/>
      <c r="I215" s="397"/>
      <c r="J215" s="397"/>
      <c r="K215" s="397"/>
      <c r="L215" s="397">
        <v>320</v>
      </c>
      <c r="M215" s="397"/>
      <c r="N215" s="255">
        <f t="shared" si="11"/>
        <v>320</v>
      </c>
    </row>
    <row r="216" spans="2:14" x14ac:dyDescent="0.35">
      <c r="B216" s="46" t="s">
        <v>239</v>
      </c>
      <c r="C216" s="397">
        <v>9825</v>
      </c>
      <c r="D216" s="397">
        <v>20542</v>
      </c>
      <c r="E216" s="397">
        <v>2869</v>
      </c>
      <c r="F216" s="397">
        <v>2889</v>
      </c>
      <c r="G216" s="397">
        <v>1557</v>
      </c>
      <c r="H216" s="397">
        <v>1756</v>
      </c>
      <c r="I216" s="397">
        <v>3410.14</v>
      </c>
      <c r="J216" s="397">
        <v>847.88</v>
      </c>
      <c r="K216" s="397">
        <v>239</v>
      </c>
      <c r="L216" s="397">
        <v>37.549999999999997</v>
      </c>
      <c r="M216" s="397">
        <v>90</v>
      </c>
      <c r="N216" s="255">
        <f t="shared" si="11"/>
        <v>44062.57</v>
      </c>
    </row>
    <row r="217" spans="2:14" x14ac:dyDescent="0.35">
      <c r="B217" s="46" t="s">
        <v>238</v>
      </c>
      <c r="C217" s="397">
        <v>81900</v>
      </c>
      <c r="D217" s="397">
        <v>91400</v>
      </c>
      <c r="E217" s="397">
        <v>37100</v>
      </c>
      <c r="F217" s="397">
        <v>24000</v>
      </c>
      <c r="G217" s="397">
        <v>12000</v>
      </c>
      <c r="H217" s="397">
        <v>18900</v>
      </c>
      <c r="I217" s="397">
        <v>17700</v>
      </c>
      <c r="J217" s="397">
        <v>2960</v>
      </c>
      <c r="K217" s="397">
        <v>1850</v>
      </c>
      <c r="L217" s="397">
        <v>1570</v>
      </c>
      <c r="M217" s="397">
        <v>740</v>
      </c>
      <c r="N217" s="255">
        <f t="shared" si="11"/>
        <v>290120</v>
      </c>
    </row>
    <row r="218" spans="2:14" x14ac:dyDescent="0.35">
      <c r="B218" s="46" t="s">
        <v>225</v>
      </c>
      <c r="C218" s="397"/>
      <c r="D218" s="397"/>
      <c r="E218" s="397">
        <v>4000</v>
      </c>
      <c r="F218" s="397"/>
      <c r="G218" s="397"/>
      <c r="H218" s="397"/>
      <c r="I218" s="397"/>
      <c r="J218" s="397"/>
      <c r="K218" s="397"/>
      <c r="L218" s="397"/>
      <c r="M218" s="397"/>
      <c r="N218" s="255">
        <f t="shared" si="11"/>
        <v>4000</v>
      </c>
    </row>
    <row r="219" spans="2:14" x14ac:dyDescent="0.35">
      <c r="B219" s="46" t="s">
        <v>220</v>
      </c>
      <c r="C219" s="397"/>
      <c r="D219" s="397">
        <v>700</v>
      </c>
      <c r="E219" s="397"/>
      <c r="F219" s="397"/>
      <c r="G219" s="397"/>
      <c r="H219" s="397">
        <v>200</v>
      </c>
      <c r="I219" s="397"/>
      <c r="J219" s="397"/>
      <c r="K219" s="397"/>
      <c r="L219" s="397"/>
      <c r="M219" s="397"/>
      <c r="N219" s="255">
        <f t="shared" si="11"/>
        <v>900</v>
      </c>
    </row>
    <row r="220" spans="2:14" x14ac:dyDescent="0.35">
      <c r="B220" s="46" t="s">
        <v>214</v>
      </c>
      <c r="C220" s="397">
        <v>16400</v>
      </c>
      <c r="D220" s="397"/>
      <c r="E220" s="397">
        <v>200</v>
      </c>
      <c r="F220" s="397">
        <v>6300</v>
      </c>
      <c r="G220" s="397">
        <v>4200</v>
      </c>
      <c r="H220" s="397">
        <v>2100</v>
      </c>
      <c r="I220" s="397">
        <v>1200</v>
      </c>
      <c r="J220" s="397">
        <v>20</v>
      </c>
      <c r="K220" s="397">
        <v>350</v>
      </c>
      <c r="L220" s="397">
        <v>500</v>
      </c>
      <c r="M220" s="397">
        <v>200</v>
      </c>
      <c r="N220" s="255">
        <f t="shared" si="11"/>
        <v>31470</v>
      </c>
    </row>
    <row r="221" spans="2:14" x14ac:dyDescent="0.35">
      <c r="B221" s="46" t="s">
        <v>95</v>
      </c>
      <c r="C221" s="397">
        <v>173625</v>
      </c>
      <c r="D221" s="397">
        <v>203342</v>
      </c>
      <c r="E221" s="397">
        <v>77069</v>
      </c>
      <c r="F221" s="397">
        <v>50889</v>
      </c>
      <c r="G221" s="397">
        <v>25557</v>
      </c>
      <c r="H221" s="397">
        <v>39556</v>
      </c>
      <c r="I221" s="397">
        <v>38810.14</v>
      </c>
      <c r="J221" s="397">
        <v>6767.88</v>
      </c>
      <c r="K221" s="397">
        <v>3939</v>
      </c>
      <c r="L221" s="397">
        <v>3177.55</v>
      </c>
      <c r="M221" s="397">
        <v>1570</v>
      </c>
      <c r="N221" s="255">
        <f t="shared" si="11"/>
        <v>624302.57000000007</v>
      </c>
    </row>
    <row r="226" spans="2:16" x14ac:dyDescent="0.35">
      <c r="B226" t="s">
        <v>94</v>
      </c>
      <c r="C226" t="s">
        <v>773</v>
      </c>
      <c r="D226" t="s">
        <v>774</v>
      </c>
      <c r="E226" t="s">
        <v>775</v>
      </c>
      <c r="F226" t="s">
        <v>776</v>
      </c>
      <c r="G226" t="s">
        <v>777</v>
      </c>
      <c r="H226" t="s">
        <v>778</v>
      </c>
      <c r="I226" t="s">
        <v>779</v>
      </c>
      <c r="J226" t="s">
        <v>780</v>
      </c>
      <c r="K226" t="s">
        <v>781</v>
      </c>
      <c r="L226" t="s">
        <v>782</v>
      </c>
      <c r="M226" t="s">
        <v>783</v>
      </c>
      <c r="N226" s="254" t="s">
        <v>83</v>
      </c>
    </row>
    <row r="227" spans="2:16" x14ac:dyDescent="0.35">
      <c r="B227" s="46" t="s">
        <v>407</v>
      </c>
      <c r="C227" s="397">
        <v>65500</v>
      </c>
      <c r="D227" s="397"/>
      <c r="E227" s="397">
        <v>1100</v>
      </c>
      <c r="F227" s="397">
        <v>15100</v>
      </c>
      <c r="G227" s="397">
        <v>3500</v>
      </c>
      <c r="H227" s="397"/>
      <c r="I227" s="397"/>
      <c r="J227" s="397"/>
      <c r="K227" s="397">
        <v>1300</v>
      </c>
      <c r="L227" s="397"/>
      <c r="M227" s="397"/>
      <c r="N227" s="255">
        <v>86500</v>
      </c>
      <c r="O227" s="431">
        <f t="shared" ref="O227:O263" si="12">N227/SUM($N$227:$N$263)</f>
        <v>0.29815248862539639</v>
      </c>
      <c r="P227" s="258">
        <f>O227</f>
        <v>0.29815248862539639</v>
      </c>
    </row>
    <row r="228" spans="2:16" x14ac:dyDescent="0.35">
      <c r="B228" s="46" t="s">
        <v>753</v>
      </c>
      <c r="C228" s="397"/>
      <c r="D228" s="397">
        <v>84000</v>
      </c>
      <c r="E228" s="397"/>
      <c r="F228" s="397"/>
      <c r="G228" s="397"/>
      <c r="H228" s="397"/>
      <c r="I228" s="397"/>
      <c r="J228" s="397"/>
      <c r="K228" s="397"/>
      <c r="L228" s="397"/>
      <c r="M228" s="397"/>
      <c r="N228" s="255">
        <v>84000</v>
      </c>
      <c r="O228" s="431">
        <f t="shared" si="12"/>
        <v>0.2895353646766855</v>
      </c>
      <c r="P228" s="258">
        <f>O228+P227</f>
        <v>0.58768785330208195</v>
      </c>
    </row>
    <row r="229" spans="2:16" x14ac:dyDescent="0.35">
      <c r="B229" s="46" t="s">
        <v>214</v>
      </c>
      <c r="C229" s="397">
        <v>16400</v>
      </c>
      <c r="D229" s="397"/>
      <c r="E229" s="397">
        <v>200</v>
      </c>
      <c r="F229" s="397">
        <v>6300</v>
      </c>
      <c r="G229" s="397">
        <v>4200</v>
      </c>
      <c r="H229" s="397">
        <v>2100</v>
      </c>
      <c r="I229" s="397">
        <v>1200</v>
      </c>
      <c r="J229" s="397">
        <v>20</v>
      </c>
      <c r="K229" s="397">
        <v>350</v>
      </c>
      <c r="L229" s="397">
        <v>500</v>
      </c>
      <c r="M229" s="397">
        <v>200</v>
      </c>
      <c r="N229" s="255">
        <v>31470</v>
      </c>
      <c r="O229" s="431">
        <f t="shared" si="12"/>
        <v>0.10847235626637254</v>
      </c>
      <c r="P229" s="258">
        <f t="shared" ref="P229:P263" si="13">O229+P228</f>
        <v>0.69616020956845448</v>
      </c>
    </row>
    <row r="230" spans="2:16" x14ac:dyDescent="0.35">
      <c r="B230" s="46" t="s">
        <v>221</v>
      </c>
      <c r="C230" s="397"/>
      <c r="D230" s="397"/>
      <c r="E230" s="397">
        <v>15900</v>
      </c>
      <c r="F230" s="397"/>
      <c r="G230" s="397"/>
      <c r="H230" s="397">
        <v>1100</v>
      </c>
      <c r="I230" s="397">
        <v>1420</v>
      </c>
      <c r="J230" s="397"/>
      <c r="K230" s="397"/>
      <c r="L230" s="397">
        <v>140</v>
      </c>
      <c r="M230" s="397">
        <v>40</v>
      </c>
      <c r="N230" s="255">
        <v>18600</v>
      </c>
      <c r="O230" s="431">
        <f t="shared" si="12"/>
        <v>6.4111402178408938E-2</v>
      </c>
      <c r="P230" s="258">
        <f t="shared" si="13"/>
        <v>0.76027161174686342</v>
      </c>
    </row>
    <row r="231" spans="2:16" x14ac:dyDescent="0.35">
      <c r="B231" s="46" t="s">
        <v>762</v>
      </c>
      <c r="C231" s="397"/>
      <c r="D231" s="397"/>
      <c r="E231" s="397"/>
      <c r="F231" s="397"/>
      <c r="G231" s="397"/>
      <c r="H231" s="397">
        <v>7500</v>
      </c>
      <c r="I231" s="397"/>
      <c r="J231" s="397"/>
      <c r="K231" s="397"/>
      <c r="L231" s="397"/>
      <c r="M231" s="397"/>
      <c r="N231" s="255">
        <v>7500</v>
      </c>
      <c r="O231" s="431">
        <f t="shared" si="12"/>
        <v>2.5851371846132634E-2</v>
      </c>
      <c r="P231" s="258">
        <f t="shared" si="13"/>
        <v>0.78612298359299604</v>
      </c>
    </row>
    <row r="232" spans="2:16" x14ac:dyDescent="0.35">
      <c r="B232" s="46" t="s">
        <v>760</v>
      </c>
      <c r="C232" s="397"/>
      <c r="D232" s="397"/>
      <c r="E232" s="397">
        <v>7200</v>
      </c>
      <c r="F232" s="397"/>
      <c r="G232" s="397"/>
      <c r="H232" s="397"/>
      <c r="I232" s="397"/>
      <c r="J232" s="397">
        <v>20</v>
      </c>
      <c r="K232" s="397"/>
      <c r="L232" s="397"/>
      <c r="M232" s="397"/>
      <c r="N232" s="255">
        <v>7220</v>
      </c>
      <c r="O232" s="431">
        <f t="shared" si="12"/>
        <v>2.4886253963877017E-2</v>
      </c>
      <c r="P232" s="258">
        <f t="shared" si="13"/>
        <v>0.81100923755687304</v>
      </c>
    </row>
    <row r="233" spans="2:16" x14ac:dyDescent="0.35">
      <c r="B233" s="46" t="s">
        <v>229</v>
      </c>
      <c r="C233" s="397"/>
      <c r="D233" s="397"/>
      <c r="E233" s="397"/>
      <c r="F233" s="397"/>
      <c r="G233" s="397"/>
      <c r="H233" s="397"/>
      <c r="I233" s="397">
        <v>7000</v>
      </c>
      <c r="J233" s="397"/>
      <c r="K233" s="397"/>
      <c r="L233" s="397"/>
      <c r="M233" s="397"/>
      <c r="N233" s="255">
        <v>7000</v>
      </c>
      <c r="O233" s="431">
        <f t="shared" si="12"/>
        <v>2.4127947056390459E-2</v>
      </c>
      <c r="P233" s="258">
        <f t="shared" si="13"/>
        <v>0.83513718461326347</v>
      </c>
    </row>
    <row r="234" spans="2:16" x14ac:dyDescent="0.35">
      <c r="B234" s="46" t="s">
        <v>756</v>
      </c>
      <c r="C234" s="397"/>
      <c r="D234" s="397"/>
      <c r="E234" s="397"/>
      <c r="F234" s="397">
        <v>2600</v>
      </c>
      <c r="G234" s="397">
        <v>4300</v>
      </c>
      <c r="H234" s="397"/>
      <c r="I234" s="397"/>
      <c r="J234" s="397"/>
      <c r="K234" s="397"/>
      <c r="L234" s="397"/>
      <c r="M234" s="397"/>
      <c r="N234" s="255">
        <v>6900</v>
      </c>
      <c r="O234" s="431">
        <f t="shared" si="12"/>
        <v>2.3783262098442025E-2</v>
      </c>
      <c r="P234" s="258">
        <f t="shared" si="13"/>
        <v>0.85892044671170553</v>
      </c>
    </row>
    <row r="235" spans="2:16" x14ac:dyDescent="0.35">
      <c r="B235" s="46" t="s">
        <v>755</v>
      </c>
      <c r="C235" s="397"/>
      <c r="D235" s="397"/>
      <c r="E235" s="397">
        <v>5800</v>
      </c>
      <c r="F235" s="397"/>
      <c r="G235" s="397"/>
      <c r="H235" s="397"/>
      <c r="I235" s="397"/>
      <c r="J235" s="397"/>
      <c r="K235" s="397"/>
      <c r="L235" s="397"/>
      <c r="M235" s="397"/>
      <c r="N235" s="255">
        <v>5800</v>
      </c>
      <c r="O235" s="431">
        <f t="shared" si="12"/>
        <v>1.9991727561009236E-2</v>
      </c>
      <c r="P235" s="258">
        <f t="shared" si="13"/>
        <v>0.87891217427271473</v>
      </c>
    </row>
    <row r="236" spans="2:16" x14ac:dyDescent="0.35">
      <c r="B236" s="46" t="s">
        <v>754</v>
      </c>
      <c r="C236" s="397"/>
      <c r="D236" s="397">
        <v>5000</v>
      </c>
      <c r="E236" s="397"/>
      <c r="F236" s="397"/>
      <c r="G236" s="397"/>
      <c r="H236" s="397"/>
      <c r="I236" s="397"/>
      <c r="J236" s="397"/>
      <c r="K236" s="397"/>
      <c r="L236" s="397"/>
      <c r="M236" s="397"/>
      <c r="N236" s="255">
        <v>5000</v>
      </c>
      <c r="O236" s="431">
        <f t="shared" si="12"/>
        <v>1.7234247897421756E-2</v>
      </c>
      <c r="P236" s="258">
        <f t="shared" si="13"/>
        <v>0.89614642217013651</v>
      </c>
    </row>
    <row r="237" spans="2:16" x14ac:dyDescent="0.35">
      <c r="B237" s="46" t="s">
        <v>763</v>
      </c>
      <c r="C237" s="397"/>
      <c r="D237" s="397"/>
      <c r="E237" s="397"/>
      <c r="F237" s="397"/>
      <c r="G237" s="397"/>
      <c r="H237" s="397">
        <v>5000</v>
      </c>
      <c r="I237" s="397"/>
      <c r="J237" s="397"/>
      <c r="K237" s="397"/>
      <c r="L237" s="397"/>
      <c r="M237" s="397"/>
      <c r="N237" s="255">
        <v>5000</v>
      </c>
      <c r="O237" s="431">
        <f t="shared" si="12"/>
        <v>1.7234247897421756E-2</v>
      </c>
      <c r="P237" s="258">
        <f t="shared" si="13"/>
        <v>0.9133806700675583</v>
      </c>
    </row>
    <row r="238" spans="2:16" x14ac:dyDescent="0.35">
      <c r="B238" s="46" t="s">
        <v>764</v>
      </c>
      <c r="C238" s="397"/>
      <c r="D238" s="397"/>
      <c r="E238" s="397"/>
      <c r="F238" s="397"/>
      <c r="G238" s="397"/>
      <c r="H238" s="397"/>
      <c r="I238" s="397">
        <v>4800</v>
      </c>
      <c r="J238" s="397"/>
      <c r="K238" s="397"/>
      <c r="L238" s="397"/>
      <c r="M238" s="397"/>
      <c r="N238" s="255">
        <v>4800</v>
      </c>
      <c r="O238" s="431">
        <f t="shared" si="12"/>
        <v>1.6544877981524885E-2</v>
      </c>
      <c r="P238" s="258">
        <f t="shared" si="13"/>
        <v>0.92992554804908323</v>
      </c>
    </row>
    <row r="239" spans="2:16" x14ac:dyDescent="0.35">
      <c r="B239" s="46" t="s">
        <v>225</v>
      </c>
      <c r="C239" s="397"/>
      <c r="D239" s="397"/>
      <c r="E239" s="397">
        <v>4000</v>
      </c>
      <c r="F239" s="397"/>
      <c r="G239" s="397"/>
      <c r="H239" s="397"/>
      <c r="I239" s="397"/>
      <c r="J239" s="397"/>
      <c r="K239" s="397"/>
      <c r="L239" s="397"/>
      <c r="M239" s="397"/>
      <c r="N239" s="255">
        <v>4000</v>
      </c>
      <c r="O239" s="431">
        <f t="shared" si="12"/>
        <v>1.3787398317937405E-2</v>
      </c>
      <c r="P239" s="258">
        <f t="shared" si="13"/>
        <v>0.94371294636702063</v>
      </c>
    </row>
    <row r="240" spans="2:16" x14ac:dyDescent="0.35">
      <c r="B240" s="46" t="s">
        <v>765</v>
      </c>
      <c r="C240" s="397"/>
      <c r="D240" s="397"/>
      <c r="E240" s="397"/>
      <c r="F240" s="397"/>
      <c r="G240" s="397"/>
      <c r="H240" s="397"/>
      <c r="I240" s="397">
        <v>3000</v>
      </c>
      <c r="J240" s="397"/>
      <c r="K240" s="397"/>
      <c r="L240" s="397"/>
      <c r="M240" s="397"/>
      <c r="N240" s="255">
        <v>3000</v>
      </c>
      <c r="O240" s="431">
        <f t="shared" si="12"/>
        <v>1.0340548738453054E-2</v>
      </c>
      <c r="P240" s="258">
        <f t="shared" si="13"/>
        <v>0.95405349510547366</v>
      </c>
    </row>
    <row r="241" spans="2:16" x14ac:dyDescent="0.35">
      <c r="B241" s="46" t="s">
        <v>761</v>
      </c>
      <c r="C241" s="397"/>
      <c r="D241" s="397"/>
      <c r="E241" s="397">
        <v>2800</v>
      </c>
      <c r="F241" s="397"/>
      <c r="G241" s="397"/>
      <c r="H241" s="397"/>
      <c r="I241" s="397"/>
      <c r="J241" s="397"/>
      <c r="K241" s="397"/>
      <c r="L241" s="397"/>
      <c r="M241" s="397"/>
      <c r="N241" s="255">
        <v>2800</v>
      </c>
      <c r="O241" s="431">
        <f t="shared" si="12"/>
        <v>9.6511788225561845E-3</v>
      </c>
      <c r="P241" s="258">
        <f t="shared" si="13"/>
        <v>0.96370467392802983</v>
      </c>
    </row>
    <row r="242" spans="2:16" x14ac:dyDescent="0.35">
      <c r="B242" s="46" t="s">
        <v>231</v>
      </c>
      <c r="C242" s="397"/>
      <c r="D242" s="397"/>
      <c r="E242" s="397">
        <v>100</v>
      </c>
      <c r="F242" s="397"/>
      <c r="G242" s="397"/>
      <c r="H242" s="397">
        <v>300</v>
      </c>
      <c r="I242" s="397"/>
      <c r="J242" s="397">
        <v>1600</v>
      </c>
      <c r="K242" s="397"/>
      <c r="L242" s="397"/>
      <c r="M242" s="397"/>
      <c r="N242" s="255">
        <v>2000</v>
      </c>
      <c r="O242" s="431">
        <f t="shared" si="12"/>
        <v>6.8936991589687024E-3</v>
      </c>
      <c r="P242" s="258">
        <f t="shared" si="13"/>
        <v>0.97059837308699848</v>
      </c>
    </row>
    <row r="243" spans="2:16" x14ac:dyDescent="0.35">
      <c r="B243" s="46" t="s">
        <v>240</v>
      </c>
      <c r="C243" s="397"/>
      <c r="D243" s="397"/>
      <c r="E243" s="397"/>
      <c r="F243" s="397"/>
      <c r="G243" s="397"/>
      <c r="H243" s="397">
        <v>1800</v>
      </c>
      <c r="I243" s="397">
        <v>20</v>
      </c>
      <c r="J243" s="397"/>
      <c r="K243" s="397"/>
      <c r="L243" s="397"/>
      <c r="M243" s="397"/>
      <c r="N243" s="255">
        <v>1820</v>
      </c>
      <c r="O243" s="431">
        <f t="shared" si="12"/>
        <v>6.2732662346615189E-3</v>
      </c>
      <c r="P243" s="258">
        <f t="shared" si="13"/>
        <v>0.97687163932165999</v>
      </c>
    </row>
    <row r="244" spans="2:16" x14ac:dyDescent="0.35">
      <c r="B244" s="46" t="s">
        <v>217</v>
      </c>
      <c r="C244" s="397"/>
      <c r="D244" s="397">
        <v>1700</v>
      </c>
      <c r="E244" s="397"/>
      <c r="F244" s="397"/>
      <c r="G244" s="397"/>
      <c r="H244" s="397"/>
      <c r="I244" s="397"/>
      <c r="J244" s="397"/>
      <c r="K244" s="397"/>
      <c r="L244" s="397"/>
      <c r="M244" s="397"/>
      <c r="N244" s="255">
        <v>1700</v>
      </c>
      <c r="O244" s="431">
        <f t="shared" si="12"/>
        <v>5.8596442851233969E-3</v>
      </c>
      <c r="P244" s="258">
        <f t="shared" si="13"/>
        <v>0.98273128360678341</v>
      </c>
    </row>
    <row r="245" spans="2:16" x14ac:dyDescent="0.35">
      <c r="B245" s="46" t="s">
        <v>220</v>
      </c>
      <c r="C245" s="397"/>
      <c r="D245" s="397">
        <v>700</v>
      </c>
      <c r="E245" s="397"/>
      <c r="F245" s="397"/>
      <c r="G245" s="397"/>
      <c r="H245" s="397">
        <v>200</v>
      </c>
      <c r="I245" s="397"/>
      <c r="J245" s="397"/>
      <c r="K245" s="397"/>
      <c r="L245" s="397"/>
      <c r="M245" s="397"/>
      <c r="N245" s="255">
        <v>900</v>
      </c>
      <c r="O245" s="431">
        <f t="shared" si="12"/>
        <v>3.1021646215359162E-3</v>
      </c>
      <c r="P245" s="258">
        <f t="shared" si="13"/>
        <v>0.98583344822831931</v>
      </c>
    </row>
    <row r="246" spans="2:16" x14ac:dyDescent="0.35">
      <c r="B246" s="46" t="s">
        <v>767</v>
      </c>
      <c r="C246" s="397"/>
      <c r="D246" s="397"/>
      <c r="E246" s="397"/>
      <c r="F246" s="397"/>
      <c r="G246" s="397"/>
      <c r="H246" s="397"/>
      <c r="I246" s="397"/>
      <c r="J246" s="397">
        <v>800</v>
      </c>
      <c r="K246" s="397"/>
      <c r="L246" s="397"/>
      <c r="M246" s="397"/>
      <c r="N246" s="255">
        <v>800</v>
      </c>
      <c r="O246" s="431">
        <f t="shared" si="12"/>
        <v>2.7574796635874812E-3</v>
      </c>
      <c r="P246" s="258">
        <f t="shared" si="13"/>
        <v>0.98859092789190683</v>
      </c>
    </row>
    <row r="247" spans="2:16" x14ac:dyDescent="0.35">
      <c r="B247" s="46" t="s">
        <v>241</v>
      </c>
      <c r="C247" s="397"/>
      <c r="D247" s="397"/>
      <c r="E247" s="397"/>
      <c r="F247" s="397"/>
      <c r="G247" s="397"/>
      <c r="H247" s="397">
        <v>600</v>
      </c>
      <c r="I247" s="397"/>
      <c r="J247" s="397"/>
      <c r="K247" s="397"/>
      <c r="L247" s="397"/>
      <c r="M247" s="397"/>
      <c r="N247" s="255">
        <v>600</v>
      </c>
      <c r="O247" s="431">
        <f t="shared" si="12"/>
        <v>2.0681097476906106E-3</v>
      </c>
      <c r="P247" s="258">
        <f t="shared" si="13"/>
        <v>0.9906590376395974</v>
      </c>
    </row>
    <row r="248" spans="2:16" x14ac:dyDescent="0.35">
      <c r="B248" s="46" t="s">
        <v>758</v>
      </c>
      <c r="C248" s="397"/>
      <c r="D248" s="397"/>
      <c r="E248" s="397"/>
      <c r="F248" s="397"/>
      <c r="G248" s="397"/>
      <c r="H248" s="397"/>
      <c r="I248" s="397"/>
      <c r="J248" s="397"/>
      <c r="K248" s="397"/>
      <c r="L248" s="397"/>
      <c r="M248" s="397">
        <v>500</v>
      </c>
      <c r="N248" s="255">
        <v>500</v>
      </c>
      <c r="O248" s="431">
        <f t="shared" si="12"/>
        <v>1.7234247897421756E-3</v>
      </c>
      <c r="P248" s="258">
        <f t="shared" si="13"/>
        <v>0.99238246242933958</v>
      </c>
    </row>
    <row r="249" spans="2:16" x14ac:dyDescent="0.35">
      <c r="B249" s="46" t="s">
        <v>242</v>
      </c>
      <c r="C249" s="397"/>
      <c r="D249" s="397"/>
      <c r="E249" s="397"/>
      <c r="F249" s="397"/>
      <c r="G249" s="397"/>
      <c r="H249" s="397">
        <v>300</v>
      </c>
      <c r="I249" s="397">
        <v>80</v>
      </c>
      <c r="J249" s="397"/>
      <c r="K249" s="397"/>
      <c r="L249" s="397">
        <v>34</v>
      </c>
      <c r="M249" s="397"/>
      <c r="N249" s="255">
        <v>414</v>
      </c>
      <c r="O249" s="431">
        <f t="shared" si="12"/>
        <v>1.4269957259065214E-3</v>
      </c>
      <c r="P249" s="258">
        <f t="shared" si="13"/>
        <v>0.99380945815524613</v>
      </c>
    </row>
    <row r="250" spans="2:16" x14ac:dyDescent="0.35">
      <c r="B250" s="46" t="s">
        <v>771</v>
      </c>
      <c r="C250" s="397"/>
      <c r="D250" s="397"/>
      <c r="E250" s="397"/>
      <c r="F250" s="397"/>
      <c r="G250" s="397"/>
      <c r="H250" s="397"/>
      <c r="I250" s="397"/>
      <c r="J250" s="397"/>
      <c r="K250" s="397"/>
      <c r="L250" s="397">
        <v>400</v>
      </c>
      <c r="M250" s="397"/>
      <c r="N250" s="255">
        <v>400</v>
      </c>
      <c r="O250" s="431">
        <f t="shared" si="12"/>
        <v>1.3787398317937406E-3</v>
      </c>
      <c r="P250" s="258">
        <f t="shared" si="13"/>
        <v>0.99518819798703984</v>
      </c>
    </row>
    <row r="251" spans="2:16" x14ac:dyDescent="0.35">
      <c r="B251" s="46" t="s">
        <v>768</v>
      </c>
      <c r="C251" s="397"/>
      <c r="D251" s="397"/>
      <c r="E251" s="397"/>
      <c r="F251" s="397"/>
      <c r="G251" s="397"/>
      <c r="H251" s="397"/>
      <c r="I251" s="397"/>
      <c r="J251" s="397">
        <v>390</v>
      </c>
      <c r="K251" s="397"/>
      <c r="L251" s="397"/>
      <c r="M251" s="397"/>
      <c r="N251" s="255">
        <v>390</v>
      </c>
      <c r="O251" s="431">
        <f t="shared" si="12"/>
        <v>1.3442713359988971E-3</v>
      </c>
      <c r="P251" s="258">
        <f t="shared" si="13"/>
        <v>0.99653246932303874</v>
      </c>
    </row>
    <row r="252" spans="2:16" x14ac:dyDescent="0.35">
      <c r="B252" s="46" t="s">
        <v>258</v>
      </c>
      <c r="C252" s="397"/>
      <c r="D252" s="397"/>
      <c r="E252" s="397"/>
      <c r="F252" s="397"/>
      <c r="G252" s="397"/>
      <c r="H252" s="397"/>
      <c r="I252" s="397"/>
      <c r="J252" s="397"/>
      <c r="K252" s="397"/>
      <c r="L252" s="397">
        <v>320</v>
      </c>
      <c r="M252" s="397"/>
      <c r="N252" s="255">
        <v>320</v>
      </c>
      <c r="O252" s="431">
        <f t="shared" si="12"/>
        <v>1.1029918654349923E-3</v>
      </c>
      <c r="P252" s="258">
        <f t="shared" si="13"/>
        <v>0.99763546118847368</v>
      </c>
    </row>
    <row r="253" spans="2:16" x14ac:dyDescent="0.35">
      <c r="B253" s="46" t="s">
        <v>757</v>
      </c>
      <c r="C253" s="397"/>
      <c r="D253" s="397"/>
      <c r="E253" s="397"/>
      <c r="F253" s="397"/>
      <c r="G253" s="397"/>
      <c r="H253" s="397"/>
      <c r="I253" s="397"/>
      <c r="J253" s="397"/>
      <c r="K253" s="397">
        <v>200</v>
      </c>
      <c r="L253" s="397"/>
      <c r="M253" s="397"/>
      <c r="N253" s="255">
        <v>200</v>
      </c>
      <c r="O253" s="431">
        <f t="shared" si="12"/>
        <v>6.8936991589687029E-4</v>
      </c>
      <c r="P253" s="258">
        <f t="shared" si="13"/>
        <v>0.99832483110437054</v>
      </c>
    </row>
    <row r="254" spans="2:16" x14ac:dyDescent="0.35">
      <c r="B254" s="46" t="s">
        <v>766</v>
      </c>
      <c r="C254" s="397"/>
      <c r="D254" s="397"/>
      <c r="E254" s="397"/>
      <c r="F254" s="397"/>
      <c r="G254" s="397"/>
      <c r="H254" s="397"/>
      <c r="I254" s="397">
        <v>180</v>
      </c>
      <c r="J254" s="397"/>
      <c r="K254" s="397"/>
      <c r="L254" s="397"/>
      <c r="M254" s="397"/>
      <c r="N254" s="255">
        <v>180</v>
      </c>
      <c r="O254" s="431">
        <f t="shared" si="12"/>
        <v>6.2043292430718328E-4</v>
      </c>
      <c r="P254" s="258">
        <f t="shared" si="13"/>
        <v>0.99894526402867767</v>
      </c>
    </row>
    <row r="255" spans="2:16" x14ac:dyDescent="0.35">
      <c r="B255" s="46" t="s">
        <v>772</v>
      </c>
      <c r="C255" s="397"/>
      <c r="D255" s="397"/>
      <c r="E255" s="397"/>
      <c r="F255" s="397"/>
      <c r="G255" s="397"/>
      <c r="H255" s="397"/>
      <c r="I255" s="397"/>
      <c r="J255" s="397"/>
      <c r="K255" s="397"/>
      <c r="L255" s="397">
        <v>91</v>
      </c>
      <c r="M255" s="397"/>
      <c r="N255" s="255">
        <v>91</v>
      </c>
      <c r="O255" s="431">
        <f t="shared" si="12"/>
        <v>3.1366331173307598E-4</v>
      </c>
      <c r="P255" s="258">
        <f t="shared" si="13"/>
        <v>0.99925892734041077</v>
      </c>
    </row>
    <row r="256" spans="2:16" x14ac:dyDescent="0.35">
      <c r="B256" s="46" t="s">
        <v>759</v>
      </c>
      <c r="C256" s="397"/>
      <c r="D256" s="397"/>
      <c r="E256" s="397"/>
      <c r="F256" s="397"/>
      <c r="G256" s="397"/>
      <c r="H256" s="397"/>
      <c r="I256" s="397"/>
      <c r="J256" s="397">
        <v>70</v>
      </c>
      <c r="K256" s="397"/>
      <c r="L256" s="397"/>
      <c r="M256" s="397"/>
      <c r="N256" s="255">
        <v>70</v>
      </c>
      <c r="O256" s="431">
        <f t="shared" si="12"/>
        <v>2.4127947056390458E-4</v>
      </c>
      <c r="P256" s="258">
        <f t="shared" si="13"/>
        <v>0.99950020681097473</v>
      </c>
    </row>
    <row r="257" spans="1:16" x14ac:dyDescent="0.35">
      <c r="B257" s="46" t="s">
        <v>260</v>
      </c>
      <c r="C257" s="397"/>
      <c r="D257" s="397"/>
      <c r="E257" s="397"/>
      <c r="F257" s="397"/>
      <c r="G257" s="397"/>
      <c r="H257" s="397"/>
      <c r="I257" s="397"/>
      <c r="J257" s="397"/>
      <c r="K257" s="397"/>
      <c r="L257" s="397">
        <v>70</v>
      </c>
      <c r="M257" s="397"/>
      <c r="N257" s="255">
        <v>70</v>
      </c>
      <c r="O257" s="431">
        <f t="shared" si="12"/>
        <v>2.4127947056390458E-4</v>
      </c>
      <c r="P257" s="258">
        <f t="shared" si="13"/>
        <v>0.99974148628153869</v>
      </c>
    </row>
    <row r="258" spans="1:16" x14ac:dyDescent="0.35">
      <c r="B258" s="46" t="s">
        <v>450</v>
      </c>
      <c r="C258" s="397"/>
      <c r="D258" s="397"/>
      <c r="E258" s="397"/>
      <c r="F258" s="397"/>
      <c r="G258" s="397"/>
      <c r="H258" s="397"/>
      <c r="I258" s="397"/>
      <c r="J258" s="397">
        <v>20</v>
      </c>
      <c r="K258" s="397"/>
      <c r="L258" s="397"/>
      <c r="M258" s="397"/>
      <c r="N258" s="255">
        <v>20</v>
      </c>
      <c r="O258" s="431">
        <f t="shared" si="12"/>
        <v>6.8936991589687021E-5</v>
      </c>
      <c r="P258" s="258">
        <f t="shared" si="13"/>
        <v>0.99981042327312841</v>
      </c>
    </row>
    <row r="259" spans="1:16" x14ac:dyDescent="0.35">
      <c r="B259" s="46" t="s">
        <v>431</v>
      </c>
      <c r="C259" s="397"/>
      <c r="D259" s="397"/>
      <c r="E259" s="397"/>
      <c r="F259" s="397"/>
      <c r="G259" s="397"/>
      <c r="H259" s="397"/>
      <c r="I259" s="397"/>
      <c r="J259" s="397">
        <v>20</v>
      </c>
      <c r="K259" s="397"/>
      <c r="L259" s="397"/>
      <c r="M259" s="397"/>
      <c r="N259" s="255">
        <v>20</v>
      </c>
      <c r="O259" s="431">
        <f t="shared" si="12"/>
        <v>6.8936991589687021E-5</v>
      </c>
      <c r="P259" s="258">
        <f t="shared" si="13"/>
        <v>0.99987936026471813</v>
      </c>
    </row>
    <row r="260" spans="1:16" x14ac:dyDescent="0.35">
      <c r="B260" s="46" t="s">
        <v>769</v>
      </c>
      <c r="C260" s="397"/>
      <c r="D260" s="397"/>
      <c r="E260" s="397"/>
      <c r="F260" s="397"/>
      <c r="G260" s="397"/>
      <c r="H260" s="397"/>
      <c r="I260" s="397"/>
      <c r="J260" s="397">
        <v>20</v>
      </c>
      <c r="K260" s="397"/>
      <c r="L260" s="397"/>
      <c r="M260" s="397"/>
      <c r="N260" s="255">
        <v>20</v>
      </c>
      <c r="O260" s="431">
        <f t="shared" si="12"/>
        <v>6.8936991589687021E-5</v>
      </c>
      <c r="P260" s="258">
        <f t="shared" si="13"/>
        <v>0.99994829725630785</v>
      </c>
    </row>
    <row r="261" spans="1:16" x14ac:dyDescent="0.35">
      <c r="B261" s="46" t="s">
        <v>261</v>
      </c>
      <c r="C261" s="397"/>
      <c r="D261" s="397"/>
      <c r="E261" s="397"/>
      <c r="F261" s="397"/>
      <c r="G261" s="397"/>
      <c r="H261" s="397"/>
      <c r="I261" s="397"/>
      <c r="J261" s="397"/>
      <c r="K261" s="397"/>
      <c r="L261" s="397">
        <v>15</v>
      </c>
      <c r="M261" s="397"/>
      <c r="N261" s="255">
        <v>15</v>
      </c>
      <c r="O261" s="431">
        <f t="shared" si="12"/>
        <v>5.1702743692265269E-5</v>
      </c>
      <c r="P261" s="258">
        <f t="shared" si="13"/>
        <v>1.0000000000000002</v>
      </c>
    </row>
    <row r="262" spans="1:16" x14ac:dyDescent="0.35">
      <c r="B262" s="46" t="s">
        <v>770</v>
      </c>
      <c r="C262" s="397"/>
      <c r="D262" s="397"/>
      <c r="E262" s="397"/>
      <c r="F262" s="397"/>
      <c r="G262" s="397"/>
      <c r="H262" s="397"/>
      <c r="I262" s="397"/>
      <c r="J262" s="397"/>
      <c r="K262" s="397"/>
      <c r="L262" s="397"/>
      <c r="M262" s="397"/>
      <c r="N262" s="255">
        <v>0</v>
      </c>
      <c r="O262" s="431">
        <f t="shared" si="12"/>
        <v>0</v>
      </c>
      <c r="P262" s="258">
        <f t="shared" si="13"/>
        <v>1.0000000000000002</v>
      </c>
    </row>
    <row r="263" spans="1:16" x14ac:dyDescent="0.35">
      <c r="B263" s="46" t="s">
        <v>443</v>
      </c>
      <c r="C263" s="397"/>
      <c r="D263" s="397"/>
      <c r="E263" s="397"/>
      <c r="F263" s="397"/>
      <c r="G263" s="397"/>
      <c r="H263" s="397"/>
      <c r="I263" s="397"/>
      <c r="J263" s="397"/>
      <c r="K263" s="397"/>
      <c r="L263" s="397"/>
      <c r="M263" s="397"/>
      <c r="N263" s="255">
        <v>0</v>
      </c>
      <c r="O263" s="431">
        <f t="shared" si="12"/>
        <v>0</v>
      </c>
      <c r="P263" s="258">
        <f t="shared" si="13"/>
        <v>1.0000000000000002</v>
      </c>
    </row>
    <row r="267" spans="1:16" x14ac:dyDescent="0.35">
      <c r="A267" s="432" t="s">
        <v>745</v>
      </c>
      <c r="B267" t="s">
        <v>94</v>
      </c>
      <c r="C267" t="s">
        <v>773</v>
      </c>
      <c r="D267" t="s">
        <v>774</v>
      </c>
      <c r="E267" t="s">
        <v>775</v>
      </c>
      <c r="F267" t="s">
        <v>776</v>
      </c>
      <c r="G267" t="s">
        <v>777</v>
      </c>
      <c r="H267" t="s">
        <v>778</v>
      </c>
      <c r="I267" t="s">
        <v>779</v>
      </c>
      <c r="J267" t="s">
        <v>780</v>
      </c>
      <c r="K267" t="s">
        <v>781</v>
      </c>
      <c r="L267" t="s">
        <v>782</v>
      </c>
      <c r="M267" t="s">
        <v>783</v>
      </c>
      <c r="N267" s="254" t="s">
        <v>83</v>
      </c>
      <c r="O267" s="326"/>
      <c r="P267" s="326"/>
    </row>
    <row r="268" spans="1:16" x14ac:dyDescent="0.35">
      <c r="A268" s="46" t="s">
        <v>407</v>
      </c>
      <c r="B268" s="46" t="s">
        <v>407</v>
      </c>
      <c r="C268" s="397">
        <v>65500</v>
      </c>
      <c r="D268" s="397"/>
      <c r="E268" s="397">
        <v>1100</v>
      </c>
      <c r="F268" s="397">
        <v>15100</v>
      </c>
      <c r="G268" s="397">
        <v>3500</v>
      </c>
      <c r="H268" s="397"/>
      <c r="I268" s="397"/>
      <c r="J268" s="397"/>
      <c r="K268" s="397">
        <v>1300</v>
      </c>
      <c r="L268" s="397"/>
      <c r="M268" s="397"/>
      <c r="N268" s="255">
        <v>86500</v>
      </c>
      <c r="O268" s="431">
        <f t="shared" ref="O268:O298" si="14">N268/SUM($N$268:$N$298)</f>
        <v>0.36630812230033033</v>
      </c>
      <c r="P268" s="258">
        <f>O268</f>
        <v>0.36630812230033033</v>
      </c>
    </row>
    <row r="269" spans="1:16" x14ac:dyDescent="0.35">
      <c r="A269" s="46" t="s">
        <v>753</v>
      </c>
      <c r="B269" s="46" t="s">
        <v>753</v>
      </c>
      <c r="C269" s="397"/>
      <c r="D269" s="397">
        <v>84000</v>
      </c>
      <c r="E269" s="397"/>
      <c r="F269" s="397"/>
      <c r="G269" s="397"/>
      <c r="H269" s="397"/>
      <c r="I269" s="397"/>
      <c r="J269" s="397"/>
      <c r="K269" s="397"/>
      <c r="L269" s="397"/>
      <c r="M269" s="397"/>
      <c r="N269" s="255">
        <v>84000</v>
      </c>
      <c r="O269" s="431">
        <f t="shared" si="14"/>
        <v>0.35572118234945371</v>
      </c>
      <c r="P269" s="258">
        <f>O269+P268</f>
        <v>0.7220293046497841</v>
      </c>
    </row>
    <row r="270" spans="1:16" x14ac:dyDescent="0.35">
      <c r="A270" s="432" t="s">
        <v>784</v>
      </c>
      <c r="B270" s="46" t="s">
        <v>762</v>
      </c>
      <c r="C270" s="397"/>
      <c r="D270" s="397"/>
      <c r="E270" s="397"/>
      <c r="F270" s="397"/>
      <c r="G270" s="397"/>
      <c r="H270" s="397">
        <v>7500</v>
      </c>
      <c r="I270" s="397"/>
      <c r="J270" s="397"/>
      <c r="K270" s="397"/>
      <c r="L270" s="397"/>
      <c r="M270" s="397"/>
      <c r="N270" s="255">
        <v>7500</v>
      </c>
      <c r="O270" s="431">
        <f t="shared" si="14"/>
        <v>3.1760819852629796E-2</v>
      </c>
      <c r="P270" s="258">
        <f t="shared" ref="P270:P298" si="15">O270+P269</f>
        <v>0.75379012450241389</v>
      </c>
    </row>
    <row r="271" spans="1:16" x14ac:dyDescent="0.35">
      <c r="A271" s="432" t="s">
        <v>784</v>
      </c>
      <c r="B271" s="46" t="s">
        <v>760</v>
      </c>
      <c r="C271" s="397"/>
      <c r="D271" s="397"/>
      <c r="E271" s="397">
        <v>7200</v>
      </c>
      <c r="F271" s="397"/>
      <c r="G271" s="397"/>
      <c r="H271" s="397"/>
      <c r="I271" s="397"/>
      <c r="J271" s="397">
        <v>20</v>
      </c>
      <c r="K271" s="397"/>
      <c r="L271" s="397"/>
      <c r="M271" s="397"/>
      <c r="N271" s="255">
        <v>7220</v>
      </c>
      <c r="O271" s="431">
        <f t="shared" si="14"/>
        <v>3.0575082578131615E-2</v>
      </c>
      <c r="P271" s="258">
        <f t="shared" si="15"/>
        <v>0.78436520708054547</v>
      </c>
    </row>
    <row r="272" spans="1:16" x14ac:dyDescent="0.35">
      <c r="A272" s="46" t="s">
        <v>229</v>
      </c>
      <c r="B272" s="46" t="s">
        <v>229</v>
      </c>
      <c r="C272" s="397"/>
      <c r="D272" s="397"/>
      <c r="E272" s="397"/>
      <c r="F272" s="397"/>
      <c r="G272" s="397"/>
      <c r="H272" s="397"/>
      <c r="I272" s="397">
        <v>7000</v>
      </c>
      <c r="J272" s="397"/>
      <c r="K272" s="397"/>
      <c r="L272" s="397"/>
      <c r="M272" s="397"/>
      <c r="N272" s="255">
        <v>7000</v>
      </c>
      <c r="O272" s="431">
        <f t="shared" si="14"/>
        <v>2.9643431862454477E-2</v>
      </c>
      <c r="P272" s="258">
        <f t="shared" si="15"/>
        <v>0.81400863894299991</v>
      </c>
    </row>
    <row r="273" spans="1:16" x14ac:dyDescent="0.35">
      <c r="A273" s="432" t="s">
        <v>784</v>
      </c>
      <c r="B273" s="46" t="s">
        <v>756</v>
      </c>
      <c r="C273" s="397"/>
      <c r="D273" s="397"/>
      <c r="E273" s="397"/>
      <c r="F273" s="397">
        <v>2600</v>
      </c>
      <c r="G273" s="397">
        <v>4300</v>
      </c>
      <c r="H273" s="397"/>
      <c r="I273" s="397"/>
      <c r="J273" s="397"/>
      <c r="K273" s="397"/>
      <c r="L273" s="397"/>
      <c r="M273" s="397"/>
      <c r="N273" s="255">
        <v>6900</v>
      </c>
      <c r="O273" s="431">
        <f t="shared" si="14"/>
        <v>2.9219954264419413E-2</v>
      </c>
      <c r="P273" s="258">
        <f t="shared" si="15"/>
        <v>0.84322859320741927</v>
      </c>
    </row>
    <row r="274" spans="1:16" x14ac:dyDescent="0.35">
      <c r="A274" s="432" t="s">
        <v>784</v>
      </c>
      <c r="B274" s="46" t="s">
        <v>755</v>
      </c>
      <c r="C274" s="397"/>
      <c r="D274" s="397"/>
      <c r="E274" s="397">
        <v>5800</v>
      </c>
      <c r="F274" s="397"/>
      <c r="G274" s="397"/>
      <c r="H274" s="397"/>
      <c r="I274" s="397"/>
      <c r="J274" s="397"/>
      <c r="K274" s="397"/>
      <c r="L274" s="397"/>
      <c r="M274" s="397"/>
      <c r="N274" s="255">
        <v>5800</v>
      </c>
      <c r="O274" s="431">
        <f t="shared" si="14"/>
        <v>2.4561700686033708E-2</v>
      </c>
      <c r="P274" s="258">
        <f t="shared" si="15"/>
        <v>0.86779029389345297</v>
      </c>
    </row>
    <row r="275" spans="1:16" x14ac:dyDescent="0.35">
      <c r="A275" s="432" t="s">
        <v>784</v>
      </c>
      <c r="B275" s="46" t="s">
        <v>754</v>
      </c>
      <c r="C275" s="397"/>
      <c r="D275" s="397">
        <v>5000</v>
      </c>
      <c r="E275" s="397"/>
      <c r="F275" s="397"/>
      <c r="G275" s="397"/>
      <c r="H275" s="397"/>
      <c r="I275" s="397"/>
      <c r="J275" s="397"/>
      <c r="K275" s="397"/>
      <c r="L275" s="397"/>
      <c r="M275" s="397"/>
      <c r="N275" s="255">
        <v>5000</v>
      </c>
      <c r="O275" s="431">
        <f t="shared" si="14"/>
        <v>2.1173879901753196E-2</v>
      </c>
      <c r="P275" s="258">
        <f t="shared" si="15"/>
        <v>0.8889641737952062</v>
      </c>
    </row>
    <row r="276" spans="1:16" x14ac:dyDescent="0.35">
      <c r="A276" s="432" t="s">
        <v>784</v>
      </c>
      <c r="B276" s="46" t="s">
        <v>763</v>
      </c>
      <c r="C276" s="397"/>
      <c r="D276" s="397"/>
      <c r="E276" s="397"/>
      <c r="F276" s="397"/>
      <c r="G276" s="397"/>
      <c r="H276" s="397">
        <v>5000</v>
      </c>
      <c r="I276" s="397"/>
      <c r="J276" s="397"/>
      <c r="K276" s="397"/>
      <c r="L276" s="397"/>
      <c r="M276" s="397"/>
      <c r="N276" s="255">
        <v>5000</v>
      </c>
      <c r="O276" s="431">
        <f t="shared" si="14"/>
        <v>2.1173879901753196E-2</v>
      </c>
      <c r="P276" s="258">
        <f t="shared" si="15"/>
        <v>0.91013805369695944</v>
      </c>
    </row>
    <row r="277" spans="1:16" x14ac:dyDescent="0.35">
      <c r="A277" s="432" t="s">
        <v>784</v>
      </c>
      <c r="B277" s="46" t="s">
        <v>764</v>
      </c>
      <c r="C277" s="397"/>
      <c r="D277" s="397"/>
      <c r="E277" s="397"/>
      <c r="F277" s="397"/>
      <c r="G277" s="397"/>
      <c r="H277" s="397"/>
      <c r="I277" s="397">
        <v>4800</v>
      </c>
      <c r="J277" s="397"/>
      <c r="K277" s="397"/>
      <c r="L277" s="397"/>
      <c r="M277" s="397"/>
      <c r="N277" s="255">
        <v>4800</v>
      </c>
      <c r="O277" s="431">
        <f t="shared" si="14"/>
        <v>2.0326924705683071E-2</v>
      </c>
      <c r="P277" s="258">
        <f t="shared" si="15"/>
        <v>0.93046497840264253</v>
      </c>
    </row>
    <row r="278" spans="1:16" x14ac:dyDescent="0.35">
      <c r="A278" s="432" t="s">
        <v>784</v>
      </c>
      <c r="B278" s="46" t="s">
        <v>225</v>
      </c>
      <c r="C278" s="397"/>
      <c r="D278" s="397"/>
      <c r="E278" s="397">
        <v>4000</v>
      </c>
      <c r="F278" s="397"/>
      <c r="G278" s="397"/>
      <c r="H278" s="397"/>
      <c r="I278" s="397"/>
      <c r="J278" s="397"/>
      <c r="K278" s="397"/>
      <c r="L278" s="397"/>
      <c r="M278" s="397"/>
      <c r="N278" s="255">
        <v>4000</v>
      </c>
      <c r="O278" s="431">
        <f t="shared" si="14"/>
        <v>1.6939103921402559E-2</v>
      </c>
      <c r="P278" s="258">
        <f t="shared" si="15"/>
        <v>0.94740408232404505</v>
      </c>
    </row>
    <row r="279" spans="1:16" x14ac:dyDescent="0.35">
      <c r="A279" s="432" t="s">
        <v>784</v>
      </c>
      <c r="B279" s="46" t="s">
        <v>765</v>
      </c>
      <c r="C279" s="397"/>
      <c r="D279" s="397"/>
      <c r="E279" s="397"/>
      <c r="F279" s="397"/>
      <c r="G279" s="397"/>
      <c r="H279" s="397"/>
      <c r="I279" s="397">
        <v>3000</v>
      </c>
      <c r="J279" s="397"/>
      <c r="K279" s="397"/>
      <c r="L279" s="397"/>
      <c r="M279" s="397"/>
      <c r="N279" s="255">
        <v>3000</v>
      </c>
      <c r="O279" s="431">
        <f t="shared" si="14"/>
        <v>1.2704327941051918E-2</v>
      </c>
      <c r="P279" s="258">
        <f t="shared" si="15"/>
        <v>0.96010841026509697</v>
      </c>
    </row>
    <row r="280" spans="1:16" x14ac:dyDescent="0.35">
      <c r="A280" s="432" t="s">
        <v>784</v>
      </c>
      <c r="B280" s="46" t="s">
        <v>761</v>
      </c>
      <c r="C280" s="397"/>
      <c r="D280" s="397"/>
      <c r="E280" s="397">
        <v>2800</v>
      </c>
      <c r="F280" s="397"/>
      <c r="G280" s="397"/>
      <c r="H280" s="397"/>
      <c r="I280" s="397"/>
      <c r="J280" s="397"/>
      <c r="K280" s="397"/>
      <c r="L280" s="397"/>
      <c r="M280" s="397"/>
      <c r="N280" s="255">
        <v>2800</v>
      </c>
      <c r="O280" s="431">
        <f t="shared" si="14"/>
        <v>1.1857372744981791E-2</v>
      </c>
      <c r="P280" s="258">
        <f t="shared" si="15"/>
        <v>0.97196578301007874</v>
      </c>
    </row>
    <row r="281" spans="1:16" x14ac:dyDescent="0.35">
      <c r="A281" s="453" t="s">
        <v>784</v>
      </c>
      <c r="B281" s="46" t="s">
        <v>231</v>
      </c>
      <c r="C281" s="397"/>
      <c r="D281" s="397"/>
      <c r="E281" s="397">
        <v>100</v>
      </c>
      <c r="F281" s="397"/>
      <c r="G281" s="397"/>
      <c r="H281" s="397">
        <v>300</v>
      </c>
      <c r="I281" s="397"/>
      <c r="J281" s="397">
        <v>1600</v>
      </c>
      <c r="K281" s="397"/>
      <c r="L281" s="397"/>
      <c r="M281" s="397"/>
      <c r="N281" s="255">
        <v>2000</v>
      </c>
      <c r="O281" s="431">
        <f t="shared" si="14"/>
        <v>8.4695519607012795E-3</v>
      </c>
      <c r="P281" s="258">
        <f t="shared" si="15"/>
        <v>0.98043533497078006</v>
      </c>
    </row>
    <row r="282" spans="1:16" x14ac:dyDescent="0.35">
      <c r="A282" s="46" t="s">
        <v>220</v>
      </c>
      <c r="B282" s="46" t="s">
        <v>220</v>
      </c>
      <c r="C282" s="397"/>
      <c r="D282" s="397">
        <v>700</v>
      </c>
      <c r="E282" s="397"/>
      <c r="F282" s="397"/>
      <c r="G282" s="397"/>
      <c r="H282" s="397">
        <v>200</v>
      </c>
      <c r="I282" s="397"/>
      <c r="J282" s="397"/>
      <c r="K282" s="397"/>
      <c r="L282" s="397"/>
      <c r="M282" s="397"/>
      <c r="N282" s="255">
        <v>900</v>
      </c>
      <c r="O282" s="431">
        <f t="shared" si="14"/>
        <v>3.8112983823155753E-3</v>
      </c>
      <c r="P282" s="258">
        <f t="shared" si="15"/>
        <v>0.98424663335309559</v>
      </c>
    </row>
    <row r="283" spans="1:16" x14ac:dyDescent="0.35">
      <c r="A283" s="432" t="s">
        <v>784</v>
      </c>
      <c r="B283" s="46" t="s">
        <v>767</v>
      </c>
      <c r="C283" s="397"/>
      <c r="D283" s="397"/>
      <c r="E283" s="397"/>
      <c r="F283" s="397"/>
      <c r="G283" s="397"/>
      <c r="H283" s="397"/>
      <c r="I283" s="397"/>
      <c r="J283" s="397">
        <v>800</v>
      </c>
      <c r="K283" s="397"/>
      <c r="L283" s="397"/>
      <c r="M283" s="397"/>
      <c r="N283" s="255">
        <v>800</v>
      </c>
      <c r="O283" s="431">
        <f t="shared" si="14"/>
        <v>3.3878207842805113E-3</v>
      </c>
      <c r="P283" s="258">
        <f t="shared" si="15"/>
        <v>0.98763445413737605</v>
      </c>
    </row>
    <row r="284" spans="1:16" x14ac:dyDescent="0.35">
      <c r="A284" s="432" t="s">
        <v>784</v>
      </c>
      <c r="B284" s="46" t="s">
        <v>241</v>
      </c>
      <c r="C284" s="397"/>
      <c r="D284" s="397"/>
      <c r="E284" s="397"/>
      <c r="F284" s="397"/>
      <c r="G284" s="397"/>
      <c r="H284" s="397">
        <v>600</v>
      </c>
      <c r="I284" s="397"/>
      <c r="J284" s="397"/>
      <c r="K284" s="397"/>
      <c r="L284" s="397"/>
      <c r="M284" s="397"/>
      <c r="N284" s="255">
        <v>600</v>
      </c>
      <c r="O284" s="431">
        <f t="shared" si="14"/>
        <v>2.5408655882103838E-3</v>
      </c>
      <c r="P284" s="258">
        <f t="shared" si="15"/>
        <v>0.99017531972558648</v>
      </c>
    </row>
    <row r="285" spans="1:16" x14ac:dyDescent="0.35">
      <c r="A285" s="432" t="s">
        <v>784</v>
      </c>
      <c r="B285" s="46" t="s">
        <v>758</v>
      </c>
      <c r="C285" s="397"/>
      <c r="D285" s="397"/>
      <c r="E285" s="397"/>
      <c r="F285" s="397"/>
      <c r="G285" s="397"/>
      <c r="H285" s="397"/>
      <c r="I285" s="397"/>
      <c r="J285" s="397"/>
      <c r="K285" s="397"/>
      <c r="L285" s="397"/>
      <c r="M285" s="397">
        <v>500</v>
      </c>
      <c r="N285" s="255">
        <v>500</v>
      </c>
      <c r="O285" s="431">
        <f t="shared" si="14"/>
        <v>2.1173879901753199E-3</v>
      </c>
      <c r="P285" s="258">
        <f t="shared" si="15"/>
        <v>0.99229270771576183</v>
      </c>
    </row>
    <row r="286" spans="1:16" x14ac:dyDescent="0.35">
      <c r="A286" s="453" t="s">
        <v>784</v>
      </c>
      <c r="B286" s="46" t="s">
        <v>242</v>
      </c>
      <c r="C286" s="397"/>
      <c r="D286" s="397"/>
      <c r="E286" s="397"/>
      <c r="F286" s="397"/>
      <c r="G286" s="397"/>
      <c r="H286" s="397">
        <v>300</v>
      </c>
      <c r="I286" s="397">
        <v>80</v>
      </c>
      <c r="J286" s="397"/>
      <c r="K286" s="397"/>
      <c r="L286" s="397">
        <v>34</v>
      </c>
      <c r="M286" s="397"/>
      <c r="N286" s="255">
        <v>414</v>
      </c>
      <c r="O286" s="431">
        <f t="shared" si="14"/>
        <v>1.7531972558651647E-3</v>
      </c>
      <c r="P286" s="258">
        <f t="shared" si="15"/>
        <v>0.99404590497162704</v>
      </c>
    </row>
    <row r="287" spans="1:16" x14ac:dyDescent="0.35">
      <c r="A287" s="432" t="s">
        <v>784</v>
      </c>
      <c r="B287" s="46" t="s">
        <v>771</v>
      </c>
      <c r="C287" s="397"/>
      <c r="D287" s="397"/>
      <c r="E287" s="397"/>
      <c r="F287" s="397"/>
      <c r="G287" s="397"/>
      <c r="H287" s="397"/>
      <c r="I287" s="397"/>
      <c r="J287" s="397"/>
      <c r="K287" s="397"/>
      <c r="L287" s="397">
        <v>400</v>
      </c>
      <c r="M287" s="397"/>
      <c r="N287" s="255">
        <v>400</v>
      </c>
      <c r="O287" s="431">
        <f t="shared" si="14"/>
        <v>1.6939103921402557E-3</v>
      </c>
      <c r="P287" s="258">
        <f t="shared" si="15"/>
        <v>0.99573981536376732</v>
      </c>
    </row>
    <row r="288" spans="1:16" x14ac:dyDescent="0.35">
      <c r="A288" s="432" t="s">
        <v>784</v>
      </c>
      <c r="B288" s="46" t="s">
        <v>768</v>
      </c>
      <c r="C288" s="397"/>
      <c r="D288" s="397"/>
      <c r="E288" s="397"/>
      <c r="F288" s="397"/>
      <c r="G288" s="397"/>
      <c r="H288" s="397"/>
      <c r="I288" s="397"/>
      <c r="J288" s="397">
        <v>390</v>
      </c>
      <c r="K288" s="397"/>
      <c r="L288" s="397"/>
      <c r="M288" s="397"/>
      <c r="N288" s="255">
        <v>390</v>
      </c>
      <c r="O288" s="431">
        <f t="shared" si="14"/>
        <v>1.6515626323367495E-3</v>
      </c>
      <c r="P288" s="258">
        <f t="shared" si="15"/>
        <v>0.99739137799610411</v>
      </c>
    </row>
    <row r="289" spans="1:16" x14ac:dyDescent="0.35">
      <c r="A289" s="432" t="s">
        <v>784</v>
      </c>
      <c r="B289" s="46" t="s">
        <v>757</v>
      </c>
      <c r="C289" s="397"/>
      <c r="D289" s="397"/>
      <c r="E289" s="397"/>
      <c r="F289" s="397"/>
      <c r="G289" s="397"/>
      <c r="H289" s="397"/>
      <c r="I289" s="397"/>
      <c r="J289" s="397"/>
      <c r="K289" s="397">
        <v>200</v>
      </c>
      <c r="L289" s="397"/>
      <c r="M289" s="397"/>
      <c r="N289" s="255">
        <v>200</v>
      </c>
      <c r="O289" s="431">
        <f t="shared" si="14"/>
        <v>8.4695519607012784E-4</v>
      </c>
      <c r="P289" s="258">
        <f t="shared" si="15"/>
        <v>0.99823833319217425</v>
      </c>
    </row>
    <row r="290" spans="1:16" x14ac:dyDescent="0.35">
      <c r="A290" s="432" t="s">
        <v>784</v>
      </c>
      <c r="B290" s="46" t="s">
        <v>766</v>
      </c>
      <c r="C290" s="397"/>
      <c r="D290" s="397"/>
      <c r="E290" s="397"/>
      <c r="F290" s="397"/>
      <c r="G290" s="397"/>
      <c r="H290" s="397"/>
      <c r="I290" s="397">
        <v>180</v>
      </c>
      <c r="J290" s="397"/>
      <c r="K290" s="397"/>
      <c r="L290" s="397"/>
      <c r="M290" s="397"/>
      <c r="N290" s="255">
        <v>180</v>
      </c>
      <c r="O290" s="431">
        <f t="shared" si="14"/>
        <v>7.6225967646311506E-4</v>
      </c>
      <c r="P290" s="258">
        <f t="shared" si="15"/>
        <v>0.9990005928686374</v>
      </c>
    </row>
    <row r="291" spans="1:16" x14ac:dyDescent="0.35">
      <c r="A291" s="432" t="s">
        <v>784</v>
      </c>
      <c r="B291" s="46" t="s">
        <v>772</v>
      </c>
      <c r="C291" s="397"/>
      <c r="D291" s="397"/>
      <c r="E291" s="397"/>
      <c r="F291" s="397"/>
      <c r="G291" s="397"/>
      <c r="H291" s="397"/>
      <c r="I291" s="397"/>
      <c r="J291" s="397"/>
      <c r="K291" s="397"/>
      <c r="L291" s="397">
        <v>91</v>
      </c>
      <c r="M291" s="397"/>
      <c r="N291" s="255">
        <v>91</v>
      </c>
      <c r="O291" s="431">
        <f t="shared" si="14"/>
        <v>3.8536461421190819E-4</v>
      </c>
      <c r="P291" s="258">
        <f t="shared" si="15"/>
        <v>0.99938595748284931</v>
      </c>
    </row>
    <row r="292" spans="1:16" x14ac:dyDescent="0.35">
      <c r="A292" s="432" t="s">
        <v>784</v>
      </c>
      <c r="B292" s="46" t="s">
        <v>759</v>
      </c>
      <c r="C292" s="397"/>
      <c r="D292" s="397"/>
      <c r="E292" s="397"/>
      <c r="F292" s="397"/>
      <c r="G292" s="397"/>
      <c r="H292" s="397"/>
      <c r="I292" s="397"/>
      <c r="J292" s="397">
        <v>70</v>
      </c>
      <c r="K292" s="397"/>
      <c r="L292" s="397"/>
      <c r="M292" s="397"/>
      <c r="N292" s="255">
        <v>70</v>
      </c>
      <c r="O292" s="431">
        <f t="shared" si="14"/>
        <v>2.9643431862454476E-4</v>
      </c>
      <c r="P292" s="258">
        <f t="shared" si="15"/>
        <v>0.99968239180147389</v>
      </c>
    </row>
    <row r="293" spans="1:16" x14ac:dyDescent="0.35">
      <c r="A293" s="432" t="s">
        <v>784</v>
      </c>
      <c r="B293" s="46" t="s">
        <v>450</v>
      </c>
      <c r="C293" s="397"/>
      <c r="D293" s="397"/>
      <c r="E293" s="397"/>
      <c r="F293" s="397"/>
      <c r="G293" s="397"/>
      <c r="H293" s="397"/>
      <c r="I293" s="397"/>
      <c r="J293" s="397">
        <v>20</v>
      </c>
      <c r="K293" s="397"/>
      <c r="L293" s="397"/>
      <c r="M293" s="397"/>
      <c r="N293" s="255">
        <v>20</v>
      </c>
      <c r="O293" s="431">
        <f t="shared" si="14"/>
        <v>8.4695519607012786E-5</v>
      </c>
      <c r="P293" s="258">
        <f t="shared" si="15"/>
        <v>0.99976708732108088</v>
      </c>
    </row>
    <row r="294" spans="1:16" x14ac:dyDescent="0.35">
      <c r="A294" s="432" t="s">
        <v>784</v>
      </c>
      <c r="B294" s="46" t="s">
        <v>431</v>
      </c>
      <c r="C294" s="397"/>
      <c r="D294" s="397"/>
      <c r="E294" s="397"/>
      <c r="F294" s="397"/>
      <c r="G294" s="397"/>
      <c r="H294" s="397"/>
      <c r="I294" s="397"/>
      <c r="J294" s="397">
        <v>20</v>
      </c>
      <c r="K294" s="397"/>
      <c r="L294" s="397"/>
      <c r="M294" s="397"/>
      <c r="N294" s="255">
        <v>20</v>
      </c>
      <c r="O294" s="431">
        <f t="shared" si="14"/>
        <v>8.4695519607012786E-5</v>
      </c>
      <c r="P294" s="258">
        <f t="shared" si="15"/>
        <v>0.99985178284068787</v>
      </c>
    </row>
    <row r="295" spans="1:16" x14ac:dyDescent="0.35">
      <c r="A295" s="432" t="s">
        <v>784</v>
      </c>
      <c r="B295" s="46" t="s">
        <v>769</v>
      </c>
      <c r="C295" s="397"/>
      <c r="D295" s="397"/>
      <c r="E295" s="397"/>
      <c r="F295" s="397"/>
      <c r="G295" s="397"/>
      <c r="H295" s="397"/>
      <c r="I295" s="397"/>
      <c r="J295" s="397">
        <v>20</v>
      </c>
      <c r="K295" s="397"/>
      <c r="L295" s="397"/>
      <c r="M295" s="397"/>
      <c r="N295" s="255">
        <v>20</v>
      </c>
      <c r="O295" s="431">
        <f t="shared" si="14"/>
        <v>8.4695519607012786E-5</v>
      </c>
      <c r="P295" s="258">
        <f t="shared" si="15"/>
        <v>0.99993647836029487</v>
      </c>
    </row>
    <row r="296" spans="1:16" x14ac:dyDescent="0.35">
      <c r="A296" s="432" t="s">
        <v>784</v>
      </c>
      <c r="B296" s="46" t="s">
        <v>261</v>
      </c>
      <c r="C296" s="397"/>
      <c r="D296" s="397"/>
      <c r="E296" s="397"/>
      <c r="F296" s="397"/>
      <c r="G296" s="397"/>
      <c r="H296" s="397"/>
      <c r="I296" s="397"/>
      <c r="J296" s="397"/>
      <c r="K296" s="397"/>
      <c r="L296" s="397">
        <v>15</v>
      </c>
      <c r="M296" s="397"/>
      <c r="N296" s="255">
        <v>15</v>
      </c>
      <c r="O296" s="431">
        <f t="shared" si="14"/>
        <v>6.3521639705259593E-5</v>
      </c>
      <c r="P296" s="258">
        <f t="shared" si="15"/>
        <v>1.0000000000000002</v>
      </c>
    </row>
    <row r="297" spans="1:16" x14ac:dyDescent="0.35">
      <c r="A297" s="432" t="s">
        <v>784</v>
      </c>
      <c r="B297" s="46" t="s">
        <v>770</v>
      </c>
      <c r="C297" s="397"/>
      <c r="D297" s="397"/>
      <c r="E297" s="397"/>
      <c r="F297" s="397"/>
      <c r="G297" s="397"/>
      <c r="H297" s="397"/>
      <c r="I297" s="397"/>
      <c r="J297" s="397"/>
      <c r="K297" s="397"/>
      <c r="L297" s="397"/>
      <c r="M297" s="397"/>
      <c r="N297" s="255">
        <v>0</v>
      </c>
      <c r="O297" s="431">
        <f t="shared" si="14"/>
        <v>0</v>
      </c>
      <c r="P297" s="258">
        <f t="shared" si="15"/>
        <v>1.0000000000000002</v>
      </c>
    </row>
    <row r="298" spans="1:16" x14ac:dyDescent="0.35">
      <c r="A298" s="432" t="s">
        <v>784</v>
      </c>
      <c r="B298" s="46" t="s">
        <v>443</v>
      </c>
      <c r="C298" s="397"/>
      <c r="D298" s="397"/>
      <c r="E298" s="397"/>
      <c r="F298" s="397"/>
      <c r="G298" s="397"/>
      <c r="H298" s="397"/>
      <c r="I298" s="397"/>
      <c r="J298" s="397"/>
      <c r="K298" s="397"/>
      <c r="L298" s="397"/>
      <c r="M298" s="397"/>
      <c r="N298" s="255">
        <v>0</v>
      </c>
      <c r="O298" s="431">
        <f t="shared" si="14"/>
        <v>0</v>
      </c>
      <c r="P298" s="258">
        <f t="shared" si="15"/>
        <v>1.0000000000000002</v>
      </c>
    </row>
  </sheetData>
  <autoFilter ref="A267:P298" xr:uid="{E83BF76D-76BB-4114-BFCD-0DF8A8DB0AD3}"/>
  <pageMargins left="0.7" right="0.7" top="0.75" bottom="0.75" header="0.3" footer="0.3"/>
  <pageSetup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0AF8-E570-4710-92A9-681C91353CF7}">
  <sheetPr>
    <tabColor theme="3"/>
  </sheetPr>
  <dimension ref="A1:Y378"/>
  <sheetViews>
    <sheetView topLeftCell="A342" workbookViewId="0">
      <selection activeCell="F346" sqref="F346"/>
    </sheetView>
  </sheetViews>
  <sheetFormatPr defaultRowHeight="14.5" x14ac:dyDescent="0.35"/>
  <cols>
    <col min="1" max="1" width="10" style="193" customWidth="1"/>
    <col min="2" max="2" width="96.26953125" style="193" bestFit="1" customWidth="1"/>
    <col min="3" max="3" width="30" style="193" customWidth="1"/>
    <col min="4" max="4" width="40" style="193" customWidth="1"/>
    <col min="5" max="5" width="29.1796875" style="193" customWidth="1"/>
    <col min="6" max="6" width="17.90625" style="193" customWidth="1"/>
    <col min="7" max="10" width="8.7265625" style="193"/>
    <col min="11" max="11" width="27.90625" style="193" bestFit="1" customWidth="1"/>
    <col min="12" max="19" width="13.1796875" style="193" bestFit="1" customWidth="1"/>
    <col min="20" max="20" width="12.90625" style="193" bestFit="1" customWidth="1"/>
    <col min="21" max="22" width="13.1796875" style="193" bestFit="1" customWidth="1"/>
    <col min="23" max="23" width="12.90625" style="193" bestFit="1" customWidth="1"/>
    <col min="24" max="24" width="13.1796875" style="193" bestFit="1" customWidth="1"/>
    <col min="25" max="16384" width="8.7265625" style="193"/>
  </cols>
  <sheetData>
    <row r="1" spans="1:25" ht="23.5" x14ac:dyDescent="0.35">
      <c r="A1" s="649" t="s">
        <v>264</v>
      </c>
      <c r="B1" s="649"/>
      <c r="C1" s="649"/>
      <c r="D1" s="649"/>
      <c r="E1" s="649"/>
      <c r="F1" s="649"/>
    </row>
    <row r="3" spans="1:25" x14ac:dyDescent="0.35">
      <c r="A3" s="198" t="s">
        <v>265</v>
      </c>
      <c r="B3" s="193" t="s">
        <v>266</v>
      </c>
    </row>
    <row r="4" spans="1:25" x14ac:dyDescent="0.35">
      <c r="A4" s="198" t="s">
        <v>267</v>
      </c>
      <c r="B4" s="193" t="s">
        <v>268</v>
      </c>
    </row>
    <row r="6" spans="1:25" x14ac:dyDescent="0.35">
      <c r="A6" s="199" t="s">
        <v>104</v>
      </c>
      <c r="B6" s="199" t="s">
        <v>269</v>
      </c>
      <c r="C6" s="199" t="s">
        <v>201</v>
      </c>
      <c r="D6" s="199" t="s">
        <v>420</v>
      </c>
      <c r="E6" s="199" t="s">
        <v>270</v>
      </c>
      <c r="F6" s="199" t="s">
        <v>211</v>
      </c>
      <c r="G6" s="199" t="s">
        <v>420</v>
      </c>
      <c r="Y6" s="193" t="s">
        <v>271</v>
      </c>
    </row>
    <row r="7" spans="1:25" x14ac:dyDescent="0.35">
      <c r="A7" s="200">
        <v>2010</v>
      </c>
      <c r="B7" s="201" t="s">
        <v>272</v>
      </c>
      <c r="C7" s="201" t="s">
        <v>273</v>
      </c>
      <c r="D7" s="291" t="str">
        <f>IFERROR(VLOOKUP(C7,$B$270:$D$337,3,FALSE),"-")</f>
        <v>TSP</v>
      </c>
      <c r="E7" s="202">
        <v>15690</v>
      </c>
      <c r="F7" s="203">
        <f t="shared" ref="F7:F19" si="0">IFERROR(VLOOKUP(C7,$B$270:$C$337,2,FALSE),"-")</f>
        <v>0.46</v>
      </c>
      <c r="G7" s="193" t="s">
        <v>220</v>
      </c>
      <c r="M7" s="192" t="s">
        <v>274</v>
      </c>
      <c r="N7" s="192" t="s">
        <v>275</v>
      </c>
      <c r="O7" s="192" t="s">
        <v>276</v>
      </c>
      <c r="P7" s="192" t="s">
        <v>277</v>
      </c>
      <c r="Q7" s="192" t="s">
        <v>278</v>
      </c>
      <c r="R7" s="192" t="s">
        <v>279</v>
      </c>
      <c r="S7" s="192" t="s">
        <v>280</v>
      </c>
      <c r="T7" s="192" t="s">
        <v>281</v>
      </c>
      <c r="U7" s="192" t="s">
        <v>282</v>
      </c>
      <c r="V7" s="192" t="s">
        <v>283</v>
      </c>
      <c r="W7" s="192" t="s">
        <v>284</v>
      </c>
      <c r="X7" s="192" t="s">
        <v>285</v>
      </c>
      <c r="Y7" s="204" t="s">
        <v>286</v>
      </c>
    </row>
    <row r="8" spans="1:25" x14ac:dyDescent="0.35">
      <c r="A8" s="200">
        <v>2010</v>
      </c>
      <c r="B8" s="201" t="s">
        <v>287</v>
      </c>
      <c r="C8" s="201" t="s">
        <v>288</v>
      </c>
      <c r="D8" s="291">
        <f t="shared" ref="D8:D71" si="1">IFERROR(VLOOKUP(C8,$B$270:$D$337,3,FALSE),"-")</f>
        <v>0</v>
      </c>
      <c r="E8" s="202">
        <v>24496</v>
      </c>
      <c r="F8" s="203">
        <f t="shared" si="0"/>
        <v>0</v>
      </c>
      <c r="L8" s="193" t="s">
        <v>270</v>
      </c>
      <c r="M8" s="205">
        <v>209734</v>
      </c>
      <c r="N8" s="205">
        <v>127544</v>
      </c>
      <c r="O8" s="205">
        <v>164592</v>
      </c>
      <c r="P8" s="205">
        <v>267581</v>
      </c>
      <c r="Q8" s="205">
        <v>292962</v>
      </c>
      <c r="R8" s="205">
        <v>287873</v>
      </c>
      <c r="S8" s="205">
        <v>298047</v>
      </c>
      <c r="T8" s="205">
        <v>271157</v>
      </c>
      <c r="U8" s="205">
        <v>232337</v>
      </c>
      <c r="V8" s="205">
        <v>386083</v>
      </c>
      <c r="W8" s="205">
        <v>317473</v>
      </c>
      <c r="X8" s="205">
        <v>485619</v>
      </c>
      <c r="Y8" s="206">
        <v>239160</v>
      </c>
    </row>
    <row r="9" spans="1:25" x14ac:dyDescent="0.35">
      <c r="A9" s="200">
        <v>2010</v>
      </c>
      <c r="B9" s="201" t="s">
        <v>289</v>
      </c>
      <c r="C9" s="201" t="s">
        <v>214</v>
      </c>
      <c r="D9" s="291">
        <f t="shared" si="1"/>
        <v>0</v>
      </c>
      <c r="E9" s="202">
        <v>37579</v>
      </c>
      <c r="F9" s="203">
        <f t="shared" si="0"/>
        <v>0</v>
      </c>
      <c r="L9" s="193" t="s">
        <v>211</v>
      </c>
      <c r="M9" s="207">
        <v>0.13508946093623353</v>
      </c>
      <c r="N9" s="207">
        <v>0.10142585303895128</v>
      </c>
      <c r="O9" s="207">
        <v>0.11467180057353943</v>
      </c>
      <c r="P9" s="207">
        <v>0.15450846659516185</v>
      </c>
      <c r="Q9" s="207">
        <v>0.14341425509110398</v>
      </c>
      <c r="R9" s="207">
        <v>0.14274655143066561</v>
      </c>
      <c r="S9" s="207">
        <v>0.16805713998127808</v>
      </c>
      <c r="T9" s="207">
        <v>0.1614596414623263</v>
      </c>
      <c r="U9" s="207">
        <v>0.11832928031264929</v>
      </c>
      <c r="V9" s="207">
        <v>0.16669019873964924</v>
      </c>
      <c r="W9" s="207">
        <v>0.15873050306640252</v>
      </c>
      <c r="X9" s="207">
        <v>0.16724790010275545</v>
      </c>
      <c r="Y9" s="208">
        <v>7.6270488375982604E-2</v>
      </c>
    </row>
    <row r="10" spans="1:25" x14ac:dyDescent="0.35">
      <c r="A10" s="200">
        <v>2010</v>
      </c>
      <c r="B10" s="201" t="s">
        <v>290</v>
      </c>
      <c r="C10" s="201" t="s">
        <v>291</v>
      </c>
      <c r="D10" s="291" t="str">
        <f t="shared" si="1"/>
        <v>DAP</v>
      </c>
      <c r="E10" s="202">
        <v>39208</v>
      </c>
      <c r="F10" s="203">
        <f t="shared" si="0"/>
        <v>0.46</v>
      </c>
      <c r="G10" s="193" t="s">
        <v>231</v>
      </c>
      <c r="L10" s="193" t="s">
        <v>292</v>
      </c>
      <c r="M10" s="205">
        <f>M9*M8</f>
        <v>28332.853000000003</v>
      </c>
      <c r="N10" s="205">
        <f t="shared" ref="N10:Y10" si="2">N9*N8</f>
        <v>12936.259000000002</v>
      </c>
      <c r="O10" s="205">
        <f t="shared" si="2"/>
        <v>18874.061000000002</v>
      </c>
      <c r="P10" s="205">
        <f t="shared" si="2"/>
        <v>41343.53</v>
      </c>
      <c r="Q10" s="205">
        <f t="shared" si="2"/>
        <v>42014.927000000003</v>
      </c>
      <c r="R10" s="205">
        <f t="shared" si="2"/>
        <v>41092.878000000004</v>
      </c>
      <c r="S10" s="205">
        <f t="shared" si="2"/>
        <v>50088.926399999989</v>
      </c>
      <c r="T10" s="205">
        <f t="shared" si="2"/>
        <v>43780.912000000011</v>
      </c>
      <c r="U10" s="205">
        <f t="shared" si="2"/>
        <v>27492.269999999997</v>
      </c>
      <c r="V10" s="205">
        <f t="shared" si="2"/>
        <v>64356.252</v>
      </c>
      <c r="W10" s="205">
        <f t="shared" si="2"/>
        <v>50392.649000000005</v>
      </c>
      <c r="X10" s="205">
        <f t="shared" si="2"/>
        <v>81218.758000000002</v>
      </c>
      <c r="Y10" s="206">
        <f t="shared" si="2"/>
        <v>18240.849999999999</v>
      </c>
    </row>
    <row r="11" spans="1:25" x14ac:dyDescent="0.35">
      <c r="A11" s="200">
        <v>2010</v>
      </c>
      <c r="B11" s="201" t="s">
        <v>293</v>
      </c>
      <c r="C11" s="201" t="s">
        <v>294</v>
      </c>
      <c r="D11" s="291">
        <f t="shared" si="1"/>
        <v>0</v>
      </c>
      <c r="E11" s="202">
        <v>77239</v>
      </c>
      <c r="F11" s="203">
        <f t="shared" si="0"/>
        <v>0</v>
      </c>
    </row>
    <row r="12" spans="1:25" x14ac:dyDescent="0.35">
      <c r="A12" s="200">
        <v>2010</v>
      </c>
      <c r="B12" s="201" t="s">
        <v>295</v>
      </c>
      <c r="C12" s="201" t="s">
        <v>296</v>
      </c>
      <c r="D12" s="291" t="str">
        <f t="shared" si="1"/>
        <v>MAP</v>
      </c>
      <c r="E12" s="202">
        <v>117.2</v>
      </c>
      <c r="F12" s="203">
        <f t="shared" si="0"/>
        <v>0.5</v>
      </c>
      <c r="G12" s="193" t="s">
        <v>242</v>
      </c>
    </row>
    <row r="13" spans="1:25" x14ac:dyDescent="0.35">
      <c r="A13" s="200">
        <v>2010</v>
      </c>
      <c r="B13" s="201" t="s">
        <v>297</v>
      </c>
      <c r="C13" s="201" t="s">
        <v>298</v>
      </c>
      <c r="D13" s="291">
        <f t="shared" si="1"/>
        <v>0</v>
      </c>
      <c r="E13" s="202">
        <v>40.04</v>
      </c>
      <c r="F13" s="203">
        <f t="shared" si="0"/>
        <v>0</v>
      </c>
    </row>
    <row r="14" spans="1:25" x14ac:dyDescent="0.35">
      <c r="A14" s="200">
        <v>2010</v>
      </c>
      <c r="B14" s="201" t="s">
        <v>299</v>
      </c>
      <c r="C14" s="201" t="s">
        <v>300</v>
      </c>
      <c r="D14" s="291" t="str">
        <f t="shared" si="1"/>
        <v>Other P</v>
      </c>
      <c r="E14" s="202">
        <v>2.0299999999999998</v>
      </c>
      <c r="F14" s="203">
        <f t="shared" si="0"/>
        <v>0.1</v>
      </c>
      <c r="G14" s="193" t="s">
        <v>421</v>
      </c>
    </row>
    <row r="15" spans="1:25" x14ac:dyDescent="0.35">
      <c r="A15" s="200">
        <v>2010</v>
      </c>
      <c r="B15" s="201" t="s">
        <v>301</v>
      </c>
      <c r="C15" s="201" t="s">
        <v>302</v>
      </c>
      <c r="D15" s="291">
        <f t="shared" si="1"/>
        <v>0</v>
      </c>
      <c r="E15" s="202">
        <v>159.30000000000001</v>
      </c>
      <c r="F15" s="203">
        <f t="shared" si="0"/>
        <v>0</v>
      </c>
    </row>
    <row r="16" spans="1:25" x14ac:dyDescent="0.35">
      <c r="A16" s="200">
        <v>2010</v>
      </c>
      <c r="B16" s="201" t="s">
        <v>303</v>
      </c>
      <c r="C16" s="201" t="s">
        <v>304</v>
      </c>
      <c r="D16" s="291">
        <f t="shared" si="1"/>
        <v>0</v>
      </c>
      <c r="E16" s="202">
        <v>5593</v>
      </c>
      <c r="F16" s="203">
        <f t="shared" si="0"/>
        <v>0</v>
      </c>
    </row>
    <row r="17" spans="1:7" x14ac:dyDescent="0.35">
      <c r="A17" s="200">
        <v>2010</v>
      </c>
      <c r="B17" s="201" t="s">
        <v>305</v>
      </c>
      <c r="C17" s="201" t="s">
        <v>306</v>
      </c>
      <c r="D17" s="291" t="str">
        <f t="shared" si="1"/>
        <v>Other P</v>
      </c>
      <c r="E17" s="202">
        <v>30.45</v>
      </c>
      <c r="F17" s="203">
        <f t="shared" si="0"/>
        <v>0.2</v>
      </c>
      <c r="G17" s="193" t="s">
        <v>421</v>
      </c>
    </row>
    <row r="18" spans="1:7" x14ac:dyDescent="0.35">
      <c r="A18" s="200">
        <v>2010</v>
      </c>
      <c r="B18" s="201" t="s">
        <v>307</v>
      </c>
      <c r="C18" s="201" t="s">
        <v>308</v>
      </c>
      <c r="D18" s="291" t="str">
        <f t="shared" si="1"/>
        <v>Phosphate rocks</v>
      </c>
      <c r="E18" s="202">
        <v>9136</v>
      </c>
      <c r="F18" s="203">
        <f t="shared" si="0"/>
        <v>0.33</v>
      </c>
    </row>
    <row r="19" spans="1:7" x14ac:dyDescent="0.35">
      <c r="A19" s="200">
        <v>2010</v>
      </c>
      <c r="B19" s="201" t="s">
        <v>309</v>
      </c>
      <c r="C19" s="201" t="s">
        <v>310</v>
      </c>
      <c r="D19" s="291">
        <f t="shared" si="1"/>
        <v>0</v>
      </c>
      <c r="E19" s="202">
        <v>443.5</v>
      </c>
      <c r="F19" s="203">
        <f t="shared" si="0"/>
        <v>0</v>
      </c>
    </row>
    <row r="20" spans="1:7" x14ac:dyDescent="0.35">
      <c r="A20" s="201"/>
      <c r="B20" s="201"/>
      <c r="C20" s="209" t="s">
        <v>274</v>
      </c>
      <c r="D20" s="291" t="str">
        <f t="shared" si="1"/>
        <v>-</v>
      </c>
      <c r="E20" s="210">
        <v>209734</v>
      </c>
      <c r="F20" s="211">
        <f>SUMPRODUCT(E7:E19,F7:F19)/E20</f>
        <v>0.13508946093623353</v>
      </c>
    </row>
    <row r="21" spans="1:7" x14ac:dyDescent="0.35">
      <c r="A21" s="200">
        <v>2011</v>
      </c>
      <c r="B21" s="201" t="s">
        <v>290</v>
      </c>
      <c r="C21" s="201" t="s">
        <v>291</v>
      </c>
      <c r="D21" s="291" t="str">
        <f t="shared" si="1"/>
        <v>DAP</v>
      </c>
      <c r="E21" s="202">
        <v>9882</v>
      </c>
      <c r="F21" s="203">
        <f t="shared" ref="F21:F34" si="3">IFERROR(VLOOKUP(C21,$B$270:$C$337,2,FALSE),"-")</f>
        <v>0.46</v>
      </c>
    </row>
    <row r="22" spans="1:7" x14ac:dyDescent="0.35">
      <c r="A22" s="200">
        <v>2011</v>
      </c>
      <c r="B22" s="201" t="s">
        <v>272</v>
      </c>
      <c r="C22" s="201" t="s">
        <v>273</v>
      </c>
      <c r="D22" s="291" t="str">
        <f t="shared" si="1"/>
        <v>TSP</v>
      </c>
      <c r="E22" s="202">
        <v>10087</v>
      </c>
      <c r="F22" s="203">
        <f t="shared" si="3"/>
        <v>0.46</v>
      </c>
    </row>
    <row r="23" spans="1:7" x14ac:dyDescent="0.35">
      <c r="A23" s="200">
        <v>2011</v>
      </c>
      <c r="B23" s="201" t="s">
        <v>287</v>
      </c>
      <c r="C23" s="201" t="s">
        <v>288</v>
      </c>
      <c r="D23" s="291">
        <f t="shared" si="1"/>
        <v>0</v>
      </c>
      <c r="E23" s="202">
        <v>13107</v>
      </c>
      <c r="F23" s="203">
        <f t="shared" si="3"/>
        <v>0</v>
      </c>
    </row>
    <row r="24" spans="1:7" x14ac:dyDescent="0.35">
      <c r="A24" s="200">
        <v>2011</v>
      </c>
      <c r="B24" s="201" t="s">
        <v>293</v>
      </c>
      <c r="C24" s="201" t="s">
        <v>294</v>
      </c>
      <c r="D24" s="291">
        <f t="shared" si="1"/>
        <v>0</v>
      </c>
      <c r="E24" s="202">
        <v>35860</v>
      </c>
      <c r="F24" s="203">
        <f t="shared" si="3"/>
        <v>0</v>
      </c>
    </row>
    <row r="25" spans="1:7" x14ac:dyDescent="0.35">
      <c r="A25" s="200">
        <v>2011</v>
      </c>
      <c r="B25" s="201" t="s">
        <v>289</v>
      </c>
      <c r="C25" s="201" t="s">
        <v>214</v>
      </c>
      <c r="D25" s="291">
        <f t="shared" si="1"/>
        <v>0</v>
      </c>
      <c r="E25" s="202">
        <v>44949</v>
      </c>
      <c r="F25" s="203">
        <f t="shared" si="3"/>
        <v>0</v>
      </c>
    </row>
    <row r="26" spans="1:7" x14ac:dyDescent="0.35">
      <c r="A26" s="200">
        <v>2011</v>
      </c>
      <c r="B26" s="201" t="s">
        <v>297</v>
      </c>
      <c r="C26" s="201" t="s">
        <v>298</v>
      </c>
      <c r="D26" s="291">
        <f t="shared" si="1"/>
        <v>0</v>
      </c>
      <c r="E26" s="202">
        <v>85.88</v>
      </c>
      <c r="F26" s="203">
        <f t="shared" si="3"/>
        <v>0</v>
      </c>
    </row>
    <row r="27" spans="1:7" x14ac:dyDescent="0.35">
      <c r="A27" s="200">
        <v>2011</v>
      </c>
      <c r="B27" s="201" t="s">
        <v>299</v>
      </c>
      <c r="C27" s="201" t="s">
        <v>300</v>
      </c>
      <c r="D27" s="291" t="str">
        <f t="shared" si="1"/>
        <v>Other P</v>
      </c>
      <c r="E27" s="202">
        <v>0.35</v>
      </c>
      <c r="F27" s="203">
        <f t="shared" si="3"/>
        <v>0.1</v>
      </c>
    </row>
    <row r="28" spans="1:7" x14ac:dyDescent="0.35">
      <c r="A28" s="200">
        <v>2011</v>
      </c>
      <c r="B28" s="201" t="s">
        <v>301</v>
      </c>
      <c r="C28" s="201" t="s">
        <v>302</v>
      </c>
      <c r="D28" s="291">
        <f t="shared" si="1"/>
        <v>0</v>
      </c>
      <c r="E28" s="202">
        <v>51.04</v>
      </c>
      <c r="F28" s="203">
        <f t="shared" si="3"/>
        <v>0</v>
      </c>
    </row>
    <row r="29" spans="1:7" x14ac:dyDescent="0.35">
      <c r="A29" s="200">
        <v>2011</v>
      </c>
      <c r="B29" s="201" t="s">
        <v>299</v>
      </c>
      <c r="C29" s="201" t="s">
        <v>311</v>
      </c>
      <c r="D29" s="291" t="str">
        <f t="shared" si="1"/>
        <v>Other P</v>
      </c>
      <c r="E29" s="202">
        <v>0.26</v>
      </c>
      <c r="F29" s="203">
        <f t="shared" si="3"/>
        <v>0.2</v>
      </c>
    </row>
    <row r="30" spans="1:7" x14ac:dyDescent="0.35">
      <c r="A30" s="200">
        <v>2011</v>
      </c>
      <c r="B30" s="201" t="s">
        <v>303</v>
      </c>
      <c r="C30" s="201" t="s">
        <v>304</v>
      </c>
      <c r="D30" s="291">
        <f t="shared" si="1"/>
        <v>0</v>
      </c>
      <c r="E30" s="202">
        <v>686.5</v>
      </c>
      <c r="F30" s="203">
        <f t="shared" si="3"/>
        <v>0</v>
      </c>
    </row>
    <row r="31" spans="1:7" x14ac:dyDescent="0.35">
      <c r="A31" s="200">
        <v>2011</v>
      </c>
      <c r="B31" s="201" t="s">
        <v>305</v>
      </c>
      <c r="C31" s="201" t="s">
        <v>306</v>
      </c>
      <c r="D31" s="291" t="str">
        <f t="shared" si="1"/>
        <v>Other P</v>
      </c>
      <c r="E31" s="202">
        <v>33.159999999999997</v>
      </c>
      <c r="F31" s="203">
        <f t="shared" si="3"/>
        <v>0.2</v>
      </c>
    </row>
    <row r="32" spans="1:7" x14ac:dyDescent="0.35">
      <c r="A32" s="200">
        <v>2011</v>
      </c>
      <c r="B32" s="201" t="s">
        <v>307</v>
      </c>
      <c r="C32" s="201" t="s">
        <v>308</v>
      </c>
      <c r="D32" s="291" t="str">
        <f t="shared" si="1"/>
        <v>Phosphate rocks</v>
      </c>
      <c r="E32" s="202">
        <v>10920</v>
      </c>
      <c r="F32" s="203">
        <f t="shared" si="3"/>
        <v>0.33</v>
      </c>
    </row>
    <row r="33" spans="1:6" x14ac:dyDescent="0.35">
      <c r="A33" s="200">
        <v>2011</v>
      </c>
      <c r="B33" s="201" t="s">
        <v>309</v>
      </c>
      <c r="C33" s="201" t="s">
        <v>310</v>
      </c>
      <c r="D33" s="291">
        <f t="shared" si="1"/>
        <v>0</v>
      </c>
      <c r="E33" s="202">
        <v>480.1</v>
      </c>
      <c r="F33" s="203">
        <f t="shared" si="3"/>
        <v>0</v>
      </c>
    </row>
    <row r="34" spans="1:6" x14ac:dyDescent="0.35">
      <c r="A34" s="200">
        <v>2011</v>
      </c>
      <c r="B34" s="201" t="s">
        <v>312</v>
      </c>
      <c r="C34" s="201" t="s">
        <v>313</v>
      </c>
      <c r="D34" s="291" t="str">
        <f t="shared" si="1"/>
        <v>Other P</v>
      </c>
      <c r="E34" s="202">
        <v>1402</v>
      </c>
      <c r="F34" s="203">
        <f t="shared" si="3"/>
        <v>0.1</v>
      </c>
    </row>
    <row r="35" spans="1:6" x14ac:dyDescent="0.35">
      <c r="A35" s="201"/>
      <c r="B35" s="201"/>
      <c r="C35" s="209" t="s">
        <v>275</v>
      </c>
      <c r="D35" s="291" t="str">
        <f t="shared" si="1"/>
        <v>-</v>
      </c>
      <c r="E35" s="210">
        <v>127544</v>
      </c>
      <c r="F35" s="211">
        <f>SUMPRODUCT(E21:E34,F21:F34)/E35</f>
        <v>0.10142585303895128</v>
      </c>
    </row>
    <row r="36" spans="1:6" x14ac:dyDescent="0.35">
      <c r="A36" s="200">
        <v>2012</v>
      </c>
      <c r="B36" s="201" t="s">
        <v>272</v>
      </c>
      <c r="C36" s="201" t="s">
        <v>273</v>
      </c>
      <c r="D36" s="291" t="str">
        <f t="shared" si="1"/>
        <v>TSP</v>
      </c>
      <c r="E36" s="202">
        <v>8363</v>
      </c>
      <c r="F36" s="203">
        <f t="shared" ref="F36:F49" si="4">IFERROR(VLOOKUP(C36,$B$270:$C$337,2,FALSE),"-")</f>
        <v>0.46</v>
      </c>
    </row>
    <row r="37" spans="1:6" x14ac:dyDescent="0.35">
      <c r="A37" s="200">
        <v>2012</v>
      </c>
      <c r="B37" s="201" t="s">
        <v>287</v>
      </c>
      <c r="C37" s="201" t="s">
        <v>288</v>
      </c>
      <c r="D37" s="291">
        <f t="shared" si="1"/>
        <v>0</v>
      </c>
      <c r="E37" s="202">
        <v>15391</v>
      </c>
      <c r="F37" s="203">
        <f t="shared" si="4"/>
        <v>0</v>
      </c>
    </row>
    <row r="38" spans="1:6" x14ac:dyDescent="0.35">
      <c r="A38" s="200">
        <v>2012</v>
      </c>
      <c r="B38" s="201" t="s">
        <v>290</v>
      </c>
      <c r="C38" s="201" t="s">
        <v>291</v>
      </c>
      <c r="D38" s="291" t="str">
        <f t="shared" si="1"/>
        <v>DAP</v>
      </c>
      <c r="E38" s="202">
        <v>23024</v>
      </c>
      <c r="F38" s="203">
        <f t="shared" si="4"/>
        <v>0.46</v>
      </c>
    </row>
    <row r="39" spans="1:6" x14ac:dyDescent="0.35">
      <c r="A39" s="200">
        <v>2012</v>
      </c>
      <c r="B39" s="201" t="s">
        <v>293</v>
      </c>
      <c r="C39" s="201" t="s">
        <v>294</v>
      </c>
      <c r="D39" s="291">
        <f t="shared" si="1"/>
        <v>0</v>
      </c>
      <c r="E39" s="202">
        <v>39460</v>
      </c>
      <c r="F39" s="203">
        <f t="shared" si="4"/>
        <v>0</v>
      </c>
    </row>
    <row r="40" spans="1:6" x14ac:dyDescent="0.35">
      <c r="A40" s="200">
        <v>2012</v>
      </c>
      <c r="B40" s="201" t="s">
        <v>289</v>
      </c>
      <c r="C40" s="201" t="s">
        <v>214</v>
      </c>
      <c r="D40" s="291">
        <f t="shared" si="1"/>
        <v>0</v>
      </c>
      <c r="E40" s="202">
        <v>55310</v>
      </c>
      <c r="F40" s="203">
        <f t="shared" si="4"/>
        <v>0</v>
      </c>
    </row>
    <row r="41" spans="1:6" x14ac:dyDescent="0.35">
      <c r="A41" s="200">
        <v>2012</v>
      </c>
      <c r="B41" s="201" t="s">
        <v>314</v>
      </c>
      <c r="C41" s="201" t="s">
        <v>315</v>
      </c>
      <c r="D41" s="291">
        <f t="shared" si="1"/>
        <v>0</v>
      </c>
      <c r="E41" s="202">
        <v>75.430000000000007</v>
      </c>
      <c r="F41" s="203">
        <f t="shared" si="4"/>
        <v>0</v>
      </c>
    </row>
    <row r="42" spans="1:6" x14ac:dyDescent="0.35">
      <c r="A42" s="200">
        <v>2012</v>
      </c>
      <c r="B42" s="201" t="s">
        <v>295</v>
      </c>
      <c r="C42" s="201" t="s">
        <v>296</v>
      </c>
      <c r="D42" s="291" t="str">
        <f t="shared" si="1"/>
        <v>MAP</v>
      </c>
      <c r="E42" s="202">
        <v>237</v>
      </c>
      <c r="F42" s="203">
        <f t="shared" si="4"/>
        <v>0.5</v>
      </c>
    </row>
    <row r="43" spans="1:6" x14ac:dyDescent="0.35">
      <c r="A43" s="200">
        <v>2012</v>
      </c>
      <c r="B43" s="201" t="s">
        <v>299</v>
      </c>
      <c r="C43" s="201" t="s">
        <v>300</v>
      </c>
      <c r="D43" s="291" t="str">
        <f t="shared" si="1"/>
        <v>Other P</v>
      </c>
      <c r="E43" s="202">
        <v>9.61</v>
      </c>
      <c r="F43" s="203">
        <f t="shared" si="4"/>
        <v>0.1</v>
      </c>
    </row>
    <row r="44" spans="1:6" x14ac:dyDescent="0.35">
      <c r="A44" s="200">
        <v>2012</v>
      </c>
      <c r="B44" s="201" t="s">
        <v>301</v>
      </c>
      <c r="C44" s="201" t="s">
        <v>302</v>
      </c>
      <c r="D44" s="291">
        <f t="shared" si="1"/>
        <v>0</v>
      </c>
      <c r="E44" s="202">
        <v>45.81</v>
      </c>
      <c r="F44" s="203">
        <f t="shared" si="4"/>
        <v>0</v>
      </c>
    </row>
    <row r="45" spans="1:6" x14ac:dyDescent="0.35">
      <c r="A45" s="200">
        <v>2012</v>
      </c>
      <c r="B45" s="201" t="s">
        <v>303</v>
      </c>
      <c r="C45" s="201" t="s">
        <v>304</v>
      </c>
      <c r="D45" s="291">
        <f t="shared" si="1"/>
        <v>0</v>
      </c>
      <c r="E45" s="202">
        <v>4941</v>
      </c>
      <c r="F45" s="203">
        <f t="shared" si="4"/>
        <v>0</v>
      </c>
    </row>
    <row r="46" spans="1:6" x14ac:dyDescent="0.35">
      <c r="A46" s="200">
        <v>2012</v>
      </c>
      <c r="B46" s="201" t="s">
        <v>305</v>
      </c>
      <c r="C46" s="201" t="s">
        <v>306</v>
      </c>
      <c r="D46" s="291" t="str">
        <f t="shared" si="1"/>
        <v>Other P</v>
      </c>
      <c r="E46" s="202">
        <v>82.4</v>
      </c>
      <c r="F46" s="203">
        <f t="shared" si="4"/>
        <v>0.2</v>
      </c>
    </row>
    <row r="47" spans="1:6" x14ac:dyDescent="0.35">
      <c r="A47" s="200">
        <v>2012</v>
      </c>
      <c r="B47" s="201" t="s">
        <v>307</v>
      </c>
      <c r="C47" s="201" t="s">
        <v>308</v>
      </c>
      <c r="D47" s="291" t="str">
        <f t="shared" si="1"/>
        <v>Phosphate rocks</v>
      </c>
      <c r="E47" s="202">
        <v>11190</v>
      </c>
      <c r="F47" s="203">
        <f t="shared" si="4"/>
        <v>0.33</v>
      </c>
    </row>
    <row r="48" spans="1:6" x14ac:dyDescent="0.35">
      <c r="A48" s="200">
        <v>2012</v>
      </c>
      <c r="B48" s="201" t="s">
        <v>309</v>
      </c>
      <c r="C48" s="201" t="s">
        <v>310</v>
      </c>
      <c r="D48" s="291">
        <f t="shared" si="1"/>
        <v>0</v>
      </c>
      <c r="E48" s="202">
        <v>390.3</v>
      </c>
      <c r="F48" s="203">
        <f t="shared" si="4"/>
        <v>0</v>
      </c>
    </row>
    <row r="49" spans="1:6" x14ac:dyDescent="0.35">
      <c r="A49" s="200">
        <v>2012</v>
      </c>
      <c r="B49" s="201" t="s">
        <v>312</v>
      </c>
      <c r="C49" s="201" t="s">
        <v>313</v>
      </c>
      <c r="D49" s="291" t="str">
        <f t="shared" si="1"/>
        <v>Other P</v>
      </c>
      <c r="E49" s="202">
        <v>6074</v>
      </c>
      <c r="F49" s="203">
        <f t="shared" si="4"/>
        <v>0.1</v>
      </c>
    </row>
    <row r="50" spans="1:6" x14ac:dyDescent="0.35">
      <c r="A50" s="201"/>
      <c r="B50" s="201"/>
      <c r="C50" s="209" t="s">
        <v>276</v>
      </c>
      <c r="D50" s="291" t="str">
        <f t="shared" si="1"/>
        <v>-</v>
      </c>
      <c r="E50" s="210">
        <v>164592</v>
      </c>
      <c r="F50" s="211">
        <f>SUMPRODUCT(E36:E49,F36:F49)/E50</f>
        <v>0.11467180057353943</v>
      </c>
    </row>
    <row r="51" spans="1:6" x14ac:dyDescent="0.35">
      <c r="A51" s="200">
        <v>2013</v>
      </c>
      <c r="B51" s="201" t="s">
        <v>272</v>
      </c>
      <c r="C51" s="201" t="s">
        <v>273</v>
      </c>
      <c r="D51" s="291" t="str">
        <f t="shared" si="1"/>
        <v>TSP</v>
      </c>
      <c r="E51" s="202">
        <v>25475</v>
      </c>
      <c r="F51" s="203">
        <f t="shared" ref="F51:F63" si="5">IFERROR(VLOOKUP(C51,$B$270:$C$337,2,FALSE),"-")</f>
        <v>0.46</v>
      </c>
    </row>
    <row r="52" spans="1:6" x14ac:dyDescent="0.35">
      <c r="A52" s="200">
        <v>2013</v>
      </c>
      <c r="B52" s="201" t="s">
        <v>287</v>
      </c>
      <c r="C52" s="201" t="s">
        <v>288</v>
      </c>
      <c r="D52" s="291">
        <f t="shared" si="1"/>
        <v>0</v>
      </c>
      <c r="E52" s="202">
        <v>36252</v>
      </c>
      <c r="F52" s="203">
        <f t="shared" si="5"/>
        <v>0</v>
      </c>
    </row>
    <row r="53" spans="1:6" x14ac:dyDescent="0.35">
      <c r="A53" s="200">
        <v>2013</v>
      </c>
      <c r="B53" s="201" t="s">
        <v>289</v>
      </c>
      <c r="C53" s="201" t="s">
        <v>214</v>
      </c>
      <c r="D53" s="291">
        <f t="shared" si="1"/>
        <v>0</v>
      </c>
      <c r="E53" s="202">
        <v>44566</v>
      </c>
      <c r="F53" s="203">
        <f t="shared" si="5"/>
        <v>0</v>
      </c>
    </row>
    <row r="54" spans="1:6" x14ac:dyDescent="0.35">
      <c r="A54" s="200">
        <v>2013</v>
      </c>
      <c r="B54" s="201" t="s">
        <v>290</v>
      </c>
      <c r="C54" s="201" t="s">
        <v>291</v>
      </c>
      <c r="D54" s="291" t="str">
        <f t="shared" si="1"/>
        <v>DAP</v>
      </c>
      <c r="E54" s="202">
        <v>47218</v>
      </c>
      <c r="F54" s="203">
        <f t="shared" si="5"/>
        <v>0.46</v>
      </c>
    </row>
    <row r="55" spans="1:6" x14ac:dyDescent="0.35">
      <c r="A55" s="200">
        <v>2013</v>
      </c>
      <c r="B55" s="201" t="s">
        <v>293</v>
      </c>
      <c r="C55" s="201" t="s">
        <v>294</v>
      </c>
      <c r="D55" s="291">
        <f t="shared" si="1"/>
        <v>0</v>
      </c>
      <c r="E55" s="202">
        <v>64607</v>
      </c>
      <c r="F55" s="203">
        <f t="shared" si="5"/>
        <v>0</v>
      </c>
    </row>
    <row r="56" spans="1:6" x14ac:dyDescent="0.35">
      <c r="A56" s="200">
        <v>2013</v>
      </c>
      <c r="B56" s="201" t="s">
        <v>314</v>
      </c>
      <c r="C56" s="201" t="s">
        <v>315</v>
      </c>
      <c r="D56" s="291">
        <f t="shared" si="1"/>
        <v>0</v>
      </c>
      <c r="E56" s="202">
        <v>24.15</v>
      </c>
      <c r="F56" s="203">
        <f t="shared" si="5"/>
        <v>0</v>
      </c>
    </row>
    <row r="57" spans="1:6" x14ac:dyDescent="0.35">
      <c r="A57" s="200">
        <v>2013</v>
      </c>
      <c r="B57" s="201" t="s">
        <v>295</v>
      </c>
      <c r="C57" s="201" t="s">
        <v>296</v>
      </c>
      <c r="D57" s="291" t="str">
        <f t="shared" si="1"/>
        <v>MAP</v>
      </c>
      <c r="E57" s="202">
        <v>246</v>
      </c>
      <c r="F57" s="203">
        <f t="shared" si="5"/>
        <v>0.5</v>
      </c>
    </row>
    <row r="58" spans="1:6" x14ac:dyDescent="0.35">
      <c r="A58" s="200">
        <v>2013</v>
      </c>
      <c r="B58" s="201" t="s">
        <v>301</v>
      </c>
      <c r="C58" s="201" t="s">
        <v>302</v>
      </c>
      <c r="D58" s="291">
        <f t="shared" si="1"/>
        <v>0</v>
      </c>
      <c r="E58" s="202">
        <v>2.6</v>
      </c>
      <c r="F58" s="203">
        <f t="shared" si="5"/>
        <v>0</v>
      </c>
    </row>
    <row r="59" spans="1:6" x14ac:dyDescent="0.35">
      <c r="A59" s="200">
        <v>2013</v>
      </c>
      <c r="B59" s="201" t="s">
        <v>299</v>
      </c>
      <c r="C59" s="201" t="s">
        <v>311</v>
      </c>
      <c r="D59" s="291" t="str">
        <f t="shared" si="1"/>
        <v>Other P</v>
      </c>
      <c r="E59" s="202">
        <v>1544</v>
      </c>
      <c r="F59" s="203">
        <f t="shared" si="5"/>
        <v>0.2</v>
      </c>
    </row>
    <row r="60" spans="1:6" x14ac:dyDescent="0.35">
      <c r="A60" s="200">
        <v>2013</v>
      </c>
      <c r="B60" s="201" t="s">
        <v>303</v>
      </c>
      <c r="C60" s="201" t="s">
        <v>304</v>
      </c>
      <c r="D60" s="291">
        <f t="shared" si="1"/>
        <v>0</v>
      </c>
      <c r="E60" s="202">
        <v>11955</v>
      </c>
      <c r="F60" s="203">
        <f t="shared" si="5"/>
        <v>0</v>
      </c>
    </row>
    <row r="61" spans="1:6" x14ac:dyDescent="0.35">
      <c r="A61" s="200">
        <v>2013</v>
      </c>
      <c r="B61" s="201" t="s">
        <v>307</v>
      </c>
      <c r="C61" s="201" t="s">
        <v>308</v>
      </c>
      <c r="D61" s="291" t="str">
        <f t="shared" si="1"/>
        <v>Phosphate rocks</v>
      </c>
      <c r="E61" s="202">
        <v>17345</v>
      </c>
      <c r="F61" s="203">
        <f t="shared" si="5"/>
        <v>0.33</v>
      </c>
    </row>
    <row r="62" spans="1:6" x14ac:dyDescent="0.35">
      <c r="A62" s="200">
        <v>2013</v>
      </c>
      <c r="B62" s="201" t="s">
        <v>309</v>
      </c>
      <c r="C62" s="201" t="s">
        <v>310</v>
      </c>
      <c r="D62" s="291">
        <f t="shared" si="1"/>
        <v>0</v>
      </c>
      <c r="E62" s="202">
        <v>854.5</v>
      </c>
      <c r="F62" s="203">
        <f t="shared" si="5"/>
        <v>0</v>
      </c>
    </row>
    <row r="63" spans="1:6" x14ac:dyDescent="0.35">
      <c r="A63" s="200">
        <v>2013</v>
      </c>
      <c r="B63" s="201" t="s">
        <v>312</v>
      </c>
      <c r="C63" s="201" t="s">
        <v>313</v>
      </c>
      <c r="D63" s="291" t="str">
        <f t="shared" si="1"/>
        <v>Other P</v>
      </c>
      <c r="E63" s="202">
        <v>17491</v>
      </c>
      <c r="F63" s="203">
        <f t="shared" si="5"/>
        <v>0.1</v>
      </c>
    </row>
    <row r="64" spans="1:6" x14ac:dyDescent="0.35">
      <c r="A64" s="201"/>
      <c r="B64" s="201"/>
      <c r="C64" s="209" t="s">
        <v>277</v>
      </c>
      <c r="D64" s="291" t="str">
        <f t="shared" si="1"/>
        <v>-</v>
      </c>
      <c r="E64" s="210">
        <v>267581</v>
      </c>
      <c r="F64" s="211">
        <f>SUMPRODUCT(E51:E63,F51:F63)/E64</f>
        <v>0.15450846659516185</v>
      </c>
    </row>
    <row r="65" spans="1:6" x14ac:dyDescent="0.35">
      <c r="A65" s="200">
        <v>2014</v>
      </c>
      <c r="B65" s="201" t="s">
        <v>287</v>
      </c>
      <c r="C65" s="201" t="s">
        <v>288</v>
      </c>
      <c r="D65" s="291">
        <f t="shared" si="1"/>
        <v>0</v>
      </c>
      <c r="E65" s="202">
        <v>38691</v>
      </c>
      <c r="F65" s="203">
        <f t="shared" ref="F65:F83" si="6">IFERROR(VLOOKUP(C65,$B$270:$C$337,2,FALSE),"-")</f>
        <v>0</v>
      </c>
    </row>
    <row r="66" spans="1:6" x14ac:dyDescent="0.35">
      <c r="A66" s="200">
        <v>2014</v>
      </c>
      <c r="B66" s="201" t="s">
        <v>290</v>
      </c>
      <c r="C66" s="201" t="s">
        <v>291</v>
      </c>
      <c r="D66" s="291" t="str">
        <f t="shared" si="1"/>
        <v>DAP</v>
      </c>
      <c r="E66" s="202">
        <v>33459</v>
      </c>
      <c r="F66" s="203">
        <f t="shared" si="6"/>
        <v>0.46</v>
      </c>
    </row>
    <row r="67" spans="1:6" x14ac:dyDescent="0.35">
      <c r="A67" s="200">
        <v>2014</v>
      </c>
      <c r="B67" s="201" t="s">
        <v>293</v>
      </c>
      <c r="C67" s="201" t="s">
        <v>294</v>
      </c>
      <c r="D67" s="291">
        <f t="shared" si="1"/>
        <v>0</v>
      </c>
      <c r="E67" s="202">
        <v>77958</v>
      </c>
      <c r="F67" s="203">
        <f t="shared" si="6"/>
        <v>0</v>
      </c>
    </row>
    <row r="68" spans="1:6" x14ac:dyDescent="0.35">
      <c r="A68" s="200">
        <v>2014</v>
      </c>
      <c r="B68" s="201" t="s">
        <v>272</v>
      </c>
      <c r="C68" s="201" t="s">
        <v>273</v>
      </c>
      <c r="D68" s="291" t="str">
        <f t="shared" si="1"/>
        <v>TSP</v>
      </c>
      <c r="E68" s="202">
        <v>29285</v>
      </c>
      <c r="F68" s="203">
        <f t="shared" si="6"/>
        <v>0.46</v>
      </c>
    </row>
    <row r="69" spans="1:6" x14ac:dyDescent="0.35">
      <c r="A69" s="200">
        <v>2014</v>
      </c>
      <c r="B69" s="201" t="s">
        <v>289</v>
      </c>
      <c r="C69" s="201" t="s">
        <v>214</v>
      </c>
      <c r="D69" s="291">
        <f t="shared" si="1"/>
        <v>0</v>
      </c>
      <c r="E69" s="202">
        <v>68428</v>
      </c>
      <c r="F69" s="203">
        <f t="shared" si="6"/>
        <v>0</v>
      </c>
    </row>
    <row r="70" spans="1:6" x14ac:dyDescent="0.35">
      <c r="A70" s="200">
        <v>2014</v>
      </c>
      <c r="B70" s="201" t="s">
        <v>314</v>
      </c>
      <c r="C70" s="201" t="s">
        <v>315</v>
      </c>
      <c r="D70" s="291">
        <f t="shared" si="1"/>
        <v>0</v>
      </c>
      <c r="E70" s="202">
        <v>143</v>
      </c>
      <c r="F70" s="203">
        <f t="shared" si="6"/>
        <v>0</v>
      </c>
    </row>
    <row r="71" spans="1:6" x14ac:dyDescent="0.35">
      <c r="A71" s="200">
        <v>2014</v>
      </c>
      <c r="B71" s="201" t="s">
        <v>295</v>
      </c>
      <c r="C71" s="201" t="s">
        <v>296</v>
      </c>
      <c r="D71" s="291" t="str">
        <f t="shared" si="1"/>
        <v>MAP</v>
      </c>
      <c r="E71" s="202">
        <v>10146</v>
      </c>
      <c r="F71" s="203">
        <f t="shared" si="6"/>
        <v>0.5</v>
      </c>
    </row>
    <row r="72" spans="1:6" x14ac:dyDescent="0.35">
      <c r="A72" s="200">
        <v>2014</v>
      </c>
      <c r="B72" s="201" t="s">
        <v>316</v>
      </c>
      <c r="C72" s="201" t="s">
        <v>317</v>
      </c>
      <c r="D72" s="291" t="str">
        <f t="shared" ref="D72:D135" si="7">IFERROR(VLOOKUP(C72,$B$270:$D$337,3,FALSE),"-")</f>
        <v>MKP</v>
      </c>
      <c r="E72" s="202">
        <v>4</v>
      </c>
      <c r="F72" s="203">
        <f t="shared" si="6"/>
        <v>0.52</v>
      </c>
    </row>
    <row r="73" spans="1:6" x14ac:dyDescent="0.35">
      <c r="A73" s="200">
        <v>2014</v>
      </c>
      <c r="B73" s="201" t="s">
        <v>299</v>
      </c>
      <c r="C73" s="201" t="s">
        <v>300</v>
      </c>
      <c r="D73" s="291" t="str">
        <f t="shared" si="7"/>
        <v>Other P</v>
      </c>
      <c r="E73" s="202">
        <v>197.4</v>
      </c>
      <c r="F73" s="203">
        <f t="shared" si="6"/>
        <v>0.1</v>
      </c>
    </row>
    <row r="74" spans="1:6" x14ac:dyDescent="0.35">
      <c r="A74" s="200">
        <v>2014</v>
      </c>
      <c r="B74" s="201" t="s">
        <v>301</v>
      </c>
      <c r="C74" s="201" t="s">
        <v>302</v>
      </c>
      <c r="D74" s="291">
        <f t="shared" si="7"/>
        <v>0</v>
      </c>
      <c r="E74" s="202">
        <v>2.3199999999999998</v>
      </c>
      <c r="F74" s="203">
        <f t="shared" si="6"/>
        <v>0</v>
      </c>
    </row>
    <row r="75" spans="1:6" x14ac:dyDescent="0.35">
      <c r="A75" s="200">
        <v>2014</v>
      </c>
      <c r="B75" s="201" t="s">
        <v>303</v>
      </c>
      <c r="C75" s="201" t="s">
        <v>304</v>
      </c>
      <c r="D75" s="291">
        <f t="shared" si="7"/>
        <v>0</v>
      </c>
      <c r="E75" s="202">
        <v>692.2</v>
      </c>
      <c r="F75" s="203">
        <f t="shared" si="6"/>
        <v>0</v>
      </c>
    </row>
    <row r="76" spans="1:6" x14ac:dyDescent="0.35">
      <c r="A76" s="200">
        <v>2014</v>
      </c>
      <c r="B76" s="201" t="s">
        <v>305</v>
      </c>
      <c r="C76" s="201" t="s">
        <v>306</v>
      </c>
      <c r="D76" s="291" t="str">
        <f t="shared" si="7"/>
        <v>Other P</v>
      </c>
      <c r="E76" s="202">
        <v>0.05</v>
      </c>
      <c r="F76" s="203">
        <f t="shared" si="6"/>
        <v>0.2</v>
      </c>
    </row>
    <row r="77" spans="1:6" x14ac:dyDescent="0.35">
      <c r="A77" s="200">
        <v>2014</v>
      </c>
      <c r="B77" s="201" t="s">
        <v>299</v>
      </c>
      <c r="C77" s="201" t="s">
        <v>554</v>
      </c>
      <c r="D77" s="291" t="str">
        <f t="shared" si="7"/>
        <v>00-23-19</v>
      </c>
      <c r="E77" s="202">
        <v>1000</v>
      </c>
      <c r="F77" s="203">
        <f t="shared" si="6"/>
        <v>0.23</v>
      </c>
    </row>
    <row r="78" spans="1:6" x14ac:dyDescent="0.35">
      <c r="A78" s="200">
        <v>2014</v>
      </c>
      <c r="B78" s="201" t="s">
        <v>307</v>
      </c>
      <c r="C78" s="201" t="s">
        <v>308</v>
      </c>
      <c r="D78" s="291" t="str">
        <f t="shared" si="7"/>
        <v>Phosphate rocks</v>
      </c>
      <c r="E78" s="202">
        <v>16534</v>
      </c>
      <c r="F78" s="203">
        <f t="shared" si="6"/>
        <v>0.33</v>
      </c>
    </row>
    <row r="79" spans="1:6" x14ac:dyDescent="0.35">
      <c r="A79" s="200">
        <v>2014</v>
      </c>
      <c r="B79" s="201" t="s">
        <v>309</v>
      </c>
      <c r="C79" s="201" t="s">
        <v>310</v>
      </c>
      <c r="D79" s="291">
        <f t="shared" si="7"/>
        <v>0</v>
      </c>
      <c r="E79" s="202">
        <v>473</v>
      </c>
      <c r="F79" s="203">
        <f t="shared" si="6"/>
        <v>0</v>
      </c>
    </row>
    <row r="80" spans="1:6" x14ac:dyDescent="0.35">
      <c r="A80" s="200">
        <v>2014</v>
      </c>
      <c r="B80" s="201" t="s">
        <v>312</v>
      </c>
      <c r="C80" s="201" t="s">
        <v>318</v>
      </c>
      <c r="D80" s="291" t="str">
        <f t="shared" si="7"/>
        <v>12-11-18</v>
      </c>
      <c r="E80" s="202">
        <v>294.7</v>
      </c>
      <c r="F80" s="203">
        <f t="shared" si="6"/>
        <v>0.11</v>
      </c>
    </row>
    <row r="81" spans="1:6" x14ac:dyDescent="0.35">
      <c r="A81" s="200">
        <v>2014</v>
      </c>
      <c r="B81" s="201" t="s">
        <v>312</v>
      </c>
      <c r="C81" s="201" t="s">
        <v>319</v>
      </c>
      <c r="D81" s="291" t="str">
        <f t="shared" si="7"/>
        <v>13-13-21</v>
      </c>
      <c r="E81" s="202">
        <v>48</v>
      </c>
      <c r="F81" s="203">
        <f t="shared" si="6"/>
        <v>0.13</v>
      </c>
    </row>
    <row r="82" spans="1:6" x14ac:dyDescent="0.35">
      <c r="A82" s="200">
        <v>2014</v>
      </c>
      <c r="B82" s="201" t="s">
        <v>312</v>
      </c>
      <c r="C82" s="201" t="s">
        <v>320</v>
      </c>
      <c r="D82" s="291" t="str">
        <f t="shared" si="7"/>
        <v>15-15-15</v>
      </c>
      <c r="E82" s="202">
        <v>15474</v>
      </c>
      <c r="F82" s="203">
        <f t="shared" si="6"/>
        <v>0.15</v>
      </c>
    </row>
    <row r="83" spans="1:6" x14ac:dyDescent="0.35">
      <c r="A83" s="200">
        <v>2014</v>
      </c>
      <c r="B83" s="201" t="s">
        <v>312</v>
      </c>
      <c r="C83" s="201" t="s">
        <v>321</v>
      </c>
      <c r="D83" s="291" t="str">
        <f t="shared" si="7"/>
        <v>15-9-20</v>
      </c>
      <c r="E83" s="202">
        <v>132</v>
      </c>
      <c r="F83" s="203">
        <f t="shared" si="6"/>
        <v>0.09</v>
      </c>
    </row>
    <row r="84" spans="1:6" x14ac:dyDescent="0.35">
      <c r="A84" s="201"/>
      <c r="B84" s="201"/>
      <c r="C84" s="209" t="s">
        <v>278</v>
      </c>
      <c r="D84" s="291" t="str">
        <f t="shared" si="7"/>
        <v>-</v>
      </c>
      <c r="E84" s="210">
        <v>292962</v>
      </c>
      <c r="F84" s="211">
        <f>SUMPRODUCT(E65:E83,F65:F83)/E84</f>
        <v>0.14341425509110398</v>
      </c>
    </row>
    <row r="85" spans="1:6" x14ac:dyDescent="0.35">
      <c r="A85" s="200">
        <v>2015</v>
      </c>
      <c r="B85" s="201" t="s">
        <v>289</v>
      </c>
      <c r="C85" s="201" t="s">
        <v>214</v>
      </c>
      <c r="D85" s="291">
        <f t="shared" si="7"/>
        <v>0</v>
      </c>
      <c r="E85" s="202">
        <v>55850</v>
      </c>
      <c r="F85" s="203">
        <f t="shared" ref="F85:F100" si="8">IFERROR(VLOOKUP(C85,$B$270:$C$337,2,FALSE),"-")</f>
        <v>0</v>
      </c>
    </row>
    <row r="86" spans="1:6" x14ac:dyDescent="0.35">
      <c r="A86" s="200">
        <v>2015</v>
      </c>
      <c r="B86" s="201" t="s">
        <v>287</v>
      </c>
      <c r="C86" s="201" t="s">
        <v>288</v>
      </c>
      <c r="D86" s="291">
        <f t="shared" si="7"/>
        <v>0</v>
      </c>
      <c r="E86" s="202">
        <v>22258</v>
      </c>
      <c r="F86" s="203">
        <f t="shared" si="8"/>
        <v>0</v>
      </c>
    </row>
    <row r="87" spans="1:6" x14ac:dyDescent="0.35">
      <c r="A87" s="200">
        <v>2015</v>
      </c>
      <c r="B87" s="201" t="s">
        <v>272</v>
      </c>
      <c r="C87" s="201" t="s">
        <v>273</v>
      </c>
      <c r="D87" s="291" t="str">
        <f t="shared" si="7"/>
        <v>TSP</v>
      </c>
      <c r="E87" s="202">
        <v>43853</v>
      </c>
      <c r="F87" s="203">
        <f t="shared" si="8"/>
        <v>0.46</v>
      </c>
    </row>
    <row r="88" spans="1:6" x14ac:dyDescent="0.35">
      <c r="A88" s="200">
        <v>2015</v>
      </c>
      <c r="B88" s="201" t="s">
        <v>293</v>
      </c>
      <c r="C88" s="201" t="s">
        <v>294</v>
      </c>
      <c r="D88" s="291">
        <f t="shared" si="7"/>
        <v>0</v>
      </c>
      <c r="E88" s="202">
        <v>91993</v>
      </c>
      <c r="F88" s="203">
        <f t="shared" si="8"/>
        <v>0</v>
      </c>
    </row>
    <row r="89" spans="1:6" x14ac:dyDescent="0.35">
      <c r="A89" s="200">
        <v>2015</v>
      </c>
      <c r="B89" s="201" t="s">
        <v>290</v>
      </c>
      <c r="C89" s="201" t="s">
        <v>291</v>
      </c>
      <c r="D89" s="291" t="str">
        <f t="shared" si="7"/>
        <v>DAP</v>
      </c>
      <c r="E89" s="202">
        <v>19160</v>
      </c>
      <c r="F89" s="203">
        <f t="shared" si="8"/>
        <v>0.46</v>
      </c>
    </row>
    <row r="90" spans="1:6" x14ac:dyDescent="0.35">
      <c r="A90" s="200">
        <v>2015</v>
      </c>
      <c r="B90" s="201" t="s">
        <v>314</v>
      </c>
      <c r="C90" s="201" t="s">
        <v>315</v>
      </c>
      <c r="D90" s="291">
        <f t="shared" si="7"/>
        <v>0</v>
      </c>
      <c r="E90" s="202">
        <v>1376</v>
      </c>
      <c r="F90" s="203">
        <f t="shared" si="8"/>
        <v>0</v>
      </c>
    </row>
    <row r="91" spans="1:6" x14ac:dyDescent="0.35">
      <c r="A91" s="200">
        <v>2015</v>
      </c>
      <c r="B91" s="201" t="s">
        <v>295</v>
      </c>
      <c r="C91" s="201" t="s">
        <v>296</v>
      </c>
      <c r="D91" s="291" t="str">
        <f t="shared" si="7"/>
        <v>MAP</v>
      </c>
      <c r="E91" s="202">
        <v>17271</v>
      </c>
      <c r="F91" s="203">
        <f t="shared" si="8"/>
        <v>0.5</v>
      </c>
    </row>
    <row r="92" spans="1:6" x14ac:dyDescent="0.35">
      <c r="A92" s="200">
        <v>2015</v>
      </c>
      <c r="B92" s="201" t="s">
        <v>299</v>
      </c>
      <c r="C92" s="201" t="s">
        <v>322</v>
      </c>
      <c r="D92" s="291" t="str">
        <f t="shared" si="7"/>
        <v>3-22-0</v>
      </c>
      <c r="E92" s="202">
        <v>363.7</v>
      </c>
      <c r="F92" s="203">
        <f t="shared" si="8"/>
        <v>0.22</v>
      </c>
    </row>
    <row r="93" spans="1:6" x14ac:dyDescent="0.35">
      <c r="A93" s="200">
        <v>2015</v>
      </c>
      <c r="B93" s="201" t="s">
        <v>297</v>
      </c>
      <c r="C93" s="201" t="s">
        <v>298</v>
      </c>
      <c r="D93" s="291">
        <f t="shared" si="7"/>
        <v>0</v>
      </c>
      <c r="E93" s="202">
        <v>3894</v>
      </c>
      <c r="F93" s="203">
        <f t="shared" si="8"/>
        <v>0</v>
      </c>
    </row>
    <row r="94" spans="1:6" x14ac:dyDescent="0.35">
      <c r="A94" s="200">
        <v>2015</v>
      </c>
      <c r="B94" s="201" t="s">
        <v>301</v>
      </c>
      <c r="C94" s="201" t="s">
        <v>302</v>
      </c>
      <c r="D94" s="291">
        <f t="shared" si="7"/>
        <v>0</v>
      </c>
      <c r="E94" s="202">
        <v>26.88</v>
      </c>
      <c r="F94" s="203">
        <f t="shared" si="8"/>
        <v>0</v>
      </c>
    </row>
    <row r="95" spans="1:6" x14ac:dyDescent="0.35">
      <c r="A95" s="200">
        <v>2015</v>
      </c>
      <c r="B95" s="201" t="s">
        <v>299</v>
      </c>
      <c r="C95" s="201" t="s">
        <v>311</v>
      </c>
      <c r="D95" s="291" t="str">
        <f t="shared" si="7"/>
        <v>Other P</v>
      </c>
      <c r="E95" s="202">
        <v>67.27</v>
      </c>
      <c r="F95" s="203">
        <f t="shared" si="8"/>
        <v>0.2</v>
      </c>
    </row>
    <row r="96" spans="1:6" x14ac:dyDescent="0.35">
      <c r="A96" s="200">
        <v>2015</v>
      </c>
      <c r="B96" s="201" t="s">
        <v>303</v>
      </c>
      <c r="C96" s="201" t="s">
        <v>304</v>
      </c>
      <c r="D96" s="291">
        <f t="shared" si="7"/>
        <v>0</v>
      </c>
      <c r="E96" s="202">
        <v>101.7</v>
      </c>
      <c r="F96" s="203">
        <f t="shared" si="8"/>
        <v>0</v>
      </c>
    </row>
    <row r="97" spans="1:6" x14ac:dyDescent="0.35">
      <c r="A97" s="200">
        <v>2015</v>
      </c>
      <c r="B97" s="201" t="s">
        <v>305</v>
      </c>
      <c r="C97" s="201" t="s">
        <v>306</v>
      </c>
      <c r="D97" s="291" t="str">
        <f t="shared" si="7"/>
        <v>Other P</v>
      </c>
      <c r="E97" s="202">
        <v>148.9</v>
      </c>
      <c r="F97" s="203">
        <f t="shared" si="8"/>
        <v>0.2</v>
      </c>
    </row>
    <row r="98" spans="1:6" x14ac:dyDescent="0.35">
      <c r="A98" s="200">
        <v>2015</v>
      </c>
      <c r="B98" s="201" t="s">
        <v>309</v>
      </c>
      <c r="C98" s="201" t="s">
        <v>310</v>
      </c>
      <c r="D98" s="291">
        <f t="shared" si="7"/>
        <v>0</v>
      </c>
      <c r="E98" s="202">
        <v>1022</v>
      </c>
      <c r="F98" s="203">
        <f t="shared" si="8"/>
        <v>0</v>
      </c>
    </row>
    <row r="99" spans="1:6" x14ac:dyDescent="0.35">
      <c r="A99" s="200">
        <v>2015</v>
      </c>
      <c r="B99" s="201" t="s">
        <v>312</v>
      </c>
      <c r="C99" s="201" t="s">
        <v>320</v>
      </c>
      <c r="D99" s="291" t="str">
        <f t="shared" si="7"/>
        <v>15-15-15</v>
      </c>
      <c r="E99" s="202">
        <v>5989</v>
      </c>
      <c r="F99" s="203">
        <f t="shared" si="8"/>
        <v>0.15</v>
      </c>
    </row>
    <row r="100" spans="1:6" x14ac:dyDescent="0.35">
      <c r="A100" s="200">
        <v>2015</v>
      </c>
      <c r="B100" s="201" t="s">
        <v>312</v>
      </c>
      <c r="C100" s="201" t="s">
        <v>323</v>
      </c>
      <c r="D100" s="291" t="str">
        <f t="shared" si="7"/>
        <v>23-10+05</v>
      </c>
      <c r="E100" s="202">
        <v>24498</v>
      </c>
      <c r="F100" s="203">
        <f t="shared" si="8"/>
        <v>0.1</v>
      </c>
    </row>
    <row r="101" spans="1:6" x14ac:dyDescent="0.35">
      <c r="A101" s="201"/>
      <c r="B101" s="201"/>
      <c r="C101" s="209" t="s">
        <v>279</v>
      </c>
      <c r="D101" s="291" t="str">
        <f t="shared" si="7"/>
        <v>-</v>
      </c>
      <c r="E101" s="210">
        <v>287873</v>
      </c>
      <c r="F101" s="211">
        <f>SUMPRODUCT(E85:E100,F85:F100)/E101</f>
        <v>0.14274655143066561</v>
      </c>
    </row>
    <row r="102" spans="1:6" x14ac:dyDescent="0.35">
      <c r="A102" s="200">
        <v>2016</v>
      </c>
      <c r="B102" s="201" t="s">
        <v>289</v>
      </c>
      <c r="C102" s="201" t="s">
        <v>214</v>
      </c>
      <c r="D102" s="291">
        <f t="shared" si="7"/>
        <v>0</v>
      </c>
      <c r="E102" s="202">
        <v>59157</v>
      </c>
      <c r="F102" s="203">
        <f t="shared" ref="F102:F133" si="9">IFERROR(VLOOKUP(C102,$B$270:$C$337,2,FALSE),"-")</f>
        <v>0</v>
      </c>
    </row>
    <row r="103" spans="1:6" x14ac:dyDescent="0.35">
      <c r="A103" s="200">
        <v>2016</v>
      </c>
      <c r="B103" s="201" t="s">
        <v>287</v>
      </c>
      <c r="C103" s="201" t="s">
        <v>288</v>
      </c>
      <c r="D103" s="291">
        <f t="shared" si="7"/>
        <v>0</v>
      </c>
      <c r="E103" s="202">
        <v>20170</v>
      </c>
      <c r="F103" s="203">
        <f t="shared" si="9"/>
        <v>0</v>
      </c>
    </row>
    <row r="104" spans="1:6" x14ac:dyDescent="0.35">
      <c r="A104" s="200">
        <v>2016</v>
      </c>
      <c r="B104" s="201" t="s">
        <v>272</v>
      </c>
      <c r="C104" s="201" t="s">
        <v>273</v>
      </c>
      <c r="D104" s="291" t="str">
        <f t="shared" si="7"/>
        <v>TSP</v>
      </c>
      <c r="E104" s="202">
        <v>55348</v>
      </c>
      <c r="F104" s="203">
        <f t="shared" si="9"/>
        <v>0.46</v>
      </c>
    </row>
    <row r="105" spans="1:6" x14ac:dyDescent="0.35">
      <c r="A105" s="200">
        <v>2016</v>
      </c>
      <c r="B105" s="201" t="s">
        <v>293</v>
      </c>
      <c r="C105" s="201" t="s">
        <v>294</v>
      </c>
      <c r="D105" s="291">
        <f t="shared" si="7"/>
        <v>0</v>
      </c>
      <c r="E105" s="202">
        <v>80401</v>
      </c>
      <c r="F105" s="203">
        <f t="shared" si="9"/>
        <v>0</v>
      </c>
    </row>
    <row r="106" spans="1:6" x14ac:dyDescent="0.35">
      <c r="A106" s="200">
        <v>2016</v>
      </c>
      <c r="B106" s="201" t="s">
        <v>290</v>
      </c>
      <c r="C106" s="201" t="s">
        <v>291</v>
      </c>
      <c r="D106" s="291" t="str">
        <f t="shared" si="7"/>
        <v>DAP</v>
      </c>
      <c r="E106" s="202">
        <v>39298</v>
      </c>
      <c r="F106" s="203">
        <f t="shared" si="9"/>
        <v>0.46</v>
      </c>
    </row>
    <row r="107" spans="1:6" x14ac:dyDescent="0.35">
      <c r="A107" s="200">
        <v>2016</v>
      </c>
      <c r="B107" s="201" t="s">
        <v>324</v>
      </c>
      <c r="C107" s="201" t="s">
        <v>325</v>
      </c>
      <c r="D107" s="291">
        <f t="shared" si="7"/>
        <v>0</v>
      </c>
      <c r="E107" s="202">
        <v>14.05</v>
      </c>
      <c r="F107" s="203">
        <f t="shared" si="9"/>
        <v>0</v>
      </c>
    </row>
    <row r="108" spans="1:6" x14ac:dyDescent="0.35">
      <c r="A108" s="200">
        <v>2016</v>
      </c>
      <c r="B108" s="201" t="s">
        <v>314</v>
      </c>
      <c r="C108" s="201" t="s">
        <v>315</v>
      </c>
      <c r="D108" s="291">
        <f t="shared" si="7"/>
        <v>0</v>
      </c>
      <c r="E108" s="202">
        <v>2092</v>
      </c>
      <c r="F108" s="203">
        <f t="shared" si="9"/>
        <v>0</v>
      </c>
    </row>
    <row r="109" spans="1:6" x14ac:dyDescent="0.35">
      <c r="A109" s="200">
        <v>2016</v>
      </c>
      <c r="B109" s="201" t="s">
        <v>295</v>
      </c>
      <c r="C109" s="201" t="s">
        <v>296</v>
      </c>
      <c r="D109" s="291" t="str">
        <f t="shared" si="7"/>
        <v>MAP</v>
      </c>
      <c r="E109" s="202">
        <v>274.60000000000002</v>
      </c>
      <c r="F109" s="203">
        <f t="shared" si="9"/>
        <v>0.5</v>
      </c>
    </row>
    <row r="110" spans="1:6" x14ac:dyDescent="0.35">
      <c r="A110" s="200">
        <v>2016</v>
      </c>
      <c r="B110" s="201" t="s">
        <v>316</v>
      </c>
      <c r="C110" s="201" t="s">
        <v>317</v>
      </c>
      <c r="D110" s="291" t="str">
        <f t="shared" si="7"/>
        <v>MKP</v>
      </c>
      <c r="E110" s="202">
        <v>5</v>
      </c>
      <c r="F110" s="203">
        <f t="shared" si="9"/>
        <v>0.52</v>
      </c>
    </row>
    <row r="111" spans="1:6" x14ac:dyDescent="0.35">
      <c r="A111" s="200">
        <v>2016</v>
      </c>
      <c r="B111" s="201" t="s">
        <v>299</v>
      </c>
      <c r="C111" s="201" t="s">
        <v>326</v>
      </c>
      <c r="D111" s="291" t="str">
        <f t="shared" si="7"/>
        <v>12-0-43</v>
      </c>
      <c r="E111" s="202">
        <v>44</v>
      </c>
      <c r="F111" s="203">
        <f t="shared" si="9"/>
        <v>0</v>
      </c>
    </row>
    <row r="112" spans="1:6" x14ac:dyDescent="0.35">
      <c r="A112" s="200">
        <v>2016</v>
      </c>
      <c r="B112" s="201" t="s">
        <v>299</v>
      </c>
      <c r="C112" s="201" t="s">
        <v>327</v>
      </c>
      <c r="D112" s="291" t="str">
        <f t="shared" si="7"/>
        <v>16-26-0</v>
      </c>
      <c r="E112" s="202">
        <v>23.16</v>
      </c>
      <c r="F112" s="203">
        <f t="shared" si="9"/>
        <v>0.26</v>
      </c>
    </row>
    <row r="113" spans="1:6" x14ac:dyDescent="0.35">
      <c r="A113" s="200">
        <v>2016</v>
      </c>
      <c r="B113" s="201" t="s">
        <v>299</v>
      </c>
      <c r="C113" s="201" t="s">
        <v>322</v>
      </c>
      <c r="D113" s="291" t="str">
        <f t="shared" si="7"/>
        <v>3-22-0</v>
      </c>
      <c r="E113" s="202">
        <v>100.8</v>
      </c>
      <c r="F113" s="203">
        <f t="shared" si="9"/>
        <v>0.22</v>
      </c>
    </row>
    <row r="114" spans="1:6" x14ac:dyDescent="0.35">
      <c r="A114" s="200">
        <v>2016</v>
      </c>
      <c r="B114" s="201" t="s">
        <v>297</v>
      </c>
      <c r="C114" s="201" t="s">
        <v>298</v>
      </c>
      <c r="D114" s="291">
        <f t="shared" si="7"/>
        <v>0</v>
      </c>
      <c r="E114" s="202">
        <v>39.1</v>
      </c>
      <c r="F114" s="203">
        <f t="shared" si="9"/>
        <v>0</v>
      </c>
    </row>
    <row r="115" spans="1:6" x14ac:dyDescent="0.35">
      <c r="A115" s="200">
        <v>2016</v>
      </c>
      <c r="B115" s="201" t="s">
        <v>299</v>
      </c>
      <c r="C115" s="201" t="s">
        <v>300</v>
      </c>
      <c r="D115" s="291" t="str">
        <f t="shared" si="7"/>
        <v>Other P</v>
      </c>
      <c r="E115" s="202">
        <v>352.8</v>
      </c>
      <c r="F115" s="203">
        <f t="shared" si="9"/>
        <v>0.1</v>
      </c>
    </row>
    <row r="116" spans="1:6" x14ac:dyDescent="0.35">
      <c r="A116" s="200">
        <v>2016</v>
      </c>
      <c r="B116" s="201" t="s">
        <v>301</v>
      </c>
      <c r="C116" s="201" t="s">
        <v>302</v>
      </c>
      <c r="D116" s="291">
        <f t="shared" si="7"/>
        <v>0</v>
      </c>
      <c r="E116" s="202">
        <v>167.2</v>
      </c>
      <c r="F116" s="203">
        <f t="shared" si="9"/>
        <v>0</v>
      </c>
    </row>
    <row r="117" spans="1:6" x14ac:dyDescent="0.35">
      <c r="A117" s="200">
        <v>2016</v>
      </c>
      <c r="B117" s="201" t="s">
        <v>299</v>
      </c>
      <c r="C117" s="201" t="s">
        <v>311</v>
      </c>
      <c r="D117" s="291" t="str">
        <f t="shared" si="7"/>
        <v>Other P</v>
      </c>
      <c r="E117" s="202">
        <v>3.95</v>
      </c>
      <c r="F117" s="203">
        <f t="shared" si="9"/>
        <v>0.2</v>
      </c>
    </row>
    <row r="118" spans="1:6" x14ac:dyDescent="0.35">
      <c r="A118" s="200">
        <v>2016</v>
      </c>
      <c r="B118" s="201" t="s">
        <v>303</v>
      </c>
      <c r="C118" s="201" t="s">
        <v>304</v>
      </c>
      <c r="D118" s="291">
        <f t="shared" si="7"/>
        <v>0</v>
      </c>
      <c r="E118" s="202">
        <v>0.05</v>
      </c>
      <c r="F118" s="203">
        <f t="shared" si="9"/>
        <v>0</v>
      </c>
    </row>
    <row r="119" spans="1:6" x14ac:dyDescent="0.35">
      <c r="A119" s="200">
        <v>2016</v>
      </c>
      <c r="B119" s="201" t="s">
        <v>305</v>
      </c>
      <c r="C119" s="201" t="s">
        <v>306</v>
      </c>
      <c r="D119" s="291" t="str">
        <f t="shared" si="7"/>
        <v>Other P</v>
      </c>
      <c r="E119" s="202">
        <v>3656</v>
      </c>
      <c r="F119" s="203">
        <f t="shared" si="9"/>
        <v>0.2</v>
      </c>
    </row>
    <row r="120" spans="1:6" x14ac:dyDescent="0.35">
      <c r="A120" s="200">
        <v>2016</v>
      </c>
      <c r="B120" s="201" t="s">
        <v>299</v>
      </c>
      <c r="C120" s="201" t="s">
        <v>554</v>
      </c>
      <c r="D120" s="291" t="str">
        <f t="shared" si="7"/>
        <v>00-23-19</v>
      </c>
      <c r="E120" s="202">
        <v>5.37</v>
      </c>
      <c r="F120" s="203">
        <f t="shared" si="9"/>
        <v>0.23</v>
      </c>
    </row>
    <row r="121" spans="1:6" x14ac:dyDescent="0.35">
      <c r="A121" s="200">
        <v>2016</v>
      </c>
      <c r="B121" s="201" t="s">
        <v>307</v>
      </c>
      <c r="C121" s="201" t="s">
        <v>308</v>
      </c>
      <c r="D121" s="291" t="str">
        <f t="shared" si="7"/>
        <v>Phosphate rocks</v>
      </c>
      <c r="E121" s="202">
        <v>800</v>
      </c>
      <c r="F121" s="203">
        <f t="shared" si="9"/>
        <v>0.33</v>
      </c>
    </row>
    <row r="122" spans="1:6" x14ac:dyDescent="0.35">
      <c r="A122" s="200">
        <v>2016</v>
      </c>
      <c r="B122" s="201" t="s">
        <v>309</v>
      </c>
      <c r="C122" s="201" t="s">
        <v>310</v>
      </c>
      <c r="D122" s="291">
        <f t="shared" si="7"/>
        <v>0</v>
      </c>
      <c r="E122" s="202">
        <v>742.4</v>
      </c>
      <c r="F122" s="203">
        <f t="shared" si="9"/>
        <v>0</v>
      </c>
    </row>
    <row r="123" spans="1:6" x14ac:dyDescent="0.35">
      <c r="A123" s="200">
        <v>2016</v>
      </c>
      <c r="B123" s="201" t="s">
        <v>312</v>
      </c>
      <c r="C123" s="201" t="s">
        <v>320</v>
      </c>
      <c r="D123" s="291" t="str">
        <f t="shared" si="7"/>
        <v>15-15-15</v>
      </c>
      <c r="E123" s="202">
        <v>4946</v>
      </c>
      <c r="F123" s="203">
        <f t="shared" si="9"/>
        <v>0.15</v>
      </c>
    </row>
    <row r="124" spans="1:6" x14ac:dyDescent="0.35">
      <c r="A124" s="200">
        <v>2016</v>
      </c>
      <c r="B124" s="201" t="s">
        <v>312</v>
      </c>
      <c r="C124" s="201" t="s">
        <v>212</v>
      </c>
      <c r="D124" s="291" t="str">
        <f t="shared" si="7"/>
        <v>15-15-15</v>
      </c>
      <c r="E124" s="202">
        <v>8758</v>
      </c>
      <c r="F124" s="203">
        <f t="shared" si="9"/>
        <v>0.15</v>
      </c>
    </row>
    <row r="125" spans="1:6" x14ac:dyDescent="0.35">
      <c r="A125" s="200">
        <v>2016</v>
      </c>
      <c r="B125" s="201" t="s">
        <v>312</v>
      </c>
      <c r="C125" s="201" t="s">
        <v>328</v>
      </c>
      <c r="D125" s="291" t="str">
        <f t="shared" si="7"/>
        <v>14-18-18</v>
      </c>
      <c r="E125" s="202">
        <v>8550</v>
      </c>
      <c r="F125" s="203">
        <f t="shared" si="9"/>
        <v>0.18</v>
      </c>
    </row>
    <row r="126" spans="1:6" x14ac:dyDescent="0.35">
      <c r="A126" s="200">
        <v>2016</v>
      </c>
      <c r="B126" s="201" t="s">
        <v>312</v>
      </c>
      <c r="C126" s="201" t="s">
        <v>329</v>
      </c>
      <c r="D126" s="291" t="str">
        <f t="shared" si="7"/>
        <v>23-10-5</v>
      </c>
      <c r="E126" s="202">
        <v>2905</v>
      </c>
      <c r="F126" s="203">
        <f t="shared" si="9"/>
        <v>0.1</v>
      </c>
    </row>
    <row r="127" spans="1:6" x14ac:dyDescent="0.35">
      <c r="A127" s="200">
        <v>2016</v>
      </c>
      <c r="B127" s="201" t="s">
        <v>312</v>
      </c>
      <c r="C127" s="201" t="s">
        <v>223</v>
      </c>
      <c r="D127" s="291" t="str">
        <f t="shared" si="7"/>
        <v>10-10-30</v>
      </c>
      <c r="E127" s="202">
        <v>2002</v>
      </c>
      <c r="F127" s="203">
        <f t="shared" si="9"/>
        <v>0.1</v>
      </c>
    </row>
    <row r="128" spans="1:6" x14ac:dyDescent="0.35">
      <c r="A128" s="200">
        <v>2016</v>
      </c>
      <c r="B128" s="201" t="s">
        <v>312</v>
      </c>
      <c r="C128" s="201" t="s">
        <v>319</v>
      </c>
      <c r="D128" s="291" t="str">
        <f t="shared" si="7"/>
        <v>13-13-21</v>
      </c>
      <c r="E128" s="202">
        <v>1501</v>
      </c>
      <c r="F128" s="203">
        <f t="shared" si="9"/>
        <v>0.13</v>
      </c>
    </row>
    <row r="129" spans="1:6" x14ac:dyDescent="0.35">
      <c r="A129" s="200">
        <v>2016</v>
      </c>
      <c r="B129" s="201" t="s">
        <v>312</v>
      </c>
      <c r="C129" s="201" t="s">
        <v>330</v>
      </c>
      <c r="D129" s="291" t="str">
        <f t="shared" si="7"/>
        <v>12-11-8</v>
      </c>
      <c r="E129" s="202">
        <v>509.1</v>
      </c>
      <c r="F129" s="203">
        <f t="shared" si="9"/>
        <v>0.11</v>
      </c>
    </row>
    <row r="130" spans="1:6" x14ac:dyDescent="0.35">
      <c r="A130" s="200">
        <v>2016</v>
      </c>
      <c r="B130" s="201" t="s">
        <v>312</v>
      </c>
      <c r="C130" s="201" t="s">
        <v>331</v>
      </c>
      <c r="D130" s="291" t="str">
        <f t="shared" si="7"/>
        <v>15-9-20</v>
      </c>
      <c r="E130" s="202">
        <v>500.7</v>
      </c>
      <c r="F130" s="203">
        <f t="shared" si="9"/>
        <v>0.09</v>
      </c>
    </row>
    <row r="131" spans="1:6" x14ac:dyDescent="0.35">
      <c r="A131" s="200">
        <v>2016</v>
      </c>
      <c r="B131" s="201" t="s">
        <v>312</v>
      </c>
      <c r="C131" s="201" t="s">
        <v>332</v>
      </c>
      <c r="D131" s="291" t="str">
        <f t="shared" si="7"/>
        <v>13-11-21</v>
      </c>
      <c r="E131" s="202">
        <v>75</v>
      </c>
      <c r="F131" s="203">
        <f t="shared" si="9"/>
        <v>0.11</v>
      </c>
    </row>
    <row r="132" spans="1:6" x14ac:dyDescent="0.35">
      <c r="A132" s="200">
        <v>2016</v>
      </c>
      <c r="B132" s="201" t="s">
        <v>312</v>
      </c>
      <c r="C132" s="201" t="s">
        <v>333</v>
      </c>
      <c r="D132" s="291" t="str">
        <f t="shared" si="7"/>
        <v>7-4-11</v>
      </c>
      <c r="E132" s="202">
        <v>75</v>
      </c>
      <c r="F132" s="203">
        <f t="shared" si="9"/>
        <v>0.04</v>
      </c>
    </row>
    <row r="133" spans="1:6" x14ac:dyDescent="0.35">
      <c r="A133" s="200">
        <v>2016</v>
      </c>
      <c r="B133" s="201" t="s">
        <v>312</v>
      </c>
      <c r="C133" s="201" t="s">
        <v>334</v>
      </c>
      <c r="D133" s="291" t="str">
        <f t="shared" si="7"/>
        <v>6-5-49</v>
      </c>
      <c r="E133" s="202">
        <v>70.5</v>
      </c>
      <c r="F133" s="203">
        <f t="shared" si="9"/>
        <v>0.05</v>
      </c>
    </row>
    <row r="134" spans="1:6" x14ac:dyDescent="0.35">
      <c r="A134" s="200">
        <v>2016</v>
      </c>
      <c r="B134" s="201" t="s">
        <v>312</v>
      </c>
      <c r="C134" s="201" t="s">
        <v>335</v>
      </c>
      <c r="D134" s="291" t="str">
        <f t="shared" si="7"/>
        <v>8-8-8</v>
      </c>
      <c r="E134" s="202">
        <v>70.44</v>
      </c>
      <c r="F134" s="203">
        <f t="shared" ref="F134:F150" si="10">IFERROR(VLOOKUP(C134,$B$270:$C$337,2,FALSE),"-")</f>
        <v>0.08</v>
      </c>
    </row>
    <row r="135" spans="1:6" x14ac:dyDescent="0.35">
      <c r="A135" s="200">
        <v>2016</v>
      </c>
      <c r="B135" s="201" t="s">
        <v>312</v>
      </c>
      <c r="C135" s="201" t="s">
        <v>336</v>
      </c>
      <c r="D135" s="291" t="str">
        <f t="shared" si="7"/>
        <v>Other P</v>
      </c>
      <c r="E135" s="202">
        <v>60.53</v>
      </c>
      <c r="F135" s="203">
        <f t="shared" si="10"/>
        <v>0.1</v>
      </c>
    </row>
    <row r="136" spans="1:6" x14ac:dyDescent="0.35">
      <c r="A136" s="200">
        <v>2016</v>
      </c>
      <c r="B136" s="201" t="s">
        <v>312</v>
      </c>
      <c r="C136" s="201" t="s">
        <v>337</v>
      </c>
      <c r="D136" s="291" t="str">
        <f t="shared" ref="D136:D199" si="11">IFERROR(VLOOKUP(C136,$B$270:$D$337,3,FALSE),"-")</f>
        <v>6-4-10</v>
      </c>
      <c r="E136" s="202">
        <v>50</v>
      </c>
      <c r="F136" s="203">
        <f t="shared" si="10"/>
        <v>0.04</v>
      </c>
    </row>
    <row r="137" spans="1:6" x14ac:dyDescent="0.35">
      <c r="A137" s="200">
        <v>2016</v>
      </c>
      <c r="B137" s="201" t="s">
        <v>312</v>
      </c>
      <c r="C137" s="201" t="s">
        <v>338</v>
      </c>
      <c r="D137" s="291" t="str">
        <f t="shared" si="11"/>
        <v>20-10-10</v>
      </c>
      <c r="E137" s="202">
        <v>48</v>
      </c>
      <c r="F137" s="203">
        <f t="shared" si="10"/>
        <v>0.1</v>
      </c>
    </row>
    <row r="138" spans="1:6" x14ac:dyDescent="0.35">
      <c r="A138" s="200">
        <v>2016</v>
      </c>
      <c r="B138" s="201" t="s">
        <v>312</v>
      </c>
      <c r="C138" s="201" t="s">
        <v>339</v>
      </c>
      <c r="D138" s="291" t="str">
        <f t="shared" si="11"/>
        <v>18-18-18</v>
      </c>
      <c r="E138" s="202">
        <v>48</v>
      </c>
      <c r="F138" s="203">
        <f t="shared" si="10"/>
        <v>0.18</v>
      </c>
    </row>
    <row r="139" spans="1:6" x14ac:dyDescent="0.35">
      <c r="A139" s="200">
        <v>2016</v>
      </c>
      <c r="B139" s="201" t="s">
        <v>312</v>
      </c>
      <c r="C139" s="201" t="s">
        <v>340</v>
      </c>
      <c r="D139" s="291" t="str">
        <f t="shared" si="11"/>
        <v>14-6-5</v>
      </c>
      <c r="E139" s="202">
        <v>30.78</v>
      </c>
      <c r="F139" s="203">
        <f t="shared" si="10"/>
        <v>0.06</v>
      </c>
    </row>
    <row r="140" spans="1:6" x14ac:dyDescent="0.35">
      <c r="A140" s="200">
        <v>2016</v>
      </c>
      <c r="B140" s="201" t="s">
        <v>312</v>
      </c>
      <c r="C140" s="201" t="s">
        <v>341</v>
      </c>
      <c r="D140" s="291" t="str">
        <f t="shared" si="11"/>
        <v>12-6-20</v>
      </c>
      <c r="E140" s="202">
        <v>27.64</v>
      </c>
      <c r="F140" s="203">
        <f t="shared" si="10"/>
        <v>0.06</v>
      </c>
    </row>
    <row r="141" spans="1:6" x14ac:dyDescent="0.35">
      <c r="A141" s="200">
        <v>2016</v>
      </c>
      <c r="B141" s="201" t="s">
        <v>312</v>
      </c>
      <c r="C141" s="201" t="s">
        <v>342</v>
      </c>
      <c r="D141" s="291" t="str">
        <f t="shared" si="11"/>
        <v>13.5-27</v>
      </c>
      <c r="E141" s="202">
        <v>24.96</v>
      </c>
      <c r="F141" s="203">
        <f t="shared" si="10"/>
        <v>0.27</v>
      </c>
    </row>
    <row r="142" spans="1:6" x14ac:dyDescent="0.35">
      <c r="A142" s="200">
        <v>2016</v>
      </c>
      <c r="B142" s="201" t="s">
        <v>312</v>
      </c>
      <c r="C142" s="201" t="s">
        <v>343</v>
      </c>
      <c r="D142" s="291" t="str">
        <f t="shared" si="11"/>
        <v>11-44-11</v>
      </c>
      <c r="E142" s="202">
        <v>22.63</v>
      </c>
      <c r="F142" s="203">
        <f t="shared" si="10"/>
        <v>0.44</v>
      </c>
    </row>
    <row r="143" spans="1:6" x14ac:dyDescent="0.35">
      <c r="A143" s="200">
        <v>2016</v>
      </c>
      <c r="B143" s="201" t="s">
        <v>312</v>
      </c>
      <c r="C143" s="201" t="s">
        <v>344</v>
      </c>
      <c r="D143" s="291" t="str">
        <f t="shared" si="11"/>
        <v>17-8-9</v>
      </c>
      <c r="E143" s="202">
        <v>22</v>
      </c>
      <c r="F143" s="203">
        <f t="shared" si="10"/>
        <v>0.08</v>
      </c>
    </row>
    <row r="144" spans="1:6" x14ac:dyDescent="0.35">
      <c r="A144" s="200">
        <v>2016</v>
      </c>
      <c r="B144" s="201" t="s">
        <v>312</v>
      </c>
      <c r="C144" s="201" t="s">
        <v>345</v>
      </c>
      <c r="D144" s="291" t="str">
        <f t="shared" si="11"/>
        <v>17-17-17</v>
      </c>
      <c r="E144" s="202">
        <v>18.3</v>
      </c>
      <c r="F144" s="203">
        <f t="shared" si="10"/>
        <v>0.17</v>
      </c>
    </row>
    <row r="145" spans="1:6" x14ac:dyDescent="0.35">
      <c r="A145" s="200">
        <v>2016</v>
      </c>
      <c r="B145" s="201" t="s">
        <v>312</v>
      </c>
      <c r="C145" s="201" t="s">
        <v>346</v>
      </c>
      <c r="D145" s="291" t="str">
        <f t="shared" si="11"/>
        <v>28-10-10</v>
      </c>
      <c r="E145" s="202">
        <v>12.1</v>
      </c>
      <c r="F145" s="203">
        <f t="shared" si="10"/>
        <v>0.1</v>
      </c>
    </row>
    <row r="146" spans="1:6" x14ac:dyDescent="0.35">
      <c r="A146" s="200">
        <v>2016</v>
      </c>
      <c r="B146" s="201" t="s">
        <v>312</v>
      </c>
      <c r="C146" s="201" t="s">
        <v>347</v>
      </c>
      <c r="D146" s="291" t="str">
        <f t="shared" si="11"/>
        <v>12-9-34</v>
      </c>
      <c r="E146" s="202">
        <v>12</v>
      </c>
      <c r="F146" s="203">
        <f t="shared" si="10"/>
        <v>0.09</v>
      </c>
    </row>
    <row r="147" spans="1:6" x14ac:dyDescent="0.35">
      <c r="A147" s="200">
        <v>2016</v>
      </c>
      <c r="B147" s="201" t="s">
        <v>312</v>
      </c>
      <c r="C147" s="201" t="s">
        <v>348</v>
      </c>
      <c r="D147" s="291" t="str">
        <f t="shared" si="11"/>
        <v>13-2-44</v>
      </c>
      <c r="E147" s="202">
        <v>12</v>
      </c>
      <c r="F147" s="203">
        <f t="shared" si="10"/>
        <v>0.02</v>
      </c>
    </row>
    <row r="148" spans="1:6" x14ac:dyDescent="0.35">
      <c r="A148" s="200">
        <v>2016</v>
      </c>
      <c r="B148" s="201" t="s">
        <v>312</v>
      </c>
      <c r="C148" s="201" t="s">
        <v>349</v>
      </c>
      <c r="D148" s="291" t="str">
        <f t="shared" si="11"/>
        <v>3-4-2</v>
      </c>
      <c r="E148" s="202">
        <v>1</v>
      </c>
      <c r="F148" s="203">
        <f t="shared" si="10"/>
        <v>0.04</v>
      </c>
    </row>
    <row r="149" spans="1:6" x14ac:dyDescent="0.35">
      <c r="A149" s="200">
        <v>2016</v>
      </c>
      <c r="B149" s="201" t="s">
        <v>312</v>
      </c>
      <c r="C149" s="201" t="s">
        <v>350</v>
      </c>
      <c r="D149" s="291" t="str">
        <f t="shared" si="11"/>
        <v>7-21-7</v>
      </c>
      <c r="E149" s="202">
        <v>0.59</v>
      </c>
      <c r="F149" s="203">
        <f t="shared" si="10"/>
        <v>0.21</v>
      </c>
    </row>
    <row r="150" spans="1:6" x14ac:dyDescent="0.35">
      <c r="A150" s="200">
        <v>2016</v>
      </c>
      <c r="B150" s="201" t="s">
        <v>299</v>
      </c>
      <c r="C150" s="201" t="s">
        <v>351</v>
      </c>
      <c r="D150" s="291" t="str">
        <f t="shared" si="11"/>
        <v>0-18-19</v>
      </c>
      <c r="E150" s="202">
        <v>5000</v>
      </c>
      <c r="F150" s="203">
        <f t="shared" si="10"/>
        <v>0.18</v>
      </c>
    </row>
    <row r="151" spans="1:6" x14ac:dyDescent="0.35">
      <c r="A151" s="201"/>
      <c r="B151" s="201"/>
      <c r="C151" s="209" t="s">
        <v>280</v>
      </c>
      <c r="D151" s="291" t="str">
        <f t="shared" si="11"/>
        <v>-</v>
      </c>
      <c r="E151" s="210">
        <v>298047</v>
      </c>
      <c r="F151" s="211">
        <f>SUMPRODUCT(E102:E150,F102:F150)/E151</f>
        <v>0.16805713998127808</v>
      </c>
    </row>
    <row r="152" spans="1:6" x14ac:dyDescent="0.35">
      <c r="A152" s="200">
        <v>2017</v>
      </c>
      <c r="B152" s="201" t="s">
        <v>293</v>
      </c>
      <c r="C152" s="201" t="s">
        <v>294</v>
      </c>
      <c r="D152" s="291">
        <f t="shared" si="11"/>
        <v>0</v>
      </c>
      <c r="E152" s="202">
        <v>97312</v>
      </c>
      <c r="F152" s="203">
        <f t="shared" ref="F152:F168" si="12">IFERROR(VLOOKUP(C152,$B$270:$C$337,2,FALSE),"-")</f>
        <v>0</v>
      </c>
    </row>
    <row r="153" spans="1:6" x14ac:dyDescent="0.35">
      <c r="A153" s="200">
        <v>2017</v>
      </c>
      <c r="B153" s="201" t="s">
        <v>272</v>
      </c>
      <c r="C153" s="201" t="s">
        <v>273</v>
      </c>
      <c r="D153" s="291" t="str">
        <f t="shared" si="11"/>
        <v>TSP</v>
      </c>
      <c r="E153" s="202">
        <v>62039</v>
      </c>
      <c r="F153" s="203">
        <f t="shared" si="12"/>
        <v>0.46</v>
      </c>
    </row>
    <row r="154" spans="1:6" x14ac:dyDescent="0.35">
      <c r="A154" s="200">
        <v>2017</v>
      </c>
      <c r="B154" s="201" t="s">
        <v>289</v>
      </c>
      <c r="C154" s="201" t="s">
        <v>214</v>
      </c>
      <c r="D154" s="291">
        <f t="shared" si="11"/>
        <v>0</v>
      </c>
      <c r="E154" s="202">
        <v>42269</v>
      </c>
      <c r="F154" s="203">
        <f t="shared" si="12"/>
        <v>0</v>
      </c>
    </row>
    <row r="155" spans="1:6" x14ac:dyDescent="0.35">
      <c r="A155" s="200">
        <v>2017</v>
      </c>
      <c r="B155" s="201" t="s">
        <v>290</v>
      </c>
      <c r="C155" s="201" t="s">
        <v>291</v>
      </c>
      <c r="D155" s="291" t="str">
        <f t="shared" si="11"/>
        <v>DAP</v>
      </c>
      <c r="E155" s="202">
        <v>24953</v>
      </c>
      <c r="F155" s="203">
        <f t="shared" si="12"/>
        <v>0.46</v>
      </c>
    </row>
    <row r="156" spans="1:6" x14ac:dyDescent="0.35">
      <c r="A156" s="200">
        <v>2017</v>
      </c>
      <c r="B156" s="201" t="s">
        <v>287</v>
      </c>
      <c r="C156" s="201" t="s">
        <v>288</v>
      </c>
      <c r="D156" s="291">
        <f t="shared" si="11"/>
        <v>0</v>
      </c>
      <c r="E156" s="202">
        <v>19424</v>
      </c>
      <c r="F156" s="203">
        <f t="shared" si="12"/>
        <v>0</v>
      </c>
    </row>
    <row r="157" spans="1:6" x14ac:dyDescent="0.35">
      <c r="A157" s="200">
        <v>2017</v>
      </c>
      <c r="B157" s="201" t="s">
        <v>314</v>
      </c>
      <c r="C157" s="201" t="s">
        <v>315</v>
      </c>
      <c r="D157" s="291">
        <f t="shared" si="11"/>
        <v>0</v>
      </c>
      <c r="E157" s="202">
        <v>2863</v>
      </c>
      <c r="F157" s="203">
        <f t="shared" si="12"/>
        <v>0</v>
      </c>
    </row>
    <row r="158" spans="1:6" x14ac:dyDescent="0.35">
      <c r="A158" s="200">
        <v>2017</v>
      </c>
      <c r="B158" s="201" t="s">
        <v>295</v>
      </c>
      <c r="C158" s="201" t="s">
        <v>296</v>
      </c>
      <c r="D158" s="291" t="str">
        <f t="shared" si="11"/>
        <v>MAP</v>
      </c>
      <c r="E158" s="202">
        <v>1696</v>
      </c>
      <c r="F158" s="203">
        <f t="shared" si="12"/>
        <v>0.5</v>
      </c>
    </row>
    <row r="159" spans="1:6" x14ac:dyDescent="0.35">
      <c r="A159" s="200">
        <v>2017</v>
      </c>
      <c r="B159" s="201" t="s">
        <v>299</v>
      </c>
      <c r="C159" s="201" t="s">
        <v>326</v>
      </c>
      <c r="D159" s="291" t="str">
        <f t="shared" si="11"/>
        <v>12-0-43</v>
      </c>
      <c r="E159" s="202">
        <v>95.21</v>
      </c>
      <c r="F159" s="203">
        <f t="shared" si="12"/>
        <v>0</v>
      </c>
    </row>
    <row r="160" spans="1:6" x14ac:dyDescent="0.35">
      <c r="A160" s="200">
        <v>2017</v>
      </c>
      <c r="B160" s="201" t="s">
        <v>297</v>
      </c>
      <c r="C160" s="201" t="s">
        <v>298</v>
      </c>
      <c r="D160" s="291">
        <f t="shared" si="11"/>
        <v>0</v>
      </c>
      <c r="E160" s="202">
        <v>6262</v>
      </c>
      <c r="F160" s="203">
        <f t="shared" si="12"/>
        <v>0</v>
      </c>
    </row>
    <row r="161" spans="1:6" x14ac:dyDescent="0.35">
      <c r="A161" s="200">
        <v>2017</v>
      </c>
      <c r="B161" s="201" t="s">
        <v>299</v>
      </c>
      <c r="C161" s="201" t="s">
        <v>300</v>
      </c>
      <c r="D161" s="291" t="str">
        <f t="shared" si="11"/>
        <v>Other P</v>
      </c>
      <c r="E161" s="202">
        <v>240</v>
      </c>
      <c r="F161" s="203">
        <f t="shared" si="12"/>
        <v>0.1</v>
      </c>
    </row>
    <row r="162" spans="1:6" x14ac:dyDescent="0.35">
      <c r="A162" s="200">
        <v>2017</v>
      </c>
      <c r="B162" s="201" t="s">
        <v>301</v>
      </c>
      <c r="C162" s="201" t="s">
        <v>302</v>
      </c>
      <c r="D162" s="291">
        <f t="shared" si="11"/>
        <v>0</v>
      </c>
      <c r="E162" s="202">
        <v>27.51</v>
      </c>
      <c r="F162" s="203">
        <f t="shared" si="12"/>
        <v>0</v>
      </c>
    </row>
    <row r="163" spans="1:6" x14ac:dyDescent="0.35">
      <c r="A163" s="200">
        <v>2017</v>
      </c>
      <c r="B163" s="201" t="s">
        <v>303</v>
      </c>
      <c r="C163" s="201" t="s">
        <v>304</v>
      </c>
      <c r="D163" s="291">
        <f t="shared" si="11"/>
        <v>0</v>
      </c>
      <c r="E163" s="202">
        <v>0.26</v>
      </c>
      <c r="F163" s="203">
        <f t="shared" si="12"/>
        <v>0</v>
      </c>
    </row>
    <row r="164" spans="1:6" x14ac:dyDescent="0.35">
      <c r="A164" s="200">
        <v>2017</v>
      </c>
      <c r="B164" s="201" t="s">
        <v>305</v>
      </c>
      <c r="C164" s="201" t="s">
        <v>306</v>
      </c>
      <c r="D164" s="291" t="str">
        <f t="shared" si="11"/>
        <v>Other P</v>
      </c>
      <c r="E164" s="202">
        <v>1.36</v>
      </c>
      <c r="F164" s="203">
        <f t="shared" si="12"/>
        <v>0.2</v>
      </c>
    </row>
    <row r="165" spans="1:6" x14ac:dyDescent="0.35">
      <c r="A165" s="200">
        <v>2017</v>
      </c>
      <c r="B165" s="201" t="s">
        <v>299</v>
      </c>
      <c r="C165" s="201" t="s">
        <v>555</v>
      </c>
      <c r="D165" s="291" t="str">
        <f t="shared" si="11"/>
        <v>00-23-19</v>
      </c>
      <c r="E165" s="202">
        <v>6301</v>
      </c>
      <c r="F165" s="203">
        <f t="shared" si="12"/>
        <v>0.23</v>
      </c>
    </row>
    <row r="166" spans="1:6" x14ac:dyDescent="0.35">
      <c r="A166" s="200">
        <v>2017</v>
      </c>
      <c r="B166" s="201" t="s">
        <v>307</v>
      </c>
      <c r="C166" s="201" t="s">
        <v>308</v>
      </c>
      <c r="D166" s="291" t="str">
        <f t="shared" si="11"/>
        <v>Phosphate rocks</v>
      </c>
      <c r="E166" s="202">
        <v>2238</v>
      </c>
      <c r="F166" s="203">
        <f t="shared" si="12"/>
        <v>0.33</v>
      </c>
    </row>
    <row r="167" spans="1:6" x14ac:dyDescent="0.35">
      <c r="A167" s="200">
        <v>2017</v>
      </c>
      <c r="B167" s="201" t="s">
        <v>309</v>
      </c>
      <c r="C167" s="201" t="s">
        <v>310</v>
      </c>
      <c r="D167" s="291">
        <f t="shared" si="11"/>
        <v>0</v>
      </c>
      <c r="E167" s="202">
        <v>738.1</v>
      </c>
      <c r="F167" s="203">
        <f t="shared" si="12"/>
        <v>0</v>
      </c>
    </row>
    <row r="168" spans="1:6" x14ac:dyDescent="0.35">
      <c r="A168" s="200">
        <v>2017</v>
      </c>
      <c r="B168" s="201" t="s">
        <v>312</v>
      </c>
      <c r="C168" s="201" t="s">
        <v>320</v>
      </c>
      <c r="D168" s="291" t="str">
        <f t="shared" si="11"/>
        <v>15-15-15</v>
      </c>
      <c r="E168" s="202">
        <v>4697</v>
      </c>
      <c r="F168" s="203">
        <f t="shared" si="12"/>
        <v>0.15</v>
      </c>
    </row>
    <row r="169" spans="1:6" x14ac:dyDescent="0.35">
      <c r="A169" s="201"/>
      <c r="B169" s="201"/>
      <c r="C169" s="209" t="s">
        <v>281</v>
      </c>
      <c r="D169" s="291" t="str">
        <f t="shared" si="11"/>
        <v>-</v>
      </c>
      <c r="E169" s="210">
        <v>271157</v>
      </c>
      <c r="F169" s="211">
        <f>SUMPRODUCT(E152:E168,F152:F168)/E169</f>
        <v>0.1614596414623263</v>
      </c>
    </row>
    <row r="170" spans="1:6" x14ac:dyDescent="0.35">
      <c r="A170" s="200">
        <v>2018</v>
      </c>
      <c r="B170" s="201" t="s">
        <v>293</v>
      </c>
      <c r="C170" s="201" t="s">
        <v>294</v>
      </c>
      <c r="D170" s="291">
        <f t="shared" si="11"/>
        <v>0</v>
      </c>
      <c r="E170" s="202">
        <v>62671</v>
      </c>
      <c r="F170" s="203">
        <f t="shared" ref="F170:F184" si="13">IFERROR(VLOOKUP(C170,$B$270:$C$337,2,FALSE),"-")</f>
        <v>0</v>
      </c>
    </row>
    <row r="171" spans="1:6" x14ac:dyDescent="0.35">
      <c r="A171" s="200">
        <v>2018</v>
      </c>
      <c r="B171" s="201" t="s">
        <v>289</v>
      </c>
      <c r="C171" s="201" t="s">
        <v>214</v>
      </c>
      <c r="D171" s="291">
        <f t="shared" si="11"/>
        <v>0</v>
      </c>
      <c r="E171" s="202">
        <v>39698</v>
      </c>
      <c r="F171" s="203">
        <f t="shared" si="13"/>
        <v>0</v>
      </c>
    </row>
    <row r="172" spans="1:6" x14ac:dyDescent="0.35">
      <c r="A172" s="200">
        <v>2018</v>
      </c>
      <c r="B172" s="201" t="s">
        <v>272</v>
      </c>
      <c r="C172" s="201" t="s">
        <v>273</v>
      </c>
      <c r="D172" s="291" t="str">
        <f t="shared" si="11"/>
        <v>TSP</v>
      </c>
      <c r="E172" s="202">
        <v>16505</v>
      </c>
      <c r="F172" s="203">
        <f t="shared" si="13"/>
        <v>0.46</v>
      </c>
    </row>
    <row r="173" spans="1:6" x14ac:dyDescent="0.35">
      <c r="A173" s="200">
        <v>2018</v>
      </c>
      <c r="B173" s="201" t="s">
        <v>290</v>
      </c>
      <c r="C173" s="201" t="s">
        <v>291</v>
      </c>
      <c r="D173" s="291" t="str">
        <f t="shared" si="11"/>
        <v>DAP</v>
      </c>
      <c r="E173" s="202">
        <v>15761</v>
      </c>
      <c r="F173" s="203">
        <f t="shared" si="13"/>
        <v>0.46</v>
      </c>
    </row>
    <row r="174" spans="1:6" x14ac:dyDescent="0.35">
      <c r="A174" s="200">
        <v>2018</v>
      </c>
      <c r="B174" s="201" t="s">
        <v>287</v>
      </c>
      <c r="C174" s="201" t="s">
        <v>288</v>
      </c>
      <c r="D174" s="291">
        <f t="shared" si="11"/>
        <v>0</v>
      </c>
      <c r="E174" s="202">
        <v>13888</v>
      </c>
      <c r="F174" s="203">
        <f t="shared" si="13"/>
        <v>0</v>
      </c>
    </row>
    <row r="175" spans="1:6" x14ac:dyDescent="0.35">
      <c r="A175" s="200">
        <v>2018</v>
      </c>
      <c r="B175" s="201" t="s">
        <v>314</v>
      </c>
      <c r="C175" s="201" t="s">
        <v>315</v>
      </c>
      <c r="D175" s="291">
        <f t="shared" si="11"/>
        <v>0</v>
      </c>
      <c r="E175" s="202">
        <v>288.10000000000002</v>
      </c>
      <c r="F175" s="203">
        <f t="shared" si="13"/>
        <v>0</v>
      </c>
    </row>
    <row r="176" spans="1:6" x14ac:dyDescent="0.35">
      <c r="A176" s="200">
        <v>2018</v>
      </c>
      <c r="B176" s="201" t="s">
        <v>295</v>
      </c>
      <c r="C176" s="201" t="s">
        <v>296</v>
      </c>
      <c r="D176" s="291" t="str">
        <f t="shared" si="11"/>
        <v>MAP</v>
      </c>
      <c r="E176" s="202">
        <v>100</v>
      </c>
      <c r="F176" s="203">
        <f t="shared" si="13"/>
        <v>0.5</v>
      </c>
    </row>
    <row r="177" spans="1:6" x14ac:dyDescent="0.35">
      <c r="A177" s="200">
        <v>2018</v>
      </c>
      <c r="B177" s="201" t="s">
        <v>299</v>
      </c>
      <c r="C177" s="201" t="s">
        <v>326</v>
      </c>
      <c r="D177" s="291" t="str">
        <f t="shared" si="11"/>
        <v>12-0-43</v>
      </c>
      <c r="E177" s="202">
        <v>100.2</v>
      </c>
      <c r="F177" s="203">
        <f t="shared" si="13"/>
        <v>0</v>
      </c>
    </row>
    <row r="178" spans="1:6" x14ac:dyDescent="0.35">
      <c r="A178" s="200">
        <v>2018</v>
      </c>
      <c r="B178" s="201" t="s">
        <v>297</v>
      </c>
      <c r="C178" s="201" t="s">
        <v>298</v>
      </c>
      <c r="D178" s="291">
        <f t="shared" si="11"/>
        <v>0</v>
      </c>
      <c r="E178" s="202">
        <v>15166</v>
      </c>
      <c r="F178" s="203">
        <f t="shared" si="13"/>
        <v>0</v>
      </c>
    </row>
    <row r="179" spans="1:6" x14ac:dyDescent="0.35">
      <c r="A179" s="200">
        <v>2018</v>
      </c>
      <c r="B179" s="201" t="s">
        <v>312</v>
      </c>
      <c r="C179" s="201" t="s">
        <v>556</v>
      </c>
      <c r="D179" s="291" t="str">
        <f t="shared" si="11"/>
        <v>00-23-19</v>
      </c>
      <c r="E179" s="202">
        <v>10486</v>
      </c>
      <c r="F179" s="203">
        <f t="shared" si="13"/>
        <v>0.23</v>
      </c>
    </row>
    <row r="180" spans="1:6" x14ac:dyDescent="0.35">
      <c r="A180" s="200">
        <v>2018</v>
      </c>
      <c r="B180" s="201" t="s">
        <v>307</v>
      </c>
      <c r="C180" s="201" t="s">
        <v>308</v>
      </c>
      <c r="D180" s="291" t="str">
        <f t="shared" si="11"/>
        <v>Phosphate rocks</v>
      </c>
      <c r="E180" s="202">
        <v>7248</v>
      </c>
      <c r="F180" s="203">
        <f t="shared" si="13"/>
        <v>0.33</v>
      </c>
    </row>
    <row r="181" spans="1:6" x14ac:dyDescent="0.35">
      <c r="A181" s="200">
        <v>2018</v>
      </c>
      <c r="B181" s="201" t="s">
        <v>272</v>
      </c>
      <c r="C181" s="201" t="s">
        <v>352</v>
      </c>
      <c r="D181" s="291" t="str">
        <f t="shared" si="11"/>
        <v>Other P</v>
      </c>
      <c r="E181" s="202">
        <v>31</v>
      </c>
      <c r="F181" s="203">
        <f t="shared" si="13"/>
        <v>0.22</v>
      </c>
    </row>
    <row r="182" spans="1:6" x14ac:dyDescent="0.35">
      <c r="A182" s="200">
        <v>2018</v>
      </c>
      <c r="B182" s="201" t="s">
        <v>309</v>
      </c>
      <c r="C182" s="201" t="s">
        <v>310</v>
      </c>
      <c r="D182" s="291">
        <f t="shared" si="11"/>
        <v>0</v>
      </c>
      <c r="E182" s="202">
        <v>1092</v>
      </c>
      <c r="F182" s="203">
        <f t="shared" si="13"/>
        <v>0</v>
      </c>
    </row>
    <row r="183" spans="1:6" x14ac:dyDescent="0.35">
      <c r="A183" s="200">
        <v>2018</v>
      </c>
      <c r="B183" s="201" t="s">
        <v>312</v>
      </c>
      <c r="C183" s="201" t="s">
        <v>320</v>
      </c>
      <c r="D183" s="291" t="str">
        <f t="shared" si="11"/>
        <v>15-15-15</v>
      </c>
      <c r="E183" s="202">
        <v>43671</v>
      </c>
      <c r="F183" s="203">
        <f t="shared" si="13"/>
        <v>0.15</v>
      </c>
    </row>
    <row r="184" spans="1:6" x14ac:dyDescent="0.35">
      <c r="A184" s="200">
        <v>2018</v>
      </c>
      <c r="B184" s="201" t="s">
        <v>312</v>
      </c>
      <c r="C184" s="201" t="s">
        <v>353</v>
      </c>
      <c r="D184" s="291" t="str">
        <f t="shared" si="11"/>
        <v>11-22-21</v>
      </c>
      <c r="E184" s="202">
        <v>5631</v>
      </c>
      <c r="F184" s="203">
        <f t="shared" si="13"/>
        <v>0.22</v>
      </c>
    </row>
    <row r="185" spans="1:6" x14ac:dyDescent="0.35">
      <c r="A185" s="201"/>
      <c r="B185" s="201"/>
      <c r="C185" s="209" t="s">
        <v>282</v>
      </c>
      <c r="D185" s="291" t="str">
        <f t="shared" si="11"/>
        <v>-</v>
      </c>
      <c r="E185" s="210">
        <v>232337</v>
      </c>
      <c r="F185" s="211">
        <f>SUMPRODUCT(E170:E184,F170:F184)/E185</f>
        <v>0.11832928031264929</v>
      </c>
    </row>
    <row r="186" spans="1:6" x14ac:dyDescent="0.35">
      <c r="A186" s="200">
        <v>2019</v>
      </c>
      <c r="B186" s="201" t="s">
        <v>289</v>
      </c>
      <c r="C186" s="201" t="s">
        <v>214</v>
      </c>
      <c r="D186" s="291">
        <f t="shared" si="11"/>
        <v>0</v>
      </c>
      <c r="E186" s="202">
        <v>89615</v>
      </c>
      <c r="F186" s="203">
        <f t="shared" ref="F186:F203" si="14">IFERROR(VLOOKUP(C186,$B$270:$C$337,2,FALSE),"-")</f>
        <v>0</v>
      </c>
    </row>
    <row r="187" spans="1:6" x14ac:dyDescent="0.35">
      <c r="A187" s="200">
        <v>2019</v>
      </c>
      <c r="B187" s="201" t="s">
        <v>293</v>
      </c>
      <c r="C187" s="201" t="s">
        <v>294</v>
      </c>
      <c r="D187" s="291">
        <f t="shared" si="11"/>
        <v>0</v>
      </c>
      <c r="E187" s="202">
        <v>86539</v>
      </c>
      <c r="F187" s="203">
        <f t="shared" si="14"/>
        <v>0</v>
      </c>
    </row>
    <row r="188" spans="1:6" x14ac:dyDescent="0.35">
      <c r="A188" s="200">
        <v>2019</v>
      </c>
      <c r="B188" s="201" t="s">
        <v>272</v>
      </c>
      <c r="C188" s="201" t="s">
        <v>273</v>
      </c>
      <c r="D188" s="291" t="str">
        <f t="shared" si="11"/>
        <v>TSP</v>
      </c>
      <c r="E188" s="202">
        <v>65397</v>
      </c>
      <c r="F188" s="203">
        <f t="shared" si="14"/>
        <v>0.46</v>
      </c>
    </row>
    <row r="189" spans="1:6" x14ac:dyDescent="0.35">
      <c r="A189" s="200">
        <v>2019</v>
      </c>
      <c r="B189" s="201" t="s">
        <v>290</v>
      </c>
      <c r="C189" s="201" t="s">
        <v>291</v>
      </c>
      <c r="D189" s="291" t="str">
        <f t="shared" si="11"/>
        <v>DAP</v>
      </c>
      <c r="E189" s="202">
        <v>48047</v>
      </c>
      <c r="F189" s="203">
        <f t="shared" si="14"/>
        <v>0.46</v>
      </c>
    </row>
    <row r="190" spans="1:6" x14ac:dyDescent="0.35">
      <c r="A190" s="200">
        <v>2019</v>
      </c>
      <c r="B190" s="201" t="s">
        <v>287</v>
      </c>
      <c r="C190" s="201" t="s">
        <v>288</v>
      </c>
      <c r="D190" s="291">
        <f t="shared" si="11"/>
        <v>0</v>
      </c>
      <c r="E190" s="202">
        <v>27830</v>
      </c>
      <c r="F190" s="203">
        <f t="shared" si="14"/>
        <v>0</v>
      </c>
    </row>
    <row r="191" spans="1:6" x14ac:dyDescent="0.35">
      <c r="A191" s="200">
        <v>2019</v>
      </c>
      <c r="B191" s="201" t="s">
        <v>324</v>
      </c>
      <c r="C191" s="201" t="s">
        <v>325</v>
      </c>
      <c r="D191" s="291">
        <f t="shared" si="11"/>
        <v>0</v>
      </c>
      <c r="E191" s="202">
        <v>360</v>
      </c>
      <c r="F191" s="203">
        <f t="shared" si="14"/>
        <v>0</v>
      </c>
    </row>
    <row r="192" spans="1:6" x14ac:dyDescent="0.35">
      <c r="A192" s="200">
        <v>2019</v>
      </c>
      <c r="B192" s="201" t="s">
        <v>314</v>
      </c>
      <c r="C192" s="201" t="s">
        <v>315</v>
      </c>
      <c r="D192" s="291">
        <f t="shared" si="11"/>
        <v>0</v>
      </c>
      <c r="E192" s="202">
        <v>1911</v>
      </c>
      <c r="F192" s="203">
        <f t="shared" si="14"/>
        <v>0</v>
      </c>
    </row>
    <row r="193" spans="1:6" x14ac:dyDescent="0.35">
      <c r="A193" s="200">
        <v>2019</v>
      </c>
      <c r="B193" s="201" t="s">
        <v>295</v>
      </c>
      <c r="C193" s="201" t="s">
        <v>296</v>
      </c>
      <c r="D193" s="291" t="str">
        <f t="shared" si="11"/>
        <v>MAP</v>
      </c>
      <c r="E193" s="202">
        <v>151</v>
      </c>
      <c r="F193" s="203">
        <f t="shared" si="14"/>
        <v>0.5</v>
      </c>
    </row>
    <row r="194" spans="1:6" x14ac:dyDescent="0.35">
      <c r="A194" s="200">
        <v>2019</v>
      </c>
      <c r="B194" s="201" t="s">
        <v>316</v>
      </c>
      <c r="C194" s="201" t="s">
        <v>317</v>
      </c>
      <c r="D194" s="291" t="str">
        <f t="shared" si="11"/>
        <v>MKP</v>
      </c>
      <c r="E194" s="202">
        <v>26</v>
      </c>
      <c r="F194" s="203">
        <f t="shared" si="14"/>
        <v>0.52</v>
      </c>
    </row>
    <row r="195" spans="1:6" x14ac:dyDescent="0.35">
      <c r="A195" s="200">
        <v>2019</v>
      </c>
      <c r="B195" s="201" t="s">
        <v>299</v>
      </c>
      <c r="C195" s="201" t="s">
        <v>326</v>
      </c>
      <c r="D195" s="291" t="str">
        <f t="shared" si="11"/>
        <v>12-0-43</v>
      </c>
      <c r="E195" s="202">
        <v>75</v>
      </c>
      <c r="F195" s="203">
        <f t="shared" si="14"/>
        <v>0</v>
      </c>
    </row>
    <row r="196" spans="1:6" x14ac:dyDescent="0.35">
      <c r="A196" s="200">
        <v>2019</v>
      </c>
      <c r="B196" s="201" t="s">
        <v>297</v>
      </c>
      <c r="C196" s="201" t="s">
        <v>298</v>
      </c>
      <c r="D196" s="291">
        <f t="shared" si="11"/>
        <v>0</v>
      </c>
      <c r="E196" s="202">
        <v>7899</v>
      </c>
      <c r="F196" s="203">
        <f t="shared" si="14"/>
        <v>0</v>
      </c>
    </row>
    <row r="197" spans="1:6" x14ac:dyDescent="0.35">
      <c r="A197" s="200">
        <v>2019</v>
      </c>
      <c r="B197" s="201" t="s">
        <v>301</v>
      </c>
      <c r="C197" s="201" t="s">
        <v>302</v>
      </c>
      <c r="D197" s="291">
        <f t="shared" si="11"/>
        <v>0</v>
      </c>
      <c r="E197" s="202">
        <v>53.16</v>
      </c>
      <c r="F197" s="203">
        <f t="shared" si="14"/>
        <v>0</v>
      </c>
    </row>
    <row r="198" spans="1:6" x14ac:dyDescent="0.35">
      <c r="A198" s="200">
        <v>2019</v>
      </c>
      <c r="B198" s="201" t="s">
        <v>299</v>
      </c>
      <c r="C198" s="201" t="s">
        <v>311</v>
      </c>
      <c r="D198" s="291" t="str">
        <f t="shared" si="11"/>
        <v>Other P</v>
      </c>
      <c r="E198" s="202">
        <v>0.12</v>
      </c>
      <c r="F198" s="203">
        <f t="shared" si="14"/>
        <v>0.2</v>
      </c>
    </row>
    <row r="199" spans="1:6" x14ac:dyDescent="0.35">
      <c r="A199" s="200">
        <v>2019</v>
      </c>
      <c r="B199" s="201" t="s">
        <v>299</v>
      </c>
      <c r="C199" s="201" t="s">
        <v>354</v>
      </c>
      <c r="D199" s="291" t="str">
        <f t="shared" si="11"/>
        <v>0-24-22</v>
      </c>
      <c r="E199" s="202">
        <v>20.7</v>
      </c>
      <c r="F199" s="203">
        <f t="shared" si="14"/>
        <v>0.24</v>
      </c>
    </row>
    <row r="200" spans="1:6" x14ac:dyDescent="0.35">
      <c r="A200" s="200">
        <v>2019</v>
      </c>
      <c r="B200" s="201" t="s">
        <v>307</v>
      </c>
      <c r="C200" s="201" t="s">
        <v>308</v>
      </c>
      <c r="D200" s="291" t="str">
        <f t="shared" ref="D200:D263" si="15">IFERROR(VLOOKUP(C200,$B$270:$D$337,3,FALSE),"-")</f>
        <v>Phosphate rocks</v>
      </c>
      <c r="E200" s="202">
        <v>19400</v>
      </c>
      <c r="F200" s="203">
        <f t="shared" si="14"/>
        <v>0.33</v>
      </c>
    </row>
    <row r="201" spans="1:6" x14ac:dyDescent="0.35">
      <c r="A201" s="200">
        <v>2019</v>
      </c>
      <c r="B201" s="201" t="s">
        <v>355</v>
      </c>
      <c r="C201" s="201" t="s">
        <v>356</v>
      </c>
      <c r="D201" s="291" t="str">
        <f t="shared" si="15"/>
        <v>Other P</v>
      </c>
      <c r="E201" s="202">
        <v>50</v>
      </c>
      <c r="F201" s="203">
        <f t="shared" si="14"/>
        <v>0</v>
      </c>
    </row>
    <row r="202" spans="1:6" x14ac:dyDescent="0.35">
      <c r="A202" s="200">
        <v>2019</v>
      </c>
      <c r="B202" s="201" t="s">
        <v>309</v>
      </c>
      <c r="C202" s="201" t="s">
        <v>310</v>
      </c>
      <c r="D202" s="291">
        <f t="shared" si="15"/>
        <v>0</v>
      </c>
      <c r="E202" s="202">
        <v>869</v>
      </c>
      <c r="F202" s="203">
        <f t="shared" si="14"/>
        <v>0</v>
      </c>
    </row>
    <row r="203" spans="1:6" x14ac:dyDescent="0.35">
      <c r="A203" s="200">
        <v>2019</v>
      </c>
      <c r="B203" s="201" t="s">
        <v>312</v>
      </c>
      <c r="C203" s="201" t="s">
        <v>320</v>
      </c>
      <c r="D203" s="291" t="str">
        <f t="shared" si="15"/>
        <v>15-15-15</v>
      </c>
      <c r="E203" s="202">
        <v>37840</v>
      </c>
      <c r="F203" s="203">
        <f t="shared" si="14"/>
        <v>0.15</v>
      </c>
    </row>
    <row r="204" spans="1:6" x14ac:dyDescent="0.35">
      <c r="A204" s="201"/>
      <c r="B204" s="201"/>
      <c r="C204" s="209" t="s">
        <v>283</v>
      </c>
      <c r="D204" s="291" t="str">
        <f t="shared" si="15"/>
        <v>-</v>
      </c>
      <c r="E204" s="210">
        <v>386083</v>
      </c>
      <c r="F204" s="211">
        <f>SUMPRODUCT(E186:E203,F186:F203)/E204</f>
        <v>0.16669019873964924</v>
      </c>
    </row>
    <row r="205" spans="1:6" x14ac:dyDescent="0.35">
      <c r="A205" s="200">
        <v>2020</v>
      </c>
      <c r="B205" s="201" t="s">
        <v>293</v>
      </c>
      <c r="C205" s="201" t="s">
        <v>294</v>
      </c>
      <c r="D205" s="291">
        <f t="shared" si="15"/>
        <v>0</v>
      </c>
      <c r="E205" s="202">
        <v>106893</v>
      </c>
      <c r="F205" s="203">
        <f t="shared" ref="F205:F223" si="16">IFERROR(VLOOKUP(C205,$B$270:$C$337,2,FALSE),"-")</f>
        <v>0</v>
      </c>
    </row>
    <row r="206" spans="1:6" x14ac:dyDescent="0.35">
      <c r="A206" s="200">
        <v>2020</v>
      </c>
      <c r="B206" s="201" t="s">
        <v>289</v>
      </c>
      <c r="C206" s="201" t="s">
        <v>214</v>
      </c>
      <c r="D206" s="291">
        <f t="shared" si="15"/>
        <v>0</v>
      </c>
      <c r="E206" s="202">
        <v>69569</v>
      </c>
      <c r="F206" s="203">
        <f t="shared" si="16"/>
        <v>0</v>
      </c>
    </row>
    <row r="207" spans="1:6" x14ac:dyDescent="0.35">
      <c r="A207" s="200">
        <v>2020</v>
      </c>
      <c r="B207" s="201" t="s">
        <v>272</v>
      </c>
      <c r="C207" s="201" t="s">
        <v>273</v>
      </c>
      <c r="D207" s="291" t="str">
        <f t="shared" si="15"/>
        <v>TSP</v>
      </c>
      <c r="E207" s="202">
        <v>64734</v>
      </c>
      <c r="F207" s="203">
        <f t="shared" si="16"/>
        <v>0.46</v>
      </c>
    </row>
    <row r="208" spans="1:6" x14ac:dyDescent="0.35">
      <c r="A208" s="200">
        <v>2020</v>
      </c>
      <c r="B208" s="201" t="s">
        <v>290</v>
      </c>
      <c r="C208" s="201" t="s">
        <v>291</v>
      </c>
      <c r="D208" s="291" t="str">
        <f t="shared" si="15"/>
        <v>DAP</v>
      </c>
      <c r="E208" s="202">
        <v>35916</v>
      </c>
      <c r="F208" s="203">
        <f t="shared" si="16"/>
        <v>0.46</v>
      </c>
    </row>
    <row r="209" spans="1:6" x14ac:dyDescent="0.35">
      <c r="A209" s="200">
        <v>2020</v>
      </c>
      <c r="B209" s="201" t="s">
        <v>287</v>
      </c>
      <c r="C209" s="201" t="s">
        <v>288</v>
      </c>
      <c r="D209" s="291">
        <f t="shared" si="15"/>
        <v>0</v>
      </c>
      <c r="E209" s="202">
        <v>14244</v>
      </c>
      <c r="F209" s="203">
        <f t="shared" si="16"/>
        <v>0</v>
      </c>
    </row>
    <row r="210" spans="1:6" x14ac:dyDescent="0.35">
      <c r="A210" s="200">
        <v>2020</v>
      </c>
      <c r="B210" s="201" t="s">
        <v>324</v>
      </c>
      <c r="C210" s="201" t="s">
        <v>325</v>
      </c>
      <c r="D210" s="291">
        <f t="shared" si="15"/>
        <v>0</v>
      </c>
      <c r="E210" s="202">
        <v>644</v>
      </c>
      <c r="F210" s="203">
        <f t="shared" si="16"/>
        <v>0</v>
      </c>
    </row>
    <row r="211" spans="1:6" x14ac:dyDescent="0.35">
      <c r="A211" s="200">
        <v>2020</v>
      </c>
      <c r="B211" s="201" t="s">
        <v>314</v>
      </c>
      <c r="C211" s="201" t="s">
        <v>315</v>
      </c>
      <c r="D211" s="291">
        <f t="shared" si="15"/>
        <v>0</v>
      </c>
      <c r="E211" s="202">
        <v>2048</v>
      </c>
      <c r="F211" s="203">
        <f t="shared" si="16"/>
        <v>0</v>
      </c>
    </row>
    <row r="212" spans="1:6" x14ac:dyDescent="0.35">
      <c r="A212" s="200">
        <v>2020</v>
      </c>
      <c r="B212" s="201" t="s">
        <v>295</v>
      </c>
      <c r="C212" s="201" t="s">
        <v>296</v>
      </c>
      <c r="D212" s="291" t="str">
        <f t="shared" si="15"/>
        <v>MAP</v>
      </c>
      <c r="E212" s="202">
        <v>274</v>
      </c>
      <c r="F212" s="203">
        <f t="shared" si="16"/>
        <v>0.5</v>
      </c>
    </row>
    <row r="213" spans="1:6" x14ac:dyDescent="0.35">
      <c r="A213" s="200">
        <v>2020</v>
      </c>
      <c r="B213" s="201" t="s">
        <v>297</v>
      </c>
      <c r="C213" s="201" t="s">
        <v>298</v>
      </c>
      <c r="D213" s="291">
        <f t="shared" si="15"/>
        <v>0</v>
      </c>
      <c r="E213" s="202">
        <v>4450</v>
      </c>
      <c r="F213" s="203">
        <f t="shared" si="16"/>
        <v>0</v>
      </c>
    </row>
    <row r="214" spans="1:6" x14ac:dyDescent="0.35">
      <c r="A214" s="200">
        <v>2020</v>
      </c>
      <c r="B214" s="201" t="s">
        <v>299</v>
      </c>
      <c r="C214" s="201" t="s">
        <v>300</v>
      </c>
      <c r="D214" s="291" t="str">
        <f t="shared" si="15"/>
        <v>Other P</v>
      </c>
      <c r="E214" s="202">
        <v>13.61</v>
      </c>
      <c r="F214" s="203">
        <f t="shared" si="16"/>
        <v>0.1</v>
      </c>
    </row>
    <row r="215" spans="1:6" x14ac:dyDescent="0.35">
      <c r="A215" s="200">
        <v>2020</v>
      </c>
      <c r="B215" s="201" t="s">
        <v>301</v>
      </c>
      <c r="C215" s="201" t="s">
        <v>302</v>
      </c>
      <c r="D215" s="291">
        <f t="shared" si="15"/>
        <v>0</v>
      </c>
      <c r="E215" s="202">
        <v>840</v>
      </c>
      <c r="F215" s="203">
        <f t="shared" si="16"/>
        <v>0</v>
      </c>
    </row>
    <row r="216" spans="1:6" x14ac:dyDescent="0.35">
      <c r="A216" s="200">
        <v>2020</v>
      </c>
      <c r="B216" s="201" t="s">
        <v>303</v>
      </c>
      <c r="C216" s="201" t="s">
        <v>304</v>
      </c>
      <c r="D216" s="291">
        <f t="shared" si="15"/>
        <v>0</v>
      </c>
      <c r="E216" s="202">
        <v>0.04</v>
      </c>
      <c r="F216" s="203">
        <f t="shared" si="16"/>
        <v>0</v>
      </c>
    </row>
    <row r="217" spans="1:6" x14ac:dyDescent="0.35">
      <c r="A217" s="200">
        <v>2020</v>
      </c>
      <c r="B217" s="201" t="s">
        <v>305</v>
      </c>
      <c r="C217" s="201" t="s">
        <v>306</v>
      </c>
      <c r="D217" s="291" t="str">
        <f t="shared" si="15"/>
        <v>Other P</v>
      </c>
      <c r="E217" s="202">
        <v>0.04</v>
      </c>
      <c r="F217" s="203">
        <f t="shared" si="16"/>
        <v>0.2</v>
      </c>
    </row>
    <row r="218" spans="1:6" x14ac:dyDescent="0.35">
      <c r="A218" s="200">
        <v>2020</v>
      </c>
      <c r="B218" s="201" t="s">
        <v>312</v>
      </c>
      <c r="C218" s="201" t="s">
        <v>556</v>
      </c>
      <c r="D218" s="291" t="str">
        <f t="shared" si="15"/>
        <v>00-23-19</v>
      </c>
      <c r="E218" s="202">
        <v>6787</v>
      </c>
      <c r="F218" s="203">
        <f t="shared" si="16"/>
        <v>0.23</v>
      </c>
    </row>
    <row r="219" spans="1:6" x14ac:dyDescent="0.35">
      <c r="A219" s="200">
        <v>2020</v>
      </c>
      <c r="B219" s="201" t="s">
        <v>307</v>
      </c>
      <c r="C219" s="201" t="s">
        <v>308</v>
      </c>
      <c r="D219" s="291" t="str">
        <f t="shared" si="15"/>
        <v>Phosphate rocks</v>
      </c>
      <c r="E219" s="202">
        <v>5139</v>
      </c>
      <c r="F219" s="203">
        <f t="shared" si="16"/>
        <v>0.33</v>
      </c>
    </row>
    <row r="220" spans="1:6" x14ac:dyDescent="0.35">
      <c r="A220" s="200">
        <v>2020</v>
      </c>
      <c r="B220" s="201" t="s">
        <v>355</v>
      </c>
      <c r="C220" s="201" t="s">
        <v>356</v>
      </c>
      <c r="D220" s="291" t="str">
        <f t="shared" si="15"/>
        <v>Other P</v>
      </c>
      <c r="E220" s="202">
        <v>66.8</v>
      </c>
      <c r="F220" s="203">
        <f t="shared" si="16"/>
        <v>0</v>
      </c>
    </row>
    <row r="221" spans="1:6" x14ac:dyDescent="0.35">
      <c r="A221" s="200">
        <v>2020</v>
      </c>
      <c r="B221" s="201" t="s">
        <v>309</v>
      </c>
      <c r="C221" s="201" t="s">
        <v>310</v>
      </c>
      <c r="D221" s="291">
        <f t="shared" si="15"/>
        <v>0</v>
      </c>
      <c r="E221" s="202">
        <v>1117</v>
      </c>
      <c r="F221" s="203">
        <f t="shared" si="16"/>
        <v>0</v>
      </c>
    </row>
    <row r="222" spans="1:6" x14ac:dyDescent="0.35">
      <c r="A222" s="200">
        <v>2020</v>
      </c>
      <c r="B222" s="201" t="s">
        <v>299</v>
      </c>
      <c r="C222" s="201" t="s">
        <v>357</v>
      </c>
      <c r="D222" s="291">
        <f t="shared" si="15"/>
        <v>0</v>
      </c>
      <c r="E222" s="202">
        <v>81</v>
      </c>
      <c r="F222" s="203">
        <f t="shared" si="16"/>
        <v>0</v>
      </c>
    </row>
    <row r="223" spans="1:6" x14ac:dyDescent="0.35">
      <c r="A223" s="200">
        <v>2020</v>
      </c>
      <c r="B223" s="201" t="s">
        <v>312</v>
      </c>
      <c r="C223" s="201" t="s">
        <v>320</v>
      </c>
      <c r="D223" s="291" t="str">
        <f t="shared" si="15"/>
        <v>15-15-15</v>
      </c>
      <c r="E223" s="202">
        <v>4656</v>
      </c>
      <c r="F223" s="203">
        <f t="shared" si="16"/>
        <v>0.15</v>
      </c>
    </row>
    <row r="224" spans="1:6" x14ac:dyDescent="0.35">
      <c r="A224" s="201"/>
      <c r="B224" s="201"/>
      <c r="C224" s="209" t="s">
        <v>284</v>
      </c>
      <c r="D224" s="291" t="str">
        <f t="shared" si="15"/>
        <v>-</v>
      </c>
      <c r="E224" s="210">
        <v>317473</v>
      </c>
      <c r="F224" s="211">
        <f>SUMPRODUCT(E205:E223,F205:F223)/E224</f>
        <v>0.15873050306640252</v>
      </c>
    </row>
    <row r="225" spans="1:7" x14ac:dyDescent="0.35">
      <c r="A225" s="200">
        <v>2021</v>
      </c>
      <c r="B225" s="201" t="s">
        <v>293</v>
      </c>
      <c r="C225" s="201" t="s">
        <v>294</v>
      </c>
      <c r="D225" s="291">
        <f t="shared" si="15"/>
        <v>0</v>
      </c>
      <c r="E225" s="202">
        <v>108359</v>
      </c>
      <c r="F225" s="203">
        <f t="shared" ref="F225:F244" si="17">IFERROR(VLOOKUP(C225,$B$270:$C$337,2,FALSE),"-")</f>
        <v>0</v>
      </c>
      <c r="G225" s="193">
        <f>SUMPRODUCT(E225:E244,F225:F244)</f>
        <v>81218.758000000002</v>
      </c>
    </row>
    <row r="226" spans="1:7" x14ac:dyDescent="0.35">
      <c r="A226" s="200">
        <v>2021</v>
      </c>
      <c r="B226" s="201" t="s">
        <v>272</v>
      </c>
      <c r="C226" s="201" t="s">
        <v>273</v>
      </c>
      <c r="D226" s="291" t="str">
        <f t="shared" si="15"/>
        <v>TSP</v>
      </c>
      <c r="E226" s="202">
        <v>97762</v>
      </c>
      <c r="F226" s="203">
        <f t="shared" si="17"/>
        <v>0.46</v>
      </c>
    </row>
    <row r="227" spans="1:7" x14ac:dyDescent="0.35">
      <c r="A227" s="200">
        <v>2021</v>
      </c>
      <c r="B227" s="201" t="s">
        <v>289</v>
      </c>
      <c r="C227" s="201" t="s">
        <v>214</v>
      </c>
      <c r="D227" s="291">
        <f t="shared" si="15"/>
        <v>0</v>
      </c>
      <c r="E227" s="202">
        <v>90623</v>
      </c>
      <c r="F227" s="203">
        <f t="shared" si="17"/>
        <v>0</v>
      </c>
    </row>
    <row r="228" spans="1:7" x14ac:dyDescent="0.35">
      <c r="A228" s="200">
        <v>2021</v>
      </c>
      <c r="B228" s="201" t="s">
        <v>290</v>
      </c>
      <c r="C228" s="201" t="s">
        <v>291</v>
      </c>
      <c r="D228" s="291" t="str">
        <f t="shared" si="15"/>
        <v>DAP</v>
      </c>
      <c r="E228" s="202">
        <v>46550</v>
      </c>
      <c r="F228" s="203">
        <f t="shared" si="17"/>
        <v>0.46</v>
      </c>
    </row>
    <row r="229" spans="1:7" x14ac:dyDescent="0.35">
      <c r="A229" s="200">
        <v>2021</v>
      </c>
      <c r="B229" s="201" t="s">
        <v>287</v>
      </c>
      <c r="C229" s="201" t="s">
        <v>288</v>
      </c>
      <c r="D229" s="291">
        <f t="shared" si="15"/>
        <v>0</v>
      </c>
      <c r="E229" s="202">
        <v>29409</v>
      </c>
      <c r="F229" s="203">
        <f t="shared" si="17"/>
        <v>0</v>
      </c>
    </row>
    <row r="230" spans="1:7" x14ac:dyDescent="0.35">
      <c r="A230" s="200">
        <v>2021</v>
      </c>
      <c r="B230" s="201" t="s">
        <v>324</v>
      </c>
      <c r="C230" s="201" t="s">
        <v>325</v>
      </c>
      <c r="D230" s="291">
        <f t="shared" si="15"/>
        <v>0</v>
      </c>
      <c r="E230" s="202">
        <v>209.5</v>
      </c>
      <c r="F230" s="203">
        <f t="shared" si="17"/>
        <v>0</v>
      </c>
    </row>
    <row r="231" spans="1:7" x14ac:dyDescent="0.35">
      <c r="A231" s="200">
        <v>2021</v>
      </c>
      <c r="B231" s="201" t="s">
        <v>314</v>
      </c>
      <c r="C231" s="201" t="s">
        <v>315</v>
      </c>
      <c r="D231" s="291">
        <f t="shared" si="15"/>
        <v>0</v>
      </c>
      <c r="E231" s="202">
        <v>3898</v>
      </c>
      <c r="F231" s="203">
        <f t="shared" si="17"/>
        <v>0</v>
      </c>
    </row>
    <row r="232" spans="1:7" x14ac:dyDescent="0.35">
      <c r="A232" s="200">
        <v>2021</v>
      </c>
      <c r="B232" s="201" t="s">
        <v>358</v>
      </c>
      <c r="C232" s="201" t="s">
        <v>359</v>
      </c>
      <c r="D232" s="291">
        <f t="shared" si="15"/>
        <v>0</v>
      </c>
      <c r="E232" s="202">
        <v>22706</v>
      </c>
      <c r="F232" s="203">
        <f t="shared" si="17"/>
        <v>0</v>
      </c>
    </row>
    <row r="233" spans="1:7" x14ac:dyDescent="0.35">
      <c r="A233" s="200">
        <v>2021</v>
      </c>
      <c r="B233" s="201" t="s">
        <v>295</v>
      </c>
      <c r="C233" s="201" t="s">
        <v>296</v>
      </c>
      <c r="D233" s="291" t="str">
        <f t="shared" si="15"/>
        <v>MAP</v>
      </c>
      <c r="E233" s="202">
        <v>271</v>
      </c>
      <c r="F233" s="203">
        <f t="shared" si="17"/>
        <v>0.5</v>
      </c>
    </row>
    <row r="234" spans="1:7" x14ac:dyDescent="0.35">
      <c r="A234" s="200">
        <v>2021</v>
      </c>
      <c r="B234" s="201" t="s">
        <v>299</v>
      </c>
      <c r="C234" s="201" t="s">
        <v>360</v>
      </c>
      <c r="D234" s="291" t="str">
        <f t="shared" si="15"/>
        <v>20-2-0</v>
      </c>
      <c r="E234" s="202">
        <v>3300</v>
      </c>
      <c r="F234" s="203">
        <f t="shared" si="17"/>
        <v>0.02</v>
      </c>
    </row>
    <row r="235" spans="1:7" x14ac:dyDescent="0.35">
      <c r="A235" s="200">
        <v>2021</v>
      </c>
      <c r="B235" s="201" t="s">
        <v>297</v>
      </c>
      <c r="C235" s="201" t="s">
        <v>298</v>
      </c>
      <c r="D235" s="291">
        <f t="shared" si="15"/>
        <v>0</v>
      </c>
      <c r="E235" s="202">
        <v>5040</v>
      </c>
      <c r="F235" s="203">
        <f t="shared" si="17"/>
        <v>0</v>
      </c>
    </row>
    <row r="236" spans="1:7" x14ac:dyDescent="0.35">
      <c r="A236" s="200">
        <v>2021</v>
      </c>
      <c r="B236" s="201" t="s">
        <v>299</v>
      </c>
      <c r="C236" s="201" t="s">
        <v>361</v>
      </c>
      <c r="D236" s="291" t="str">
        <f t="shared" si="15"/>
        <v>Other P</v>
      </c>
      <c r="E236" s="202">
        <v>27</v>
      </c>
      <c r="F236" s="203">
        <f t="shared" si="17"/>
        <v>0</v>
      </c>
    </row>
    <row r="237" spans="1:7" x14ac:dyDescent="0.35">
      <c r="A237" s="200">
        <v>2021</v>
      </c>
      <c r="B237" s="201" t="s">
        <v>299</v>
      </c>
      <c r="C237" s="201" t="s">
        <v>300</v>
      </c>
      <c r="D237" s="291" t="str">
        <f t="shared" si="15"/>
        <v>Other P</v>
      </c>
      <c r="E237" s="202">
        <v>15</v>
      </c>
      <c r="F237" s="203">
        <f t="shared" si="17"/>
        <v>0.1</v>
      </c>
    </row>
    <row r="238" spans="1:7" x14ac:dyDescent="0.35">
      <c r="A238" s="200">
        <v>2021</v>
      </c>
      <c r="B238" s="201" t="s">
        <v>301</v>
      </c>
      <c r="C238" s="201" t="s">
        <v>302</v>
      </c>
      <c r="D238" s="291">
        <f t="shared" si="15"/>
        <v>0</v>
      </c>
      <c r="E238" s="202">
        <v>289.7</v>
      </c>
      <c r="F238" s="203">
        <f t="shared" si="17"/>
        <v>0</v>
      </c>
    </row>
    <row r="239" spans="1:7" x14ac:dyDescent="0.35">
      <c r="A239" s="200">
        <v>2021</v>
      </c>
      <c r="B239" s="201" t="s">
        <v>299</v>
      </c>
      <c r="C239" s="201" t="s">
        <v>311</v>
      </c>
      <c r="D239" s="291" t="str">
        <f t="shared" si="15"/>
        <v>Other P</v>
      </c>
      <c r="E239" s="202">
        <v>15.94</v>
      </c>
      <c r="F239" s="203">
        <f t="shared" si="17"/>
        <v>0.2</v>
      </c>
    </row>
    <row r="240" spans="1:7" x14ac:dyDescent="0.35">
      <c r="A240" s="200">
        <v>2021</v>
      </c>
      <c r="B240" s="201" t="s">
        <v>299</v>
      </c>
      <c r="C240" s="201" t="s">
        <v>557</v>
      </c>
      <c r="D240" s="291" t="str">
        <f t="shared" si="15"/>
        <v>00-23-19</v>
      </c>
      <c r="E240" s="202">
        <v>6000</v>
      </c>
      <c r="F240" s="203">
        <f t="shared" si="17"/>
        <v>0.23</v>
      </c>
    </row>
    <row r="241" spans="1:6" x14ac:dyDescent="0.35">
      <c r="A241" s="200">
        <v>2021</v>
      </c>
      <c r="B241" s="201" t="s">
        <v>307</v>
      </c>
      <c r="C241" s="201" t="s">
        <v>308</v>
      </c>
      <c r="D241" s="291" t="str">
        <f t="shared" si="15"/>
        <v>Phosphate rocks</v>
      </c>
      <c r="E241" s="202">
        <v>15710</v>
      </c>
      <c r="F241" s="203">
        <f t="shared" si="17"/>
        <v>0.33</v>
      </c>
    </row>
    <row r="242" spans="1:6" x14ac:dyDescent="0.35">
      <c r="A242" s="200">
        <v>2021</v>
      </c>
      <c r="B242" s="201" t="s">
        <v>309</v>
      </c>
      <c r="C242" s="201" t="s">
        <v>310</v>
      </c>
      <c r="D242" s="291">
        <f t="shared" si="15"/>
        <v>0</v>
      </c>
      <c r="E242" s="202">
        <v>1670</v>
      </c>
      <c r="F242" s="203">
        <f t="shared" si="17"/>
        <v>0</v>
      </c>
    </row>
    <row r="243" spans="1:6" x14ac:dyDescent="0.35">
      <c r="A243" s="200">
        <v>2021</v>
      </c>
      <c r="B243" s="201" t="s">
        <v>312</v>
      </c>
      <c r="C243" s="201" t="s">
        <v>212</v>
      </c>
      <c r="D243" s="291" t="str">
        <f t="shared" si="15"/>
        <v>15-15-15</v>
      </c>
      <c r="E243" s="202">
        <v>29779</v>
      </c>
      <c r="F243" s="203">
        <f t="shared" si="17"/>
        <v>0.15</v>
      </c>
    </row>
    <row r="244" spans="1:6" x14ac:dyDescent="0.35">
      <c r="A244" s="200">
        <v>2021</v>
      </c>
      <c r="B244" s="201" t="s">
        <v>312</v>
      </c>
      <c r="C244" s="201" t="s">
        <v>320</v>
      </c>
      <c r="D244" s="291" t="str">
        <f t="shared" si="15"/>
        <v>15-15-15</v>
      </c>
      <c r="E244" s="202">
        <v>23986</v>
      </c>
      <c r="F244" s="203">
        <f t="shared" si="17"/>
        <v>0.15</v>
      </c>
    </row>
    <row r="245" spans="1:6" x14ac:dyDescent="0.35">
      <c r="A245" s="201"/>
      <c r="B245" s="201"/>
      <c r="C245" s="209" t="s">
        <v>285</v>
      </c>
      <c r="D245" s="291" t="str">
        <f t="shared" si="15"/>
        <v>-</v>
      </c>
      <c r="E245" s="210">
        <v>485619</v>
      </c>
      <c r="F245" s="211">
        <f>SUMPRODUCT(E225:E244,F225:F244)/E245</f>
        <v>0.16724790010275545</v>
      </c>
    </row>
    <row r="246" spans="1:6" x14ac:dyDescent="0.35">
      <c r="A246" s="200">
        <v>2022</v>
      </c>
      <c r="B246" s="201" t="s">
        <v>289</v>
      </c>
      <c r="C246" s="201" t="s">
        <v>214</v>
      </c>
      <c r="D246" s="291">
        <f t="shared" si="15"/>
        <v>0</v>
      </c>
      <c r="E246" s="202">
        <v>65718</v>
      </c>
      <c r="F246" s="203">
        <f t="shared" ref="F246:F264" si="18">IFERROR(VLOOKUP(C246,$B$270:$C$337,2,FALSE),"-")</f>
        <v>0</v>
      </c>
    </row>
    <row r="247" spans="1:6" x14ac:dyDescent="0.35">
      <c r="A247" s="200">
        <v>2022</v>
      </c>
      <c r="B247" s="201" t="s">
        <v>293</v>
      </c>
      <c r="C247" s="201" t="s">
        <v>294</v>
      </c>
      <c r="D247" s="291">
        <f t="shared" si="15"/>
        <v>0</v>
      </c>
      <c r="E247" s="202">
        <v>58690</v>
      </c>
      <c r="F247" s="203">
        <f t="shared" si="18"/>
        <v>0</v>
      </c>
    </row>
    <row r="248" spans="1:6" x14ac:dyDescent="0.35">
      <c r="A248" s="200">
        <v>2022</v>
      </c>
      <c r="B248" s="201" t="s">
        <v>290</v>
      </c>
      <c r="C248" s="201" t="s">
        <v>291</v>
      </c>
      <c r="D248" s="291" t="str">
        <f t="shared" si="15"/>
        <v>DAP</v>
      </c>
      <c r="E248" s="202">
        <v>21253</v>
      </c>
      <c r="F248" s="203">
        <f t="shared" si="18"/>
        <v>0.46</v>
      </c>
    </row>
    <row r="249" spans="1:6" x14ac:dyDescent="0.35">
      <c r="A249" s="200">
        <v>2022</v>
      </c>
      <c r="B249" s="201" t="s">
        <v>287</v>
      </c>
      <c r="C249" s="201" t="s">
        <v>288</v>
      </c>
      <c r="D249" s="291">
        <f t="shared" si="15"/>
        <v>0</v>
      </c>
      <c r="E249" s="202">
        <v>13651</v>
      </c>
      <c r="F249" s="203">
        <f t="shared" si="18"/>
        <v>0</v>
      </c>
    </row>
    <row r="250" spans="1:6" x14ac:dyDescent="0.35">
      <c r="A250" s="200">
        <v>2022</v>
      </c>
      <c r="B250" s="201" t="s">
        <v>362</v>
      </c>
      <c r="C250" s="201" t="s">
        <v>363</v>
      </c>
      <c r="D250" s="291">
        <f t="shared" si="15"/>
        <v>0</v>
      </c>
      <c r="E250" s="202">
        <v>198.4</v>
      </c>
      <c r="F250" s="203">
        <f t="shared" si="18"/>
        <v>0</v>
      </c>
    </row>
    <row r="251" spans="1:6" x14ac:dyDescent="0.35">
      <c r="A251" s="200">
        <v>2022</v>
      </c>
      <c r="B251" s="201" t="s">
        <v>358</v>
      </c>
      <c r="C251" s="201" t="s">
        <v>364</v>
      </c>
      <c r="D251" s="291">
        <f t="shared" si="15"/>
        <v>0</v>
      </c>
      <c r="E251" s="202">
        <v>308.8</v>
      </c>
      <c r="F251" s="203">
        <f t="shared" si="18"/>
        <v>0</v>
      </c>
    </row>
    <row r="252" spans="1:6" x14ac:dyDescent="0.35">
      <c r="A252" s="200">
        <v>2022</v>
      </c>
      <c r="B252" s="201" t="s">
        <v>314</v>
      </c>
      <c r="C252" s="201" t="s">
        <v>315</v>
      </c>
      <c r="D252" s="291">
        <f t="shared" si="15"/>
        <v>0</v>
      </c>
      <c r="E252" s="202">
        <v>1324</v>
      </c>
      <c r="F252" s="203">
        <f t="shared" si="18"/>
        <v>0</v>
      </c>
    </row>
    <row r="253" spans="1:6" x14ac:dyDescent="0.35">
      <c r="A253" s="200">
        <v>2022</v>
      </c>
      <c r="B253" s="201" t="s">
        <v>358</v>
      </c>
      <c r="C253" s="201" t="s">
        <v>240</v>
      </c>
      <c r="D253" s="291">
        <f t="shared" si="15"/>
        <v>0</v>
      </c>
      <c r="E253" s="202">
        <v>8770</v>
      </c>
      <c r="F253" s="203">
        <f t="shared" si="18"/>
        <v>0</v>
      </c>
    </row>
    <row r="254" spans="1:6" x14ac:dyDescent="0.35">
      <c r="A254" s="200">
        <v>2022</v>
      </c>
      <c r="B254" s="201" t="s">
        <v>295</v>
      </c>
      <c r="C254" s="201" t="s">
        <v>296</v>
      </c>
      <c r="D254" s="291" t="str">
        <f t="shared" si="15"/>
        <v>MAP</v>
      </c>
      <c r="E254" s="202">
        <v>73.8</v>
      </c>
      <c r="F254" s="203">
        <f t="shared" si="18"/>
        <v>0.5</v>
      </c>
    </row>
    <row r="255" spans="1:6" x14ac:dyDescent="0.35">
      <c r="A255" s="200">
        <v>2022</v>
      </c>
      <c r="B255" s="201" t="s">
        <v>297</v>
      </c>
      <c r="C255" s="201" t="s">
        <v>298</v>
      </c>
      <c r="D255" s="291">
        <f t="shared" si="15"/>
        <v>0</v>
      </c>
      <c r="E255" s="202">
        <v>15485</v>
      </c>
      <c r="F255" s="203">
        <f t="shared" si="18"/>
        <v>0</v>
      </c>
    </row>
    <row r="256" spans="1:6" x14ac:dyDescent="0.35">
      <c r="A256" s="200">
        <v>2022</v>
      </c>
      <c r="B256" s="201" t="s">
        <v>301</v>
      </c>
      <c r="C256" s="201" t="s">
        <v>302</v>
      </c>
      <c r="D256" s="291">
        <f t="shared" si="15"/>
        <v>0</v>
      </c>
      <c r="E256" s="202">
        <v>75.17</v>
      </c>
      <c r="F256" s="203">
        <f t="shared" si="18"/>
        <v>0</v>
      </c>
    </row>
    <row r="257" spans="1:6" x14ac:dyDescent="0.35">
      <c r="A257" s="200">
        <v>2022</v>
      </c>
      <c r="B257" s="201" t="s">
        <v>303</v>
      </c>
      <c r="C257" s="201" t="s">
        <v>304</v>
      </c>
      <c r="D257" s="291">
        <f t="shared" si="15"/>
        <v>0</v>
      </c>
      <c r="E257" s="202">
        <v>80.02</v>
      </c>
      <c r="F257" s="203">
        <f t="shared" si="18"/>
        <v>0</v>
      </c>
    </row>
    <row r="258" spans="1:6" x14ac:dyDescent="0.35">
      <c r="A258" s="200">
        <v>2022</v>
      </c>
      <c r="B258" s="201" t="s">
        <v>305</v>
      </c>
      <c r="C258" s="201" t="s">
        <v>306</v>
      </c>
      <c r="D258" s="291" t="str">
        <f t="shared" si="15"/>
        <v>Other P</v>
      </c>
      <c r="E258" s="202">
        <v>124.5</v>
      </c>
      <c r="F258" s="203">
        <f t="shared" si="18"/>
        <v>0.2</v>
      </c>
    </row>
    <row r="259" spans="1:6" x14ac:dyDescent="0.35">
      <c r="A259" s="200">
        <v>2022</v>
      </c>
      <c r="B259" s="201" t="s">
        <v>307</v>
      </c>
      <c r="C259" s="201" t="s">
        <v>308</v>
      </c>
      <c r="D259" s="291" t="str">
        <f t="shared" si="15"/>
        <v>Phosphate rocks</v>
      </c>
      <c r="E259" s="202">
        <v>4489</v>
      </c>
      <c r="F259" s="203">
        <f t="shared" si="18"/>
        <v>0.33</v>
      </c>
    </row>
    <row r="260" spans="1:6" x14ac:dyDescent="0.35">
      <c r="A260" s="200">
        <v>2022</v>
      </c>
      <c r="B260" s="201" t="s">
        <v>355</v>
      </c>
      <c r="C260" s="201" t="s">
        <v>356</v>
      </c>
      <c r="D260" s="291" t="str">
        <f t="shared" si="15"/>
        <v>Other P</v>
      </c>
      <c r="E260" s="202">
        <v>24</v>
      </c>
      <c r="F260" s="203">
        <f t="shared" si="18"/>
        <v>0</v>
      </c>
    </row>
    <row r="261" spans="1:6" x14ac:dyDescent="0.35">
      <c r="A261" s="200">
        <v>2022</v>
      </c>
      <c r="B261" s="201" t="s">
        <v>309</v>
      </c>
      <c r="C261" s="201" t="s">
        <v>310</v>
      </c>
      <c r="D261" s="291">
        <f t="shared" si="15"/>
        <v>0</v>
      </c>
      <c r="E261" s="202">
        <v>943.6</v>
      </c>
      <c r="F261" s="203">
        <f t="shared" si="18"/>
        <v>0</v>
      </c>
    </row>
    <row r="262" spans="1:6" x14ac:dyDescent="0.35">
      <c r="A262" s="200">
        <v>2022</v>
      </c>
      <c r="B262" s="201" t="s">
        <v>312</v>
      </c>
      <c r="C262" s="201" t="s">
        <v>320</v>
      </c>
      <c r="D262" s="291" t="str">
        <f t="shared" si="15"/>
        <v>15-15-15</v>
      </c>
      <c r="E262" s="202">
        <v>24920</v>
      </c>
      <c r="F262" s="203">
        <f t="shared" si="18"/>
        <v>0.15</v>
      </c>
    </row>
    <row r="263" spans="1:6" x14ac:dyDescent="0.35">
      <c r="A263" s="200">
        <v>2022</v>
      </c>
      <c r="B263" s="201" t="s">
        <v>312</v>
      </c>
      <c r="C263" s="201" t="s">
        <v>329</v>
      </c>
      <c r="D263" s="291" t="str">
        <f t="shared" si="15"/>
        <v>23-10-5</v>
      </c>
      <c r="E263" s="202">
        <v>12033</v>
      </c>
      <c r="F263" s="203">
        <f t="shared" si="18"/>
        <v>0.1</v>
      </c>
    </row>
    <row r="264" spans="1:6" x14ac:dyDescent="0.35">
      <c r="A264" s="200">
        <v>2022</v>
      </c>
      <c r="B264" s="201" t="s">
        <v>312</v>
      </c>
      <c r="C264" s="201" t="s">
        <v>328</v>
      </c>
      <c r="D264" s="291" t="str">
        <f t="shared" ref="D264:D265" si="19">IFERROR(VLOOKUP(C264,$B$270:$D$337,3,FALSE),"-")</f>
        <v>14-18-18</v>
      </c>
      <c r="E264" s="202">
        <v>11000</v>
      </c>
      <c r="F264" s="203">
        <f t="shared" si="18"/>
        <v>0.18</v>
      </c>
    </row>
    <row r="265" spans="1:6" x14ac:dyDescent="0.35">
      <c r="A265" s="201"/>
      <c r="B265" s="201"/>
      <c r="C265" s="209" t="s">
        <v>286</v>
      </c>
      <c r="D265" s="291" t="str">
        <f t="shared" si="19"/>
        <v>-</v>
      </c>
      <c r="E265" s="210">
        <v>239160</v>
      </c>
      <c r="F265" s="211">
        <f>SUMPRODUCT(E246:E264,F246:F264)/E265</f>
        <v>7.6270488375982604E-2</v>
      </c>
    </row>
    <row r="267" spans="1:6" s="198" customFormat="1" x14ac:dyDescent="0.35">
      <c r="A267" s="198" t="s">
        <v>365</v>
      </c>
    </row>
    <row r="268" spans="1:6" s="198" customFormat="1" x14ac:dyDescent="0.35">
      <c r="A268" s="198" t="s">
        <v>366</v>
      </c>
    </row>
    <row r="270" spans="1:6" x14ac:dyDescent="0.35">
      <c r="B270" s="192" t="s">
        <v>201</v>
      </c>
      <c r="C270" s="192" t="s">
        <v>263</v>
      </c>
      <c r="D270" s="199" t="s">
        <v>420</v>
      </c>
    </row>
    <row r="271" spans="1:6" x14ac:dyDescent="0.35">
      <c r="B271" s="193" t="s">
        <v>273</v>
      </c>
      <c r="C271" s="194">
        <f>46%</f>
        <v>0.46</v>
      </c>
      <c r="D271" s="193" t="s">
        <v>220</v>
      </c>
    </row>
    <row r="272" spans="1:6" x14ac:dyDescent="0.35">
      <c r="B272" s="193" t="s">
        <v>288</v>
      </c>
      <c r="C272" s="194">
        <v>0</v>
      </c>
    </row>
    <row r="273" spans="2:21" x14ac:dyDescent="0.35">
      <c r="B273" s="193" t="s">
        <v>214</v>
      </c>
      <c r="C273" s="194">
        <v>0</v>
      </c>
      <c r="H273" s="193" t="s">
        <v>201</v>
      </c>
      <c r="I273" s="193" t="s">
        <v>274</v>
      </c>
      <c r="J273" s="193" t="s">
        <v>275</v>
      </c>
      <c r="K273" s="193" t="s">
        <v>276</v>
      </c>
      <c r="L273" s="193" t="s">
        <v>277</v>
      </c>
      <c r="M273" s="193" t="s">
        <v>278</v>
      </c>
      <c r="N273" s="193" t="s">
        <v>279</v>
      </c>
      <c r="O273" s="193" t="s">
        <v>280</v>
      </c>
      <c r="P273" s="193" t="s">
        <v>281</v>
      </c>
      <c r="Q273" s="193" t="s">
        <v>282</v>
      </c>
      <c r="R273" s="193" t="s">
        <v>283</v>
      </c>
      <c r="S273" s="193" t="s">
        <v>284</v>
      </c>
      <c r="T273" s="193" t="s">
        <v>285</v>
      </c>
      <c r="U273" s="193" t="s">
        <v>286</v>
      </c>
    </row>
    <row r="274" spans="2:21" x14ac:dyDescent="0.35">
      <c r="B274" s="193" t="s">
        <v>291</v>
      </c>
      <c r="C274" s="194">
        <v>0.46</v>
      </c>
      <c r="D274" s="193" t="s">
        <v>231</v>
      </c>
      <c r="H274" s="193" t="s">
        <v>270</v>
      </c>
      <c r="I274" s="193">
        <v>209734</v>
      </c>
      <c r="J274" s="193">
        <v>127544</v>
      </c>
      <c r="K274" s="193">
        <v>164592</v>
      </c>
      <c r="L274" s="193">
        <v>267581</v>
      </c>
      <c r="M274" s="193">
        <v>292962</v>
      </c>
      <c r="N274" s="193">
        <v>287873</v>
      </c>
      <c r="O274" s="193">
        <v>298047</v>
      </c>
      <c r="P274" s="193">
        <v>271157</v>
      </c>
      <c r="Q274" s="193">
        <v>232337</v>
      </c>
      <c r="R274" s="193">
        <v>386083</v>
      </c>
      <c r="S274" s="193">
        <v>317473</v>
      </c>
      <c r="T274" s="193">
        <v>485619</v>
      </c>
      <c r="U274" s="193">
        <v>239160</v>
      </c>
    </row>
    <row r="275" spans="2:21" x14ac:dyDescent="0.35">
      <c r="B275" s="193" t="s">
        <v>294</v>
      </c>
      <c r="C275" s="194">
        <v>0</v>
      </c>
      <c r="H275" s="193" t="s">
        <v>211</v>
      </c>
      <c r="I275" s="193">
        <v>0.135089460936234</v>
      </c>
      <c r="J275" s="193">
        <v>0.10142585303895128</v>
      </c>
      <c r="K275" s="193">
        <v>0.11467180057353943</v>
      </c>
      <c r="L275" s="193">
        <v>0.15450846659516185</v>
      </c>
      <c r="M275" s="193">
        <v>0.14341425509110398</v>
      </c>
      <c r="N275" s="193">
        <v>0.14274655143066561</v>
      </c>
      <c r="O275" s="193">
        <v>0.16805713998127808</v>
      </c>
      <c r="P275" s="193">
        <v>0.1614596414623263</v>
      </c>
      <c r="Q275" s="193">
        <v>0.11832928031264929</v>
      </c>
      <c r="R275" s="193">
        <v>0.16669019873964924</v>
      </c>
      <c r="S275" s="193">
        <v>0.15873050306640252</v>
      </c>
      <c r="T275" s="193">
        <v>0.16724790010275545</v>
      </c>
      <c r="U275" s="193">
        <v>7.6270488375982604E-2</v>
      </c>
    </row>
    <row r="276" spans="2:21" x14ac:dyDescent="0.35">
      <c r="B276" s="193" t="s">
        <v>296</v>
      </c>
      <c r="C276" s="194">
        <v>0.5</v>
      </c>
      <c r="D276" s="193" t="s">
        <v>242</v>
      </c>
      <c r="T276" s="476"/>
    </row>
    <row r="277" spans="2:21" x14ac:dyDescent="0.35">
      <c r="B277" s="193" t="s">
        <v>298</v>
      </c>
      <c r="C277" s="194">
        <v>0</v>
      </c>
    </row>
    <row r="278" spans="2:21" x14ac:dyDescent="0.35">
      <c r="B278" s="193" t="s">
        <v>300</v>
      </c>
      <c r="C278" s="194">
        <v>0.1</v>
      </c>
      <c r="D278" s="193" t="s">
        <v>421</v>
      </c>
    </row>
    <row r="279" spans="2:21" x14ac:dyDescent="0.35">
      <c r="B279" s="193" t="s">
        <v>302</v>
      </c>
      <c r="C279" s="194">
        <v>0</v>
      </c>
    </row>
    <row r="280" spans="2:21" x14ac:dyDescent="0.35">
      <c r="B280" s="193" t="s">
        <v>304</v>
      </c>
      <c r="C280" s="194">
        <v>0</v>
      </c>
    </row>
    <row r="281" spans="2:21" x14ac:dyDescent="0.35">
      <c r="B281" s="193" t="s">
        <v>306</v>
      </c>
      <c r="C281" s="194">
        <v>0.2</v>
      </c>
      <c r="D281" s="193" t="s">
        <v>421</v>
      </c>
    </row>
    <row r="282" spans="2:21" x14ac:dyDescent="0.35">
      <c r="B282" s="193" t="s">
        <v>308</v>
      </c>
      <c r="C282" s="194">
        <v>0.33</v>
      </c>
      <c r="D282" s="193" t="s">
        <v>229</v>
      </c>
    </row>
    <row r="283" spans="2:21" x14ac:dyDescent="0.35">
      <c r="B283" s="193" t="s">
        <v>310</v>
      </c>
      <c r="C283" s="194">
        <v>0</v>
      </c>
    </row>
    <row r="284" spans="2:21" x14ac:dyDescent="0.35">
      <c r="B284" s="193" t="s">
        <v>311</v>
      </c>
      <c r="C284" s="194">
        <v>0.2</v>
      </c>
      <c r="D284" s="193" t="s">
        <v>421</v>
      </c>
    </row>
    <row r="285" spans="2:21" x14ac:dyDescent="0.35">
      <c r="B285" s="193" t="s">
        <v>313</v>
      </c>
      <c r="C285" s="194">
        <v>0.1</v>
      </c>
      <c r="D285" s="193" t="s">
        <v>421</v>
      </c>
    </row>
    <row r="286" spans="2:21" x14ac:dyDescent="0.35">
      <c r="B286" s="193" t="s">
        <v>315</v>
      </c>
      <c r="C286" s="194">
        <v>0</v>
      </c>
    </row>
    <row r="287" spans="2:21" x14ac:dyDescent="0.35">
      <c r="B287" s="193" t="s">
        <v>317</v>
      </c>
      <c r="C287" s="194">
        <v>0.52</v>
      </c>
      <c r="D287" s="193" t="s">
        <v>422</v>
      </c>
    </row>
    <row r="288" spans="2:21" x14ac:dyDescent="0.35">
      <c r="B288" s="193" t="s">
        <v>554</v>
      </c>
      <c r="C288" s="194">
        <v>0.23</v>
      </c>
      <c r="D288" s="290" t="s">
        <v>406</v>
      </c>
    </row>
    <row r="289" spans="2:4" x14ac:dyDescent="0.35">
      <c r="B289" s="193" t="s">
        <v>318</v>
      </c>
      <c r="C289" s="194">
        <v>0.11</v>
      </c>
      <c r="D289" s="290" t="s">
        <v>428</v>
      </c>
    </row>
    <row r="290" spans="2:4" x14ac:dyDescent="0.35">
      <c r="B290" s="193" t="s">
        <v>319</v>
      </c>
      <c r="C290" s="194">
        <v>0.13</v>
      </c>
      <c r="D290" s="290" t="s">
        <v>423</v>
      </c>
    </row>
    <row r="291" spans="2:4" x14ac:dyDescent="0.35">
      <c r="B291" s="193" t="s">
        <v>320</v>
      </c>
      <c r="C291" s="194">
        <v>0.15</v>
      </c>
      <c r="D291" s="290" t="s">
        <v>407</v>
      </c>
    </row>
    <row r="292" spans="2:4" x14ac:dyDescent="0.35">
      <c r="B292" s="193" t="s">
        <v>321</v>
      </c>
      <c r="C292" s="194">
        <v>0.09</v>
      </c>
      <c r="D292" s="290" t="s">
        <v>439</v>
      </c>
    </row>
    <row r="293" spans="2:4" x14ac:dyDescent="0.35">
      <c r="B293" s="193" t="s">
        <v>322</v>
      </c>
      <c r="C293" s="194">
        <v>0.22</v>
      </c>
      <c r="D293" s="290" t="s">
        <v>440</v>
      </c>
    </row>
    <row r="294" spans="2:4" x14ac:dyDescent="0.35">
      <c r="B294" s="193" t="s">
        <v>323</v>
      </c>
      <c r="C294" s="194">
        <v>0.1</v>
      </c>
      <c r="D294" s="290" t="s">
        <v>441</v>
      </c>
    </row>
    <row r="295" spans="2:4" x14ac:dyDescent="0.35">
      <c r="B295" s="193" t="s">
        <v>325</v>
      </c>
      <c r="C295" s="194">
        <v>0</v>
      </c>
      <c r="D295" s="290"/>
    </row>
    <row r="296" spans="2:4" x14ac:dyDescent="0.35">
      <c r="B296" s="193" t="s">
        <v>326</v>
      </c>
      <c r="C296" s="194">
        <v>0</v>
      </c>
      <c r="D296" s="290" t="s">
        <v>424</v>
      </c>
    </row>
    <row r="297" spans="2:4" x14ac:dyDescent="0.35">
      <c r="B297" s="193" t="s">
        <v>327</v>
      </c>
      <c r="C297" s="194">
        <v>0.26</v>
      </c>
      <c r="D297" s="290" t="s">
        <v>442</v>
      </c>
    </row>
    <row r="298" spans="2:4" x14ac:dyDescent="0.35">
      <c r="B298" s="193" t="s">
        <v>212</v>
      </c>
      <c r="C298" s="194">
        <v>0.15</v>
      </c>
      <c r="D298" s="290" t="s">
        <v>407</v>
      </c>
    </row>
    <row r="299" spans="2:4" x14ac:dyDescent="0.35">
      <c r="B299" s="193" t="s">
        <v>328</v>
      </c>
      <c r="C299" s="194">
        <v>0.18</v>
      </c>
      <c r="D299" s="290" t="s">
        <v>408</v>
      </c>
    </row>
    <row r="300" spans="2:4" x14ac:dyDescent="0.35">
      <c r="B300" s="193" t="s">
        <v>329</v>
      </c>
      <c r="C300" s="194">
        <v>0.1</v>
      </c>
      <c r="D300" s="290" t="s">
        <v>425</v>
      </c>
    </row>
    <row r="301" spans="2:4" x14ac:dyDescent="0.35">
      <c r="B301" s="193" t="s">
        <v>223</v>
      </c>
      <c r="C301" s="194">
        <v>0.1</v>
      </c>
      <c r="D301" s="290" t="s">
        <v>426</v>
      </c>
    </row>
    <row r="302" spans="2:4" x14ac:dyDescent="0.35">
      <c r="B302" s="193" t="s">
        <v>330</v>
      </c>
      <c r="C302" s="194">
        <v>0.11</v>
      </c>
      <c r="D302" s="290" t="s">
        <v>427</v>
      </c>
    </row>
    <row r="303" spans="2:4" x14ac:dyDescent="0.35">
      <c r="B303" s="193" t="s">
        <v>331</v>
      </c>
      <c r="C303" s="194">
        <v>0.09</v>
      </c>
      <c r="D303" s="290" t="s">
        <v>439</v>
      </c>
    </row>
    <row r="304" spans="2:4" x14ac:dyDescent="0.35">
      <c r="B304" s="193" t="s">
        <v>332</v>
      </c>
      <c r="C304" s="194">
        <v>0.11</v>
      </c>
      <c r="D304" s="290" t="s">
        <v>443</v>
      </c>
    </row>
    <row r="305" spans="2:4" x14ac:dyDescent="0.35">
      <c r="B305" s="193" t="s">
        <v>333</v>
      </c>
      <c r="C305" s="194">
        <v>0.04</v>
      </c>
      <c r="D305" s="290" t="s">
        <v>444</v>
      </c>
    </row>
    <row r="306" spans="2:4" x14ac:dyDescent="0.35">
      <c r="B306" s="193" t="s">
        <v>334</v>
      </c>
      <c r="C306" s="194">
        <v>0.05</v>
      </c>
      <c r="D306" s="290" t="s">
        <v>429</v>
      </c>
    </row>
    <row r="307" spans="2:4" x14ac:dyDescent="0.35">
      <c r="B307" s="193" t="s">
        <v>335</v>
      </c>
      <c r="C307" s="194">
        <v>0.08</v>
      </c>
      <c r="D307" s="290" t="s">
        <v>430</v>
      </c>
    </row>
    <row r="308" spans="2:4" x14ac:dyDescent="0.35">
      <c r="B308" s="193" t="s">
        <v>336</v>
      </c>
      <c r="C308" s="194">
        <v>0.1</v>
      </c>
      <c r="D308" s="290" t="s">
        <v>421</v>
      </c>
    </row>
    <row r="309" spans="2:4" x14ac:dyDescent="0.35">
      <c r="B309" s="193" t="s">
        <v>337</v>
      </c>
      <c r="C309" s="194">
        <v>0.04</v>
      </c>
      <c r="D309" s="290" t="s">
        <v>445</v>
      </c>
    </row>
    <row r="310" spans="2:4" x14ac:dyDescent="0.35">
      <c r="B310" s="193" t="s">
        <v>338</v>
      </c>
      <c r="C310" s="194">
        <v>0.1</v>
      </c>
      <c r="D310" s="290" t="s">
        <v>431</v>
      </c>
    </row>
    <row r="311" spans="2:4" x14ac:dyDescent="0.35">
      <c r="B311" s="193" t="s">
        <v>339</v>
      </c>
      <c r="C311" s="194">
        <v>0.18</v>
      </c>
      <c r="D311" s="290" t="s">
        <v>446</v>
      </c>
    </row>
    <row r="312" spans="2:4" x14ac:dyDescent="0.35">
      <c r="B312" s="193" t="s">
        <v>340</v>
      </c>
      <c r="C312" s="194">
        <v>0.06</v>
      </c>
      <c r="D312" s="290" t="s">
        <v>432</v>
      </c>
    </row>
    <row r="313" spans="2:4" x14ac:dyDescent="0.35">
      <c r="B313" s="193" t="s">
        <v>341</v>
      </c>
      <c r="C313" s="194">
        <v>0.06</v>
      </c>
      <c r="D313" s="290" t="s">
        <v>447</v>
      </c>
    </row>
    <row r="314" spans="2:4" x14ac:dyDescent="0.35">
      <c r="B314" s="193" t="s">
        <v>342</v>
      </c>
      <c r="C314" s="194">
        <v>0.27</v>
      </c>
      <c r="D314" s="290" t="s">
        <v>448</v>
      </c>
    </row>
    <row r="315" spans="2:4" x14ac:dyDescent="0.35">
      <c r="B315" s="193" t="s">
        <v>343</v>
      </c>
      <c r="C315" s="194">
        <v>0.44</v>
      </c>
      <c r="D315" s="290" t="s">
        <v>449</v>
      </c>
    </row>
    <row r="316" spans="2:4" x14ac:dyDescent="0.35">
      <c r="B316" s="193" t="s">
        <v>344</v>
      </c>
      <c r="C316" s="194">
        <v>0.08</v>
      </c>
      <c r="D316" s="290" t="s">
        <v>450</v>
      </c>
    </row>
    <row r="317" spans="2:4" x14ac:dyDescent="0.35">
      <c r="B317" s="193" t="s">
        <v>345</v>
      </c>
      <c r="C317" s="194">
        <v>0.17</v>
      </c>
      <c r="D317" s="290" t="s">
        <v>433</v>
      </c>
    </row>
    <row r="318" spans="2:4" x14ac:dyDescent="0.35">
      <c r="B318" s="193" t="s">
        <v>346</v>
      </c>
      <c r="C318" s="194">
        <v>0.1</v>
      </c>
      <c r="D318" s="290" t="s">
        <v>451</v>
      </c>
    </row>
    <row r="319" spans="2:4" x14ac:dyDescent="0.35">
      <c r="B319" s="193" t="s">
        <v>347</v>
      </c>
      <c r="C319" s="194">
        <v>0.09</v>
      </c>
      <c r="D319" s="290" t="s">
        <v>452</v>
      </c>
    </row>
    <row r="320" spans="2:4" x14ac:dyDescent="0.35">
      <c r="B320" s="193" t="s">
        <v>348</v>
      </c>
      <c r="C320" s="194">
        <v>0.02</v>
      </c>
      <c r="D320" s="290" t="s">
        <v>434</v>
      </c>
    </row>
    <row r="321" spans="2:4" x14ac:dyDescent="0.35">
      <c r="B321" s="193" t="s">
        <v>349</v>
      </c>
      <c r="C321" s="194">
        <v>0.04</v>
      </c>
      <c r="D321" s="290" t="s">
        <v>435</v>
      </c>
    </row>
    <row r="322" spans="2:4" x14ac:dyDescent="0.35">
      <c r="B322" s="193" t="s">
        <v>350</v>
      </c>
      <c r="C322" s="194">
        <v>0.21</v>
      </c>
      <c r="D322" s="290" t="s">
        <v>436</v>
      </c>
    </row>
    <row r="323" spans="2:4" x14ac:dyDescent="0.35">
      <c r="B323" s="193" t="s">
        <v>351</v>
      </c>
      <c r="C323" s="194">
        <v>0.18</v>
      </c>
      <c r="D323" s="290" t="s">
        <v>453</v>
      </c>
    </row>
    <row r="324" spans="2:4" x14ac:dyDescent="0.35">
      <c r="B324" s="193" t="s">
        <v>555</v>
      </c>
      <c r="C324" s="194">
        <v>0.23</v>
      </c>
      <c r="D324" s="290" t="s">
        <v>406</v>
      </c>
    </row>
    <row r="325" spans="2:4" x14ac:dyDescent="0.35">
      <c r="B325" s="193" t="s">
        <v>556</v>
      </c>
      <c r="C325" s="194">
        <v>0.23</v>
      </c>
      <c r="D325" s="290" t="s">
        <v>406</v>
      </c>
    </row>
    <row r="326" spans="2:4" x14ac:dyDescent="0.35">
      <c r="B326" s="193" t="s">
        <v>352</v>
      </c>
      <c r="C326" s="194">
        <v>0.22</v>
      </c>
      <c r="D326" s="290" t="s">
        <v>421</v>
      </c>
    </row>
    <row r="327" spans="2:4" x14ac:dyDescent="0.35">
      <c r="B327" s="193" t="s">
        <v>353</v>
      </c>
      <c r="C327" s="194">
        <v>0.22</v>
      </c>
      <c r="D327" s="290" t="s">
        <v>454</v>
      </c>
    </row>
    <row r="328" spans="2:4" x14ac:dyDescent="0.35">
      <c r="B328" s="193" t="s">
        <v>354</v>
      </c>
      <c r="C328" s="194">
        <v>0.24</v>
      </c>
      <c r="D328" s="290" t="s">
        <v>437</v>
      </c>
    </row>
    <row r="329" spans="2:4" x14ac:dyDescent="0.35">
      <c r="B329" s="193" t="s">
        <v>356</v>
      </c>
      <c r="C329" s="194">
        <v>0</v>
      </c>
      <c r="D329" s="290" t="s">
        <v>421</v>
      </c>
    </row>
    <row r="330" spans="2:4" x14ac:dyDescent="0.35">
      <c r="B330" s="193" t="s">
        <v>357</v>
      </c>
      <c r="C330" s="194">
        <v>0</v>
      </c>
      <c r="D330" s="290"/>
    </row>
    <row r="331" spans="2:4" x14ac:dyDescent="0.35">
      <c r="B331" s="193" t="s">
        <v>359</v>
      </c>
      <c r="C331" s="194">
        <v>0</v>
      </c>
      <c r="D331" s="290"/>
    </row>
    <row r="332" spans="2:4" x14ac:dyDescent="0.35">
      <c r="B332" s="193" t="s">
        <v>360</v>
      </c>
      <c r="C332" s="194">
        <v>0.02</v>
      </c>
      <c r="D332" s="290" t="s">
        <v>438</v>
      </c>
    </row>
    <row r="333" spans="2:4" x14ac:dyDescent="0.35">
      <c r="B333" s="193" t="s">
        <v>361</v>
      </c>
      <c r="C333" s="194">
        <v>0</v>
      </c>
      <c r="D333" s="290" t="s">
        <v>421</v>
      </c>
    </row>
    <row r="334" spans="2:4" x14ac:dyDescent="0.35">
      <c r="B334" s="193" t="s">
        <v>557</v>
      </c>
      <c r="C334" s="194">
        <v>0.23</v>
      </c>
      <c r="D334" s="290" t="s">
        <v>406</v>
      </c>
    </row>
    <row r="335" spans="2:4" x14ac:dyDescent="0.35">
      <c r="B335" s="193" t="s">
        <v>363</v>
      </c>
      <c r="C335" s="194">
        <v>0</v>
      </c>
      <c r="D335" s="290"/>
    </row>
    <row r="336" spans="2:4" x14ac:dyDescent="0.35">
      <c r="B336" s="193" t="s">
        <v>364</v>
      </c>
      <c r="C336" s="194">
        <v>0</v>
      </c>
      <c r="D336" s="290"/>
    </row>
    <row r="337" spans="2:5" x14ac:dyDescent="0.35">
      <c r="B337" s="193" t="s">
        <v>240</v>
      </c>
      <c r="C337" s="194">
        <v>0</v>
      </c>
      <c r="D337" s="290"/>
    </row>
    <row r="342" spans="2:5" x14ac:dyDescent="0.35">
      <c r="B342" s="193" t="s">
        <v>455</v>
      </c>
    </row>
    <row r="345" spans="2:5" x14ac:dyDescent="0.35">
      <c r="B345" s="192" t="s">
        <v>201</v>
      </c>
      <c r="C345" s="192" t="s">
        <v>457</v>
      </c>
      <c r="D345" s="192" t="s">
        <v>456</v>
      </c>
      <c r="E345" s="192" t="s">
        <v>263</v>
      </c>
    </row>
    <row r="346" spans="2:5" x14ac:dyDescent="0.35">
      <c r="B346" s="193" t="s">
        <v>220</v>
      </c>
      <c r="C346" s="205">
        <f>+SUMIFS($E$225:$E$244,$D$225:$D$244,B346)</f>
        <v>97762</v>
      </c>
      <c r="D346" s="205">
        <f>SUMIFS($E$246:$E$264,$D$246:$D$264,B346)</f>
        <v>0</v>
      </c>
      <c r="E346" s="207">
        <f>IFERROR(VLOOKUP(B346,$D$7:$F$264,3,FALSE),"")</f>
        <v>0.46</v>
      </c>
    </row>
    <row r="347" spans="2:5" x14ac:dyDescent="0.35">
      <c r="B347" s="193" t="s">
        <v>231</v>
      </c>
      <c r="C347" s="205">
        <f t="shared" ref="C347:C378" si="20">+SUMIFS($E$225:$E$244,$D$225:$D$244,B347)</f>
        <v>46550</v>
      </c>
      <c r="D347" s="205">
        <f t="shared" ref="D347:D378" si="21">SUMIFS($E$246:$E$264,$D$246:$D$264,B347)</f>
        <v>21253</v>
      </c>
      <c r="E347" s="207">
        <f t="shared" ref="E347:E378" si="22">IFERROR(VLOOKUP(B347,$D$7:$F$264,3,FALSE),"")</f>
        <v>0.46</v>
      </c>
    </row>
    <row r="348" spans="2:5" x14ac:dyDescent="0.35">
      <c r="B348" s="193" t="s">
        <v>242</v>
      </c>
      <c r="C348" s="205">
        <f t="shared" si="20"/>
        <v>271</v>
      </c>
      <c r="D348" s="205">
        <f t="shared" si="21"/>
        <v>73.8</v>
      </c>
      <c r="E348" s="207">
        <f t="shared" si="22"/>
        <v>0.5</v>
      </c>
    </row>
    <row r="349" spans="2:5" x14ac:dyDescent="0.35">
      <c r="B349" s="193" t="s">
        <v>421</v>
      </c>
      <c r="C349" s="205">
        <f t="shared" si="20"/>
        <v>57.94</v>
      </c>
      <c r="D349" s="205">
        <f t="shared" si="21"/>
        <v>148.5</v>
      </c>
      <c r="E349" s="207">
        <f t="shared" si="22"/>
        <v>0.1</v>
      </c>
    </row>
    <row r="350" spans="2:5" x14ac:dyDescent="0.35">
      <c r="B350" s="193" t="s">
        <v>229</v>
      </c>
      <c r="C350" s="205">
        <f t="shared" si="20"/>
        <v>15710</v>
      </c>
      <c r="D350" s="205">
        <f t="shared" si="21"/>
        <v>4489</v>
      </c>
      <c r="E350" s="207">
        <f t="shared" si="22"/>
        <v>0.33</v>
      </c>
    </row>
    <row r="351" spans="2:5" x14ac:dyDescent="0.35">
      <c r="B351" s="193" t="s">
        <v>406</v>
      </c>
      <c r="C351" s="205">
        <f t="shared" si="20"/>
        <v>6000</v>
      </c>
      <c r="D351" s="205">
        <f t="shared" si="21"/>
        <v>0</v>
      </c>
      <c r="E351" s="207">
        <f t="shared" si="22"/>
        <v>0.23</v>
      </c>
    </row>
    <row r="352" spans="2:5" x14ac:dyDescent="0.35">
      <c r="B352" s="193" t="s">
        <v>407</v>
      </c>
      <c r="C352" s="205">
        <f t="shared" si="20"/>
        <v>53765</v>
      </c>
      <c r="D352" s="205">
        <f t="shared" si="21"/>
        <v>24920</v>
      </c>
      <c r="E352" s="207">
        <f t="shared" si="22"/>
        <v>0.15</v>
      </c>
    </row>
    <row r="353" spans="2:5" x14ac:dyDescent="0.35">
      <c r="B353" s="193" t="s">
        <v>408</v>
      </c>
      <c r="C353" s="205">
        <f t="shared" si="20"/>
        <v>0</v>
      </c>
      <c r="D353" s="205">
        <f t="shared" si="21"/>
        <v>11000</v>
      </c>
      <c r="E353" s="207">
        <f t="shared" si="22"/>
        <v>0.18</v>
      </c>
    </row>
    <row r="354" spans="2:5" x14ac:dyDescent="0.35">
      <c r="B354" s="193" t="s">
        <v>425</v>
      </c>
      <c r="C354" s="205">
        <f t="shared" si="20"/>
        <v>0</v>
      </c>
      <c r="D354" s="205">
        <f t="shared" si="21"/>
        <v>12033</v>
      </c>
      <c r="E354" s="207">
        <f t="shared" si="22"/>
        <v>0.1</v>
      </c>
    </row>
    <row r="355" spans="2:5" x14ac:dyDescent="0.35">
      <c r="B355" s="193" t="s">
        <v>426</v>
      </c>
      <c r="C355" s="205">
        <f t="shared" si="20"/>
        <v>0</v>
      </c>
      <c r="D355" s="205">
        <f t="shared" si="21"/>
        <v>0</v>
      </c>
      <c r="E355" s="207">
        <f t="shared" si="22"/>
        <v>0.1</v>
      </c>
    </row>
    <row r="356" spans="2:5" x14ac:dyDescent="0.35">
      <c r="B356" s="193" t="s">
        <v>427</v>
      </c>
      <c r="C356" s="205">
        <f t="shared" si="20"/>
        <v>0</v>
      </c>
      <c r="D356" s="205">
        <f t="shared" si="21"/>
        <v>0</v>
      </c>
      <c r="E356" s="207">
        <f t="shared" si="22"/>
        <v>0.11</v>
      </c>
    </row>
    <row r="357" spans="2:5" x14ac:dyDescent="0.35">
      <c r="B357" s="193" t="s">
        <v>443</v>
      </c>
      <c r="C357" s="205">
        <f t="shared" si="20"/>
        <v>0</v>
      </c>
      <c r="D357" s="205">
        <f t="shared" si="21"/>
        <v>0</v>
      </c>
      <c r="E357" s="207">
        <f t="shared" si="22"/>
        <v>0.11</v>
      </c>
    </row>
    <row r="358" spans="2:5" x14ac:dyDescent="0.35">
      <c r="B358" s="193" t="s">
        <v>444</v>
      </c>
      <c r="C358" s="205">
        <f t="shared" si="20"/>
        <v>0</v>
      </c>
      <c r="D358" s="205">
        <f t="shared" si="21"/>
        <v>0</v>
      </c>
      <c r="E358" s="207">
        <f t="shared" si="22"/>
        <v>0.04</v>
      </c>
    </row>
    <row r="359" spans="2:5" x14ac:dyDescent="0.35">
      <c r="B359" s="193" t="s">
        <v>429</v>
      </c>
      <c r="C359" s="205">
        <f t="shared" si="20"/>
        <v>0</v>
      </c>
      <c r="D359" s="205">
        <f t="shared" si="21"/>
        <v>0</v>
      </c>
      <c r="E359" s="207">
        <f t="shared" si="22"/>
        <v>0.05</v>
      </c>
    </row>
    <row r="360" spans="2:5" x14ac:dyDescent="0.35">
      <c r="B360" s="193" t="s">
        <v>430</v>
      </c>
      <c r="C360" s="205">
        <f t="shared" si="20"/>
        <v>0</v>
      </c>
      <c r="D360" s="205">
        <f t="shared" si="21"/>
        <v>0</v>
      </c>
      <c r="E360" s="207">
        <f t="shared" si="22"/>
        <v>0.08</v>
      </c>
    </row>
    <row r="361" spans="2:5" x14ac:dyDescent="0.35">
      <c r="B361" s="193" t="s">
        <v>445</v>
      </c>
      <c r="C361" s="205">
        <f t="shared" si="20"/>
        <v>0</v>
      </c>
      <c r="D361" s="205">
        <f t="shared" si="21"/>
        <v>0</v>
      </c>
      <c r="E361" s="207">
        <f t="shared" si="22"/>
        <v>0.04</v>
      </c>
    </row>
    <row r="362" spans="2:5" x14ac:dyDescent="0.35">
      <c r="B362" s="193" t="s">
        <v>431</v>
      </c>
      <c r="C362" s="205">
        <f t="shared" si="20"/>
        <v>0</v>
      </c>
      <c r="D362" s="205">
        <f t="shared" si="21"/>
        <v>0</v>
      </c>
      <c r="E362" s="207">
        <f t="shared" si="22"/>
        <v>0.1</v>
      </c>
    </row>
    <row r="363" spans="2:5" x14ac:dyDescent="0.35">
      <c r="B363" s="193" t="s">
        <v>446</v>
      </c>
      <c r="C363" s="205">
        <f t="shared" si="20"/>
        <v>0</v>
      </c>
      <c r="D363" s="205">
        <f t="shared" si="21"/>
        <v>0</v>
      </c>
      <c r="E363" s="207">
        <f t="shared" si="22"/>
        <v>0.18</v>
      </c>
    </row>
    <row r="364" spans="2:5" x14ac:dyDescent="0.35">
      <c r="B364" s="193" t="s">
        <v>432</v>
      </c>
      <c r="C364" s="205">
        <f t="shared" si="20"/>
        <v>0</v>
      </c>
      <c r="D364" s="205">
        <f t="shared" si="21"/>
        <v>0</v>
      </c>
      <c r="E364" s="207">
        <f t="shared" si="22"/>
        <v>0.06</v>
      </c>
    </row>
    <row r="365" spans="2:5" x14ac:dyDescent="0.35">
      <c r="B365" s="193" t="s">
        <v>447</v>
      </c>
      <c r="C365" s="205">
        <f t="shared" si="20"/>
        <v>0</v>
      </c>
      <c r="D365" s="205">
        <f t="shared" si="21"/>
        <v>0</v>
      </c>
      <c r="E365" s="207">
        <f t="shared" si="22"/>
        <v>0.06</v>
      </c>
    </row>
    <row r="366" spans="2:5" x14ac:dyDescent="0.35">
      <c r="B366" s="193" t="s">
        <v>448</v>
      </c>
      <c r="C366" s="205">
        <f t="shared" si="20"/>
        <v>0</v>
      </c>
      <c r="D366" s="205">
        <f t="shared" si="21"/>
        <v>0</v>
      </c>
      <c r="E366" s="207">
        <f t="shared" si="22"/>
        <v>0.27</v>
      </c>
    </row>
    <row r="367" spans="2:5" x14ac:dyDescent="0.35">
      <c r="B367" s="193" t="s">
        <v>449</v>
      </c>
      <c r="C367" s="205">
        <f t="shared" si="20"/>
        <v>0</v>
      </c>
      <c r="D367" s="205">
        <f t="shared" si="21"/>
        <v>0</v>
      </c>
      <c r="E367" s="207">
        <f t="shared" si="22"/>
        <v>0.44</v>
      </c>
    </row>
    <row r="368" spans="2:5" x14ac:dyDescent="0.35">
      <c r="B368" s="193" t="s">
        <v>450</v>
      </c>
      <c r="C368" s="205">
        <f t="shared" si="20"/>
        <v>0</v>
      </c>
      <c r="D368" s="205">
        <f t="shared" si="21"/>
        <v>0</v>
      </c>
      <c r="E368" s="207">
        <f t="shared" si="22"/>
        <v>0.08</v>
      </c>
    </row>
    <row r="369" spans="2:5" x14ac:dyDescent="0.35">
      <c r="B369" s="193" t="s">
        <v>433</v>
      </c>
      <c r="C369" s="205">
        <f t="shared" si="20"/>
        <v>0</v>
      </c>
      <c r="D369" s="205">
        <f t="shared" si="21"/>
        <v>0</v>
      </c>
      <c r="E369" s="207">
        <f t="shared" si="22"/>
        <v>0.17</v>
      </c>
    </row>
    <row r="370" spans="2:5" x14ac:dyDescent="0.35">
      <c r="B370" s="193" t="s">
        <v>451</v>
      </c>
      <c r="C370" s="205">
        <f t="shared" si="20"/>
        <v>0</v>
      </c>
      <c r="D370" s="205">
        <f t="shared" si="21"/>
        <v>0</v>
      </c>
      <c r="E370" s="207">
        <f t="shared" si="22"/>
        <v>0.1</v>
      </c>
    </row>
    <row r="371" spans="2:5" x14ac:dyDescent="0.35">
      <c r="B371" s="193" t="s">
        <v>452</v>
      </c>
      <c r="C371" s="205">
        <f t="shared" si="20"/>
        <v>0</v>
      </c>
      <c r="D371" s="205">
        <f t="shared" si="21"/>
        <v>0</v>
      </c>
      <c r="E371" s="207">
        <f t="shared" si="22"/>
        <v>0.09</v>
      </c>
    </row>
    <row r="372" spans="2:5" x14ac:dyDescent="0.35">
      <c r="B372" s="193" t="s">
        <v>434</v>
      </c>
      <c r="C372" s="205">
        <f t="shared" si="20"/>
        <v>0</v>
      </c>
      <c r="D372" s="205">
        <f t="shared" si="21"/>
        <v>0</v>
      </c>
      <c r="E372" s="207">
        <f t="shared" si="22"/>
        <v>0.02</v>
      </c>
    </row>
    <row r="373" spans="2:5" x14ac:dyDescent="0.35">
      <c r="B373" s="193" t="s">
        <v>435</v>
      </c>
      <c r="C373" s="205">
        <f t="shared" si="20"/>
        <v>0</v>
      </c>
      <c r="D373" s="205">
        <f t="shared" si="21"/>
        <v>0</v>
      </c>
      <c r="E373" s="207">
        <f t="shared" si="22"/>
        <v>0.04</v>
      </c>
    </row>
    <row r="374" spans="2:5" x14ac:dyDescent="0.35">
      <c r="B374" s="193" t="s">
        <v>436</v>
      </c>
      <c r="C374" s="205">
        <f t="shared" si="20"/>
        <v>0</v>
      </c>
      <c r="D374" s="205">
        <f t="shared" si="21"/>
        <v>0</v>
      </c>
      <c r="E374" s="207">
        <f t="shared" si="22"/>
        <v>0.21</v>
      </c>
    </row>
    <row r="375" spans="2:5" x14ac:dyDescent="0.35">
      <c r="B375" s="193" t="s">
        <v>453</v>
      </c>
      <c r="C375" s="205">
        <f t="shared" si="20"/>
        <v>0</v>
      </c>
      <c r="D375" s="205">
        <f t="shared" si="21"/>
        <v>0</v>
      </c>
      <c r="E375" s="207">
        <f t="shared" si="22"/>
        <v>0.18</v>
      </c>
    </row>
    <row r="376" spans="2:5" x14ac:dyDescent="0.35">
      <c r="B376" s="193" t="s">
        <v>454</v>
      </c>
      <c r="C376" s="205">
        <f t="shared" si="20"/>
        <v>0</v>
      </c>
      <c r="D376" s="205">
        <f t="shared" si="21"/>
        <v>0</v>
      </c>
      <c r="E376" s="207">
        <f t="shared" si="22"/>
        <v>0.22</v>
      </c>
    </row>
    <row r="377" spans="2:5" x14ac:dyDescent="0.35">
      <c r="B377" s="193" t="s">
        <v>437</v>
      </c>
      <c r="C377" s="205">
        <f t="shared" si="20"/>
        <v>0</v>
      </c>
      <c r="D377" s="205">
        <f t="shared" si="21"/>
        <v>0</v>
      </c>
      <c r="E377" s="207">
        <f t="shared" si="22"/>
        <v>0.24</v>
      </c>
    </row>
    <row r="378" spans="2:5" x14ac:dyDescent="0.35">
      <c r="B378" s="193" t="s">
        <v>438</v>
      </c>
      <c r="C378" s="205">
        <f t="shared" si="20"/>
        <v>3300</v>
      </c>
      <c r="D378" s="205">
        <f t="shared" si="21"/>
        <v>0</v>
      </c>
      <c r="E378" s="207">
        <f t="shared" si="22"/>
        <v>0.02</v>
      </c>
    </row>
  </sheetData>
  <autoFilter ref="A6:G265" xr:uid="{111F0AF8-E570-4710-92A9-681C91353CF7}"/>
  <mergeCells count="1">
    <mergeCell ref="A1:F1"/>
  </mergeCells>
  <pageMargins left="0.7" right="0.7" top="0.75" bottom="0.75" header="0.3" footer="0.3"/>
  <pageSetup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0EF-C0A6-48BA-98BC-E23BE8F64FA7}">
  <sheetPr>
    <tabColor theme="3"/>
  </sheetPr>
  <dimension ref="A1:AD243"/>
  <sheetViews>
    <sheetView showGridLines="0" zoomScaleNormal="100" workbookViewId="0">
      <selection activeCell="B18" sqref="B18"/>
    </sheetView>
  </sheetViews>
  <sheetFormatPr defaultColWidth="9.26953125" defaultRowHeight="13.5" customHeight="1" x14ac:dyDescent="0.25"/>
  <cols>
    <col min="1" max="1" width="1.7265625" style="2" customWidth="1"/>
    <col min="2" max="2" width="2.7265625" style="2" customWidth="1"/>
    <col min="3" max="3" width="2" style="2" customWidth="1"/>
    <col min="4" max="4" width="37.26953125" style="2" bestFit="1" customWidth="1"/>
    <col min="5" max="5" width="30" style="2" bestFit="1" customWidth="1"/>
    <col min="6" max="6" width="16.36328125" style="2" bestFit="1" customWidth="1"/>
    <col min="7" max="7" width="8.90625" style="2" bestFit="1" customWidth="1"/>
    <col min="8" max="12" width="9.90625" style="2" bestFit="1" customWidth="1"/>
    <col min="13" max="14" width="11.1796875" style="2" bestFit="1" customWidth="1"/>
    <col min="15" max="15" width="14.26953125" style="2" customWidth="1"/>
    <col min="16" max="16" width="30" style="2" bestFit="1" customWidth="1"/>
    <col min="17" max="17" width="16.36328125" style="2" bestFit="1" customWidth="1"/>
    <col min="18" max="23" width="7.90625" style="2" bestFit="1" customWidth="1"/>
    <col min="24" max="24" width="11.1796875" style="2" bestFit="1" customWidth="1"/>
    <col min="25" max="28" width="17" style="2" bestFit="1" customWidth="1"/>
    <col min="29" max="30" width="11.7265625" style="2" bestFit="1" customWidth="1"/>
    <col min="31" max="16384" width="9.26953125" style="2"/>
  </cols>
  <sheetData>
    <row r="1" spans="1:21" s="7" customFormat="1" ht="13.5" customHeight="1" x14ac:dyDescent="0.25">
      <c r="A1" s="5"/>
      <c r="B1" s="5"/>
      <c r="C1" s="5"/>
      <c r="D1" s="6"/>
      <c r="E1" s="25"/>
    </row>
    <row r="2" spans="1:21" s="7" customFormat="1" ht="13.5" customHeight="1" x14ac:dyDescent="0.25">
      <c r="A2" s="5"/>
      <c r="B2" s="5"/>
      <c r="C2" s="5"/>
      <c r="D2" s="6"/>
      <c r="E2" s="26" t="str">
        <f>Title</f>
        <v>OCP Africa - CIV P205</v>
      </c>
    </row>
    <row r="3" spans="1:21" s="7" customFormat="1" ht="13.5" customHeight="1" x14ac:dyDescent="0.25">
      <c r="A3" s="5"/>
      <c r="B3" s="5"/>
      <c r="C3" s="5"/>
      <c r="D3" s="6"/>
      <c r="E3" s="27" t="str">
        <f ca="1">MID(CELL("filename",E3),FIND("]",CELL("filename",E3))+1,256)</f>
        <v>HarvestedAreas_TCD</v>
      </c>
    </row>
    <row r="4" spans="1:21" s="7" customFormat="1" ht="13.5" customHeight="1" x14ac:dyDescent="0.25">
      <c r="A4" s="5"/>
      <c r="B4" s="5"/>
      <c r="C4" s="5"/>
      <c r="D4" s="6"/>
      <c r="E4" s="129"/>
    </row>
    <row r="5" spans="1:21" s="11" customFormat="1" ht="13.5" customHeight="1" x14ac:dyDescent="0.3">
      <c r="A5" s="8"/>
      <c r="B5" s="8"/>
      <c r="C5" s="8"/>
      <c r="D5" s="9"/>
      <c r="E5" s="10"/>
    </row>
    <row r="6" spans="1:21" ht="13.5" customHeight="1" x14ac:dyDescent="0.25">
      <c r="B6" s="7"/>
      <c r="C6" s="7"/>
      <c r="D6" s="7"/>
      <c r="E6" s="7"/>
      <c r="F6" s="7"/>
      <c r="G6" s="7"/>
      <c r="H6" s="7"/>
      <c r="I6" s="7"/>
      <c r="J6" s="7"/>
      <c r="K6" s="7"/>
      <c r="L6" s="7"/>
      <c r="M6" s="7"/>
      <c r="N6" s="7"/>
      <c r="O6" s="7"/>
      <c r="P6" s="7"/>
      <c r="Q6" s="7"/>
    </row>
    <row r="7" spans="1:21" ht="13.5" customHeight="1" x14ac:dyDescent="0.25">
      <c r="B7" s="7"/>
      <c r="C7" s="7"/>
      <c r="D7" s="7"/>
      <c r="E7" s="59" t="s">
        <v>111</v>
      </c>
      <c r="F7" s="7"/>
      <c r="G7" s="7"/>
      <c r="H7" s="7"/>
      <c r="I7" s="7"/>
      <c r="J7" s="7"/>
      <c r="K7" s="7"/>
      <c r="L7" s="7"/>
      <c r="M7" s="7"/>
      <c r="N7" s="7"/>
      <c r="O7" s="7"/>
    </row>
    <row r="8" spans="1:21" ht="15.5" x14ac:dyDescent="0.35">
      <c r="B8" s="51"/>
      <c r="C8" s="7"/>
      <c r="D8" s="66"/>
      <c r="E8" s="61" t="s">
        <v>112</v>
      </c>
      <c r="F8" s="61" t="s">
        <v>93</v>
      </c>
      <c r="G8"/>
      <c r="H8"/>
      <c r="I8"/>
      <c r="J8"/>
      <c r="K8"/>
      <c r="L8"/>
      <c r="M8"/>
      <c r="N8"/>
      <c r="O8" s="57"/>
      <c r="P8"/>
      <c r="Q8"/>
      <c r="R8"/>
      <c r="S8"/>
      <c r="T8"/>
      <c r="U8"/>
    </row>
    <row r="9" spans="1:21" ht="13.5" customHeight="1" x14ac:dyDescent="0.25">
      <c r="B9" s="7"/>
      <c r="C9" s="7"/>
      <c r="D9" s="7"/>
      <c r="E9" s="61" t="s">
        <v>94</v>
      </c>
      <c r="F9">
        <v>2015</v>
      </c>
      <c r="G9">
        <v>2016</v>
      </c>
      <c r="H9">
        <v>2017</v>
      </c>
      <c r="I9">
        <v>2018</v>
      </c>
      <c r="J9">
        <v>2019</v>
      </c>
      <c r="K9">
        <v>2020</v>
      </c>
      <c r="L9">
        <v>2021</v>
      </c>
      <c r="M9" t="s">
        <v>95</v>
      </c>
      <c r="N9"/>
      <c r="O9" s="57"/>
      <c r="P9"/>
      <c r="Q9"/>
      <c r="R9"/>
      <c r="S9"/>
      <c r="T9"/>
      <c r="U9"/>
    </row>
    <row r="10" spans="1:21" ht="13.5" customHeight="1" x14ac:dyDescent="0.3">
      <c r="B10" s="7"/>
      <c r="C10" s="7"/>
      <c r="D10" s="35"/>
      <c r="E10" s="65" t="s">
        <v>167</v>
      </c>
      <c r="F10" s="62">
        <v>3458163</v>
      </c>
      <c r="G10" s="62">
        <v>3168749</v>
      </c>
      <c r="H10" s="62">
        <v>3982695</v>
      </c>
      <c r="I10" s="62">
        <v>4267698</v>
      </c>
      <c r="J10" s="62">
        <v>4732864</v>
      </c>
      <c r="K10" s="62">
        <v>4817367</v>
      </c>
      <c r="L10" s="62">
        <v>4214608</v>
      </c>
      <c r="M10" s="62">
        <v>28642144</v>
      </c>
      <c r="N10"/>
      <c r="O10" s="57"/>
      <c r="P10"/>
      <c r="Q10"/>
      <c r="R10"/>
      <c r="S10"/>
      <c r="T10"/>
      <c r="U10"/>
    </row>
    <row r="11" spans="1:21" ht="13.5" customHeight="1" x14ac:dyDescent="0.3">
      <c r="B11" s="7"/>
      <c r="C11" s="7"/>
      <c r="D11" s="36"/>
      <c r="E11" s="65" t="s">
        <v>136</v>
      </c>
      <c r="F11" s="62">
        <v>1675000</v>
      </c>
      <c r="G11" s="62">
        <v>1530804</v>
      </c>
      <c r="H11" s="62">
        <v>1660327</v>
      </c>
      <c r="I11" s="62">
        <v>1790861</v>
      </c>
      <c r="J11" s="62">
        <v>1517635</v>
      </c>
      <c r="K11" s="62">
        <v>2022567</v>
      </c>
      <c r="L11" s="62">
        <v>1989861</v>
      </c>
      <c r="M11" s="62">
        <v>12187055</v>
      </c>
      <c r="N11"/>
      <c r="O11" s="57"/>
      <c r="P11"/>
      <c r="Q11"/>
      <c r="R11"/>
      <c r="S11"/>
      <c r="T11"/>
      <c r="U11"/>
    </row>
    <row r="12" spans="1:21" ht="13.5" customHeight="1" x14ac:dyDescent="0.25">
      <c r="B12" s="7"/>
      <c r="C12" s="7"/>
      <c r="D12" s="7"/>
      <c r="E12" s="65" t="s">
        <v>117</v>
      </c>
      <c r="F12" s="62">
        <v>954793</v>
      </c>
      <c r="G12" s="62">
        <v>830166</v>
      </c>
      <c r="H12" s="62">
        <v>275011</v>
      </c>
      <c r="I12" s="62">
        <v>1096915</v>
      </c>
      <c r="J12" s="62">
        <v>1085615</v>
      </c>
      <c r="K12" s="62">
        <v>1081370</v>
      </c>
      <c r="L12" s="62">
        <v>999938</v>
      </c>
      <c r="M12" s="62">
        <v>6323808</v>
      </c>
      <c r="N12"/>
      <c r="O12" s="57"/>
      <c r="P12"/>
      <c r="Q12"/>
      <c r="R12"/>
      <c r="S12"/>
      <c r="T12"/>
      <c r="U12"/>
    </row>
    <row r="13" spans="1:21" ht="13.5" customHeight="1" x14ac:dyDescent="0.3">
      <c r="B13" s="7"/>
      <c r="C13" s="7"/>
      <c r="D13" s="35"/>
      <c r="E13" s="65" t="s">
        <v>124</v>
      </c>
      <c r="F13" s="62">
        <v>798201</v>
      </c>
      <c r="G13" s="62">
        <v>726829</v>
      </c>
      <c r="H13" s="62">
        <v>878898</v>
      </c>
      <c r="I13" s="62">
        <v>991677</v>
      </c>
      <c r="J13" s="62">
        <v>922955</v>
      </c>
      <c r="K13" s="62">
        <v>1011891</v>
      </c>
      <c r="L13" s="62">
        <v>1093246</v>
      </c>
      <c r="M13" s="62">
        <v>6423697</v>
      </c>
      <c r="N13"/>
      <c r="O13" s="57"/>
      <c r="P13"/>
      <c r="Q13"/>
      <c r="R13"/>
      <c r="S13"/>
      <c r="T13"/>
      <c r="U13"/>
    </row>
    <row r="14" spans="1:21" ht="13.5" customHeight="1" x14ac:dyDescent="0.25">
      <c r="B14" s="7"/>
      <c r="C14" s="7"/>
      <c r="D14" s="7"/>
      <c r="E14" s="65" t="s">
        <v>73</v>
      </c>
      <c r="F14" s="62">
        <v>844023</v>
      </c>
      <c r="G14" s="62">
        <v>780575</v>
      </c>
      <c r="H14" s="62">
        <v>790539</v>
      </c>
      <c r="I14" s="62">
        <v>729793</v>
      </c>
      <c r="J14" s="62">
        <v>684027</v>
      </c>
      <c r="K14" s="62">
        <v>528548</v>
      </c>
      <c r="L14" s="62">
        <v>581756</v>
      </c>
      <c r="M14" s="62">
        <v>4939261</v>
      </c>
      <c r="N14"/>
      <c r="O14" s="57"/>
      <c r="P14"/>
      <c r="Q14"/>
      <c r="R14"/>
      <c r="S14"/>
      <c r="T14"/>
      <c r="U14"/>
    </row>
    <row r="15" spans="1:21" ht="13.5" customHeight="1" x14ac:dyDescent="0.25">
      <c r="B15" s="7"/>
      <c r="C15" s="7"/>
      <c r="D15" s="7"/>
      <c r="E15" s="65" t="s">
        <v>156</v>
      </c>
      <c r="F15" s="62">
        <v>453217</v>
      </c>
      <c r="G15" s="62">
        <v>469746</v>
      </c>
      <c r="H15" s="62">
        <v>482543</v>
      </c>
      <c r="I15" s="62">
        <v>507519</v>
      </c>
      <c r="J15" s="62">
        <v>529264</v>
      </c>
      <c r="K15" s="62">
        <v>543163</v>
      </c>
      <c r="L15" s="62">
        <v>554604</v>
      </c>
      <c r="M15" s="62">
        <v>3540056</v>
      </c>
      <c r="N15"/>
      <c r="O15" s="57"/>
      <c r="P15"/>
      <c r="Q15"/>
      <c r="R15"/>
      <c r="S15"/>
      <c r="T15"/>
      <c r="U15"/>
    </row>
    <row r="16" spans="1:21" ht="13.5" customHeight="1" x14ac:dyDescent="0.25">
      <c r="B16" s="7"/>
      <c r="C16" s="7"/>
      <c r="D16" s="7"/>
      <c r="E16" s="65" t="s">
        <v>113</v>
      </c>
      <c r="F16" s="62">
        <v>497864</v>
      </c>
      <c r="G16" s="62">
        <v>472032</v>
      </c>
      <c r="H16" s="62">
        <v>493661</v>
      </c>
      <c r="I16" s="62">
        <v>489900</v>
      </c>
      <c r="J16" s="62">
        <v>509440</v>
      </c>
      <c r="K16" s="62">
        <v>539144</v>
      </c>
      <c r="L16" s="62">
        <v>518794</v>
      </c>
      <c r="M16" s="62">
        <v>3520835</v>
      </c>
      <c r="N16"/>
      <c r="O16" s="57"/>
      <c r="P16"/>
      <c r="Q16"/>
      <c r="R16"/>
      <c r="S16"/>
      <c r="T16"/>
      <c r="U16"/>
    </row>
    <row r="17" spans="2:30" ht="13.5" customHeight="1" x14ac:dyDescent="0.25">
      <c r="B17" s="7"/>
      <c r="C17" s="7"/>
      <c r="D17" s="7"/>
      <c r="E17" s="65" t="s">
        <v>182</v>
      </c>
      <c r="F17" s="62">
        <v>215583</v>
      </c>
      <c r="G17" s="62">
        <v>280018</v>
      </c>
      <c r="H17" s="62">
        <v>358609</v>
      </c>
      <c r="I17" s="62">
        <v>385060</v>
      </c>
      <c r="J17" s="62">
        <v>480401</v>
      </c>
      <c r="K17" s="62">
        <v>577580</v>
      </c>
      <c r="L17" s="62">
        <v>451333</v>
      </c>
      <c r="M17" s="62">
        <v>2748584</v>
      </c>
      <c r="N17"/>
      <c r="O17" s="57"/>
      <c r="P17"/>
      <c r="Q17"/>
      <c r="R17"/>
      <c r="S17"/>
      <c r="T17"/>
      <c r="U17"/>
    </row>
    <row r="18" spans="2:30" ht="13.5" customHeight="1" x14ac:dyDescent="0.25">
      <c r="B18" s="7"/>
      <c r="C18" s="7"/>
      <c r="D18" s="7"/>
      <c r="E18" s="65" t="s">
        <v>158</v>
      </c>
      <c r="F18" s="62">
        <v>402000</v>
      </c>
      <c r="G18" s="62">
        <v>345000</v>
      </c>
      <c r="H18" s="62">
        <v>360000</v>
      </c>
      <c r="I18" s="62">
        <v>370000</v>
      </c>
      <c r="J18" s="62">
        <v>410000</v>
      </c>
      <c r="K18" s="62">
        <v>440000</v>
      </c>
      <c r="L18" s="62">
        <v>460000</v>
      </c>
      <c r="M18" s="62">
        <v>2787000</v>
      </c>
      <c r="N18"/>
      <c r="O18" s="57"/>
      <c r="P18"/>
      <c r="Q18"/>
      <c r="R18"/>
      <c r="S18"/>
      <c r="T18"/>
      <c r="U18"/>
    </row>
    <row r="19" spans="2:30" ht="13.5" customHeight="1" x14ac:dyDescent="0.25">
      <c r="B19" s="7"/>
      <c r="C19" s="7"/>
      <c r="D19" s="7"/>
      <c r="E19" s="65" t="s">
        <v>184</v>
      </c>
      <c r="F19" s="62">
        <v>274000</v>
      </c>
      <c r="G19" s="62">
        <v>314294</v>
      </c>
      <c r="H19" s="62">
        <v>354898</v>
      </c>
      <c r="I19" s="62">
        <v>336777</v>
      </c>
      <c r="J19" s="62">
        <v>386707</v>
      </c>
      <c r="K19" s="62">
        <v>364771</v>
      </c>
      <c r="L19" s="62">
        <v>362704</v>
      </c>
      <c r="M19" s="62">
        <v>2394151</v>
      </c>
      <c r="N19"/>
      <c r="O19" s="57"/>
      <c r="P19"/>
      <c r="Q19"/>
      <c r="R19"/>
      <c r="S19"/>
      <c r="T19"/>
      <c r="U19"/>
    </row>
    <row r="20" spans="2:30" ht="13.5" customHeight="1" x14ac:dyDescent="0.25">
      <c r="B20" s="7"/>
      <c r="C20" s="7"/>
      <c r="D20" s="7"/>
      <c r="E20" s="65" t="s">
        <v>125</v>
      </c>
      <c r="F20" s="62">
        <v>141599</v>
      </c>
      <c r="G20" s="62">
        <v>178479</v>
      </c>
      <c r="H20" s="62">
        <v>179259</v>
      </c>
      <c r="I20" s="62">
        <v>179430</v>
      </c>
      <c r="J20" s="62">
        <v>179512</v>
      </c>
      <c r="K20" s="62">
        <v>330000</v>
      </c>
      <c r="L20" s="62">
        <v>322254</v>
      </c>
      <c r="M20" s="62">
        <v>1510533</v>
      </c>
      <c r="N20"/>
      <c r="O20" s="57"/>
      <c r="P20"/>
      <c r="Q20"/>
      <c r="R20"/>
      <c r="S20"/>
      <c r="T20"/>
      <c r="U20"/>
    </row>
    <row r="21" spans="2:30" ht="13.5" customHeight="1" x14ac:dyDescent="0.25">
      <c r="B21" s="7"/>
      <c r="C21" s="7"/>
      <c r="D21" s="7"/>
      <c r="E21" s="65" t="s">
        <v>144</v>
      </c>
      <c r="F21" s="62">
        <v>120263</v>
      </c>
      <c r="G21" s="62">
        <v>130629</v>
      </c>
      <c r="H21" s="62">
        <v>137728</v>
      </c>
      <c r="I21" s="62">
        <v>136549</v>
      </c>
      <c r="J21" s="62">
        <v>136848</v>
      </c>
      <c r="K21" s="62">
        <v>139303</v>
      </c>
      <c r="L21" s="62">
        <v>125209</v>
      </c>
      <c r="M21" s="62">
        <v>926529</v>
      </c>
      <c r="N21"/>
      <c r="O21" s="57"/>
      <c r="P21"/>
      <c r="Q21"/>
      <c r="R21"/>
      <c r="S21"/>
      <c r="T21"/>
      <c r="U21"/>
    </row>
    <row r="22" spans="2:30" ht="13.5" customHeight="1" x14ac:dyDescent="0.25">
      <c r="B22" s="7"/>
      <c r="C22" s="7"/>
      <c r="D22" s="7"/>
      <c r="E22" s="65" t="s">
        <v>68</v>
      </c>
      <c r="F22" s="62">
        <v>80264</v>
      </c>
      <c r="G22" s="62">
        <v>85796</v>
      </c>
      <c r="H22" s="62">
        <v>91578</v>
      </c>
      <c r="I22" s="62">
        <v>93835</v>
      </c>
      <c r="J22" s="62">
        <v>96458</v>
      </c>
      <c r="K22" s="62">
        <v>101464</v>
      </c>
      <c r="L22" s="62">
        <v>97691</v>
      </c>
      <c r="M22" s="62">
        <v>647086</v>
      </c>
      <c r="N22"/>
      <c r="O22" s="57"/>
      <c r="P22"/>
      <c r="Q22"/>
      <c r="R22"/>
      <c r="S22"/>
      <c r="T22"/>
      <c r="U22"/>
    </row>
    <row r="23" spans="2:30" ht="13.5" customHeight="1" x14ac:dyDescent="0.25">
      <c r="B23" s="7"/>
      <c r="C23" s="7"/>
      <c r="D23" s="7"/>
      <c r="E23" s="65" t="s">
        <v>119</v>
      </c>
      <c r="F23" s="62">
        <v>25804</v>
      </c>
      <c r="G23" s="62">
        <v>23542</v>
      </c>
      <c r="H23" s="62">
        <v>24198</v>
      </c>
      <c r="I23" s="62">
        <v>25388</v>
      </c>
      <c r="J23" s="62">
        <v>25906</v>
      </c>
      <c r="K23" s="62">
        <v>25621</v>
      </c>
      <c r="L23" s="62">
        <v>25370</v>
      </c>
      <c r="M23" s="62">
        <v>175829</v>
      </c>
      <c r="N23"/>
      <c r="O23" s="57"/>
      <c r="P23"/>
      <c r="Q23"/>
      <c r="R23"/>
      <c r="S23"/>
      <c r="T23"/>
      <c r="U23"/>
    </row>
    <row r="24" spans="2:30" ht="13.5" customHeight="1" x14ac:dyDescent="0.25">
      <c r="B24" s="7"/>
      <c r="C24" s="7"/>
      <c r="D24" s="7"/>
      <c r="E24" s="65" t="s">
        <v>155</v>
      </c>
      <c r="F24" s="62">
        <v>887</v>
      </c>
      <c r="G24" s="62">
        <v>672</v>
      </c>
      <c r="H24" s="62">
        <v>826</v>
      </c>
      <c r="I24" s="62">
        <v>541</v>
      </c>
      <c r="J24" s="62">
        <v>798</v>
      </c>
      <c r="K24" s="62">
        <v>479</v>
      </c>
      <c r="L24" s="62">
        <v>375</v>
      </c>
      <c r="M24" s="62">
        <v>4578</v>
      </c>
      <c r="N24"/>
      <c r="O24" s="57"/>
      <c r="P24"/>
      <c r="Q24"/>
      <c r="R24"/>
      <c r="S24"/>
      <c r="T24"/>
      <c r="U24"/>
    </row>
    <row r="25" spans="2:30" ht="13.5" customHeight="1" x14ac:dyDescent="0.35">
      <c r="B25" s="51"/>
      <c r="C25" s="7"/>
      <c r="D25" s="52"/>
      <c r="E25" s="46" t="s">
        <v>95</v>
      </c>
      <c r="F25" s="62">
        <v>9941661</v>
      </c>
      <c r="G25" s="62">
        <v>9337331</v>
      </c>
      <c r="H25" s="62">
        <v>10070770</v>
      </c>
      <c r="I25" s="62">
        <v>11401943</v>
      </c>
      <c r="J25" s="62">
        <v>11698430</v>
      </c>
      <c r="K25" s="62">
        <v>12523268</v>
      </c>
      <c r="L25" s="62">
        <v>11797743</v>
      </c>
      <c r="M25" s="62">
        <v>76771146</v>
      </c>
      <c r="N25"/>
      <c r="O25" s="57"/>
      <c r="P25"/>
      <c r="Q25"/>
      <c r="R25"/>
      <c r="S25"/>
      <c r="T25"/>
      <c r="U25"/>
    </row>
    <row r="26" spans="2:30" ht="13.5" customHeight="1" x14ac:dyDescent="0.25">
      <c r="B26" s="7"/>
      <c r="C26" s="7"/>
      <c r="D26" s="7"/>
      <c r="E26"/>
      <c r="F26"/>
      <c r="G26"/>
      <c r="H26"/>
      <c r="I26"/>
      <c r="J26"/>
      <c r="K26"/>
      <c r="L26"/>
      <c r="M26"/>
      <c r="N26"/>
      <c r="O26" s="57"/>
      <c r="P26"/>
      <c r="Q26"/>
      <c r="R26"/>
      <c r="S26"/>
      <c r="T26"/>
      <c r="U26"/>
      <c r="V26"/>
      <c r="X26" s="67"/>
      <c r="Y26"/>
      <c r="Z26"/>
      <c r="AA26"/>
      <c r="AB26"/>
      <c r="AC26"/>
      <c r="AD26"/>
    </row>
    <row r="27" spans="2:30" ht="13.5" customHeight="1" x14ac:dyDescent="0.25">
      <c r="B27" s="7"/>
      <c r="C27" s="7"/>
      <c r="D27" s="7"/>
      <c r="E27"/>
      <c r="F27"/>
      <c r="G27"/>
      <c r="H27"/>
      <c r="I27"/>
      <c r="J27"/>
      <c r="K27"/>
      <c r="L27"/>
      <c r="M27"/>
      <c r="N27"/>
      <c r="O27" s="57"/>
      <c r="P27"/>
      <c r="Q27"/>
      <c r="R27"/>
      <c r="S27"/>
      <c r="T27"/>
      <c r="U27"/>
      <c r="V27"/>
      <c r="X27" s="67"/>
      <c r="Y27"/>
      <c r="Z27"/>
      <c r="AA27"/>
      <c r="AB27"/>
      <c r="AC27"/>
      <c r="AD27"/>
    </row>
    <row r="28" spans="2:30" ht="13.5" customHeight="1" x14ac:dyDescent="0.25">
      <c r="B28" s="7"/>
      <c r="C28" s="7"/>
      <c r="D28" s="7"/>
      <c r="E28"/>
      <c r="F28"/>
      <c r="G28"/>
      <c r="H28"/>
      <c r="I28"/>
      <c r="J28"/>
      <c r="K28"/>
      <c r="L28"/>
      <c r="M28"/>
      <c r="N28"/>
      <c r="O28" s="57"/>
      <c r="P28"/>
      <c r="Q28"/>
      <c r="R28"/>
      <c r="S28"/>
      <c r="T28"/>
      <c r="U28"/>
      <c r="V28"/>
      <c r="X28" s="67"/>
      <c r="Y28"/>
      <c r="Z28"/>
      <c r="AA28"/>
      <c r="AB28"/>
      <c r="AC28"/>
      <c r="AD28"/>
    </row>
    <row r="29" spans="2:30" ht="13.5" customHeight="1" x14ac:dyDescent="0.25">
      <c r="B29" s="7"/>
      <c r="C29" s="7"/>
      <c r="D29" s="7"/>
      <c r="E29"/>
      <c r="F29"/>
      <c r="G29"/>
      <c r="H29"/>
      <c r="I29"/>
      <c r="J29"/>
      <c r="K29"/>
      <c r="L29"/>
      <c r="M29"/>
      <c r="N29"/>
      <c r="O29" s="57"/>
      <c r="P29"/>
      <c r="Q29"/>
      <c r="R29"/>
      <c r="S29"/>
      <c r="T29"/>
      <c r="U29"/>
      <c r="V29"/>
      <c r="X29"/>
      <c r="Y29"/>
      <c r="Z29"/>
      <c r="AA29"/>
      <c r="AB29"/>
      <c r="AC29"/>
      <c r="AD29"/>
    </row>
    <row r="30" spans="2:30" ht="13.5" customHeight="1" x14ac:dyDescent="0.25">
      <c r="B30" s="7"/>
      <c r="C30" s="7"/>
      <c r="D30" s="7"/>
      <c r="E30"/>
      <c r="F30"/>
      <c r="G30"/>
      <c r="H30"/>
      <c r="I30"/>
      <c r="J30"/>
      <c r="K30"/>
      <c r="L30"/>
      <c r="M30"/>
      <c r="N30"/>
      <c r="O30" s="57"/>
      <c r="P30"/>
      <c r="Q30"/>
      <c r="R30"/>
      <c r="S30"/>
      <c r="T30"/>
      <c r="U30"/>
      <c r="V30"/>
      <c r="X30"/>
      <c r="Y30"/>
      <c r="Z30"/>
      <c r="AA30"/>
      <c r="AB30"/>
      <c r="AC30"/>
      <c r="AD30"/>
    </row>
    <row r="31" spans="2:30" ht="13.5" customHeight="1" x14ac:dyDescent="0.25">
      <c r="B31" s="7"/>
      <c r="C31" s="7"/>
      <c r="D31" s="7"/>
      <c r="E31"/>
      <c r="F31"/>
      <c r="G31"/>
      <c r="H31"/>
      <c r="I31"/>
      <c r="J31"/>
      <c r="K31"/>
      <c r="L31"/>
      <c r="M31"/>
      <c r="N31"/>
      <c r="O31" s="57"/>
      <c r="P31"/>
      <c r="Q31"/>
      <c r="R31"/>
      <c r="S31"/>
      <c r="T31"/>
      <c r="U31"/>
      <c r="V31"/>
      <c r="X31"/>
      <c r="Y31"/>
      <c r="Z31"/>
      <c r="AA31"/>
      <c r="AB31"/>
      <c r="AC31"/>
      <c r="AD31"/>
    </row>
    <row r="32" spans="2:30" ht="13.5" customHeight="1" x14ac:dyDescent="0.25">
      <c r="B32" s="7"/>
      <c r="C32" s="7"/>
      <c r="D32" s="7"/>
      <c r="E32"/>
      <c r="F32"/>
      <c r="G32"/>
      <c r="H32"/>
      <c r="I32"/>
      <c r="J32"/>
      <c r="K32"/>
      <c r="L32"/>
      <c r="M32"/>
      <c r="N32"/>
      <c r="O32" s="57"/>
      <c r="P32"/>
      <c r="Q32"/>
      <c r="R32"/>
      <c r="S32"/>
      <c r="T32"/>
      <c r="U32"/>
      <c r="V32"/>
      <c r="X32"/>
      <c r="Y32"/>
      <c r="Z32"/>
      <c r="AA32"/>
      <c r="AB32"/>
      <c r="AC32"/>
      <c r="AD32"/>
    </row>
    <row r="33" spans="2:30" ht="13.5" customHeight="1" x14ac:dyDescent="0.25">
      <c r="B33" s="7"/>
      <c r="C33" s="7"/>
      <c r="D33" s="7"/>
      <c r="E33"/>
      <c r="F33"/>
      <c r="G33"/>
      <c r="H33"/>
      <c r="I33"/>
      <c r="J33"/>
      <c r="K33"/>
      <c r="L33"/>
      <c r="M33"/>
      <c r="N33"/>
      <c r="O33" s="57"/>
      <c r="P33"/>
      <c r="Q33" s="65" t="s">
        <v>167</v>
      </c>
      <c r="R33"/>
      <c r="S33"/>
      <c r="T33"/>
      <c r="U33"/>
      <c r="V33"/>
      <c r="X33"/>
      <c r="Y33"/>
      <c r="Z33"/>
      <c r="AA33"/>
      <c r="AB33"/>
      <c r="AC33"/>
      <c r="AD33"/>
    </row>
    <row r="34" spans="2:30" ht="13.5" customHeight="1" x14ac:dyDescent="0.25">
      <c r="B34" s="7"/>
      <c r="C34" s="7"/>
      <c r="D34" s="7"/>
      <c r="E34"/>
      <c r="F34"/>
      <c r="G34"/>
      <c r="H34"/>
      <c r="I34"/>
      <c r="J34"/>
      <c r="K34"/>
      <c r="L34"/>
      <c r="M34"/>
      <c r="N34"/>
      <c r="O34" s="57"/>
      <c r="P34"/>
      <c r="Q34" s="65" t="s">
        <v>136</v>
      </c>
      <c r="R34"/>
      <c r="S34"/>
      <c r="T34"/>
      <c r="U34"/>
      <c r="V34"/>
      <c r="X34"/>
      <c r="Y34"/>
      <c r="Z34"/>
      <c r="AA34"/>
      <c r="AB34"/>
      <c r="AC34"/>
      <c r="AD34"/>
    </row>
    <row r="35" spans="2:30" ht="13.5" customHeight="1" x14ac:dyDescent="0.25">
      <c r="E35"/>
      <c r="F35"/>
      <c r="G35"/>
      <c r="H35"/>
      <c r="I35"/>
      <c r="J35"/>
      <c r="K35"/>
      <c r="L35"/>
      <c r="M35"/>
      <c r="N35"/>
      <c r="O35" s="57"/>
      <c r="P35"/>
      <c r="Q35" s="65" t="s">
        <v>163</v>
      </c>
      <c r="R35"/>
      <c r="S35"/>
      <c r="T35"/>
      <c r="U35"/>
      <c r="V35"/>
      <c r="X35"/>
      <c r="Y35"/>
      <c r="Z35"/>
      <c r="AA35"/>
      <c r="AB35"/>
      <c r="AC35"/>
      <c r="AD35"/>
    </row>
    <row r="36" spans="2:30" ht="13.5" customHeight="1" x14ac:dyDescent="0.25">
      <c r="E36"/>
      <c r="F36"/>
      <c r="G36"/>
      <c r="H36"/>
      <c r="I36"/>
      <c r="J36"/>
      <c r="K36"/>
      <c r="L36"/>
      <c r="M36"/>
      <c r="N36"/>
      <c r="O36" s="57"/>
      <c r="P36"/>
      <c r="Q36" s="65" t="s">
        <v>124</v>
      </c>
      <c r="R36"/>
      <c r="S36"/>
      <c r="T36"/>
      <c r="U36"/>
      <c r="V36"/>
      <c r="X36"/>
      <c r="Y36"/>
      <c r="Z36"/>
      <c r="AA36"/>
      <c r="AB36"/>
      <c r="AC36"/>
      <c r="AD36"/>
    </row>
    <row r="37" spans="2:30" ht="13.5" customHeight="1" x14ac:dyDescent="0.25">
      <c r="E37"/>
      <c r="F37"/>
      <c r="G37"/>
      <c r="H37"/>
      <c r="I37"/>
      <c r="J37"/>
      <c r="K37"/>
      <c r="L37"/>
      <c r="M37"/>
      <c r="N37"/>
      <c r="O37" s="57"/>
      <c r="P37"/>
      <c r="Q37" s="65" t="s">
        <v>117</v>
      </c>
      <c r="R37"/>
      <c r="S37"/>
      <c r="T37"/>
      <c r="U37"/>
      <c r="V37"/>
      <c r="X37"/>
      <c r="Y37"/>
      <c r="Z37"/>
      <c r="AA37"/>
      <c r="AB37"/>
      <c r="AC37"/>
      <c r="AD37"/>
    </row>
    <row r="38" spans="2:30" ht="13.5" customHeight="1" x14ac:dyDescent="0.25">
      <c r="E38"/>
      <c r="F38"/>
      <c r="G38"/>
      <c r="H38"/>
      <c r="I38"/>
      <c r="J38"/>
      <c r="K38"/>
      <c r="L38"/>
      <c r="M38"/>
      <c r="N38"/>
      <c r="O38" s="57"/>
      <c r="P38"/>
      <c r="Q38" s="65" t="s">
        <v>73</v>
      </c>
      <c r="R38"/>
      <c r="S38"/>
      <c r="T38"/>
      <c r="U38"/>
      <c r="V38"/>
      <c r="X38"/>
      <c r="Y38"/>
      <c r="Z38"/>
      <c r="AA38"/>
      <c r="AB38"/>
      <c r="AC38"/>
      <c r="AD38"/>
    </row>
    <row r="39" spans="2:30" ht="13.5" customHeight="1" x14ac:dyDescent="0.25">
      <c r="E39"/>
      <c r="F39"/>
      <c r="G39"/>
      <c r="H39"/>
      <c r="I39"/>
      <c r="J39"/>
      <c r="K39"/>
      <c r="L39"/>
      <c r="M39"/>
      <c r="N39"/>
      <c r="O39" s="57"/>
      <c r="P39"/>
      <c r="Q39" s="65" t="s">
        <v>156</v>
      </c>
      <c r="R39"/>
      <c r="S39"/>
      <c r="T39"/>
      <c r="U39"/>
      <c r="V39"/>
      <c r="X39"/>
      <c r="Y39"/>
      <c r="Z39"/>
      <c r="AA39"/>
      <c r="AB39"/>
      <c r="AC39"/>
      <c r="AD39"/>
    </row>
    <row r="40" spans="2:30" ht="13.5" customHeight="1" x14ac:dyDescent="0.25">
      <c r="E40"/>
      <c r="F40"/>
      <c r="G40"/>
      <c r="H40"/>
      <c r="I40"/>
      <c r="J40"/>
      <c r="K40"/>
      <c r="L40"/>
      <c r="M40"/>
      <c r="N40"/>
      <c r="O40" s="57"/>
      <c r="P40"/>
      <c r="Q40" s="65" t="s">
        <v>113</v>
      </c>
      <c r="R40"/>
      <c r="S40"/>
      <c r="T40"/>
      <c r="U40"/>
      <c r="V40"/>
      <c r="X40"/>
      <c r="Y40"/>
      <c r="Z40"/>
      <c r="AA40"/>
      <c r="AB40"/>
      <c r="AC40"/>
      <c r="AD40"/>
    </row>
    <row r="41" spans="2:30" ht="13.5" customHeight="1" x14ac:dyDescent="0.25">
      <c r="E41"/>
      <c r="F41"/>
      <c r="G41"/>
      <c r="H41"/>
      <c r="I41"/>
      <c r="J41"/>
      <c r="K41"/>
      <c r="L41"/>
      <c r="M41"/>
      <c r="N41"/>
      <c r="O41" s="57"/>
      <c r="P41"/>
      <c r="Q41" s="65" t="s">
        <v>158</v>
      </c>
      <c r="R41"/>
      <c r="S41"/>
      <c r="T41"/>
      <c r="U41"/>
      <c r="V41"/>
      <c r="X41"/>
      <c r="Y41"/>
      <c r="Z41"/>
      <c r="AA41"/>
      <c r="AB41"/>
      <c r="AC41"/>
      <c r="AD41"/>
    </row>
    <row r="42" spans="2:30" ht="13.5" customHeight="1" x14ac:dyDescent="0.25">
      <c r="E42"/>
      <c r="F42"/>
      <c r="G42"/>
      <c r="H42"/>
      <c r="I42"/>
      <c r="J42"/>
      <c r="K42"/>
      <c r="L42"/>
      <c r="M42"/>
      <c r="N42"/>
      <c r="O42" s="57"/>
      <c r="P42"/>
      <c r="Q42" s="65" t="s">
        <v>182</v>
      </c>
      <c r="R42"/>
      <c r="S42"/>
      <c r="T42"/>
      <c r="U42"/>
      <c r="V42"/>
      <c r="X42"/>
      <c r="Y42"/>
      <c r="Z42"/>
      <c r="AA42"/>
      <c r="AB42"/>
      <c r="AC42"/>
      <c r="AD42"/>
    </row>
    <row r="43" spans="2:30" ht="13.5" customHeight="1" x14ac:dyDescent="0.25">
      <c r="E43"/>
      <c r="F43"/>
      <c r="G43"/>
      <c r="H43"/>
      <c r="I43"/>
      <c r="J43"/>
      <c r="K43"/>
      <c r="L43"/>
      <c r="M43"/>
      <c r="N43"/>
      <c r="O43" s="57"/>
      <c r="P43"/>
      <c r="Q43" s="65" t="s">
        <v>184</v>
      </c>
      <c r="R43"/>
      <c r="S43"/>
      <c r="T43"/>
      <c r="U43"/>
      <c r="V43"/>
      <c r="X43"/>
      <c r="Y43"/>
      <c r="Z43"/>
      <c r="AA43"/>
      <c r="AB43"/>
      <c r="AC43"/>
      <c r="AD43"/>
    </row>
    <row r="44" spans="2:30" ht="13.5" customHeight="1" x14ac:dyDescent="0.25">
      <c r="E44"/>
      <c r="F44"/>
      <c r="G44"/>
      <c r="H44"/>
      <c r="I44"/>
      <c r="J44"/>
      <c r="K44"/>
      <c r="L44"/>
      <c r="M44"/>
      <c r="N44"/>
      <c r="O44" s="57"/>
      <c r="P44"/>
      <c r="Q44" s="65" t="s">
        <v>125</v>
      </c>
      <c r="R44"/>
      <c r="S44"/>
      <c r="T44"/>
      <c r="U44"/>
      <c r="V44"/>
      <c r="X44"/>
      <c r="Y44"/>
      <c r="Z44"/>
      <c r="AA44"/>
      <c r="AB44"/>
      <c r="AC44"/>
      <c r="AD44"/>
    </row>
    <row r="45" spans="2:30" ht="13.5" customHeight="1" x14ac:dyDescent="0.25">
      <c r="E45"/>
      <c r="F45"/>
      <c r="G45"/>
      <c r="H45"/>
      <c r="I45"/>
      <c r="J45"/>
      <c r="K45"/>
      <c r="L45"/>
      <c r="M45"/>
      <c r="N45"/>
      <c r="O45" s="57"/>
      <c r="P45"/>
      <c r="Q45" s="65" t="s">
        <v>144</v>
      </c>
      <c r="R45"/>
      <c r="S45"/>
      <c r="T45"/>
      <c r="U45"/>
      <c r="V45"/>
      <c r="X45"/>
      <c r="Y45"/>
      <c r="Z45"/>
      <c r="AA45"/>
      <c r="AB45"/>
      <c r="AC45"/>
      <c r="AD45"/>
    </row>
    <row r="46" spans="2:30" ht="13.5" customHeight="1" x14ac:dyDescent="0.25">
      <c r="E46"/>
      <c r="F46"/>
      <c r="G46"/>
      <c r="H46"/>
      <c r="I46"/>
      <c r="J46"/>
      <c r="K46"/>
      <c r="L46"/>
      <c r="M46"/>
      <c r="N46"/>
      <c r="O46" s="57"/>
      <c r="P46"/>
      <c r="Q46" s="65" t="s">
        <v>68</v>
      </c>
      <c r="R46"/>
      <c r="S46"/>
      <c r="T46"/>
      <c r="U46"/>
      <c r="V46"/>
      <c r="X46"/>
      <c r="Y46"/>
      <c r="Z46"/>
      <c r="AA46"/>
      <c r="AB46"/>
      <c r="AC46"/>
      <c r="AD46"/>
    </row>
    <row r="47" spans="2:30" ht="13.5" customHeight="1" x14ac:dyDescent="0.25">
      <c r="E47"/>
      <c r="F47"/>
      <c r="G47"/>
      <c r="H47"/>
      <c r="I47"/>
      <c r="J47"/>
      <c r="K47"/>
      <c r="L47"/>
      <c r="M47"/>
      <c r="N47"/>
      <c r="O47" s="57"/>
      <c r="P47"/>
      <c r="Q47" s="65" t="s">
        <v>180</v>
      </c>
      <c r="R47"/>
      <c r="S47"/>
      <c r="T47"/>
      <c r="U47"/>
      <c r="V47"/>
      <c r="X47"/>
      <c r="Y47"/>
      <c r="Z47"/>
      <c r="AA47"/>
      <c r="AB47"/>
      <c r="AC47"/>
      <c r="AD47"/>
    </row>
    <row r="48" spans="2:30" ht="13.5" customHeight="1" x14ac:dyDescent="0.25">
      <c r="E48"/>
      <c r="F48"/>
      <c r="G48"/>
      <c r="H48"/>
      <c r="I48"/>
      <c r="J48"/>
      <c r="K48"/>
      <c r="L48"/>
      <c r="M48"/>
      <c r="N48"/>
      <c r="O48" s="57"/>
      <c r="P48"/>
      <c r="Q48" s="191" t="s">
        <v>119</v>
      </c>
      <c r="R48"/>
      <c r="S48"/>
      <c r="T48"/>
      <c r="U48"/>
      <c r="V48"/>
      <c r="X48"/>
      <c r="Y48"/>
      <c r="Z48"/>
      <c r="AA48"/>
      <c r="AB48"/>
      <c r="AC48"/>
      <c r="AD48"/>
    </row>
    <row r="49" spans="5:30" ht="13.5" customHeight="1" x14ac:dyDescent="0.25">
      <c r="E49"/>
      <c r="F49"/>
      <c r="G49"/>
      <c r="H49"/>
      <c r="I49"/>
      <c r="J49"/>
      <c r="K49"/>
      <c r="L49"/>
      <c r="M49"/>
      <c r="N49"/>
      <c r="O49" s="57"/>
      <c r="P49"/>
      <c r="Q49" s="191" t="s">
        <v>200</v>
      </c>
      <c r="R49"/>
      <c r="S49"/>
      <c r="T49"/>
      <c r="U49"/>
      <c r="V49"/>
      <c r="X49"/>
      <c r="Y49"/>
      <c r="Z49"/>
      <c r="AA49"/>
      <c r="AB49"/>
      <c r="AC49"/>
      <c r="AD49"/>
    </row>
    <row r="50" spans="5:30" ht="13.5" customHeight="1" x14ac:dyDescent="0.25">
      <c r="E50"/>
      <c r="F50"/>
      <c r="G50"/>
      <c r="H50"/>
      <c r="I50"/>
      <c r="J50"/>
      <c r="K50"/>
      <c r="L50"/>
      <c r="M50"/>
      <c r="N50"/>
      <c r="O50" s="57"/>
      <c r="P50"/>
      <c r="Q50"/>
      <c r="R50"/>
      <c r="S50"/>
      <c r="T50"/>
      <c r="U50"/>
      <c r="V50"/>
      <c r="X50"/>
      <c r="Y50"/>
      <c r="Z50"/>
      <c r="AA50"/>
      <c r="AB50"/>
      <c r="AC50"/>
      <c r="AD50"/>
    </row>
    <row r="51" spans="5:30" ht="13.5" customHeight="1" x14ac:dyDescent="0.25">
      <c r="E51"/>
      <c r="F51"/>
      <c r="G51"/>
      <c r="H51"/>
      <c r="I51"/>
      <c r="J51"/>
      <c r="K51"/>
      <c r="L51"/>
      <c r="M51"/>
      <c r="N51"/>
      <c r="O51" s="57"/>
      <c r="P51"/>
      <c r="Q51"/>
      <c r="R51"/>
      <c r="S51"/>
      <c r="T51"/>
      <c r="U51"/>
      <c r="V51"/>
      <c r="X51"/>
      <c r="Y51"/>
      <c r="Z51"/>
      <c r="AA51"/>
      <c r="AB51"/>
      <c r="AC51"/>
      <c r="AD51"/>
    </row>
    <row r="52" spans="5:30" ht="13.5" customHeight="1" x14ac:dyDescent="0.25">
      <c r="E52"/>
      <c r="F52"/>
      <c r="G52"/>
      <c r="H52"/>
      <c r="I52"/>
      <c r="J52"/>
      <c r="K52"/>
      <c r="L52"/>
      <c r="M52"/>
      <c r="N52"/>
      <c r="O52" s="57"/>
      <c r="P52"/>
      <c r="Q52"/>
      <c r="R52"/>
      <c r="S52"/>
      <c r="T52"/>
      <c r="U52"/>
      <c r="V52"/>
      <c r="X52"/>
      <c r="Y52"/>
      <c r="Z52"/>
      <c r="AA52"/>
      <c r="AB52"/>
      <c r="AC52"/>
      <c r="AD52"/>
    </row>
    <row r="53" spans="5:30" ht="13.5" customHeight="1" x14ac:dyDescent="0.25">
      <c r="E53"/>
      <c r="F53"/>
      <c r="G53"/>
      <c r="H53"/>
      <c r="I53"/>
      <c r="J53"/>
      <c r="K53"/>
      <c r="L53"/>
      <c r="M53"/>
      <c r="N53"/>
      <c r="O53" s="57"/>
      <c r="P53"/>
      <c r="Q53"/>
      <c r="R53"/>
      <c r="S53"/>
      <c r="T53"/>
      <c r="U53"/>
      <c r="V53"/>
      <c r="X53"/>
      <c r="Y53"/>
      <c r="Z53"/>
      <c r="AA53"/>
      <c r="AB53"/>
      <c r="AC53"/>
      <c r="AD53"/>
    </row>
    <row r="54" spans="5:30" ht="13.5" customHeight="1" x14ac:dyDescent="0.25">
      <c r="E54"/>
      <c r="F54"/>
      <c r="G54"/>
      <c r="H54"/>
      <c r="I54"/>
      <c r="J54"/>
      <c r="K54"/>
      <c r="L54"/>
      <c r="M54"/>
      <c r="N54"/>
      <c r="O54" s="57"/>
      <c r="P54"/>
      <c r="Q54"/>
      <c r="R54"/>
      <c r="S54"/>
      <c r="T54"/>
      <c r="U54"/>
      <c r="V54"/>
      <c r="X54"/>
      <c r="Y54"/>
      <c r="Z54"/>
      <c r="AA54"/>
      <c r="AB54"/>
      <c r="AC54"/>
      <c r="AD54"/>
    </row>
    <row r="55" spans="5:30" ht="13.5" customHeight="1" x14ac:dyDescent="0.25">
      <c r="E55"/>
      <c r="F55"/>
      <c r="G55"/>
      <c r="H55"/>
      <c r="I55"/>
      <c r="J55"/>
      <c r="K55"/>
      <c r="L55"/>
      <c r="M55"/>
      <c r="N55"/>
      <c r="O55" s="57"/>
      <c r="P55"/>
      <c r="Q55"/>
      <c r="R55"/>
      <c r="S55"/>
      <c r="T55"/>
      <c r="U55"/>
      <c r="V55"/>
      <c r="X55"/>
      <c r="Y55"/>
      <c r="Z55"/>
      <c r="AA55"/>
      <c r="AB55"/>
      <c r="AC55"/>
      <c r="AD55"/>
    </row>
    <row r="56" spans="5:30" ht="13.5" customHeight="1" x14ac:dyDescent="0.25">
      <c r="E56"/>
      <c r="F56"/>
      <c r="G56"/>
      <c r="H56"/>
      <c r="I56"/>
      <c r="J56"/>
      <c r="K56"/>
      <c r="L56"/>
      <c r="M56"/>
      <c r="N56"/>
      <c r="O56" s="57"/>
      <c r="P56"/>
      <c r="Q56"/>
      <c r="R56"/>
      <c r="S56"/>
      <c r="T56"/>
      <c r="U56"/>
      <c r="V56"/>
      <c r="X56"/>
      <c r="Y56"/>
      <c r="Z56"/>
      <c r="AA56"/>
      <c r="AB56"/>
      <c r="AC56"/>
      <c r="AD56"/>
    </row>
    <row r="57" spans="5:30" ht="13.5" customHeight="1" x14ac:dyDescent="0.25">
      <c r="E57"/>
      <c r="F57"/>
      <c r="G57"/>
      <c r="H57"/>
      <c r="I57"/>
      <c r="J57"/>
      <c r="K57"/>
      <c r="L57"/>
      <c r="M57"/>
      <c r="N57"/>
      <c r="O57" s="57"/>
      <c r="P57"/>
      <c r="Q57"/>
      <c r="R57"/>
      <c r="S57"/>
      <c r="T57"/>
      <c r="U57"/>
      <c r="V57"/>
      <c r="X57"/>
      <c r="Y57"/>
      <c r="Z57"/>
      <c r="AA57"/>
      <c r="AB57"/>
      <c r="AC57"/>
      <c r="AD57"/>
    </row>
    <row r="58" spans="5:30" ht="13.5" customHeight="1" x14ac:dyDescent="0.25">
      <c r="E58"/>
      <c r="F58"/>
      <c r="G58"/>
      <c r="H58"/>
      <c r="I58"/>
      <c r="J58"/>
      <c r="K58"/>
      <c r="L58"/>
      <c r="M58"/>
      <c r="N58"/>
      <c r="O58" s="57"/>
      <c r="P58"/>
      <c r="Q58"/>
      <c r="R58"/>
      <c r="S58"/>
      <c r="T58"/>
      <c r="U58"/>
      <c r="V58"/>
    </row>
    <row r="59" spans="5:30" ht="13.5" customHeight="1" x14ac:dyDescent="0.25">
      <c r="E59"/>
      <c r="F59"/>
      <c r="G59"/>
      <c r="H59"/>
      <c r="I59"/>
      <c r="J59"/>
      <c r="K59"/>
      <c r="L59"/>
      <c r="M59"/>
      <c r="N59"/>
      <c r="O59" s="57"/>
      <c r="P59"/>
      <c r="Q59"/>
      <c r="R59"/>
      <c r="S59"/>
      <c r="T59"/>
      <c r="U59"/>
      <c r="V59"/>
    </row>
    <row r="60" spans="5:30" ht="13.5" customHeight="1" x14ac:dyDescent="0.25">
      <c r="E60"/>
      <c r="F60"/>
      <c r="G60"/>
      <c r="H60"/>
      <c r="I60"/>
      <c r="J60"/>
      <c r="K60"/>
      <c r="L60"/>
      <c r="M60"/>
      <c r="N60"/>
      <c r="O60" s="57"/>
      <c r="P60"/>
      <c r="Q60"/>
      <c r="R60"/>
      <c r="S60"/>
      <c r="T60"/>
      <c r="U60"/>
      <c r="V60"/>
    </row>
    <row r="61" spans="5:30" ht="13.5" customHeight="1" x14ac:dyDescent="0.25">
      <c r="E61"/>
      <c r="F61"/>
      <c r="G61"/>
      <c r="H61"/>
      <c r="I61"/>
      <c r="J61"/>
      <c r="K61"/>
      <c r="L61"/>
      <c r="M61"/>
      <c r="N61"/>
      <c r="O61" s="57"/>
      <c r="P61"/>
      <c r="Q61"/>
      <c r="R61"/>
      <c r="S61"/>
      <c r="T61"/>
      <c r="U61"/>
      <c r="V61"/>
    </row>
    <row r="62" spans="5:30" ht="13.5" customHeight="1" x14ac:dyDescent="0.25">
      <c r="E62"/>
      <c r="F62"/>
      <c r="G62"/>
      <c r="H62"/>
      <c r="I62"/>
      <c r="J62"/>
      <c r="K62"/>
      <c r="L62"/>
      <c r="M62"/>
      <c r="N62"/>
      <c r="O62" s="57"/>
      <c r="P62"/>
      <c r="Q62"/>
      <c r="R62"/>
      <c r="S62"/>
      <c r="T62"/>
      <c r="U62"/>
      <c r="V62"/>
    </row>
    <row r="63" spans="5:30" ht="13.5" customHeight="1" x14ac:dyDescent="0.25">
      <c r="E63"/>
      <c r="F63"/>
      <c r="G63"/>
      <c r="H63"/>
      <c r="I63"/>
      <c r="J63"/>
      <c r="K63"/>
      <c r="L63"/>
      <c r="M63"/>
      <c r="N63"/>
      <c r="O63" s="57"/>
      <c r="P63"/>
      <c r="Q63"/>
      <c r="R63"/>
      <c r="S63"/>
      <c r="T63"/>
      <c r="U63"/>
      <c r="V63"/>
    </row>
    <row r="64" spans="5:30" ht="13.5" customHeight="1" x14ac:dyDescent="0.25">
      <c r="E64"/>
      <c r="F64"/>
      <c r="G64"/>
      <c r="H64"/>
      <c r="I64"/>
      <c r="J64"/>
      <c r="K64"/>
      <c r="L64"/>
      <c r="M64"/>
      <c r="N64"/>
      <c r="O64" s="57"/>
      <c r="P64"/>
      <c r="Q64"/>
      <c r="R64"/>
      <c r="S64"/>
      <c r="T64"/>
      <c r="U64"/>
      <c r="V64"/>
      <c r="W64" s="7"/>
    </row>
    <row r="65" spans="5:23" ht="13.5" customHeight="1" x14ac:dyDescent="0.25">
      <c r="E65"/>
      <c r="F65"/>
      <c r="G65"/>
      <c r="H65"/>
      <c r="I65"/>
      <c r="J65"/>
      <c r="K65"/>
      <c r="L65"/>
      <c r="M65"/>
      <c r="N65"/>
      <c r="O65" s="57"/>
      <c r="P65"/>
      <c r="Q65"/>
      <c r="R65"/>
      <c r="S65"/>
      <c r="T65"/>
      <c r="U65"/>
      <c r="V65"/>
      <c r="W65" s="7"/>
    </row>
    <row r="66" spans="5:23" ht="13.5" customHeight="1" x14ac:dyDescent="0.25">
      <c r="E66"/>
      <c r="F66"/>
      <c r="G66"/>
      <c r="H66"/>
      <c r="I66"/>
      <c r="J66"/>
      <c r="K66"/>
      <c r="L66"/>
      <c r="M66"/>
      <c r="N66"/>
      <c r="O66" s="57"/>
      <c r="P66"/>
      <c r="Q66"/>
      <c r="R66"/>
      <c r="S66"/>
      <c r="T66"/>
      <c r="U66"/>
      <c r="V66"/>
      <c r="W66" s="7"/>
    </row>
    <row r="67" spans="5:23" ht="13.5" customHeight="1" x14ac:dyDescent="0.25">
      <c r="E67"/>
      <c r="F67"/>
      <c r="G67"/>
      <c r="H67"/>
      <c r="I67"/>
      <c r="J67"/>
      <c r="K67"/>
      <c r="L67"/>
      <c r="M67"/>
      <c r="N67"/>
      <c r="O67" s="57"/>
      <c r="P67"/>
      <c r="Q67"/>
      <c r="R67"/>
      <c r="S67"/>
      <c r="T67"/>
      <c r="U67"/>
      <c r="V67"/>
      <c r="W67" s="7"/>
    </row>
    <row r="68" spans="5:23" ht="13.5" customHeight="1" x14ac:dyDescent="0.25">
      <c r="E68"/>
      <c r="F68"/>
      <c r="G68"/>
      <c r="H68"/>
      <c r="I68"/>
      <c r="J68"/>
      <c r="K68"/>
      <c r="L68"/>
      <c r="M68"/>
      <c r="N68"/>
      <c r="O68" s="57"/>
      <c r="P68"/>
      <c r="Q68"/>
      <c r="R68"/>
      <c r="S68"/>
      <c r="T68"/>
      <c r="U68"/>
      <c r="V68"/>
      <c r="W68" s="7"/>
    </row>
    <row r="69" spans="5:23" ht="13.5" customHeight="1" x14ac:dyDescent="0.25">
      <c r="E69"/>
      <c r="F69"/>
      <c r="G69"/>
      <c r="H69"/>
      <c r="I69"/>
      <c r="J69"/>
      <c r="K69"/>
      <c r="L69"/>
      <c r="M69"/>
      <c r="N69"/>
      <c r="O69" s="57"/>
      <c r="P69"/>
      <c r="Q69"/>
      <c r="R69"/>
      <c r="S69"/>
      <c r="T69"/>
      <c r="U69"/>
      <c r="V69"/>
      <c r="W69" s="7"/>
    </row>
    <row r="70" spans="5:23" ht="13.5" customHeight="1" x14ac:dyDescent="0.25">
      <c r="E70"/>
      <c r="F70"/>
      <c r="G70"/>
      <c r="H70"/>
      <c r="I70"/>
      <c r="J70"/>
      <c r="K70"/>
      <c r="L70"/>
      <c r="M70"/>
      <c r="N70"/>
      <c r="O70" s="57"/>
      <c r="P70"/>
      <c r="Q70"/>
      <c r="R70"/>
      <c r="S70"/>
      <c r="T70"/>
      <c r="U70"/>
      <c r="V70"/>
      <c r="W70" s="7"/>
    </row>
    <row r="71" spans="5:23" ht="13.5" customHeight="1" x14ac:dyDescent="0.25">
      <c r="E71"/>
      <c r="F71"/>
      <c r="G71"/>
      <c r="H71"/>
      <c r="I71"/>
      <c r="J71"/>
      <c r="K71"/>
      <c r="L71" s="57"/>
      <c r="M71" s="57"/>
      <c r="N71" s="57"/>
      <c r="O71" s="57"/>
      <c r="P71"/>
      <c r="Q71"/>
      <c r="R71"/>
      <c r="S71"/>
      <c r="T71"/>
      <c r="U71"/>
      <c r="V71"/>
      <c r="W71" s="7"/>
    </row>
    <row r="72" spans="5:23" ht="13.5" customHeight="1" x14ac:dyDescent="0.25">
      <c r="E72"/>
      <c r="F72"/>
      <c r="G72"/>
      <c r="H72"/>
      <c r="I72"/>
      <c r="J72"/>
      <c r="K72"/>
      <c r="L72" s="57"/>
      <c r="M72" s="57"/>
      <c r="N72" s="57"/>
      <c r="O72" s="57"/>
      <c r="P72"/>
      <c r="Q72"/>
      <c r="R72"/>
      <c r="S72"/>
      <c r="T72"/>
      <c r="U72"/>
      <c r="V72"/>
      <c r="W72" s="7"/>
    </row>
    <row r="73" spans="5:23" ht="13.5" customHeight="1" x14ac:dyDescent="0.25">
      <c r="E73"/>
      <c r="F73"/>
      <c r="G73"/>
      <c r="H73"/>
      <c r="I73"/>
      <c r="J73"/>
      <c r="K73"/>
      <c r="L73" s="57"/>
      <c r="M73" s="57"/>
      <c r="N73" s="57"/>
      <c r="O73" s="57"/>
      <c r="P73"/>
      <c r="Q73"/>
      <c r="R73"/>
      <c r="S73"/>
      <c r="T73"/>
      <c r="U73"/>
      <c r="V73"/>
      <c r="W73" s="7"/>
    </row>
    <row r="74" spans="5:23" ht="13.5" customHeight="1" x14ac:dyDescent="0.25">
      <c r="E74"/>
      <c r="F74"/>
      <c r="G74"/>
      <c r="H74"/>
      <c r="I74"/>
      <c r="J74"/>
      <c r="K74"/>
      <c r="L74" s="57"/>
      <c r="M74" s="57"/>
      <c r="N74" s="57"/>
      <c r="O74" s="57"/>
      <c r="P74"/>
      <c r="Q74"/>
      <c r="R74"/>
      <c r="S74"/>
      <c r="T74"/>
      <c r="U74"/>
      <c r="V74"/>
      <c r="W74" s="7"/>
    </row>
    <row r="75" spans="5:23" ht="13.5" customHeight="1" x14ac:dyDescent="0.25">
      <c r="E75"/>
      <c r="F75"/>
      <c r="G75"/>
      <c r="H75"/>
      <c r="I75"/>
      <c r="J75"/>
      <c r="K75"/>
      <c r="L75" s="57"/>
      <c r="M75" s="57"/>
      <c r="N75" s="57"/>
      <c r="O75" s="57"/>
      <c r="P75"/>
      <c r="Q75"/>
      <c r="R75"/>
      <c r="S75"/>
      <c r="T75"/>
      <c r="U75"/>
      <c r="V75"/>
      <c r="W75" s="7"/>
    </row>
    <row r="76" spans="5:23" ht="13.5" customHeight="1" x14ac:dyDescent="0.25">
      <c r="E76"/>
      <c r="F76"/>
      <c r="G76"/>
      <c r="H76"/>
      <c r="I76"/>
      <c r="J76"/>
      <c r="K76"/>
      <c r="L76" s="57"/>
      <c r="M76" s="57"/>
      <c r="N76" s="57"/>
      <c r="O76" s="57"/>
      <c r="P76"/>
      <c r="Q76"/>
      <c r="R76"/>
      <c r="S76"/>
      <c r="T76"/>
      <c r="U76"/>
      <c r="V76"/>
      <c r="W76" s="7"/>
    </row>
    <row r="77" spans="5:23" ht="13.5" customHeight="1" x14ac:dyDescent="0.25">
      <c r="E77"/>
      <c r="F77"/>
      <c r="G77"/>
      <c r="H77"/>
      <c r="I77"/>
      <c r="J77"/>
      <c r="K77"/>
      <c r="L77" s="57"/>
      <c r="M77" s="57"/>
      <c r="N77" s="57"/>
      <c r="O77" s="57"/>
      <c r="P77"/>
      <c r="Q77"/>
      <c r="R77"/>
      <c r="S77"/>
      <c r="T77"/>
      <c r="U77"/>
      <c r="V77"/>
      <c r="W77" s="7"/>
    </row>
    <row r="78" spans="5:23" ht="13.5" customHeight="1" x14ac:dyDescent="0.25">
      <c r="E78"/>
      <c r="F78"/>
      <c r="G78"/>
      <c r="H78"/>
      <c r="I78"/>
      <c r="J78"/>
      <c r="K78"/>
      <c r="L78" s="57"/>
      <c r="M78" s="57"/>
      <c r="N78" s="57"/>
      <c r="O78" s="57"/>
      <c r="P78"/>
      <c r="Q78"/>
      <c r="R78"/>
      <c r="S78"/>
      <c r="T78"/>
      <c r="U78"/>
      <c r="V78"/>
      <c r="W78" s="7"/>
    </row>
    <row r="79" spans="5:23" ht="13.5" customHeight="1" x14ac:dyDescent="0.25">
      <c r="E79"/>
      <c r="F79"/>
      <c r="G79"/>
      <c r="H79"/>
      <c r="I79"/>
      <c r="J79"/>
      <c r="K79"/>
      <c r="L79" s="57"/>
      <c r="M79" s="57"/>
      <c r="N79" s="57"/>
      <c r="O79" s="57"/>
      <c r="P79"/>
      <c r="Q79"/>
      <c r="R79"/>
      <c r="S79"/>
      <c r="T79"/>
      <c r="U79"/>
      <c r="V79"/>
    </row>
    <row r="80" spans="5:23" ht="13.5" customHeight="1" x14ac:dyDescent="0.25">
      <c r="E80"/>
      <c r="F80"/>
      <c r="G80"/>
      <c r="H80"/>
      <c r="I80"/>
      <c r="J80"/>
      <c r="K80"/>
      <c r="L80" s="57"/>
      <c r="M80" s="57"/>
      <c r="N80" s="57"/>
      <c r="O80" s="57"/>
      <c r="P80"/>
      <c r="Q80"/>
      <c r="R80"/>
      <c r="S80"/>
      <c r="T80"/>
      <c r="U80"/>
      <c r="V80"/>
    </row>
    <row r="81" spans="5:22" ht="13.5" customHeight="1" x14ac:dyDescent="0.25">
      <c r="E81"/>
      <c r="F81"/>
      <c r="G81"/>
      <c r="H81"/>
      <c r="I81"/>
      <c r="J81"/>
      <c r="K81"/>
      <c r="L81" s="57"/>
      <c r="M81" s="57"/>
      <c r="N81" s="57"/>
      <c r="O81" s="57"/>
      <c r="P81"/>
      <c r="Q81"/>
      <c r="R81"/>
      <c r="S81"/>
      <c r="T81"/>
      <c r="U81"/>
      <c r="V81"/>
    </row>
    <row r="82" spans="5:22" ht="13.5" customHeight="1" x14ac:dyDescent="0.25">
      <c r="E82"/>
      <c r="F82"/>
      <c r="G82"/>
      <c r="H82"/>
      <c r="I82"/>
      <c r="J82"/>
      <c r="K82"/>
      <c r="L82" s="57"/>
      <c r="M82" s="57"/>
      <c r="N82" s="57"/>
      <c r="O82" s="57"/>
      <c r="P82"/>
      <c r="Q82"/>
      <c r="R82"/>
      <c r="S82"/>
      <c r="T82"/>
      <c r="U82"/>
      <c r="V82"/>
    </row>
    <row r="83" spans="5:22" ht="13.5" customHeight="1" x14ac:dyDescent="0.25">
      <c r="E83"/>
      <c r="F83"/>
      <c r="G83"/>
      <c r="H83"/>
      <c r="I83"/>
      <c r="J83"/>
      <c r="K83"/>
      <c r="L83" s="57"/>
      <c r="M83" s="57"/>
      <c r="N83" s="57"/>
      <c r="O83" s="57"/>
      <c r="P83"/>
      <c r="Q83"/>
      <c r="R83"/>
      <c r="S83"/>
      <c r="T83"/>
      <c r="U83"/>
      <c r="V83"/>
    </row>
    <row r="84" spans="5:22" ht="13.5" customHeight="1" x14ac:dyDescent="0.25">
      <c r="E84"/>
      <c r="F84"/>
      <c r="G84"/>
      <c r="H84"/>
      <c r="I84"/>
      <c r="J84"/>
      <c r="K84"/>
      <c r="L84" s="57"/>
      <c r="M84" s="57"/>
      <c r="N84" s="57"/>
      <c r="O84" s="57"/>
      <c r="P84"/>
      <c r="Q84"/>
      <c r="R84"/>
      <c r="S84"/>
      <c r="T84"/>
      <c r="U84"/>
      <c r="V84"/>
    </row>
    <row r="85" spans="5:22" ht="13.5" customHeight="1" x14ac:dyDescent="0.25">
      <c r="E85"/>
      <c r="F85"/>
      <c r="G85"/>
      <c r="H85"/>
      <c r="I85"/>
      <c r="J85"/>
      <c r="K85"/>
      <c r="L85" s="57"/>
      <c r="M85" s="57"/>
      <c r="N85" s="57"/>
      <c r="O85" s="57"/>
      <c r="P85"/>
      <c r="Q85"/>
      <c r="R85"/>
      <c r="S85"/>
      <c r="T85"/>
      <c r="U85"/>
      <c r="V85"/>
    </row>
    <row r="86" spans="5:22" ht="13.5" customHeight="1" x14ac:dyDescent="0.25">
      <c r="E86"/>
      <c r="F86"/>
      <c r="G86"/>
      <c r="H86"/>
      <c r="I86"/>
      <c r="J86"/>
      <c r="K86"/>
      <c r="L86" s="57"/>
      <c r="M86" s="57"/>
      <c r="N86" s="57"/>
      <c r="O86" s="57"/>
      <c r="P86"/>
      <c r="Q86"/>
      <c r="R86"/>
      <c r="S86"/>
      <c r="T86"/>
      <c r="U86"/>
      <c r="V86"/>
    </row>
    <row r="87" spans="5:22" ht="13.5" customHeight="1" x14ac:dyDescent="0.25">
      <c r="E87"/>
      <c r="F87"/>
      <c r="G87"/>
      <c r="H87"/>
      <c r="I87"/>
      <c r="J87"/>
      <c r="K87"/>
      <c r="L87" s="57"/>
      <c r="M87" s="57"/>
      <c r="N87" s="57"/>
      <c r="O87" s="57"/>
      <c r="P87"/>
      <c r="Q87"/>
      <c r="R87"/>
      <c r="S87"/>
      <c r="T87"/>
      <c r="U87"/>
      <c r="V87"/>
    </row>
    <row r="88" spans="5:22" ht="13.5" customHeight="1" x14ac:dyDescent="0.25">
      <c r="E88"/>
      <c r="F88"/>
      <c r="G88"/>
      <c r="H88"/>
      <c r="I88"/>
      <c r="J88"/>
      <c r="K88"/>
      <c r="L88" s="57"/>
      <c r="M88" s="57"/>
      <c r="N88" s="57"/>
      <c r="O88" s="57"/>
      <c r="P88"/>
      <c r="Q88"/>
      <c r="R88"/>
      <c r="S88"/>
      <c r="T88"/>
      <c r="U88"/>
      <c r="V88"/>
    </row>
    <row r="89" spans="5:22" ht="13.5" customHeight="1" x14ac:dyDescent="0.25">
      <c r="E89"/>
      <c r="F89"/>
      <c r="G89"/>
      <c r="H89"/>
      <c r="I89"/>
      <c r="J89"/>
      <c r="K89"/>
      <c r="L89" s="57"/>
      <c r="M89" s="57"/>
      <c r="N89" s="57"/>
      <c r="O89" s="57"/>
      <c r="P89"/>
      <c r="Q89"/>
      <c r="R89"/>
      <c r="S89"/>
      <c r="T89"/>
      <c r="U89"/>
      <c r="V89"/>
    </row>
    <row r="90" spans="5:22" ht="13.5" customHeight="1" x14ac:dyDescent="0.25">
      <c r="E90"/>
      <c r="F90"/>
      <c r="G90"/>
      <c r="H90"/>
      <c r="I90"/>
      <c r="J90"/>
      <c r="K90"/>
      <c r="L90" s="57"/>
      <c r="M90" s="57"/>
      <c r="N90" s="57"/>
      <c r="O90" s="57"/>
      <c r="P90"/>
      <c r="Q90"/>
      <c r="R90"/>
      <c r="S90"/>
      <c r="T90"/>
      <c r="U90"/>
      <c r="V90"/>
    </row>
    <row r="91" spans="5:22" ht="13.5" customHeight="1" x14ac:dyDescent="0.25">
      <c r="E91"/>
      <c r="F91"/>
      <c r="G91"/>
      <c r="H91"/>
      <c r="I91"/>
      <c r="J91"/>
      <c r="K91"/>
      <c r="L91" s="57"/>
      <c r="M91" s="57"/>
      <c r="N91" s="57"/>
      <c r="O91" s="57"/>
      <c r="P91"/>
      <c r="Q91"/>
      <c r="R91"/>
      <c r="S91"/>
      <c r="T91"/>
      <c r="U91"/>
      <c r="V91"/>
    </row>
    <row r="92" spans="5:22" ht="13.5" customHeight="1" x14ac:dyDescent="0.25">
      <c r="E92"/>
      <c r="F92"/>
      <c r="G92"/>
      <c r="H92"/>
      <c r="I92"/>
      <c r="J92"/>
      <c r="K92"/>
      <c r="L92" s="57"/>
      <c r="M92" s="57"/>
      <c r="N92" s="57"/>
      <c r="O92" s="57"/>
      <c r="P92"/>
      <c r="Q92"/>
      <c r="R92"/>
      <c r="S92"/>
      <c r="T92"/>
      <c r="U92"/>
      <c r="V92"/>
    </row>
    <row r="93" spans="5:22" ht="13.5" customHeight="1" x14ac:dyDescent="0.25">
      <c r="E93"/>
      <c r="F93"/>
      <c r="G93"/>
      <c r="H93"/>
      <c r="I93"/>
      <c r="J93"/>
      <c r="K93"/>
      <c r="L93" s="57"/>
      <c r="M93" s="57"/>
      <c r="N93" s="57"/>
      <c r="O93" s="57"/>
      <c r="P93"/>
      <c r="Q93"/>
      <c r="R93"/>
      <c r="S93"/>
      <c r="T93"/>
      <c r="U93"/>
      <c r="V93"/>
    </row>
    <row r="94" spans="5:22" ht="13.5" customHeight="1" x14ac:dyDescent="0.25">
      <c r="E94"/>
      <c r="F94"/>
      <c r="G94"/>
      <c r="H94"/>
      <c r="I94"/>
      <c r="J94"/>
      <c r="K94"/>
      <c r="L94" s="57"/>
      <c r="M94" s="57"/>
      <c r="N94" s="57"/>
      <c r="O94" s="57"/>
      <c r="P94"/>
      <c r="Q94"/>
      <c r="R94"/>
      <c r="S94"/>
      <c r="T94"/>
      <c r="U94"/>
      <c r="V94"/>
    </row>
    <row r="95" spans="5:22" ht="13.5" customHeight="1" x14ac:dyDescent="0.25">
      <c r="E95" s="57"/>
      <c r="F95" s="57"/>
      <c r="G95" s="57"/>
      <c r="H95" s="57"/>
      <c r="I95" s="57"/>
      <c r="J95" s="57"/>
      <c r="K95" s="57"/>
      <c r="L95" s="57"/>
      <c r="M95" s="57"/>
      <c r="N95" s="57"/>
      <c r="O95" s="57"/>
      <c r="P95" s="57"/>
      <c r="Q95" s="57"/>
      <c r="R95" s="57"/>
      <c r="S95" s="58"/>
      <c r="T95" s="57"/>
      <c r="U95" s="57"/>
    </row>
    <row r="96" spans="5:22" ht="13.5" customHeight="1" x14ac:dyDescent="0.25">
      <c r="E96" s="57"/>
      <c r="F96" s="57"/>
      <c r="G96" s="57"/>
      <c r="H96" s="57"/>
      <c r="I96" s="57"/>
      <c r="J96" s="57"/>
      <c r="K96" s="57"/>
      <c r="L96" s="57"/>
      <c r="M96" s="57"/>
      <c r="N96" s="57"/>
      <c r="O96" s="57"/>
      <c r="P96" s="57"/>
      <c r="Q96" s="57"/>
      <c r="R96" s="57"/>
      <c r="S96" s="58"/>
      <c r="T96" s="57"/>
      <c r="U96" s="57"/>
    </row>
    <row r="97" spans="5:21" ht="13.5" customHeight="1" x14ac:dyDescent="0.25">
      <c r="E97" s="57"/>
      <c r="F97" s="57"/>
      <c r="G97" s="57"/>
      <c r="H97" s="57"/>
      <c r="I97" s="57"/>
      <c r="J97" s="57"/>
      <c r="K97" s="57"/>
      <c r="L97" s="57"/>
      <c r="M97" s="57"/>
      <c r="N97" s="57"/>
      <c r="O97" s="57"/>
      <c r="P97" s="57"/>
      <c r="Q97" s="57"/>
      <c r="R97" s="57"/>
      <c r="S97" s="58"/>
      <c r="T97" s="57"/>
      <c r="U97" s="57"/>
    </row>
    <row r="98" spans="5:21" ht="13.5" customHeight="1" x14ac:dyDescent="0.25">
      <c r="E98" s="57"/>
      <c r="F98" s="57"/>
      <c r="G98" s="57"/>
      <c r="H98" s="57"/>
      <c r="I98" s="57"/>
      <c r="J98" s="57"/>
      <c r="K98" s="57"/>
      <c r="L98" s="57"/>
      <c r="M98" s="57"/>
      <c r="N98" s="57"/>
      <c r="O98" s="57"/>
      <c r="P98" s="57"/>
      <c r="Q98" s="57"/>
      <c r="R98" s="57"/>
      <c r="S98" s="58"/>
      <c r="T98" s="57"/>
      <c r="U98" s="57"/>
    </row>
    <row r="99" spans="5:21" ht="13.5" customHeight="1" x14ac:dyDescent="0.25">
      <c r="E99" s="57"/>
      <c r="F99" s="57"/>
      <c r="G99" s="57"/>
      <c r="H99" s="57"/>
      <c r="I99" s="57"/>
      <c r="J99" s="57"/>
      <c r="K99" s="57"/>
      <c r="L99" s="57"/>
      <c r="M99" s="57"/>
      <c r="N99" s="57"/>
      <c r="O99" s="57"/>
      <c r="P99" s="57"/>
      <c r="Q99" s="57"/>
      <c r="R99" s="57"/>
      <c r="S99" s="58"/>
      <c r="T99" s="57"/>
      <c r="U99" s="57"/>
    </row>
    <row r="100" spans="5:21" ht="13.5" customHeight="1" x14ac:dyDescent="0.25">
      <c r="E100" s="57"/>
      <c r="F100" s="57"/>
      <c r="G100" s="57"/>
      <c r="H100" s="57"/>
      <c r="I100" s="57"/>
      <c r="J100" s="57"/>
      <c r="K100" s="57"/>
      <c r="L100" s="57"/>
      <c r="M100" s="57"/>
      <c r="N100" s="57"/>
      <c r="O100" s="57"/>
      <c r="P100" s="57"/>
      <c r="Q100" s="57"/>
      <c r="R100" s="57"/>
      <c r="S100" s="58"/>
      <c r="T100" s="57"/>
      <c r="U100" s="57"/>
    </row>
    <row r="101" spans="5:21" ht="13.5" customHeight="1" x14ac:dyDescent="0.25">
      <c r="E101" s="57"/>
      <c r="F101" s="57"/>
      <c r="G101" s="57"/>
      <c r="H101" s="57"/>
      <c r="I101" s="57"/>
      <c r="J101" s="57"/>
      <c r="K101" s="57"/>
      <c r="L101" s="57"/>
      <c r="M101" s="57"/>
      <c r="N101" s="57"/>
      <c r="O101" s="57"/>
      <c r="P101" s="57"/>
      <c r="Q101" s="57"/>
      <c r="R101" s="57"/>
      <c r="S101" s="58"/>
      <c r="T101" s="57"/>
      <c r="U101" s="57"/>
    </row>
    <row r="102" spans="5:21" ht="13.5" customHeight="1" x14ac:dyDescent="0.25">
      <c r="E102" s="57"/>
      <c r="F102" s="57"/>
      <c r="G102" s="57"/>
      <c r="H102" s="57"/>
      <c r="I102" s="57"/>
      <c r="J102" s="57"/>
      <c r="K102" s="57"/>
      <c r="L102" s="57"/>
      <c r="M102" s="57"/>
      <c r="N102" s="57"/>
      <c r="O102" s="57"/>
      <c r="P102" s="57"/>
      <c r="Q102" s="57"/>
      <c r="R102" s="57"/>
      <c r="S102" s="58"/>
      <c r="T102" s="57"/>
      <c r="U102" s="57"/>
    </row>
    <row r="103" spans="5:21" ht="13.5" customHeight="1" x14ac:dyDescent="0.25">
      <c r="E103" s="57"/>
      <c r="F103" s="57"/>
      <c r="G103" s="57"/>
      <c r="H103" s="57"/>
      <c r="I103" s="57"/>
      <c r="J103" s="57"/>
      <c r="K103" s="57"/>
      <c r="L103" s="57"/>
      <c r="M103" s="57"/>
      <c r="N103" s="57"/>
      <c r="O103" s="57"/>
      <c r="P103" s="57"/>
      <c r="Q103" s="57"/>
      <c r="R103" s="57"/>
      <c r="S103" s="58"/>
      <c r="T103" s="57"/>
      <c r="U103" s="57"/>
    </row>
    <row r="104" spans="5:21" ht="13.5" customHeight="1" x14ac:dyDescent="0.25">
      <c r="E104" s="57"/>
      <c r="F104" s="57"/>
      <c r="G104" s="57"/>
      <c r="H104" s="57"/>
      <c r="I104" s="57"/>
      <c r="J104" s="57"/>
      <c r="K104" s="57"/>
      <c r="L104" s="57"/>
      <c r="M104" s="57"/>
      <c r="N104" s="57"/>
      <c r="O104" s="57"/>
      <c r="P104" s="57"/>
      <c r="Q104" s="57"/>
      <c r="R104" s="57"/>
      <c r="S104" s="58"/>
      <c r="T104" s="57"/>
      <c r="U104" s="57"/>
    </row>
    <row r="105" spans="5:21" ht="13.5" customHeight="1" x14ac:dyDescent="0.25">
      <c r="E105" s="57"/>
      <c r="F105" s="57"/>
      <c r="G105" s="57"/>
      <c r="H105" s="57"/>
      <c r="I105" s="57"/>
      <c r="J105" s="57"/>
      <c r="K105" s="57"/>
      <c r="L105" s="57"/>
      <c r="M105" s="57"/>
      <c r="N105" s="57"/>
      <c r="O105" s="57"/>
      <c r="P105" s="57"/>
      <c r="Q105" s="57"/>
      <c r="R105" s="57"/>
      <c r="S105" s="58"/>
      <c r="T105" s="57"/>
      <c r="U105" s="57"/>
    </row>
    <row r="106" spans="5:21" ht="13.5" customHeight="1" x14ac:dyDescent="0.25">
      <c r="E106" s="57"/>
      <c r="F106" s="57"/>
      <c r="G106" s="57"/>
      <c r="H106" s="57"/>
      <c r="I106" s="57"/>
      <c r="J106" s="57"/>
      <c r="K106" s="57"/>
      <c r="L106" s="57"/>
      <c r="M106" s="57"/>
      <c r="N106" s="57"/>
      <c r="O106" s="57"/>
      <c r="P106" s="57"/>
      <c r="Q106" s="57"/>
      <c r="R106" s="57"/>
      <c r="S106" s="58"/>
      <c r="T106" s="57"/>
      <c r="U106" s="57"/>
    </row>
    <row r="107" spans="5:21" ht="13.5" customHeight="1" x14ac:dyDescent="0.25">
      <c r="E107" s="57"/>
      <c r="F107" s="57"/>
      <c r="G107" s="57"/>
      <c r="H107" s="57"/>
      <c r="I107" s="57"/>
      <c r="J107" s="57"/>
      <c r="K107" s="57"/>
      <c r="L107" s="57"/>
      <c r="M107" s="57"/>
      <c r="N107" s="57"/>
      <c r="O107" s="57"/>
      <c r="P107" s="57"/>
      <c r="Q107" s="57"/>
      <c r="R107" s="57"/>
      <c r="S107" s="58"/>
      <c r="T107" s="57"/>
      <c r="U107" s="57"/>
    </row>
    <row r="108" spans="5:21" ht="13.5" customHeight="1" x14ac:dyDescent="0.25">
      <c r="E108" s="57"/>
      <c r="F108" s="57"/>
      <c r="G108" s="57"/>
      <c r="H108" s="57"/>
      <c r="I108" s="57"/>
      <c r="J108" s="57"/>
      <c r="K108" s="57"/>
      <c r="L108" s="57"/>
      <c r="M108" s="57"/>
      <c r="N108" s="57"/>
      <c r="O108" s="57"/>
      <c r="P108" s="57"/>
      <c r="Q108" s="57"/>
      <c r="R108" s="57"/>
      <c r="S108" s="58"/>
      <c r="T108" s="57"/>
      <c r="U108" s="57"/>
    </row>
    <row r="109" spans="5:21" ht="13.5" customHeight="1" x14ac:dyDescent="0.25">
      <c r="E109" s="57"/>
      <c r="F109" s="57"/>
      <c r="G109" s="57"/>
      <c r="H109" s="57"/>
      <c r="I109" s="57"/>
      <c r="J109" s="57"/>
      <c r="K109" s="57"/>
      <c r="L109" s="57"/>
      <c r="M109" s="57"/>
      <c r="N109" s="57"/>
      <c r="O109" s="57"/>
      <c r="P109" s="57"/>
      <c r="Q109" s="57"/>
      <c r="R109" s="57"/>
      <c r="S109" s="58"/>
      <c r="T109" s="57"/>
      <c r="U109" s="57"/>
    </row>
    <row r="110" spans="5:21" ht="13.5" customHeight="1" x14ac:dyDescent="0.25">
      <c r="E110" s="57"/>
      <c r="F110" s="57"/>
      <c r="G110" s="57"/>
      <c r="H110" s="57"/>
      <c r="I110" s="57"/>
      <c r="J110" s="57"/>
      <c r="K110" s="57"/>
      <c r="L110" s="57"/>
      <c r="M110" s="57"/>
      <c r="N110" s="57"/>
      <c r="O110" s="57"/>
      <c r="P110" s="57"/>
      <c r="Q110" s="57"/>
      <c r="R110" s="57"/>
      <c r="S110" s="58"/>
      <c r="T110" s="57"/>
      <c r="U110" s="57"/>
    </row>
    <row r="111" spans="5:21" ht="13.5" customHeight="1" x14ac:dyDescent="0.25">
      <c r="E111" s="57"/>
      <c r="F111" s="57"/>
      <c r="G111" s="57"/>
      <c r="H111" s="57"/>
      <c r="I111" s="57"/>
      <c r="J111" s="57"/>
      <c r="K111" s="57"/>
      <c r="L111" s="57"/>
      <c r="M111" s="57"/>
      <c r="N111" s="57"/>
      <c r="O111" s="57"/>
      <c r="P111" s="57"/>
      <c r="Q111" s="57"/>
      <c r="R111" s="57"/>
      <c r="S111" s="58"/>
      <c r="T111" s="57"/>
      <c r="U111" s="57"/>
    </row>
    <row r="112" spans="5:21" ht="13.5" customHeight="1" x14ac:dyDescent="0.25">
      <c r="E112" s="57"/>
      <c r="F112" s="57"/>
      <c r="G112" s="57"/>
      <c r="H112" s="57"/>
      <c r="I112" s="57"/>
      <c r="J112" s="57"/>
      <c r="K112" s="57"/>
      <c r="L112" s="57"/>
      <c r="M112" s="57"/>
      <c r="N112" s="57"/>
      <c r="O112" s="57"/>
      <c r="P112" s="57"/>
      <c r="Q112" s="57"/>
      <c r="R112" s="57"/>
      <c r="S112" s="58"/>
      <c r="T112" s="57"/>
      <c r="U112" s="57"/>
    </row>
    <row r="113" spans="5:21" ht="13.5" customHeight="1" x14ac:dyDescent="0.25">
      <c r="E113" s="57"/>
      <c r="F113" s="57"/>
      <c r="G113" s="57"/>
      <c r="H113" s="57"/>
      <c r="I113" s="57"/>
      <c r="J113" s="57"/>
      <c r="K113" s="57"/>
      <c r="L113" s="57"/>
      <c r="M113" s="57"/>
      <c r="N113" s="57"/>
      <c r="O113" s="57"/>
      <c r="P113" s="57"/>
      <c r="Q113" s="57"/>
      <c r="R113" s="57"/>
      <c r="S113" s="58"/>
      <c r="T113" s="57"/>
      <c r="U113" s="57"/>
    </row>
    <row r="114" spans="5:21" ht="13.5" customHeight="1" x14ac:dyDescent="0.25">
      <c r="E114" s="57"/>
      <c r="F114" s="57"/>
      <c r="G114" s="57"/>
      <c r="H114" s="57"/>
      <c r="I114" s="57"/>
      <c r="J114" s="57"/>
      <c r="K114" s="57"/>
      <c r="L114" s="57"/>
      <c r="M114" s="57"/>
      <c r="N114" s="57"/>
      <c r="O114" s="57"/>
      <c r="P114" s="57"/>
      <c r="Q114" s="57"/>
      <c r="R114" s="57"/>
      <c r="S114" s="58"/>
      <c r="T114" s="57"/>
      <c r="U114" s="57"/>
    </row>
    <row r="115" spans="5:21" ht="13.5" customHeight="1" x14ac:dyDescent="0.25">
      <c r="E115" s="57"/>
      <c r="F115" s="57"/>
      <c r="G115" s="57"/>
      <c r="H115" s="57"/>
      <c r="I115" s="57"/>
      <c r="J115" s="57"/>
      <c r="K115" s="57"/>
      <c r="L115" s="57"/>
      <c r="M115" s="57"/>
      <c r="N115" s="57"/>
      <c r="O115" s="57"/>
      <c r="P115" s="57"/>
      <c r="Q115" s="57"/>
      <c r="R115" s="57"/>
      <c r="S115" s="58"/>
      <c r="T115" s="57"/>
      <c r="U115" s="57"/>
    </row>
    <row r="116" spans="5:21" ht="13.5" customHeight="1" x14ac:dyDescent="0.25">
      <c r="E116" s="57"/>
      <c r="F116" s="57"/>
      <c r="G116" s="57"/>
      <c r="H116" s="57"/>
      <c r="I116" s="57"/>
      <c r="J116" s="57"/>
      <c r="K116" s="57"/>
      <c r="L116" s="57"/>
      <c r="M116" s="57"/>
      <c r="N116" s="57"/>
      <c r="O116" s="57"/>
      <c r="P116" s="57"/>
      <c r="Q116" s="57"/>
      <c r="R116" s="57"/>
      <c r="S116" s="58"/>
      <c r="T116" s="57"/>
      <c r="U116" s="57"/>
    </row>
    <row r="117" spans="5:21" ht="13.5" customHeight="1" x14ac:dyDescent="0.25">
      <c r="E117" s="57"/>
      <c r="F117" s="57"/>
      <c r="G117" s="57"/>
      <c r="H117" s="57"/>
      <c r="I117" s="57"/>
      <c r="J117" s="57"/>
      <c r="K117" s="57"/>
      <c r="L117" s="57"/>
      <c r="M117" s="57"/>
      <c r="N117" s="57"/>
      <c r="O117" s="57"/>
      <c r="P117" s="57"/>
      <c r="Q117" s="57"/>
      <c r="R117" s="57"/>
      <c r="S117" s="58"/>
      <c r="T117" s="57"/>
      <c r="U117" s="57"/>
    </row>
    <row r="118" spans="5:21" ht="13.5" customHeight="1" x14ac:dyDescent="0.25">
      <c r="E118" s="57"/>
      <c r="F118" s="57"/>
      <c r="G118" s="57"/>
      <c r="H118" s="57"/>
      <c r="I118" s="57"/>
      <c r="J118" s="57"/>
      <c r="K118" s="57"/>
      <c r="L118" s="57"/>
      <c r="M118" s="57"/>
      <c r="N118" s="57"/>
      <c r="O118" s="57"/>
      <c r="P118" s="57"/>
      <c r="Q118" s="57"/>
      <c r="R118" s="57"/>
      <c r="S118" s="58"/>
      <c r="T118" s="57"/>
      <c r="U118" s="57"/>
    </row>
    <row r="119" spans="5:21" ht="13.5" customHeight="1" x14ac:dyDescent="0.25">
      <c r="E119" s="57"/>
      <c r="F119" s="57"/>
      <c r="G119" s="57"/>
      <c r="H119" s="57"/>
      <c r="I119" s="57"/>
      <c r="J119" s="57"/>
      <c r="K119" s="57"/>
      <c r="L119" s="57"/>
      <c r="M119" s="57"/>
      <c r="N119" s="57"/>
      <c r="O119" s="57"/>
      <c r="P119" s="57"/>
      <c r="Q119" s="57"/>
      <c r="R119" s="57"/>
      <c r="S119" s="58"/>
      <c r="T119" s="57"/>
      <c r="U119" s="57"/>
    </row>
    <row r="120" spans="5:21" ht="13.5" customHeight="1" x14ac:dyDescent="0.25">
      <c r="E120" s="57"/>
      <c r="F120" s="57"/>
      <c r="G120" s="57"/>
      <c r="H120" s="57"/>
      <c r="I120" s="57"/>
      <c r="J120" s="57"/>
      <c r="K120" s="57"/>
      <c r="L120" s="57"/>
      <c r="M120" s="57"/>
      <c r="N120" s="57"/>
      <c r="O120" s="57"/>
      <c r="P120" s="57"/>
      <c r="Q120" s="57"/>
      <c r="R120" s="57"/>
      <c r="S120" s="58"/>
      <c r="T120" s="57"/>
      <c r="U120" s="57"/>
    </row>
    <row r="121" spans="5:21" ht="13.5" customHeight="1" x14ac:dyDescent="0.25">
      <c r="E121" s="57"/>
      <c r="F121" s="57"/>
      <c r="G121" s="57"/>
      <c r="H121" s="57"/>
      <c r="I121" s="57"/>
      <c r="J121" s="57"/>
      <c r="K121" s="57"/>
      <c r="L121" s="57"/>
      <c r="M121" s="57"/>
      <c r="N121" s="57"/>
      <c r="O121" s="57"/>
      <c r="P121" s="57"/>
      <c r="Q121" s="57"/>
      <c r="R121" s="57"/>
      <c r="S121" s="58"/>
      <c r="T121" s="57"/>
      <c r="U121" s="57"/>
    </row>
    <row r="122" spans="5:21" ht="13.5" customHeight="1" x14ac:dyDescent="0.25">
      <c r="E122" s="57"/>
      <c r="F122" s="57"/>
      <c r="G122" s="57"/>
      <c r="H122" s="57"/>
      <c r="I122" s="57"/>
      <c r="J122" s="57"/>
      <c r="K122" s="57"/>
      <c r="L122" s="57"/>
      <c r="M122" s="57"/>
      <c r="N122" s="57"/>
      <c r="O122" s="57"/>
      <c r="P122" s="57"/>
      <c r="Q122" s="57"/>
      <c r="R122" s="57"/>
      <c r="S122" s="58"/>
      <c r="T122" s="57"/>
      <c r="U122" s="57"/>
    </row>
    <row r="123" spans="5:21" ht="13.5" customHeight="1" x14ac:dyDescent="0.25">
      <c r="E123" s="57"/>
      <c r="F123" s="57"/>
      <c r="G123" s="57"/>
      <c r="H123" s="57"/>
      <c r="I123" s="57"/>
      <c r="J123" s="57"/>
      <c r="K123" s="57"/>
      <c r="L123" s="57"/>
      <c r="M123" s="57"/>
      <c r="N123" s="57"/>
      <c r="O123" s="57"/>
      <c r="P123" s="57"/>
      <c r="Q123" s="57"/>
      <c r="R123" s="57"/>
      <c r="S123" s="58"/>
      <c r="T123" s="57"/>
      <c r="U123" s="57"/>
    </row>
    <row r="124" spans="5:21" ht="13.5" customHeight="1" x14ac:dyDescent="0.25">
      <c r="E124" s="57"/>
      <c r="F124" s="57"/>
      <c r="G124" s="57"/>
      <c r="H124" s="57"/>
      <c r="I124" s="57"/>
      <c r="J124" s="57"/>
      <c r="K124" s="57"/>
      <c r="L124" s="57"/>
      <c r="M124" s="57"/>
      <c r="N124" s="57"/>
      <c r="O124" s="57"/>
      <c r="P124" s="57"/>
      <c r="Q124" s="57"/>
      <c r="R124" s="57"/>
      <c r="S124" s="58"/>
      <c r="T124" s="57"/>
      <c r="U124" s="57"/>
    </row>
    <row r="125" spans="5:21" ht="13.5" customHeight="1" x14ac:dyDescent="0.25">
      <c r="E125" s="57"/>
      <c r="F125" s="57"/>
      <c r="G125" s="57"/>
      <c r="H125" s="57"/>
      <c r="I125" s="57"/>
      <c r="J125" s="57"/>
      <c r="K125" s="57"/>
      <c r="L125" s="57"/>
      <c r="M125" s="57"/>
      <c r="N125" s="57"/>
      <c r="O125" s="57"/>
      <c r="P125" s="57"/>
      <c r="Q125" s="57"/>
      <c r="R125" s="57"/>
      <c r="S125" s="58"/>
      <c r="T125" s="57"/>
      <c r="U125" s="57"/>
    </row>
    <row r="126" spans="5:21" ht="13.5" customHeight="1" x14ac:dyDescent="0.25">
      <c r="E126" s="57"/>
      <c r="F126" s="57"/>
      <c r="G126" s="57"/>
      <c r="H126" s="57"/>
      <c r="I126" s="57"/>
      <c r="J126" s="57"/>
      <c r="K126" s="57"/>
      <c r="L126" s="57"/>
      <c r="M126" s="57"/>
      <c r="N126" s="57"/>
      <c r="O126" s="57"/>
      <c r="P126" s="57"/>
      <c r="Q126" s="57"/>
      <c r="R126" s="57"/>
      <c r="S126" s="58"/>
      <c r="T126" s="57"/>
      <c r="U126" s="57"/>
    </row>
    <row r="127" spans="5:21" ht="13.5" customHeight="1" x14ac:dyDescent="0.25">
      <c r="E127" s="57"/>
      <c r="F127" s="57"/>
      <c r="G127" s="57"/>
      <c r="H127" s="57"/>
      <c r="I127" s="57"/>
      <c r="J127" s="57"/>
      <c r="K127" s="57"/>
      <c r="L127" s="57"/>
      <c r="M127" s="57"/>
      <c r="N127" s="57"/>
      <c r="O127" s="57"/>
      <c r="P127" s="57"/>
      <c r="Q127" s="57"/>
      <c r="R127" s="57"/>
      <c r="S127" s="58"/>
      <c r="T127" s="57"/>
      <c r="U127" s="57"/>
    </row>
    <row r="128" spans="5:21" ht="13.5" customHeight="1" x14ac:dyDescent="0.25">
      <c r="E128" s="57"/>
      <c r="F128" s="57"/>
      <c r="G128" s="57"/>
      <c r="H128" s="57"/>
      <c r="I128" s="57"/>
      <c r="J128" s="57"/>
      <c r="K128" s="57"/>
      <c r="L128" s="57"/>
      <c r="M128" s="57"/>
      <c r="N128" s="57"/>
      <c r="O128" s="57"/>
      <c r="P128" s="57"/>
      <c r="Q128" s="57"/>
      <c r="R128" s="57"/>
      <c r="S128" s="58"/>
      <c r="T128" s="57"/>
      <c r="U128" s="57"/>
    </row>
    <row r="129" spans="5:21" ht="13.5" customHeight="1" x14ac:dyDescent="0.25">
      <c r="E129" s="57"/>
      <c r="F129" s="57"/>
      <c r="G129" s="57"/>
      <c r="H129" s="57"/>
      <c r="I129" s="57"/>
      <c r="J129" s="57"/>
      <c r="K129" s="57"/>
      <c r="L129" s="57"/>
      <c r="M129" s="57"/>
      <c r="N129" s="57"/>
      <c r="O129" s="57"/>
      <c r="P129" s="57"/>
      <c r="Q129" s="57"/>
      <c r="R129" s="57"/>
      <c r="S129" s="58"/>
      <c r="T129" s="57"/>
      <c r="U129" s="57"/>
    </row>
    <row r="130" spans="5:21" ht="13.5" customHeight="1" x14ac:dyDescent="0.25">
      <c r="E130" s="57"/>
      <c r="F130" s="57"/>
      <c r="G130" s="57"/>
      <c r="H130" s="57"/>
      <c r="I130" s="57"/>
      <c r="J130" s="57"/>
      <c r="K130" s="57"/>
      <c r="L130" s="57"/>
      <c r="M130" s="57"/>
      <c r="N130" s="57"/>
      <c r="O130" s="57"/>
      <c r="P130" s="57"/>
      <c r="Q130" s="57"/>
      <c r="R130" s="57"/>
      <c r="S130" s="58"/>
      <c r="T130" s="57"/>
      <c r="U130" s="57"/>
    </row>
    <row r="131" spans="5:21" ht="13.5" customHeight="1" x14ac:dyDescent="0.25">
      <c r="E131" s="57"/>
      <c r="F131" s="57"/>
      <c r="G131" s="57"/>
      <c r="H131" s="57"/>
      <c r="I131" s="57"/>
      <c r="J131" s="57"/>
      <c r="K131" s="57"/>
      <c r="L131" s="57"/>
      <c r="M131" s="57"/>
      <c r="N131" s="57"/>
      <c r="O131" s="57"/>
      <c r="P131" s="57"/>
      <c r="Q131" s="57"/>
      <c r="R131" s="57"/>
      <c r="S131" s="58"/>
      <c r="T131" s="57"/>
      <c r="U131" s="57"/>
    </row>
    <row r="132" spans="5:21" ht="13.5" customHeight="1" x14ac:dyDescent="0.25">
      <c r="E132" s="57"/>
      <c r="F132" s="57"/>
      <c r="G132" s="57"/>
      <c r="H132" s="57"/>
      <c r="I132" s="57"/>
      <c r="J132" s="57"/>
      <c r="K132" s="57"/>
      <c r="L132" s="57"/>
      <c r="M132" s="57"/>
      <c r="N132" s="57"/>
      <c r="O132" s="57"/>
      <c r="P132" s="57"/>
      <c r="Q132" s="57"/>
      <c r="R132" s="57"/>
      <c r="S132" s="58"/>
      <c r="T132" s="57"/>
      <c r="U132" s="57"/>
    </row>
    <row r="133" spans="5:21" ht="13.5" customHeight="1" x14ac:dyDescent="0.25">
      <c r="E133" s="57"/>
      <c r="F133" s="57"/>
      <c r="G133" s="57"/>
      <c r="H133" s="57"/>
      <c r="I133" s="57"/>
      <c r="J133" s="57"/>
      <c r="K133" s="57"/>
      <c r="L133" s="57"/>
      <c r="M133" s="57"/>
      <c r="N133" s="57"/>
      <c r="O133" s="57"/>
      <c r="P133" s="57"/>
      <c r="Q133" s="57"/>
      <c r="R133" s="57"/>
      <c r="S133" s="58"/>
      <c r="T133" s="57"/>
      <c r="U133" s="57"/>
    </row>
    <row r="134" spans="5:21" ht="13.5" customHeight="1" x14ac:dyDescent="0.25">
      <c r="E134" s="57"/>
      <c r="F134" s="57"/>
      <c r="G134" s="57"/>
      <c r="H134" s="57"/>
      <c r="I134" s="57"/>
      <c r="J134" s="57"/>
      <c r="K134" s="57"/>
      <c r="L134" s="57"/>
      <c r="M134" s="57"/>
      <c r="N134" s="57"/>
      <c r="O134" s="57"/>
      <c r="P134" s="57"/>
      <c r="Q134" s="57"/>
      <c r="R134" s="57"/>
      <c r="S134" s="58"/>
      <c r="T134" s="57"/>
      <c r="U134" s="57"/>
    </row>
    <row r="135" spans="5:21" ht="13.5" customHeight="1" x14ac:dyDescent="0.25">
      <c r="E135" s="57"/>
      <c r="F135" s="57"/>
      <c r="G135" s="57"/>
      <c r="H135" s="57"/>
      <c r="I135" s="57"/>
      <c r="J135" s="57"/>
      <c r="K135" s="57"/>
      <c r="L135" s="57"/>
      <c r="M135" s="57"/>
      <c r="N135" s="57"/>
      <c r="O135" s="57"/>
      <c r="P135" s="57"/>
      <c r="Q135" s="57"/>
      <c r="R135" s="57"/>
      <c r="S135" s="58"/>
      <c r="T135" s="57"/>
      <c r="U135" s="57"/>
    </row>
    <row r="136" spans="5:21" ht="13.5" customHeight="1" x14ac:dyDescent="0.25">
      <c r="E136" s="57"/>
      <c r="F136" s="57"/>
      <c r="G136" s="57"/>
      <c r="H136" s="57"/>
      <c r="I136" s="57"/>
      <c r="J136" s="57"/>
      <c r="K136" s="57"/>
      <c r="L136" s="57"/>
      <c r="M136" s="57"/>
      <c r="N136" s="57"/>
      <c r="O136" s="57"/>
      <c r="P136" s="57"/>
      <c r="Q136" s="57"/>
      <c r="R136" s="57"/>
      <c r="S136" s="58"/>
      <c r="T136" s="57"/>
      <c r="U136" s="57"/>
    </row>
    <row r="137" spans="5:21" ht="13.5" customHeight="1" x14ac:dyDescent="0.25">
      <c r="E137" s="57"/>
      <c r="F137" s="57"/>
      <c r="G137" s="57"/>
      <c r="H137" s="57"/>
      <c r="I137" s="57"/>
      <c r="J137" s="57"/>
      <c r="K137" s="57"/>
      <c r="L137" s="57"/>
      <c r="M137" s="57"/>
      <c r="N137" s="57"/>
      <c r="O137" s="57"/>
      <c r="P137" s="57"/>
      <c r="Q137" s="57"/>
      <c r="R137" s="57"/>
      <c r="S137" s="58"/>
      <c r="T137" s="57"/>
      <c r="U137" s="57"/>
    </row>
    <row r="138" spans="5:21" ht="13.5" customHeight="1" x14ac:dyDescent="0.25">
      <c r="E138" s="57"/>
      <c r="F138" s="57"/>
      <c r="G138" s="57"/>
      <c r="H138" s="57"/>
      <c r="I138" s="57"/>
      <c r="J138" s="57"/>
      <c r="K138" s="57"/>
      <c r="L138" s="57"/>
      <c r="M138" s="57"/>
      <c r="N138" s="57"/>
      <c r="O138" s="57"/>
      <c r="P138" s="57"/>
      <c r="Q138" s="57"/>
      <c r="R138" s="57"/>
      <c r="S138" s="58"/>
      <c r="T138" s="57"/>
      <c r="U138" s="57"/>
    </row>
    <row r="139" spans="5:21" ht="13.5" customHeight="1" x14ac:dyDescent="0.25">
      <c r="E139" s="57"/>
      <c r="F139" s="57"/>
      <c r="G139" s="57"/>
      <c r="H139" s="57"/>
      <c r="I139" s="57"/>
      <c r="J139" s="57"/>
      <c r="K139" s="57"/>
      <c r="L139" s="57"/>
      <c r="M139" s="57"/>
      <c r="N139" s="57"/>
      <c r="O139" s="57"/>
      <c r="P139" s="57"/>
      <c r="Q139" s="57"/>
      <c r="R139" s="57"/>
      <c r="S139" s="58"/>
      <c r="T139" s="57"/>
      <c r="U139" s="57"/>
    </row>
    <row r="140" spans="5:21" ht="13.5" customHeight="1" x14ac:dyDescent="0.25">
      <c r="E140" s="57"/>
      <c r="F140" s="57"/>
      <c r="G140" s="57"/>
      <c r="H140" s="57"/>
      <c r="I140" s="57"/>
      <c r="J140" s="57"/>
      <c r="K140" s="57"/>
      <c r="L140" s="57"/>
      <c r="M140" s="57"/>
      <c r="N140" s="57"/>
      <c r="O140" s="57"/>
      <c r="P140" s="57"/>
      <c r="Q140" s="57"/>
      <c r="R140" s="57"/>
      <c r="S140" s="58"/>
      <c r="T140" s="57"/>
      <c r="U140" s="57"/>
    </row>
    <row r="141" spans="5:21" ht="13.5" customHeight="1" x14ac:dyDescent="0.25">
      <c r="E141" s="57"/>
      <c r="F141" s="57"/>
      <c r="G141" s="57"/>
      <c r="H141" s="57"/>
      <c r="I141" s="57"/>
      <c r="J141" s="57"/>
      <c r="K141" s="57"/>
      <c r="L141" s="57"/>
      <c r="M141" s="57"/>
      <c r="N141" s="57"/>
      <c r="O141" s="57"/>
      <c r="P141" s="57"/>
      <c r="Q141" s="57"/>
      <c r="R141" s="57"/>
      <c r="S141" s="58"/>
      <c r="T141" s="57"/>
      <c r="U141" s="57"/>
    </row>
    <row r="142" spans="5:21" ht="13.5" customHeight="1" x14ac:dyDescent="0.25">
      <c r="E142" s="57"/>
      <c r="F142" s="57"/>
      <c r="G142" s="57"/>
      <c r="H142" s="57"/>
      <c r="I142" s="57"/>
      <c r="J142" s="57"/>
      <c r="K142" s="57"/>
      <c r="L142" s="57"/>
      <c r="M142" s="57"/>
      <c r="N142" s="57"/>
      <c r="O142" s="57"/>
      <c r="P142" s="57"/>
      <c r="Q142" s="57"/>
      <c r="R142" s="57"/>
      <c r="S142" s="58"/>
      <c r="T142" s="57"/>
      <c r="U142" s="57"/>
    </row>
    <row r="143" spans="5:21" ht="13.5" customHeight="1" x14ac:dyDescent="0.25">
      <c r="E143" s="57"/>
      <c r="F143" s="57"/>
      <c r="G143" s="57"/>
      <c r="H143" s="57"/>
      <c r="I143" s="57"/>
      <c r="J143" s="57"/>
      <c r="K143" s="57"/>
      <c r="L143" s="57"/>
      <c r="M143" s="57"/>
      <c r="N143" s="57"/>
      <c r="O143" s="57"/>
      <c r="P143" s="57"/>
      <c r="Q143" s="57"/>
      <c r="R143" s="57"/>
      <c r="S143" s="58"/>
      <c r="T143" s="57"/>
      <c r="U143" s="57"/>
    </row>
    <row r="144" spans="5:21" ht="13.5" customHeight="1" x14ac:dyDescent="0.25">
      <c r="E144" s="57"/>
      <c r="F144" s="57"/>
      <c r="G144" s="57"/>
      <c r="H144" s="57"/>
      <c r="I144" s="57"/>
      <c r="J144" s="57"/>
      <c r="K144" s="57"/>
      <c r="L144" s="57"/>
      <c r="M144" s="57"/>
      <c r="N144" s="57"/>
      <c r="O144" s="57"/>
      <c r="P144" s="57"/>
      <c r="Q144" s="57"/>
      <c r="R144" s="57"/>
      <c r="S144" s="58"/>
      <c r="T144" s="57"/>
      <c r="U144" s="57"/>
    </row>
    <row r="145" spans="5:21" ht="13.5" customHeight="1" x14ac:dyDescent="0.25">
      <c r="E145" s="57"/>
      <c r="F145" s="57"/>
      <c r="G145" s="57"/>
      <c r="H145" s="57"/>
      <c r="I145" s="57"/>
      <c r="J145" s="57"/>
      <c r="K145" s="57"/>
      <c r="L145" s="57"/>
      <c r="M145" s="57"/>
      <c r="N145" s="57"/>
      <c r="O145" s="57"/>
      <c r="P145" s="57"/>
      <c r="Q145" s="57"/>
      <c r="R145" s="57"/>
      <c r="S145" s="58"/>
      <c r="T145" s="57"/>
      <c r="U145" s="57"/>
    </row>
    <row r="146" spans="5:21" ht="13.5" customHeight="1" x14ac:dyDescent="0.25">
      <c r="E146" s="57"/>
      <c r="F146" s="57"/>
      <c r="G146" s="57"/>
      <c r="H146" s="57"/>
      <c r="I146" s="57"/>
      <c r="J146" s="57"/>
      <c r="K146" s="57"/>
      <c r="L146" s="57"/>
      <c r="M146" s="57"/>
      <c r="N146" s="57"/>
      <c r="O146" s="57"/>
      <c r="P146" s="57"/>
      <c r="Q146" s="57"/>
      <c r="R146" s="57"/>
      <c r="S146" s="58"/>
      <c r="T146" s="57"/>
      <c r="U146" s="57"/>
    </row>
    <row r="147" spans="5:21" ht="13.5" customHeight="1" x14ac:dyDescent="0.25">
      <c r="E147" s="57"/>
      <c r="F147" s="57"/>
      <c r="G147" s="57"/>
      <c r="H147" s="57"/>
      <c r="I147" s="57"/>
      <c r="J147" s="57"/>
      <c r="K147" s="57"/>
      <c r="L147" s="57"/>
      <c r="M147" s="57"/>
      <c r="N147" s="57"/>
      <c r="O147" s="57"/>
      <c r="P147" s="57"/>
      <c r="Q147" s="57"/>
      <c r="R147" s="57"/>
      <c r="S147" s="58"/>
      <c r="T147" s="57"/>
      <c r="U147" s="57"/>
    </row>
    <row r="148" spans="5:21" ht="13.5" customHeight="1" x14ac:dyDescent="0.25">
      <c r="E148" s="57"/>
      <c r="F148" s="57"/>
      <c r="G148" s="57"/>
      <c r="H148" s="57"/>
      <c r="I148" s="57"/>
      <c r="J148" s="57"/>
      <c r="K148" s="57"/>
      <c r="L148" s="57"/>
      <c r="M148" s="57"/>
      <c r="N148" s="57"/>
      <c r="O148" s="57"/>
      <c r="P148" s="57"/>
      <c r="Q148" s="57"/>
      <c r="R148" s="57"/>
      <c r="S148" s="58"/>
      <c r="T148" s="57"/>
      <c r="U148" s="57"/>
    </row>
    <row r="149" spans="5:21" ht="13.5" customHeight="1" x14ac:dyDescent="0.25">
      <c r="E149" s="57"/>
      <c r="F149" s="57"/>
      <c r="G149" s="57"/>
      <c r="H149" s="57"/>
      <c r="I149" s="57"/>
      <c r="J149" s="57"/>
      <c r="K149" s="57"/>
      <c r="L149" s="57"/>
      <c r="M149" s="57"/>
      <c r="N149" s="57"/>
      <c r="O149" s="57"/>
      <c r="P149" s="57"/>
      <c r="Q149" s="57"/>
      <c r="R149" s="57"/>
      <c r="S149" s="58"/>
      <c r="T149" s="57"/>
      <c r="U149" s="57"/>
    </row>
    <row r="150" spans="5:21" ht="13.5" customHeight="1" x14ac:dyDescent="0.25">
      <c r="E150" s="57"/>
      <c r="F150" s="57"/>
      <c r="G150" s="57"/>
      <c r="H150" s="57"/>
      <c r="I150" s="57"/>
      <c r="J150" s="57"/>
      <c r="K150" s="57"/>
      <c r="L150" s="57"/>
      <c r="M150" s="57"/>
      <c r="N150" s="57"/>
      <c r="O150" s="57"/>
      <c r="P150" s="57"/>
      <c r="Q150" s="57"/>
      <c r="R150" s="57"/>
      <c r="S150" s="58"/>
      <c r="T150" s="57"/>
      <c r="U150" s="57"/>
    </row>
    <row r="151" spans="5:21" ht="13.5" customHeight="1" x14ac:dyDescent="0.25">
      <c r="E151" s="57"/>
      <c r="F151" s="57"/>
      <c r="G151" s="57"/>
      <c r="H151" s="57"/>
      <c r="I151" s="57"/>
      <c r="J151" s="57"/>
      <c r="K151" s="57"/>
      <c r="L151" s="57"/>
      <c r="M151" s="57"/>
      <c r="N151" s="57"/>
      <c r="O151" s="57"/>
      <c r="P151" s="57"/>
      <c r="Q151" s="57"/>
      <c r="R151" s="57"/>
      <c r="S151" s="58"/>
      <c r="T151" s="57"/>
      <c r="U151" s="57"/>
    </row>
    <row r="152" spans="5:21" ht="13.5" customHeight="1" x14ac:dyDescent="0.25">
      <c r="E152" s="57"/>
      <c r="F152" s="57"/>
      <c r="G152" s="57"/>
      <c r="H152" s="57"/>
      <c r="I152" s="57"/>
      <c r="J152" s="57"/>
      <c r="K152" s="57"/>
      <c r="L152" s="57"/>
      <c r="M152" s="57"/>
      <c r="N152" s="57"/>
      <c r="O152" s="57"/>
      <c r="P152" s="57"/>
      <c r="Q152" s="57"/>
      <c r="R152" s="57"/>
      <c r="S152" s="58"/>
      <c r="T152" s="57"/>
      <c r="U152" s="57"/>
    </row>
    <row r="153" spans="5:21" ht="13.5" customHeight="1" x14ac:dyDescent="0.25">
      <c r="E153" s="57"/>
      <c r="F153" s="57"/>
      <c r="G153" s="57"/>
      <c r="H153" s="57"/>
      <c r="I153" s="57"/>
      <c r="J153" s="57"/>
      <c r="K153" s="57"/>
      <c r="L153" s="57"/>
      <c r="M153" s="57"/>
      <c r="N153" s="57"/>
      <c r="O153" s="57"/>
      <c r="P153" s="57"/>
      <c r="Q153" s="57"/>
      <c r="R153" s="57"/>
      <c r="S153" s="58"/>
      <c r="T153" s="57"/>
      <c r="U153" s="57"/>
    </row>
    <row r="154" spans="5:21" ht="13.5" customHeight="1" x14ac:dyDescent="0.25">
      <c r="E154" s="57"/>
      <c r="F154" s="57"/>
      <c r="G154" s="57"/>
      <c r="H154" s="57"/>
      <c r="I154" s="57"/>
      <c r="J154" s="57"/>
      <c r="K154" s="57"/>
      <c r="L154" s="57"/>
      <c r="M154" s="57"/>
      <c r="N154" s="57"/>
      <c r="O154" s="57"/>
      <c r="P154" s="57"/>
      <c r="Q154" s="57"/>
      <c r="R154" s="57"/>
      <c r="S154" s="58"/>
      <c r="T154" s="57"/>
      <c r="U154" s="57"/>
    </row>
    <row r="155" spans="5:21" ht="13.5" customHeight="1" x14ac:dyDescent="0.25">
      <c r="E155" s="57"/>
      <c r="F155" s="57"/>
      <c r="G155" s="57"/>
      <c r="H155" s="57"/>
      <c r="I155" s="57"/>
      <c r="J155" s="57"/>
      <c r="K155" s="57"/>
      <c r="L155" s="57"/>
      <c r="M155" s="57"/>
      <c r="N155" s="57"/>
      <c r="O155" s="57"/>
      <c r="P155" s="57"/>
      <c r="Q155" s="57"/>
      <c r="R155" s="57"/>
      <c r="S155" s="58"/>
      <c r="T155" s="57"/>
      <c r="U155" s="57"/>
    </row>
    <row r="156" spans="5:21" ht="13.5" customHeight="1" x14ac:dyDescent="0.25">
      <c r="E156" s="57"/>
      <c r="F156" s="57"/>
      <c r="G156" s="57"/>
      <c r="H156" s="57"/>
      <c r="I156" s="57"/>
      <c r="J156" s="57"/>
      <c r="K156" s="57"/>
      <c r="L156" s="57"/>
      <c r="M156" s="57"/>
      <c r="N156" s="57"/>
      <c r="O156" s="57"/>
      <c r="P156" s="57"/>
      <c r="Q156" s="57"/>
      <c r="R156" s="57"/>
      <c r="S156" s="58"/>
      <c r="T156" s="57"/>
      <c r="U156" s="57"/>
    </row>
    <row r="157" spans="5:21" ht="13.5" customHeight="1" x14ac:dyDescent="0.25">
      <c r="E157" s="57"/>
      <c r="F157" s="57"/>
      <c r="G157" s="57"/>
      <c r="H157" s="57"/>
      <c r="I157" s="57"/>
      <c r="J157" s="57"/>
      <c r="K157" s="57"/>
      <c r="L157" s="57"/>
      <c r="M157" s="57"/>
      <c r="N157" s="57"/>
      <c r="O157" s="57"/>
      <c r="P157" s="57"/>
      <c r="Q157" s="57"/>
      <c r="R157" s="57"/>
      <c r="S157" s="58"/>
      <c r="T157" s="57"/>
      <c r="U157" s="57"/>
    </row>
    <row r="158" spans="5:21" ht="13.5" customHeight="1" x14ac:dyDescent="0.25">
      <c r="E158" s="57"/>
      <c r="F158" s="57"/>
      <c r="G158" s="57"/>
      <c r="H158" s="57"/>
      <c r="I158" s="57"/>
      <c r="J158" s="57"/>
      <c r="K158" s="57"/>
      <c r="L158" s="57"/>
      <c r="M158" s="57"/>
      <c r="N158" s="57"/>
      <c r="O158" s="57"/>
      <c r="P158" s="57"/>
      <c r="Q158" s="57"/>
      <c r="R158" s="57"/>
      <c r="S158" s="58"/>
      <c r="T158" s="57"/>
      <c r="U158" s="57"/>
    </row>
    <row r="159" spans="5:21" ht="13.5" customHeight="1" x14ac:dyDescent="0.25">
      <c r="E159" s="57"/>
      <c r="F159" s="57"/>
      <c r="G159" s="57"/>
      <c r="H159" s="57"/>
      <c r="I159" s="57"/>
      <c r="J159" s="57"/>
      <c r="K159" s="57"/>
      <c r="L159" s="57"/>
      <c r="M159" s="57"/>
      <c r="N159" s="57"/>
      <c r="O159" s="57"/>
      <c r="P159" s="57"/>
      <c r="Q159" s="57"/>
      <c r="R159" s="57"/>
      <c r="S159" s="58"/>
      <c r="T159" s="57"/>
      <c r="U159" s="57"/>
    </row>
    <row r="160" spans="5:21" ht="13.5" customHeight="1" x14ac:dyDescent="0.25">
      <c r="E160" s="57"/>
      <c r="F160" s="57"/>
      <c r="G160" s="57"/>
      <c r="H160" s="57"/>
      <c r="I160" s="57"/>
      <c r="J160" s="57"/>
      <c r="K160" s="57"/>
      <c r="L160" s="57"/>
      <c r="M160" s="57"/>
      <c r="N160" s="57"/>
      <c r="O160" s="57"/>
      <c r="P160" s="57"/>
      <c r="Q160" s="57"/>
      <c r="R160" s="57"/>
      <c r="S160" s="58"/>
      <c r="T160" s="57"/>
      <c r="U160" s="57"/>
    </row>
    <row r="161" spans="5:21" ht="13.5" customHeight="1" x14ac:dyDescent="0.25">
      <c r="E161" s="57"/>
      <c r="F161" s="57"/>
      <c r="G161" s="57"/>
      <c r="H161" s="57"/>
      <c r="I161" s="57"/>
      <c r="J161" s="57"/>
      <c r="K161" s="57"/>
      <c r="L161" s="57"/>
      <c r="M161" s="57"/>
      <c r="N161" s="57"/>
      <c r="O161" s="57"/>
      <c r="P161" s="57"/>
      <c r="Q161" s="57"/>
      <c r="R161" s="57"/>
      <c r="S161" s="58"/>
      <c r="T161" s="57"/>
      <c r="U161" s="57"/>
    </row>
    <row r="162" spans="5:21" ht="13.5" customHeight="1" x14ac:dyDescent="0.25">
      <c r="E162" s="57"/>
      <c r="F162" s="57"/>
      <c r="G162" s="57"/>
      <c r="H162" s="57"/>
      <c r="I162" s="57"/>
      <c r="J162" s="57"/>
      <c r="K162" s="57"/>
      <c r="L162" s="57"/>
      <c r="M162" s="57"/>
      <c r="N162" s="57"/>
      <c r="O162" s="57"/>
      <c r="P162" s="57"/>
      <c r="Q162" s="57"/>
      <c r="R162" s="57"/>
      <c r="S162" s="58"/>
      <c r="T162" s="57"/>
      <c r="U162" s="57"/>
    </row>
    <row r="163" spans="5:21" ht="13.5" customHeight="1" x14ac:dyDescent="0.25">
      <c r="E163" s="57"/>
      <c r="F163" s="57"/>
      <c r="G163" s="57"/>
      <c r="H163" s="57"/>
      <c r="I163" s="57"/>
      <c r="J163" s="57"/>
      <c r="K163" s="57"/>
      <c r="L163" s="57"/>
      <c r="M163" s="57"/>
      <c r="N163" s="57"/>
      <c r="O163" s="57"/>
      <c r="P163" s="57"/>
      <c r="Q163" s="57"/>
      <c r="R163" s="57"/>
      <c r="S163" s="58"/>
      <c r="T163" s="57"/>
      <c r="U163" s="57"/>
    </row>
    <row r="164" spans="5:21" ht="13.5" customHeight="1" x14ac:dyDescent="0.25">
      <c r="E164" s="57"/>
      <c r="F164" s="57"/>
      <c r="G164" s="57"/>
      <c r="H164" s="57"/>
      <c r="I164" s="57"/>
      <c r="J164" s="57"/>
      <c r="K164" s="57"/>
      <c r="L164" s="57"/>
      <c r="M164" s="57"/>
      <c r="N164" s="57"/>
      <c r="O164" s="57"/>
      <c r="P164" s="57"/>
      <c r="Q164" s="57"/>
      <c r="R164" s="57"/>
      <c r="S164" s="58"/>
      <c r="T164" s="57"/>
      <c r="U164" s="57"/>
    </row>
    <row r="165" spans="5:21" ht="13.5" customHeight="1" x14ac:dyDescent="0.25">
      <c r="E165" s="57"/>
      <c r="F165" s="57"/>
      <c r="G165" s="57"/>
      <c r="H165" s="57"/>
      <c r="I165" s="57"/>
      <c r="J165" s="57"/>
      <c r="K165" s="57"/>
      <c r="L165" s="57"/>
      <c r="M165" s="57"/>
      <c r="N165" s="57"/>
      <c r="O165" s="57"/>
      <c r="P165" s="57"/>
      <c r="Q165" s="57"/>
      <c r="R165" s="57"/>
      <c r="S165" s="58"/>
      <c r="T165" s="57"/>
      <c r="U165" s="57"/>
    </row>
    <row r="166" spans="5:21" ht="13.5" customHeight="1" x14ac:dyDescent="0.25">
      <c r="E166" s="57"/>
      <c r="F166" s="57"/>
      <c r="G166" s="57"/>
      <c r="H166" s="57"/>
      <c r="I166" s="57"/>
      <c r="J166" s="57"/>
      <c r="K166" s="57"/>
      <c r="L166" s="57"/>
      <c r="M166" s="57"/>
      <c r="N166" s="57"/>
      <c r="O166" s="57"/>
      <c r="P166" s="57"/>
      <c r="Q166" s="57"/>
      <c r="R166" s="57"/>
      <c r="S166" s="58"/>
      <c r="T166" s="57"/>
      <c r="U166" s="57"/>
    </row>
    <row r="167" spans="5:21" ht="13.5" customHeight="1" x14ac:dyDescent="0.25">
      <c r="E167" s="57"/>
      <c r="F167" s="57"/>
      <c r="G167" s="57"/>
      <c r="H167" s="57"/>
      <c r="I167" s="57"/>
      <c r="J167" s="57"/>
      <c r="K167" s="57"/>
      <c r="L167" s="57"/>
      <c r="M167" s="57"/>
      <c r="N167" s="57"/>
      <c r="O167" s="57"/>
      <c r="P167" s="57"/>
      <c r="Q167" s="57"/>
      <c r="R167" s="57"/>
      <c r="S167" s="58"/>
      <c r="T167" s="57"/>
      <c r="U167" s="57"/>
    </row>
    <row r="168" spans="5:21" ht="13.5" customHeight="1" x14ac:dyDescent="0.25">
      <c r="E168" s="57"/>
      <c r="F168" s="57"/>
      <c r="G168" s="57"/>
      <c r="H168" s="57"/>
      <c r="I168" s="57"/>
      <c r="J168" s="57"/>
      <c r="K168" s="57"/>
      <c r="L168" s="57"/>
      <c r="M168" s="57"/>
      <c r="N168" s="57"/>
      <c r="O168" s="57"/>
      <c r="P168" s="57"/>
      <c r="Q168" s="57"/>
      <c r="R168" s="57"/>
      <c r="S168" s="58"/>
      <c r="T168" s="57"/>
      <c r="U168" s="57"/>
    </row>
    <row r="169" spans="5:21" ht="13.5" customHeight="1" x14ac:dyDescent="0.25">
      <c r="E169" s="57"/>
      <c r="F169" s="57"/>
      <c r="G169" s="57"/>
      <c r="H169" s="57"/>
      <c r="I169" s="57"/>
      <c r="J169" s="57"/>
      <c r="K169" s="57"/>
      <c r="L169" s="57"/>
      <c r="M169" s="57"/>
      <c r="N169" s="57"/>
      <c r="O169" s="57"/>
      <c r="P169" s="57"/>
      <c r="Q169" s="57"/>
      <c r="R169" s="57"/>
      <c r="S169" s="58"/>
      <c r="T169" s="57"/>
      <c r="U169" s="57"/>
    </row>
    <row r="170" spans="5:21" ht="13.5" customHeight="1" x14ac:dyDescent="0.25">
      <c r="E170" s="57"/>
      <c r="F170" s="57"/>
      <c r="G170" s="57"/>
      <c r="H170" s="57"/>
      <c r="I170" s="57"/>
      <c r="J170" s="57"/>
      <c r="K170" s="57"/>
      <c r="L170" s="57"/>
      <c r="M170" s="57"/>
      <c r="N170" s="57"/>
      <c r="O170" s="57"/>
      <c r="P170" s="57"/>
      <c r="Q170" s="57"/>
      <c r="R170" s="57"/>
      <c r="S170" s="58"/>
      <c r="T170" s="57"/>
      <c r="U170" s="57"/>
    </row>
    <row r="171" spans="5:21" ht="13.5" customHeight="1" x14ac:dyDescent="0.25">
      <c r="E171" s="57"/>
      <c r="F171" s="57"/>
      <c r="G171" s="57"/>
      <c r="H171" s="57"/>
      <c r="I171" s="57"/>
      <c r="J171" s="57"/>
      <c r="K171" s="57"/>
      <c r="L171" s="57"/>
      <c r="M171" s="57"/>
      <c r="N171" s="57"/>
      <c r="O171" s="57"/>
      <c r="P171" s="57"/>
      <c r="Q171" s="57"/>
      <c r="R171" s="57"/>
      <c r="S171" s="58"/>
      <c r="T171" s="57"/>
      <c r="U171" s="57"/>
    </row>
    <row r="172" spans="5:21" ht="13.5" customHeight="1" x14ac:dyDescent="0.25">
      <c r="E172" s="57"/>
      <c r="F172" s="57"/>
      <c r="G172" s="57"/>
      <c r="H172" s="57"/>
      <c r="I172" s="57"/>
      <c r="J172" s="57"/>
      <c r="K172" s="57"/>
      <c r="L172" s="57"/>
      <c r="M172" s="57"/>
      <c r="N172" s="57"/>
      <c r="O172" s="57"/>
      <c r="P172" s="57"/>
      <c r="Q172" s="57"/>
      <c r="R172" s="57"/>
      <c r="S172" s="58"/>
      <c r="T172" s="57"/>
      <c r="U172" s="57"/>
    </row>
    <row r="173" spans="5:21" ht="13.5" customHeight="1" x14ac:dyDescent="0.25">
      <c r="E173" s="57"/>
      <c r="F173" s="57"/>
      <c r="G173" s="57"/>
      <c r="H173" s="57"/>
      <c r="I173" s="57"/>
      <c r="J173" s="57"/>
      <c r="K173" s="57"/>
      <c r="L173" s="57"/>
      <c r="M173" s="57"/>
      <c r="N173" s="57"/>
      <c r="O173" s="57"/>
      <c r="P173" s="57"/>
      <c r="Q173" s="57"/>
      <c r="R173" s="57"/>
      <c r="S173" s="58"/>
      <c r="T173" s="57"/>
      <c r="U173" s="57"/>
    </row>
    <row r="174" spans="5:21" ht="13.5" customHeight="1" x14ac:dyDescent="0.25">
      <c r="E174" s="57"/>
      <c r="F174" s="57"/>
      <c r="G174" s="57"/>
      <c r="H174" s="57"/>
      <c r="I174" s="57"/>
      <c r="J174" s="57"/>
      <c r="K174" s="57"/>
      <c r="L174" s="57"/>
      <c r="M174" s="57"/>
      <c r="N174" s="57"/>
      <c r="O174" s="57"/>
      <c r="P174" s="57"/>
      <c r="Q174" s="57"/>
      <c r="R174" s="57"/>
      <c r="S174" s="58"/>
      <c r="T174" s="57"/>
      <c r="U174" s="57"/>
    </row>
    <row r="175" spans="5:21" ht="13.5" customHeight="1" x14ac:dyDescent="0.25">
      <c r="E175" s="57"/>
      <c r="F175" s="57"/>
      <c r="G175" s="57"/>
      <c r="H175" s="57"/>
      <c r="I175" s="57"/>
      <c r="J175" s="57"/>
      <c r="K175" s="57"/>
      <c r="L175" s="57"/>
      <c r="M175" s="57"/>
      <c r="N175" s="57"/>
      <c r="O175" s="57"/>
      <c r="P175" s="57"/>
      <c r="Q175" s="57"/>
      <c r="R175" s="57"/>
      <c r="S175" s="58"/>
      <c r="T175" s="57"/>
      <c r="U175" s="57"/>
    </row>
    <row r="176" spans="5:21" ht="13.5" customHeight="1" x14ac:dyDescent="0.25">
      <c r="E176" s="57"/>
      <c r="F176" s="57"/>
      <c r="G176" s="57"/>
      <c r="H176" s="57"/>
      <c r="I176" s="57"/>
      <c r="J176" s="57"/>
      <c r="K176" s="57"/>
      <c r="L176" s="57"/>
      <c r="M176" s="57"/>
      <c r="N176" s="57"/>
      <c r="O176" s="57"/>
      <c r="P176" s="57"/>
      <c r="Q176" s="57"/>
      <c r="R176" s="57"/>
      <c r="S176" s="58"/>
      <c r="T176" s="57"/>
      <c r="U176" s="57"/>
    </row>
    <row r="177" spans="5:21" ht="13.5" customHeight="1" x14ac:dyDescent="0.25">
      <c r="E177" s="57"/>
      <c r="F177" s="57"/>
      <c r="G177" s="57"/>
      <c r="H177" s="57"/>
      <c r="I177" s="57"/>
      <c r="J177" s="57"/>
      <c r="K177" s="57"/>
      <c r="L177" s="57"/>
      <c r="M177" s="57"/>
      <c r="N177" s="57"/>
      <c r="O177" s="57"/>
      <c r="P177" s="57"/>
      <c r="Q177" s="57"/>
      <c r="R177" s="57"/>
      <c r="S177" s="58"/>
      <c r="T177" s="57"/>
      <c r="U177" s="57"/>
    </row>
    <row r="178" spans="5:21" ht="13.5" customHeight="1" x14ac:dyDescent="0.25">
      <c r="E178" s="57"/>
      <c r="F178" s="57"/>
      <c r="G178" s="57"/>
      <c r="H178" s="57"/>
      <c r="I178" s="57"/>
      <c r="J178" s="57"/>
      <c r="K178" s="57"/>
      <c r="L178" s="57"/>
      <c r="M178" s="57"/>
      <c r="N178" s="57"/>
      <c r="O178" s="57"/>
      <c r="P178" s="57"/>
      <c r="Q178" s="57"/>
      <c r="R178" s="57"/>
      <c r="S178" s="58"/>
      <c r="T178" s="57"/>
      <c r="U178" s="57"/>
    </row>
    <row r="179" spans="5:21" ht="13.5" customHeight="1" x14ac:dyDescent="0.25">
      <c r="E179" s="57"/>
      <c r="F179" s="57"/>
      <c r="G179" s="57"/>
      <c r="H179" s="57"/>
      <c r="I179" s="57"/>
      <c r="J179" s="57"/>
      <c r="K179" s="57"/>
      <c r="L179" s="57"/>
      <c r="M179" s="57"/>
      <c r="N179" s="57"/>
      <c r="O179" s="57"/>
      <c r="P179" s="57"/>
      <c r="Q179" s="57"/>
      <c r="R179" s="57"/>
      <c r="S179" s="58"/>
      <c r="T179" s="57"/>
      <c r="U179" s="57"/>
    </row>
    <row r="180" spans="5:21" ht="13.5" customHeight="1" x14ac:dyDescent="0.25">
      <c r="E180" s="57"/>
      <c r="F180" s="57"/>
      <c r="G180" s="57"/>
      <c r="H180" s="57"/>
      <c r="I180" s="57"/>
      <c r="J180" s="57"/>
      <c r="K180" s="57"/>
      <c r="L180" s="57"/>
      <c r="M180" s="57"/>
      <c r="N180" s="57"/>
      <c r="O180" s="57"/>
      <c r="P180" s="57"/>
      <c r="Q180" s="57"/>
      <c r="R180" s="57"/>
      <c r="S180" s="58"/>
      <c r="T180" s="57"/>
      <c r="U180" s="57"/>
    </row>
    <row r="181" spans="5:21" ht="13.5" customHeight="1" x14ac:dyDescent="0.25">
      <c r="E181" s="57"/>
      <c r="F181" s="57"/>
      <c r="G181" s="57"/>
      <c r="H181" s="57"/>
      <c r="I181" s="57"/>
      <c r="J181" s="57"/>
      <c r="K181" s="57"/>
      <c r="L181" s="57"/>
      <c r="M181" s="57"/>
      <c r="N181" s="57"/>
      <c r="O181" s="57"/>
      <c r="P181" s="57"/>
      <c r="Q181" s="57"/>
      <c r="R181" s="57"/>
      <c r="S181" s="58"/>
      <c r="T181" s="57"/>
      <c r="U181" s="57"/>
    </row>
    <row r="182" spans="5:21" ht="13.5" customHeight="1" x14ac:dyDescent="0.25">
      <c r="E182" s="57"/>
      <c r="F182" s="57"/>
      <c r="G182" s="57"/>
      <c r="H182" s="57"/>
      <c r="I182" s="57"/>
      <c r="J182" s="57"/>
      <c r="K182" s="57"/>
      <c r="L182" s="57"/>
      <c r="M182" s="57"/>
      <c r="N182" s="57"/>
      <c r="O182" s="57"/>
      <c r="P182" s="57"/>
      <c r="Q182" s="57"/>
      <c r="R182" s="57"/>
      <c r="S182" s="58"/>
      <c r="T182" s="57"/>
      <c r="U182" s="57"/>
    </row>
    <row r="183" spans="5:21" ht="13.5" customHeight="1" x14ac:dyDescent="0.25">
      <c r="E183" s="57"/>
      <c r="F183" s="57"/>
      <c r="G183" s="57"/>
      <c r="H183" s="57"/>
      <c r="I183" s="57"/>
      <c r="J183" s="57"/>
      <c r="K183" s="57"/>
      <c r="L183" s="57"/>
      <c r="M183" s="57"/>
      <c r="N183" s="57"/>
      <c r="O183" s="57"/>
      <c r="P183" s="57"/>
      <c r="Q183" s="57"/>
      <c r="R183" s="57"/>
      <c r="S183" s="58"/>
      <c r="T183" s="57"/>
      <c r="U183" s="57"/>
    </row>
    <row r="184" spans="5:21" ht="13.5" customHeight="1" x14ac:dyDescent="0.25">
      <c r="E184" s="57"/>
      <c r="F184" s="57"/>
      <c r="G184" s="57"/>
      <c r="H184" s="57"/>
      <c r="I184" s="57"/>
      <c r="J184" s="57"/>
      <c r="K184" s="57"/>
      <c r="L184" s="57"/>
      <c r="M184" s="57"/>
      <c r="N184" s="57"/>
      <c r="O184" s="57"/>
      <c r="P184" s="57"/>
      <c r="Q184" s="57"/>
      <c r="R184" s="57"/>
      <c r="S184" s="58"/>
      <c r="T184" s="57"/>
      <c r="U184" s="57"/>
    </row>
    <row r="185" spans="5:21" ht="13.5" customHeight="1" x14ac:dyDescent="0.25">
      <c r="E185" s="57"/>
      <c r="F185" s="57"/>
      <c r="G185" s="57"/>
      <c r="H185" s="57"/>
      <c r="I185" s="57"/>
      <c r="J185" s="57"/>
      <c r="K185" s="57"/>
      <c r="L185" s="57"/>
      <c r="M185" s="57"/>
      <c r="N185" s="57"/>
      <c r="O185" s="57"/>
      <c r="P185" s="57"/>
      <c r="Q185" s="57"/>
      <c r="R185" s="57"/>
      <c r="S185" s="58"/>
      <c r="T185" s="57"/>
      <c r="U185" s="57"/>
    </row>
    <row r="186" spans="5:21" ht="13.5" customHeight="1" x14ac:dyDescent="0.25">
      <c r="E186" s="57"/>
      <c r="F186" s="57"/>
      <c r="G186" s="57"/>
      <c r="H186" s="57"/>
      <c r="I186" s="57"/>
      <c r="J186" s="57"/>
      <c r="K186" s="57"/>
      <c r="L186" s="57"/>
      <c r="M186" s="57"/>
      <c r="N186" s="57"/>
      <c r="O186" s="57"/>
      <c r="P186" s="57"/>
      <c r="Q186" s="57"/>
      <c r="R186" s="57"/>
      <c r="S186" s="58"/>
      <c r="T186" s="57"/>
      <c r="U186" s="57"/>
    </row>
    <row r="187" spans="5:21" ht="13.5" customHeight="1" x14ac:dyDescent="0.25">
      <c r="E187" s="57"/>
      <c r="F187" s="57"/>
      <c r="G187" s="57"/>
      <c r="H187" s="57"/>
      <c r="I187" s="57"/>
      <c r="J187" s="57"/>
      <c r="K187" s="57"/>
      <c r="L187" s="57"/>
      <c r="M187" s="57"/>
      <c r="N187" s="57"/>
      <c r="O187" s="57"/>
      <c r="P187" s="57"/>
      <c r="Q187" s="57"/>
      <c r="R187" s="57"/>
      <c r="S187" s="58"/>
      <c r="T187" s="57"/>
      <c r="U187" s="57"/>
    </row>
    <row r="188" spans="5:21" ht="13.5" customHeight="1" x14ac:dyDescent="0.25">
      <c r="E188" s="57"/>
      <c r="F188" s="57"/>
      <c r="G188" s="57"/>
      <c r="H188" s="57"/>
      <c r="I188" s="57"/>
      <c r="J188" s="57"/>
      <c r="K188" s="57"/>
      <c r="L188" s="57"/>
      <c r="M188" s="57"/>
      <c r="N188" s="57"/>
      <c r="O188" s="57"/>
      <c r="P188" s="57"/>
      <c r="Q188" s="57"/>
      <c r="R188" s="57"/>
      <c r="S188" s="58"/>
      <c r="T188" s="57"/>
      <c r="U188" s="57"/>
    </row>
    <row r="189" spans="5:21" ht="13.5" customHeight="1" x14ac:dyDescent="0.25">
      <c r="E189" s="57"/>
      <c r="F189" s="57"/>
      <c r="G189" s="57"/>
      <c r="H189" s="57"/>
      <c r="I189" s="57"/>
      <c r="J189" s="57"/>
      <c r="K189" s="57"/>
      <c r="L189" s="57"/>
      <c r="M189" s="57"/>
      <c r="N189" s="57"/>
      <c r="O189" s="57"/>
      <c r="P189" s="57"/>
      <c r="Q189" s="57"/>
      <c r="R189" s="57"/>
      <c r="S189" s="58"/>
      <c r="T189" s="57"/>
      <c r="U189" s="57"/>
    </row>
    <row r="190" spans="5:21" ht="13.5" customHeight="1" x14ac:dyDescent="0.25">
      <c r="E190" s="57"/>
      <c r="F190" s="57"/>
      <c r="G190" s="57"/>
      <c r="H190" s="57"/>
      <c r="I190" s="57"/>
      <c r="J190" s="57"/>
      <c r="K190" s="57"/>
      <c r="L190" s="57"/>
      <c r="M190" s="57"/>
      <c r="N190" s="57"/>
      <c r="O190" s="57"/>
      <c r="P190" s="57"/>
      <c r="Q190" s="57"/>
      <c r="R190" s="57"/>
      <c r="S190" s="58"/>
      <c r="T190" s="57"/>
      <c r="U190" s="57"/>
    </row>
    <row r="191" spans="5:21" ht="13.5" customHeight="1" x14ac:dyDescent="0.25">
      <c r="E191" s="57"/>
      <c r="F191" s="57"/>
      <c r="G191" s="57"/>
      <c r="H191" s="57"/>
      <c r="I191" s="57"/>
      <c r="J191" s="57"/>
      <c r="K191" s="57"/>
      <c r="L191" s="57"/>
      <c r="M191" s="57"/>
      <c r="N191" s="57"/>
      <c r="O191" s="57"/>
      <c r="P191" s="57"/>
      <c r="Q191" s="57"/>
      <c r="R191" s="57"/>
      <c r="S191" s="58"/>
      <c r="T191" s="57"/>
      <c r="U191" s="57"/>
    </row>
    <row r="192" spans="5:21" ht="13.5" customHeight="1" x14ac:dyDescent="0.25">
      <c r="E192" s="57"/>
      <c r="F192" s="57"/>
      <c r="G192" s="57"/>
      <c r="H192" s="57"/>
      <c r="I192" s="57"/>
      <c r="J192" s="57"/>
      <c r="K192" s="57"/>
      <c r="L192" s="57"/>
      <c r="M192" s="57"/>
      <c r="N192" s="57"/>
      <c r="O192" s="57"/>
      <c r="P192" s="57"/>
      <c r="Q192" s="57"/>
      <c r="R192" s="57"/>
      <c r="S192" s="58"/>
      <c r="T192" s="57"/>
      <c r="U192" s="57"/>
    </row>
    <row r="193" spans="5:21" ht="13.5" customHeight="1" x14ac:dyDescent="0.25">
      <c r="E193" s="57"/>
      <c r="F193" s="57"/>
      <c r="G193" s="57"/>
      <c r="H193" s="57"/>
      <c r="I193" s="57"/>
      <c r="J193" s="57"/>
      <c r="K193" s="57"/>
      <c r="L193" s="57"/>
      <c r="M193" s="57"/>
      <c r="N193" s="57"/>
      <c r="O193" s="57"/>
      <c r="P193" s="57"/>
      <c r="Q193" s="57"/>
      <c r="R193" s="57"/>
      <c r="S193" s="58"/>
      <c r="T193" s="57"/>
      <c r="U193" s="57"/>
    </row>
    <row r="194" spans="5:21" ht="13.5" customHeight="1" x14ac:dyDescent="0.25">
      <c r="E194" s="57"/>
      <c r="F194" s="57"/>
      <c r="G194" s="57"/>
      <c r="H194" s="57"/>
      <c r="I194" s="57"/>
      <c r="J194" s="57"/>
      <c r="K194" s="57"/>
      <c r="L194" s="57"/>
      <c r="M194" s="57"/>
      <c r="N194" s="57"/>
      <c r="O194" s="57"/>
      <c r="P194" s="57"/>
      <c r="Q194" s="57"/>
      <c r="R194" s="57"/>
      <c r="S194" s="58"/>
      <c r="T194" s="57"/>
      <c r="U194" s="57"/>
    </row>
    <row r="195" spans="5:21" ht="13.5" customHeight="1" x14ac:dyDescent="0.25">
      <c r="E195" s="57"/>
      <c r="F195" s="57"/>
      <c r="G195" s="57"/>
      <c r="H195" s="57"/>
      <c r="I195" s="57"/>
      <c r="J195" s="57"/>
      <c r="K195" s="57"/>
      <c r="L195" s="57"/>
      <c r="M195" s="57"/>
      <c r="N195" s="57"/>
      <c r="O195" s="57"/>
      <c r="P195" s="57"/>
      <c r="Q195" s="57"/>
      <c r="R195" s="57"/>
      <c r="S195" s="58"/>
      <c r="T195" s="57"/>
      <c r="U195" s="57"/>
    </row>
    <row r="196" spans="5:21" ht="13.5" customHeight="1" x14ac:dyDescent="0.25">
      <c r="E196" s="57"/>
      <c r="F196" s="57"/>
      <c r="G196" s="57"/>
      <c r="H196" s="57"/>
      <c r="I196" s="57"/>
      <c r="J196" s="57"/>
      <c r="K196" s="57"/>
      <c r="L196" s="57"/>
      <c r="M196" s="57"/>
      <c r="N196" s="57"/>
      <c r="O196" s="57"/>
      <c r="P196" s="57"/>
      <c r="Q196" s="57"/>
      <c r="R196" s="57"/>
      <c r="S196" s="58"/>
      <c r="T196" s="57"/>
      <c r="U196" s="57"/>
    </row>
    <row r="197" spans="5:21" ht="13.5" customHeight="1" x14ac:dyDescent="0.25">
      <c r="E197" s="57"/>
      <c r="F197" s="57"/>
      <c r="G197" s="57"/>
      <c r="H197" s="57"/>
      <c r="I197" s="57"/>
      <c r="J197" s="57"/>
      <c r="K197" s="57"/>
      <c r="L197" s="57"/>
      <c r="M197" s="57"/>
      <c r="N197" s="57"/>
      <c r="O197" s="57"/>
      <c r="P197" s="57"/>
      <c r="Q197" s="57"/>
      <c r="R197" s="57"/>
      <c r="S197" s="58"/>
      <c r="T197" s="57"/>
      <c r="U197" s="57"/>
    </row>
    <row r="198" spans="5:21" ht="13.5" customHeight="1" x14ac:dyDescent="0.25">
      <c r="E198" s="57"/>
      <c r="F198" s="57"/>
      <c r="G198" s="57"/>
      <c r="H198" s="57"/>
      <c r="I198" s="57"/>
      <c r="J198" s="57"/>
      <c r="K198" s="57"/>
      <c r="L198" s="57"/>
      <c r="M198" s="57"/>
      <c r="N198" s="57"/>
      <c r="O198" s="57"/>
      <c r="P198" s="57"/>
      <c r="Q198" s="57"/>
      <c r="R198" s="57"/>
      <c r="S198" s="58"/>
      <c r="T198" s="57"/>
      <c r="U198" s="57"/>
    </row>
    <row r="199" spans="5:21" ht="13.5" customHeight="1" x14ac:dyDescent="0.25">
      <c r="E199" s="57"/>
      <c r="F199" s="57"/>
      <c r="G199" s="57"/>
      <c r="H199" s="57"/>
      <c r="I199" s="57"/>
      <c r="J199" s="57"/>
      <c r="K199" s="57"/>
      <c r="L199" s="57"/>
      <c r="M199" s="57"/>
      <c r="N199" s="57"/>
      <c r="O199" s="57"/>
      <c r="P199" s="57"/>
      <c r="Q199" s="57"/>
      <c r="R199" s="57"/>
      <c r="S199" s="58"/>
      <c r="T199" s="57"/>
      <c r="U199" s="57"/>
    </row>
    <row r="200" spans="5:21" ht="13.5" customHeight="1" x14ac:dyDescent="0.25">
      <c r="E200" s="57"/>
      <c r="F200" s="57"/>
      <c r="G200" s="57"/>
      <c r="H200" s="57"/>
      <c r="I200" s="57"/>
      <c r="J200" s="57"/>
      <c r="K200" s="57"/>
      <c r="L200" s="57"/>
      <c r="M200" s="57"/>
      <c r="N200" s="57"/>
      <c r="O200" s="57"/>
      <c r="P200" s="57"/>
      <c r="Q200" s="57"/>
      <c r="R200" s="57"/>
      <c r="S200" s="58"/>
      <c r="T200" s="57"/>
      <c r="U200" s="57"/>
    </row>
    <row r="201" spans="5:21" ht="13.5" customHeight="1" x14ac:dyDescent="0.25">
      <c r="E201" s="57"/>
      <c r="F201" s="57"/>
      <c r="G201" s="57"/>
      <c r="H201" s="57"/>
      <c r="I201" s="57"/>
      <c r="J201" s="57"/>
      <c r="K201" s="57"/>
      <c r="L201" s="57"/>
      <c r="M201" s="57"/>
      <c r="N201" s="57"/>
      <c r="O201" s="57"/>
      <c r="P201" s="57"/>
      <c r="Q201" s="57"/>
      <c r="R201" s="57"/>
      <c r="S201" s="58"/>
      <c r="T201" s="57"/>
      <c r="U201" s="57"/>
    </row>
    <row r="202" spans="5:21" ht="13.5" customHeight="1" x14ac:dyDescent="0.25">
      <c r="E202" s="57"/>
      <c r="F202" s="57"/>
      <c r="G202" s="57"/>
      <c r="H202" s="57"/>
      <c r="I202" s="57"/>
      <c r="J202" s="57"/>
      <c r="K202" s="57"/>
      <c r="L202" s="57"/>
      <c r="M202" s="57"/>
      <c r="N202" s="57"/>
      <c r="O202" s="57"/>
      <c r="P202" s="57"/>
      <c r="Q202" s="57"/>
      <c r="R202" s="57"/>
      <c r="S202" s="58"/>
      <c r="T202" s="57"/>
      <c r="U202" s="57"/>
    </row>
    <row r="203" spans="5:21" ht="13.5" customHeight="1" x14ac:dyDescent="0.25">
      <c r="E203" s="57"/>
      <c r="F203" s="57"/>
      <c r="G203" s="57"/>
      <c r="H203" s="57"/>
      <c r="I203" s="57"/>
      <c r="J203" s="57"/>
      <c r="K203" s="57"/>
      <c r="L203" s="57"/>
      <c r="M203" s="57"/>
      <c r="N203" s="57"/>
      <c r="O203" s="57"/>
      <c r="P203" s="57"/>
      <c r="Q203" s="57"/>
      <c r="R203" s="57"/>
      <c r="S203" s="58"/>
      <c r="T203" s="57"/>
      <c r="U203" s="57"/>
    </row>
    <row r="204" spans="5:21" ht="13.5" customHeight="1" x14ac:dyDescent="0.25">
      <c r="E204" s="57"/>
      <c r="F204" s="57"/>
      <c r="G204" s="57"/>
      <c r="H204" s="57"/>
      <c r="I204" s="57"/>
      <c r="J204" s="57"/>
      <c r="K204" s="57"/>
      <c r="L204" s="57"/>
      <c r="M204" s="57"/>
      <c r="N204" s="57"/>
      <c r="O204" s="57"/>
      <c r="P204" s="57"/>
      <c r="Q204" s="57"/>
      <c r="R204" s="57"/>
      <c r="S204" s="58"/>
      <c r="T204" s="57"/>
      <c r="U204" s="57"/>
    </row>
    <row r="205" spans="5:21" ht="13.5" customHeight="1" x14ac:dyDescent="0.25">
      <c r="E205" s="57"/>
      <c r="F205" s="57"/>
      <c r="G205" s="57"/>
      <c r="H205" s="57"/>
      <c r="I205" s="57"/>
      <c r="J205" s="57"/>
      <c r="K205" s="57"/>
      <c r="L205" s="57"/>
      <c r="M205" s="57"/>
      <c r="N205" s="57"/>
      <c r="O205" s="57"/>
      <c r="P205" s="57"/>
      <c r="Q205" s="57"/>
      <c r="R205" s="57"/>
      <c r="S205" s="58"/>
      <c r="T205" s="57"/>
      <c r="U205" s="57"/>
    </row>
    <row r="206" spans="5:21" ht="13.5" customHeight="1" x14ac:dyDescent="0.25">
      <c r="E206" s="57"/>
      <c r="F206" s="57"/>
      <c r="G206" s="57"/>
      <c r="H206" s="57"/>
      <c r="I206" s="57"/>
      <c r="J206" s="57"/>
      <c r="K206" s="57"/>
      <c r="L206" s="57"/>
      <c r="M206" s="57"/>
      <c r="N206" s="57"/>
      <c r="O206" s="57"/>
      <c r="P206" s="57"/>
      <c r="Q206" s="57"/>
      <c r="R206" s="57"/>
      <c r="S206" s="58"/>
      <c r="T206" s="57"/>
      <c r="U206" s="57"/>
    </row>
    <row r="207" spans="5:21" ht="13.5" customHeight="1" x14ac:dyDescent="0.25">
      <c r="E207" s="57"/>
      <c r="F207" s="57"/>
      <c r="G207" s="57"/>
      <c r="H207" s="57"/>
      <c r="I207" s="57"/>
      <c r="J207" s="57"/>
      <c r="K207" s="57"/>
      <c r="L207" s="57"/>
      <c r="M207" s="57"/>
      <c r="N207" s="57"/>
      <c r="O207" s="57"/>
      <c r="P207" s="57"/>
      <c r="Q207" s="57"/>
      <c r="R207" s="57"/>
      <c r="S207" s="58"/>
      <c r="T207" s="57"/>
      <c r="U207" s="57"/>
    </row>
    <row r="208" spans="5:21" ht="13.5" customHeight="1" x14ac:dyDescent="0.25">
      <c r="E208" s="57"/>
      <c r="F208" s="57"/>
      <c r="G208" s="57"/>
      <c r="H208" s="57"/>
      <c r="I208" s="57"/>
      <c r="J208" s="57"/>
      <c r="K208" s="57"/>
      <c r="L208" s="57"/>
      <c r="M208" s="57"/>
      <c r="N208" s="57"/>
      <c r="O208" s="57"/>
      <c r="P208" s="57"/>
      <c r="Q208" s="57"/>
      <c r="R208" s="57"/>
      <c r="S208" s="58"/>
      <c r="T208" s="57"/>
      <c r="U208" s="57"/>
    </row>
    <row r="209" spans="5:21" ht="13.5" customHeight="1" x14ac:dyDescent="0.25">
      <c r="E209" s="57"/>
      <c r="F209" s="57"/>
      <c r="G209" s="57"/>
      <c r="H209" s="57"/>
      <c r="I209" s="57"/>
      <c r="J209" s="57"/>
      <c r="K209" s="57"/>
      <c r="L209" s="57"/>
      <c r="M209" s="57"/>
      <c r="N209" s="57"/>
      <c r="O209" s="57"/>
      <c r="P209" s="57"/>
      <c r="Q209" s="57"/>
      <c r="R209" s="57"/>
      <c r="S209" s="58"/>
      <c r="T209" s="57"/>
      <c r="U209" s="57"/>
    </row>
    <row r="210" spans="5:21" ht="13.5" customHeight="1" x14ac:dyDescent="0.25">
      <c r="E210" s="57"/>
      <c r="F210" s="57"/>
      <c r="G210" s="57"/>
      <c r="H210" s="57"/>
      <c r="I210" s="57"/>
      <c r="J210" s="57"/>
      <c r="K210" s="57"/>
      <c r="L210" s="57"/>
      <c r="M210" s="57"/>
      <c r="N210" s="57"/>
      <c r="O210" s="57"/>
      <c r="P210" s="57"/>
      <c r="Q210" s="57"/>
      <c r="R210" s="57"/>
      <c r="S210" s="58"/>
      <c r="T210" s="57"/>
      <c r="U210" s="57"/>
    </row>
    <row r="211" spans="5:21" ht="13.5" customHeight="1" x14ac:dyDescent="0.25">
      <c r="E211" s="57"/>
      <c r="F211" s="57"/>
      <c r="G211" s="57"/>
      <c r="H211" s="57"/>
      <c r="I211" s="57"/>
      <c r="J211" s="57"/>
      <c r="K211" s="57"/>
      <c r="L211" s="57"/>
      <c r="M211" s="57"/>
      <c r="N211" s="57"/>
      <c r="O211" s="57"/>
      <c r="P211" s="57"/>
      <c r="Q211" s="57"/>
      <c r="R211" s="57"/>
      <c r="S211" s="58"/>
      <c r="T211" s="57"/>
      <c r="U211" s="57"/>
    </row>
    <row r="212" spans="5:21" ht="13.5" customHeight="1" x14ac:dyDescent="0.25">
      <c r="E212" s="57"/>
      <c r="F212" s="57"/>
      <c r="G212" s="57"/>
      <c r="H212" s="57"/>
      <c r="I212" s="57"/>
      <c r="J212" s="57"/>
      <c r="K212" s="57"/>
      <c r="L212" s="57"/>
      <c r="M212" s="57"/>
      <c r="N212" s="57"/>
      <c r="O212" s="57"/>
      <c r="P212" s="57"/>
      <c r="Q212" s="57"/>
      <c r="R212" s="57"/>
      <c r="S212" s="58"/>
      <c r="T212" s="57"/>
      <c r="U212" s="57"/>
    </row>
    <row r="213" spans="5:21" ht="13.5" customHeight="1" x14ac:dyDescent="0.25">
      <c r="E213" s="57"/>
      <c r="F213" s="57"/>
      <c r="G213" s="57"/>
      <c r="H213" s="57"/>
      <c r="I213" s="57"/>
      <c r="J213" s="57"/>
      <c r="K213" s="57"/>
      <c r="L213" s="57"/>
      <c r="M213" s="57"/>
      <c r="N213" s="57"/>
      <c r="O213" s="57"/>
      <c r="P213" s="57"/>
      <c r="Q213" s="57"/>
      <c r="R213" s="57"/>
      <c r="S213" s="58"/>
      <c r="T213" s="57"/>
      <c r="U213" s="57"/>
    </row>
    <row r="214" spans="5:21" ht="13.5" customHeight="1" x14ac:dyDescent="0.25">
      <c r="E214" s="57"/>
      <c r="F214" s="57"/>
      <c r="G214" s="57"/>
      <c r="H214" s="57"/>
      <c r="I214" s="57"/>
      <c r="J214" s="57"/>
      <c r="K214" s="57"/>
      <c r="L214" s="57"/>
      <c r="M214" s="57"/>
      <c r="N214" s="57"/>
      <c r="O214" s="57"/>
      <c r="P214" s="57"/>
      <c r="Q214" s="57"/>
      <c r="R214" s="57"/>
      <c r="S214" s="58"/>
      <c r="T214" s="57"/>
      <c r="U214" s="57"/>
    </row>
    <row r="215" spans="5:21" ht="13.5" customHeight="1" x14ac:dyDescent="0.25">
      <c r="E215" s="57"/>
      <c r="F215" s="57"/>
      <c r="G215" s="57"/>
      <c r="H215" s="57"/>
      <c r="I215" s="57"/>
      <c r="J215" s="57"/>
      <c r="K215" s="57"/>
      <c r="L215" s="57"/>
      <c r="M215" s="57"/>
      <c r="N215" s="57"/>
      <c r="O215" s="57"/>
      <c r="P215" s="57"/>
      <c r="Q215" s="57"/>
      <c r="R215" s="57"/>
      <c r="S215" s="58"/>
      <c r="T215" s="57"/>
      <c r="U215" s="57"/>
    </row>
    <row r="216" spans="5:21" ht="13.5" customHeight="1" x14ac:dyDescent="0.25">
      <c r="E216" s="57"/>
      <c r="F216" s="57"/>
      <c r="G216" s="57"/>
      <c r="H216" s="57"/>
      <c r="I216" s="57"/>
      <c r="J216" s="57"/>
      <c r="K216" s="57"/>
      <c r="L216" s="57"/>
      <c r="M216" s="57"/>
      <c r="N216" s="57"/>
      <c r="O216" s="57"/>
      <c r="P216" s="57"/>
      <c r="Q216" s="57"/>
      <c r="R216" s="57"/>
      <c r="S216" s="58"/>
      <c r="T216" s="57"/>
      <c r="U216" s="57"/>
    </row>
    <row r="217" spans="5:21" ht="13.5" customHeight="1" x14ac:dyDescent="0.25">
      <c r="E217" s="57"/>
      <c r="F217" s="57"/>
      <c r="G217" s="57"/>
      <c r="H217" s="57"/>
      <c r="I217" s="57"/>
      <c r="J217" s="57"/>
      <c r="K217" s="57"/>
      <c r="L217" s="57"/>
      <c r="M217" s="57"/>
      <c r="N217" s="57"/>
      <c r="O217" s="57"/>
      <c r="P217" s="57"/>
      <c r="Q217" s="57"/>
      <c r="R217" s="57"/>
      <c r="S217" s="58"/>
      <c r="T217" s="57"/>
      <c r="U217" s="57"/>
    </row>
    <row r="218" spans="5:21" ht="13.5" customHeight="1" x14ac:dyDescent="0.25">
      <c r="E218" s="57"/>
      <c r="F218" s="57"/>
      <c r="G218" s="57"/>
      <c r="H218" s="57"/>
      <c r="I218" s="57"/>
      <c r="J218" s="57"/>
      <c r="K218" s="57"/>
      <c r="L218" s="57"/>
      <c r="M218" s="57"/>
      <c r="N218" s="57"/>
      <c r="O218" s="57"/>
      <c r="P218" s="57"/>
      <c r="Q218" s="57"/>
      <c r="R218" s="57"/>
      <c r="S218" s="58"/>
      <c r="T218" s="57"/>
      <c r="U218" s="57"/>
    </row>
    <row r="219" spans="5:21" ht="13.5" customHeight="1" x14ac:dyDescent="0.25">
      <c r="E219" s="57"/>
      <c r="F219" s="57"/>
      <c r="G219" s="57"/>
      <c r="H219" s="57"/>
      <c r="I219" s="57"/>
      <c r="J219" s="57"/>
      <c r="K219" s="57"/>
      <c r="L219" s="57"/>
      <c r="M219" s="57"/>
      <c r="N219" s="57"/>
      <c r="O219" s="57"/>
      <c r="P219" s="57"/>
      <c r="Q219" s="57"/>
      <c r="R219" s="57"/>
      <c r="S219" s="58"/>
      <c r="T219" s="57"/>
      <c r="U219" s="57"/>
    </row>
    <row r="220" spans="5:21" ht="13.5" customHeight="1" x14ac:dyDescent="0.25">
      <c r="E220" s="57"/>
      <c r="F220" s="57"/>
      <c r="G220" s="57"/>
      <c r="H220" s="57"/>
      <c r="I220" s="57"/>
      <c r="J220" s="57"/>
      <c r="K220" s="57"/>
      <c r="L220" s="57"/>
      <c r="M220" s="57"/>
      <c r="N220" s="57"/>
      <c r="O220" s="57"/>
      <c r="P220" s="57"/>
      <c r="Q220" s="57"/>
      <c r="R220" s="57"/>
      <c r="S220" s="58"/>
      <c r="T220" s="57"/>
      <c r="U220" s="57"/>
    </row>
    <row r="221" spans="5:21" ht="13.5" customHeight="1" x14ac:dyDescent="0.25">
      <c r="E221" s="57"/>
      <c r="F221" s="57"/>
      <c r="G221" s="57"/>
      <c r="H221" s="57"/>
      <c r="I221" s="57"/>
      <c r="J221" s="57"/>
      <c r="K221" s="57"/>
      <c r="L221" s="57"/>
      <c r="M221" s="57"/>
      <c r="N221" s="57"/>
      <c r="O221" s="57"/>
      <c r="P221" s="57"/>
      <c r="Q221" s="57"/>
      <c r="R221" s="57"/>
      <c r="S221" s="58"/>
      <c r="T221" s="57"/>
      <c r="U221" s="57"/>
    </row>
    <row r="222" spans="5:21" ht="13.5" customHeight="1" x14ac:dyDescent="0.25">
      <c r="E222" s="57"/>
      <c r="F222" s="57"/>
      <c r="G222" s="57"/>
      <c r="H222" s="57"/>
      <c r="I222" s="57"/>
      <c r="J222" s="57"/>
      <c r="K222" s="57"/>
      <c r="L222" s="57"/>
      <c r="M222" s="57"/>
      <c r="N222" s="57"/>
      <c r="O222" s="57"/>
      <c r="P222" s="57"/>
      <c r="Q222" s="57"/>
      <c r="R222" s="57"/>
      <c r="S222" s="58"/>
      <c r="T222" s="57"/>
      <c r="U222" s="57"/>
    </row>
    <row r="223" spans="5:21" ht="13.5" customHeight="1" x14ac:dyDescent="0.25">
      <c r="E223" s="57"/>
      <c r="F223" s="57"/>
      <c r="G223" s="57"/>
      <c r="H223" s="57"/>
      <c r="I223" s="57"/>
      <c r="J223" s="57"/>
      <c r="K223" s="57"/>
      <c r="L223" s="57"/>
      <c r="M223" s="57"/>
      <c r="N223" s="57"/>
      <c r="O223" s="57"/>
      <c r="P223" s="57"/>
      <c r="Q223" s="57"/>
      <c r="R223" s="57"/>
      <c r="S223" s="58"/>
      <c r="T223" s="57"/>
      <c r="U223" s="57"/>
    </row>
    <row r="224" spans="5:21" ht="13.5" customHeight="1" x14ac:dyDescent="0.25">
      <c r="E224" s="57"/>
      <c r="F224" s="57"/>
      <c r="G224" s="57"/>
      <c r="H224" s="57"/>
      <c r="I224" s="57"/>
      <c r="J224" s="57"/>
      <c r="K224" s="57"/>
      <c r="L224" s="57"/>
      <c r="M224" s="57"/>
      <c r="N224" s="57"/>
      <c r="O224" s="57"/>
      <c r="P224" s="57"/>
      <c r="Q224" s="57"/>
      <c r="R224" s="57"/>
      <c r="S224" s="58"/>
      <c r="T224" s="57"/>
      <c r="U224" s="57"/>
    </row>
    <row r="225" spans="5:21" ht="13.5" customHeight="1" x14ac:dyDescent="0.25">
      <c r="E225" s="57"/>
      <c r="F225" s="57"/>
      <c r="G225" s="57"/>
      <c r="H225" s="57"/>
      <c r="I225" s="57"/>
      <c r="J225" s="57"/>
      <c r="K225" s="57"/>
      <c r="L225" s="57"/>
      <c r="M225" s="57"/>
      <c r="N225" s="57"/>
      <c r="O225" s="57"/>
      <c r="P225" s="57"/>
      <c r="Q225" s="57"/>
      <c r="R225" s="57"/>
      <c r="S225" s="58"/>
      <c r="T225" s="57"/>
      <c r="U225" s="57"/>
    </row>
    <row r="226" spans="5:21" ht="13.5" customHeight="1" x14ac:dyDescent="0.25">
      <c r="E226" s="57"/>
      <c r="F226" s="57"/>
      <c r="G226" s="57"/>
      <c r="H226" s="57"/>
      <c r="I226" s="57"/>
      <c r="J226" s="57"/>
      <c r="K226" s="57"/>
      <c r="L226" s="57"/>
      <c r="M226" s="57"/>
      <c r="N226" s="57"/>
      <c r="O226" s="57"/>
      <c r="P226" s="57"/>
      <c r="Q226" s="57"/>
      <c r="R226" s="57"/>
      <c r="S226" s="58"/>
      <c r="T226" s="57"/>
      <c r="U226" s="57"/>
    </row>
    <row r="227" spans="5:21" ht="13.5" customHeight="1" x14ac:dyDescent="0.25">
      <c r="E227" s="57"/>
      <c r="F227" s="57"/>
      <c r="G227" s="57"/>
      <c r="H227" s="57"/>
      <c r="I227" s="57"/>
      <c r="J227" s="57"/>
      <c r="K227" s="57"/>
      <c r="L227" s="57"/>
      <c r="M227" s="57"/>
      <c r="N227" s="57"/>
      <c r="O227" s="57"/>
      <c r="P227" s="57"/>
      <c r="Q227" s="57"/>
      <c r="R227" s="57"/>
      <c r="S227" s="58"/>
      <c r="T227" s="57"/>
      <c r="U227" s="57"/>
    </row>
    <row r="228" spans="5:21" ht="13.5" customHeight="1" x14ac:dyDescent="0.25">
      <c r="E228" s="57"/>
      <c r="F228" s="57"/>
      <c r="G228" s="57"/>
      <c r="H228" s="57"/>
      <c r="I228" s="57"/>
      <c r="J228" s="57"/>
      <c r="K228" s="57"/>
      <c r="L228" s="57"/>
      <c r="M228" s="57"/>
      <c r="N228" s="57"/>
      <c r="O228" s="57"/>
      <c r="P228" s="57"/>
      <c r="Q228" s="57"/>
      <c r="R228" s="57"/>
      <c r="S228" s="58"/>
      <c r="T228" s="57"/>
      <c r="U228" s="57"/>
    </row>
    <row r="229" spans="5:21" ht="13.5" customHeight="1" x14ac:dyDescent="0.25">
      <c r="E229" s="57"/>
      <c r="F229" s="57"/>
      <c r="G229" s="57"/>
      <c r="H229" s="57"/>
      <c r="I229" s="57"/>
      <c r="J229" s="57"/>
      <c r="K229" s="57"/>
      <c r="L229" s="57"/>
      <c r="M229" s="57"/>
      <c r="N229" s="57"/>
      <c r="O229" s="57"/>
      <c r="P229" s="57"/>
      <c r="Q229" s="57"/>
      <c r="R229" s="57"/>
      <c r="S229" s="58"/>
      <c r="T229" s="57"/>
      <c r="U229" s="57"/>
    </row>
    <row r="230" spans="5:21" ht="13.5" customHeight="1" x14ac:dyDescent="0.25">
      <c r="E230" s="57"/>
      <c r="F230" s="57"/>
      <c r="G230" s="57"/>
      <c r="H230" s="57"/>
      <c r="I230" s="57"/>
      <c r="J230" s="57"/>
      <c r="K230" s="57"/>
      <c r="L230" s="57"/>
      <c r="M230" s="57"/>
      <c r="N230" s="57"/>
      <c r="O230" s="57"/>
      <c r="P230" s="57"/>
      <c r="Q230" s="57"/>
      <c r="R230" s="57"/>
      <c r="S230" s="58"/>
      <c r="T230" s="57"/>
      <c r="U230" s="57"/>
    </row>
    <row r="231" spans="5:21" ht="13.5" customHeight="1" x14ac:dyDescent="0.25">
      <c r="E231" s="57"/>
      <c r="F231" s="57"/>
      <c r="G231" s="57"/>
      <c r="H231" s="57"/>
      <c r="I231" s="57"/>
      <c r="J231" s="57"/>
      <c r="K231" s="57"/>
      <c r="L231" s="57"/>
      <c r="M231" s="57"/>
      <c r="N231" s="57"/>
      <c r="O231" s="57"/>
      <c r="P231" s="57"/>
      <c r="Q231" s="57"/>
      <c r="R231" s="57"/>
      <c r="S231" s="58"/>
      <c r="T231" s="57"/>
      <c r="U231" s="57"/>
    </row>
    <row r="232" spans="5:21" ht="13.5" customHeight="1" x14ac:dyDescent="0.25">
      <c r="E232" s="57"/>
      <c r="F232" s="57"/>
      <c r="G232" s="57"/>
      <c r="H232" s="57"/>
      <c r="I232" s="57"/>
      <c r="J232" s="57"/>
      <c r="K232" s="57"/>
      <c r="L232" s="57"/>
      <c r="M232" s="57"/>
      <c r="N232" s="57"/>
      <c r="O232" s="57"/>
      <c r="P232" s="57"/>
      <c r="Q232" s="57"/>
      <c r="R232" s="57"/>
      <c r="S232" s="58"/>
      <c r="T232" s="57"/>
      <c r="U232" s="57"/>
    </row>
    <row r="233" spans="5:21" ht="13.5" customHeight="1" x14ac:dyDescent="0.25">
      <c r="E233" s="57"/>
      <c r="F233" s="57"/>
      <c r="G233" s="57"/>
      <c r="H233" s="57"/>
      <c r="I233" s="57"/>
      <c r="J233" s="57"/>
      <c r="K233" s="57"/>
      <c r="L233" s="57"/>
      <c r="M233" s="57"/>
      <c r="N233" s="57"/>
      <c r="O233" s="57"/>
      <c r="P233" s="57"/>
      <c r="Q233" s="57"/>
      <c r="R233" s="57"/>
      <c r="S233" s="58"/>
      <c r="T233" s="57"/>
      <c r="U233" s="57"/>
    </row>
    <row r="234" spans="5:21" ht="13.5" customHeight="1" x14ac:dyDescent="0.25">
      <c r="E234" s="57"/>
      <c r="F234" s="57"/>
      <c r="G234" s="57"/>
      <c r="H234" s="57"/>
      <c r="I234" s="57"/>
      <c r="J234" s="57"/>
      <c r="K234" s="57"/>
      <c r="L234" s="57"/>
      <c r="M234" s="57"/>
      <c r="N234" s="57"/>
      <c r="O234" s="57"/>
      <c r="P234" s="57"/>
      <c r="Q234" s="57"/>
      <c r="R234" s="57"/>
      <c r="S234" s="58"/>
      <c r="T234" s="57"/>
      <c r="U234" s="57"/>
    </row>
    <row r="235" spans="5:21" ht="13.5" customHeight="1" x14ac:dyDescent="0.25">
      <c r="E235" s="57"/>
      <c r="F235" s="57"/>
      <c r="G235" s="57"/>
      <c r="H235" s="57"/>
      <c r="I235" s="57"/>
      <c r="J235" s="57"/>
      <c r="K235" s="57"/>
      <c r="L235" s="57"/>
      <c r="M235" s="57"/>
      <c r="N235" s="57"/>
      <c r="O235" s="57"/>
      <c r="P235" s="57"/>
      <c r="Q235" s="57"/>
      <c r="R235" s="57"/>
      <c r="S235" s="58"/>
      <c r="T235" s="57"/>
      <c r="U235" s="57"/>
    </row>
    <row r="236" spans="5:21" ht="13.5" customHeight="1" x14ac:dyDescent="0.25">
      <c r="E236" s="57"/>
      <c r="F236" s="57"/>
      <c r="G236" s="57"/>
      <c r="H236" s="57"/>
      <c r="I236" s="57"/>
      <c r="J236" s="57"/>
      <c r="K236" s="57"/>
      <c r="L236" s="57"/>
      <c r="M236" s="57"/>
      <c r="N236" s="57"/>
      <c r="O236" s="57"/>
      <c r="P236" s="57"/>
      <c r="Q236" s="57"/>
      <c r="R236" s="57"/>
      <c r="S236" s="58"/>
      <c r="T236" s="57"/>
      <c r="U236" s="57"/>
    </row>
    <row r="237" spans="5:21" ht="13.5" customHeight="1" x14ac:dyDescent="0.25">
      <c r="E237" s="57"/>
      <c r="F237" s="57"/>
      <c r="G237" s="57"/>
      <c r="H237" s="57"/>
      <c r="I237" s="57"/>
      <c r="J237" s="57"/>
      <c r="K237" s="57"/>
      <c r="L237" s="57"/>
      <c r="M237" s="57"/>
      <c r="N237" s="57"/>
      <c r="O237" s="57"/>
      <c r="P237" s="57"/>
      <c r="Q237" s="57"/>
      <c r="R237" s="57"/>
      <c r="S237" s="58"/>
      <c r="T237" s="57"/>
      <c r="U237" s="57"/>
    </row>
    <row r="238" spans="5:21" ht="13.5" customHeight="1" x14ac:dyDescent="0.25">
      <c r="E238" s="57"/>
      <c r="F238" s="57"/>
      <c r="G238" s="57"/>
      <c r="H238" s="57"/>
      <c r="I238" s="57"/>
      <c r="J238" s="57"/>
      <c r="K238" s="57"/>
      <c r="L238" s="57"/>
      <c r="M238" s="57"/>
      <c r="N238" s="57"/>
      <c r="O238" s="57"/>
      <c r="P238" s="57"/>
      <c r="Q238" s="57"/>
      <c r="R238" s="57"/>
      <c r="S238" s="58"/>
      <c r="T238" s="57"/>
      <c r="U238" s="57"/>
    </row>
    <row r="239" spans="5:21" ht="13.5" customHeight="1" x14ac:dyDescent="0.25">
      <c r="E239" s="57"/>
      <c r="F239" s="57"/>
      <c r="G239" s="57"/>
      <c r="H239" s="57"/>
      <c r="I239" s="57"/>
      <c r="J239" s="57"/>
      <c r="K239" s="57"/>
      <c r="L239" s="57"/>
      <c r="M239" s="57"/>
      <c r="N239" s="57"/>
      <c r="O239" s="57"/>
      <c r="P239" s="57"/>
      <c r="Q239" s="57"/>
      <c r="R239" s="57"/>
      <c r="S239" s="58"/>
      <c r="T239" s="57"/>
      <c r="U239" s="57"/>
    </row>
    <row r="240" spans="5:21" ht="13.5" customHeight="1" x14ac:dyDescent="0.25">
      <c r="E240" s="57"/>
      <c r="F240" s="57"/>
      <c r="G240" s="57"/>
      <c r="H240" s="57"/>
      <c r="I240" s="57"/>
      <c r="J240" s="57"/>
      <c r="K240" s="57"/>
      <c r="L240" s="57"/>
      <c r="M240" s="57"/>
      <c r="N240" s="57"/>
      <c r="O240" s="57"/>
      <c r="P240" s="57"/>
      <c r="Q240" s="57"/>
      <c r="R240" s="57"/>
      <c r="S240" s="58"/>
      <c r="T240" s="57"/>
      <c r="U240" s="57"/>
    </row>
    <row r="241" spans="5:21" ht="13.5" customHeight="1" x14ac:dyDescent="0.25">
      <c r="E241" s="57"/>
      <c r="F241" s="57"/>
      <c r="G241" s="57"/>
      <c r="H241" s="57"/>
      <c r="I241" s="57"/>
      <c r="J241" s="57"/>
      <c r="K241" s="57"/>
      <c r="L241" s="57"/>
      <c r="M241" s="57"/>
      <c r="N241" s="57"/>
      <c r="O241" s="57"/>
      <c r="P241" s="57"/>
      <c r="Q241" s="57"/>
      <c r="R241" s="57"/>
      <c r="S241" s="58"/>
      <c r="T241" s="57"/>
      <c r="U241" s="57"/>
    </row>
    <row r="242" spans="5:21" ht="13.5" customHeight="1" x14ac:dyDescent="0.25">
      <c r="E242" s="57"/>
      <c r="F242" s="57"/>
      <c r="G242" s="57"/>
      <c r="H242" s="57"/>
      <c r="I242" s="57"/>
      <c r="J242" s="57"/>
      <c r="K242" s="57"/>
      <c r="L242" s="57"/>
      <c r="M242" s="57"/>
      <c r="N242" s="57"/>
      <c r="O242" s="57"/>
      <c r="P242" s="57"/>
      <c r="Q242" s="57"/>
      <c r="R242" s="57"/>
      <c r="S242" s="58"/>
      <c r="T242" s="57"/>
      <c r="U242" s="57"/>
    </row>
    <row r="243" spans="5:21" ht="13.5" customHeight="1" x14ac:dyDescent="0.25">
      <c r="E243" s="57"/>
      <c r="F243" s="57"/>
      <c r="G243" s="57"/>
      <c r="H243" s="57"/>
      <c r="I243" s="57"/>
      <c r="J243" s="57"/>
      <c r="K243" s="57"/>
      <c r="L243" s="57"/>
      <c r="M243" s="57"/>
      <c r="N243" s="57"/>
      <c r="O243" s="57"/>
      <c r="P243" s="57"/>
      <c r="Q243" s="57"/>
      <c r="R243" s="57"/>
      <c r="S243" s="58"/>
      <c r="T243" s="57"/>
      <c r="U243" s="57"/>
    </row>
  </sheetData>
  <pageMargins left="0.75" right="0.75" top="1" bottom="1" header="0.5" footer="0.5"/>
  <pageSetup orientation="portrait" r:id="rId2"/>
  <headerFooter alignWithMargins="0"/>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F746-AC73-414D-89B7-4F912D92B078}">
  <sheetPr>
    <tabColor theme="3"/>
  </sheetPr>
  <dimension ref="A1:T427"/>
  <sheetViews>
    <sheetView showGridLines="0" topLeftCell="A391" zoomScaleNormal="100" workbookViewId="0">
      <selection activeCell="B18" sqref="B18"/>
    </sheetView>
  </sheetViews>
  <sheetFormatPr defaultColWidth="9.26953125" defaultRowHeight="13.5" customHeight="1" outlineLevelRow="1" x14ac:dyDescent="0.25"/>
  <cols>
    <col min="1" max="1" width="1.7265625" style="2" customWidth="1"/>
    <col min="2" max="2" width="2.7265625" style="2" customWidth="1"/>
    <col min="3" max="3" width="2" style="2" customWidth="1"/>
    <col min="4" max="4" width="37.26953125" style="2" bestFit="1" customWidth="1"/>
    <col min="5" max="5" width="19.26953125" style="2" bestFit="1" customWidth="1"/>
    <col min="6" max="6" width="30.54296875" style="2" bestFit="1" customWidth="1"/>
    <col min="7" max="13" width="14.26953125" style="2" customWidth="1"/>
    <col min="14" max="14" width="9.26953125" style="2"/>
    <col min="15" max="15" width="14.26953125" style="2" customWidth="1"/>
    <col min="16" max="16" width="11.26953125" style="2" customWidth="1"/>
    <col min="17" max="17" width="26.7265625" style="2" customWidth="1"/>
    <col min="18" max="18" width="29.453125" style="2" bestFit="1" customWidth="1"/>
    <col min="19" max="19" width="11.7265625" style="2" customWidth="1"/>
    <col min="20" max="16384" width="9.26953125" style="2"/>
  </cols>
  <sheetData>
    <row r="1" spans="1:18" s="7" customFormat="1" ht="13.5" customHeight="1" x14ac:dyDescent="0.25">
      <c r="A1" s="5"/>
      <c r="B1" s="5"/>
      <c r="C1" s="5"/>
      <c r="D1" s="6"/>
      <c r="E1" s="25"/>
    </row>
    <row r="2" spans="1:18" s="7" customFormat="1" ht="13.5" customHeight="1" x14ac:dyDescent="0.25">
      <c r="A2" s="5"/>
      <c r="B2" s="5"/>
      <c r="C2" s="5"/>
      <c r="D2" s="6"/>
      <c r="E2" s="26" t="str">
        <f>Title</f>
        <v>OCP Africa - CIV P205</v>
      </c>
    </row>
    <row r="3" spans="1:18" s="7" customFormat="1" ht="13.5" customHeight="1" x14ac:dyDescent="0.25">
      <c r="A3" s="5"/>
      <c r="B3" s="5"/>
      <c r="C3" s="5"/>
      <c r="D3" s="6"/>
      <c r="E3" s="27" t="str">
        <f ca="1">MID(CELL("filename",E3),FIND("]",CELL("filename",E3))+1,256)</f>
        <v>HarvestedAreas</v>
      </c>
    </row>
    <row r="4" spans="1:18" s="7" customFormat="1" ht="13.5" customHeight="1" x14ac:dyDescent="0.25">
      <c r="A4" s="5"/>
      <c r="B4" s="5"/>
      <c r="C4" s="5"/>
      <c r="D4" s="6"/>
      <c r="E4" s="27" t="s">
        <v>126</v>
      </c>
    </row>
    <row r="5" spans="1:18" s="11" customFormat="1" ht="13.5" customHeight="1" x14ac:dyDescent="0.3">
      <c r="A5" s="8"/>
      <c r="B5" s="8"/>
      <c r="C5" s="8"/>
      <c r="D5" s="9"/>
      <c r="E5" s="10"/>
    </row>
    <row r="6" spans="1:18" ht="13.5" customHeight="1" x14ac:dyDescent="0.25">
      <c r="B6" s="7"/>
      <c r="C6" s="7"/>
      <c r="D6" s="7"/>
      <c r="E6" s="7"/>
      <c r="F6" s="7"/>
      <c r="G6" s="7"/>
      <c r="H6" s="7"/>
      <c r="I6" s="7"/>
      <c r="J6" s="7"/>
      <c r="K6" s="7"/>
      <c r="L6" s="7"/>
      <c r="M6" s="7"/>
      <c r="N6" s="7"/>
    </row>
    <row r="7" spans="1:18" ht="13.5" customHeight="1" x14ac:dyDescent="0.35">
      <c r="B7" s="51"/>
      <c r="C7" s="7"/>
      <c r="D7" s="52"/>
      <c r="E7" s="173" t="s">
        <v>96</v>
      </c>
      <c r="F7" s="173" t="s">
        <v>97</v>
      </c>
      <c r="G7" s="173" t="s">
        <v>98</v>
      </c>
      <c r="H7" s="173" t="s">
        <v>99</v>
      </c>
      <c r="I7" s="173" t="s">
        <v>100</v>
      </c>
      <c r="J7" s="173" t="s">
        <v>101</v>
      </c>
      <c r="K7" s="173" t="s">
        <v>127</v>
      </c>
      <c r="L7" s="173" t="s">
        <v>102</v>
      </c>
      <c r="M7" s="173" t="s">
        <v>103</v>
      </c>
      <c r="N7" s="173" t="s">
        <v>104</v>
      </c>
      <c r="O7" s="173" t="s">
        <v>105</v>
      </c>
      <c r="P7" s="173" t="s">
        <v>106</v>
      </c>
      <c r="Q7" s="173" t="s">
        <v>107</v>
      </c>
      <c r="R7" s="173" t="s">
        <v>108</v>
      </c>
    </row>
    <row r="8" spans="1:18" ht="13.5" customHeight="1" x14ac:dyDescent="0.35">
      <c r="B8" s="7"/>
      <c r="C8" s="7"/>
      <c r="D8" s="7"/>
      <c r="E8" s="173" t="s">
        <v>128</v>
      </c>
      <c r="F8" s="173" t="s">
        <v>129</v>
      </c>
      <c r="G8" s="173">
        <v>384</v>
      </c>
      <c r="H8" s="173" t="s">
        <v>164</v>
      </c>
      <c r="I8" s="173">
        <v>5312</v>
      </c>
      <c r="J8" s="173" t="s">
        <v>130</v>
      </c>
      <c r="K8" s="173">
        <v>1371</v>
      </c>
      <c r="L8" s="173" t="s">
        <v>165</v>
      </c>
      <c r="M8" s="173">
        <v>2015</v>
      </c>
      <c r="N8" s="173">
        <v>2015</v>
      </c>
      <c r="O8" s="173" t="s">
        <v>24</v>
      </c>
      <c r="P8" s="173">
        <v>2941</v>
      </c>
      <c r="Q8" s="173" t="s">
        <v>131</v>
      </c>
      <c r="R8" s="173" t="s">
        <v>132</v>
      </c>
    </row>
    <row r="9" spans="1:18" ht="13.5" customHeight="1" x14ac:dyDescent="0.35">
      <c r="B9" s="7"/>
      <c r="C9" s="7"/>
      <c r="D9" s="35"/>
      <c r="E9" s="173" t="s">
        <v>128</v>
      </c>
      <c r="F9" s="173" t="s">
        <v>129</v>
      </c>
      <c r="G9" s="173">
        <v>384</v>
      </c>
      <c r="H9" s="173" t="s">
        <v>164</v>
      </c>
      <c r="I9" s="173">
        <v>5312</v>
      </c>
      <c r="J9" s="173" t="s">
        <v>130</v>
      </c>
      <c r="K9" s="173">
        <v>1371</v>
      </c>
      <c r="L9" s="173" t="s">
        <v>165</v>
      </c>
      <c r="M9" s="173">
        <v>2016</v>
      </c>
      <c r="N9" s="173">
        <v>2016</v>
      </c>
      <c r="O9" s="173" t="s">
        <v>24</v>
      </c>
      <c r="P9" s="173">
        <v>2639</v>
      </c>
      <c r="Q9" s="173" t="s">
        <v>109</v>
      </c>
      <c r="R9" s="173" t="s">
        <v>110</v>
      </c>
    </row>
    <row r="10" spans="1:18" ht="13.5" customHeight="1" x14ac:dyDescent="0.35">
      <c r="B10" s="7"/>
      <c r="C10" s="7"/>
      <c r="D10" s="36"/>
      <c r="E10" s="173" t="s">
        <v>128</v>
      </c>
      <c r="F10" s="173" t="s">
        <v>129</v>
      </c>
      <c r="G10" s="173">
        <v>384</v>
      </c>
      <c r="H10" s="173" t="s">
        <v>164</v>
      </c>
      <c r="I10" s="173">
        <v>5312</v>
      </c>
      <c r="J10" s="173" t="s">
        <v>130</v>
      </c>
      <c r="K10" s="173">
        <v>1371</v>
      </c>
      <c r="L10" s="173" t="s">
        <v>165</v>
      </c>
      <c r="M10" s="173">
        <v>2017</v>
      </c>
      <c r="N10" s="173">
        <v>2017</v>
      </c>
      <c r="O10" s="173" t="s">
        <v>24</v>
      </c>
      <c r="P10" s="173">
        <v>2852</v>
      </c>
      <c r="Q10" s="173" t="s">
        <v>131</v>
      </c>
      <c r="R10" s="173" t="s">
        <v>132</v>
      </c>
    </row>
    <row r="11" spans="1:18" ht="13.5" customHeight="1" x14ac:dyDescent="0.35">
      <c r="B11" s="7"/>
      <c r="C11" s="7"/>
      <c r="D11" s="7"/>
      <c r="E11" s="173" t="s">
        <v>128</v>
      </c>
      <c r="F11" s="173" t="s">
        <v>129</v>
      </c>
      <c r="G11" s="173">
        <v>384</v>
      </c>
      <c r="H11" s="173" t="s">
        <v>164</v>
      </c>
      <c r="I11" s="173">
        <v>5312</v>
      </c>
      <c r="J11" s="173" t="s">
        <v>130</v>
      </c>
      <c r="K11" s="173">
        <v>1371</v>
      </c>
      <c r="L11" s="173" t="s">
        <v>165</v>
      </c>
      <c r="M11" s="173">
        <v>2018</v>
      </c>
      <c r="N11" s="173">
        <v>2018</v>
      </c>
      <c r="O11" s="173" t="s">
        <v>24</v>
      </c>
      <c r="P11" s="173">
        <v>2811</v>
      </c>
      <c r="Q11" s="173" t="s">
        <v>109</v>
      </c>
      <c r="R11" s="173" t="s">
        <v>110</v>
      </c>
    </row>
    <row r="12" spans="1:18" ht="13.5" customHeight="1" x14ac:dyDescent="0.35">
      <c r="B12" s="7"/>
      <c r="C12" s="7"/>
      <c r="D12" s="35"/>
      <c r="E12" s="173" t="s">
        <v>128</v>
      </c>
      <c r="F12" s="173" t="s">
        <v>129</v>
      </c>
      <c r="G12" s="173">
        <v>384</v>
      </c>
      <c r="H12" s="173" t="s">
        <v>164</v>
      </c>
      <c r="I12" s="173">
        <v>5312</v>
      </c>
      <c r="J12" s="173" t="s">
        <v>130</v>
      </c>
      <c r="K12" s="173">
        <v>1371</v>
      </c>
      <c r="L12" s="173" t="s">
        <v>165</v>
      </c>
      <c r="M12" s="173">
        <v>2019</v>
      </c>
      <c r="N12" s="173">
        <v>2019</v>
      </c>
      <c r="O12" s="173" t="s">
        <v>24</v>
      </c>
      <c r="P12" s="173">
        <v>2767</v>
      </c>
      <c r="Q12" s="173" t="s">
        <v>109</v>
      </c>
      <c r="R12" s="173" t="s">
        <v>110</v>
      </c>
    </row>
    <row r="13" spans="1:18" ht="13.5" customHeight="1" outlineLevel="1" x14ac:dyDescent="0.35">
      <c r="B13" s="7"/>
      <c r="C13" s="7"/>
      <c r="D13" s="7"/>
      <c r="E13" s="173" t="s">
        <v>128</v>
      </c>
      <c r="F13" s="173" t="s">
        <v>129</v>
      </c>
      <c r="G13" s="173">
        <v>384</v>
      </c>
      <c r="H13" s="173" t="s">
        <v>164</v>
      </c>
      <c r="I13" s="173">
        <v>5312</v>
      </c>
      <c r="J13" s="173" t="s">
        <v>130</v>
      </c>
      <c r="K13" s="173">
        <v>1371</v>
      </c>
      <c r="L13" s="173" t="s">
        <v>165</v>
      </c>
      <c r="M13" s="173">
        <v>2020</v>
      </c>
      <c r="N13" s="173">
        <v>2020</v>
      </c>
      <c r="O13" s="173" t="s">
        <v>24</v>
      </c>
      <c r="P13" s="173">
        <v>2810</v>
      </c>
      <c r="Q13" s="173" t="s">
        <v>109</v>
      </c>
      <c r="R13" s="173" t="s">
        <v>110</v>
      </c>
    </row>
    <row r="14" spans="1:18" ht="13.5" customHeight="1" outlineLevel="1" x14ac:dyDescent="0.35">
      <c r="B14" s="7"/>
      <c r="C14" s="7"/>
      <c r="D14" s="7"/>
      <c r="E14" s="173" t="s">
        <v>128</v>
      </c>
      <c r="F14" s="173" t="s">
        <v>129</v>
      </c>
      <c r="G14" s="173">
        <v>384</v>
      </c>
      <c r="H14" s="173" t="s">
        <v>164</v>
      </c>
      <c r="I14" s="173">
        <v>5312</v>
      </c>
      <c r="J14" s="173" t="s">
        <v>130</v>
      </c>
      <c r="K14" s="173">
        <v>1371</v>
      </c>
      <c r="L14" s="173" t="s">
        <v>165</v>
      </c>
      <c r="M14" s="173">
        <v>2021</v>
      </c>
      <c r="N14" s="173">
        <v>2021</v>
      </c>
      <c r="O14" s="173" t="s">
        <v>24</v>
      </c>
      <c r="P14" s="173">
        <v>2796</v>
      </c>
      <c r="Q14" s="173" t="s">
        <v>109</v>
      </c>
      <c r="R14" s="173" t="s">
        <v>110</v>
      </c>
    </row>
    <row r="15" spans="1:18" ht="13.5" customHeight="1" outlineLevel="1" x14ac:dyDescent="0.35">
      <c r="B15" s="7"/>
      <c r="C15" s="7"/>
      <c r="D15" s="7"/>
      <c r="E15" s="173" t="s">
        <v>128</v>
      </c>
      <c r="F15" s="173" t="s">
        <v>129</v>
      </c>
      <c r="G15" s="173">
        <v>384</v>
      </c>
      <c r="H15" s="173" t="s">
        <v>164</v>
      </c>
      <c r="I15" s="173">
        <v>5312</v>
      </c>
      <c r="J15" s="173" t="s">
        <v>130</v>
      </c>
      <c r="K15" s="173">
        <v>1311</v>
      </c>
      <c r="L15" s="173" t="s">
        <v>133</v>
      </c>
      <c r="M15" s="173">
        <v>2015</v>
      </c>
      <c r="N15" s="173">
        <v>2015</v>
      </c>
      <c r="O15" s="173" t="s">
        <v>24</v>
      </c>
      <c r="P15" s="173">
        <v>5227</v>
      </c>
      <c r="Q15" s="173" t="s">
        <v>131</v>
      </c>
      <c r="R15" s="173" t="s">
        <v>132</v>
      </c>
    </row>
    <row r="16" spans="1:18" ht="13.5" customHeight="1" outlineLevel="1" x14ac:dyDescent="0.35">
      <c r="B16" s="7"/>
      <c r="C16" s="7"/>
      <c r="D16" s="7"/>
      <c r="E16" s="173" t="s">
        <v>128</v>
      </c>
      <c r="F16" s="173" t="s">
        <v>129</v>
      </c>
      <c r="G16" s="173">
        <v>384</v>
      </c>
      <c r="H16" s="173" t="s">
        <v>164</v>
      </c>
      <c r="I16" s="173">
        <v>5312</v>
      </c>
      <c r="J16" s="173" t="s">
        <v>130</v>
      </c>
      <c r="K16" s="173">
        <v>1311</v>
      </c>
      <c r="L16" s="173" t="s">
        <v>133</v>
      </c>
      <c r="M16" s="173">
        <v>2016</v>
      </c>
      <c r="N16" s="173">
        <v>2016</v>
      </c>
      <c r="O16" s="173" t="s">
        <v>24</v>
      </c>
      <c r="P16" s="173">
        <v>5231</v>
      </c>
      <c r="Q16" s="173" t="s">
        <v>131</v>
      </c>
      <c r="R16" s="173" t="s">
        <v>132</v>
      </c>
    </row>
    <row r="17" spans="2:18" ht="13.5" customHeight="1" outlineLevel="1" x14ac:dyDescent="0.35">
      <c r="B17" s="7"/>
      <c r="C17" s="7"/>
      <c r="D17" s="7"/>
      <c r="E17" s="173" t="s">
        <v>128</v>
      </c>
      <c r="F17" s="173" t="s">
        <v>129</v>
      </c>
      <c r="G17" s="173">
        <v>384</v>
      </c>
      <c r="H17" s="173" t="s">
        <v>164</v>
      </c>
      <c r="I17" s="173">
        <v>5312</v>
      </c>
      <c r="J17" s="173" t="s">
        <v>130</v>
      </c>
      <c r="K17" s="173">
        <v>1311</v>
      </c>
      <c r="L17" s="173" t="s">
        <v>133</v>
      </c>
      <c r="M17" s="173">
        <v>2017</v>
      </c>
      <c r="N17" s="173">
        <v>2017</v>
      </c>
      <c r="O17" s="173" t="s">
        <v>24</v>
      </c>
      <c r="P17" s="173">
        <v>5225</v>
      </c>
      <c r="Q17" s="173" t="s">
        <v>131</v>
      </c>
      <c r="R17" s="173" t="s">
        <v>132</v>
      </c>
    </row>
    <row r="18" spans="2:18" ht="13.5" customHeight="1" outlineLevel="1" x14ac:dyDescent="0.35">
      <c r="B18" s="7"/>
      <c r="C18" s="7"/>
      <c r="D18" s="7"/>
      <c r="E18" s="173" t="s">
        <v>128</v>
      </c>
      <c r="F18" s="173" t="s">
        <v>129</v>
      </c>
      <c r="G18" s="173">
        <v>384</v>
      </c>
      <c r="H18" s="173" t="s">
        <v>164</v>
      </c>
      <c r="I18" s="173">
        <v>5312</v>
      </c>
      <c r="J18" s="173" t="s">
        <v>130</v>
      </c>
      <c r="K18" s="173">
        <v>1311</v>
      </c>
      <c r="L18" s="173" t="s">
        <v>133</v>
      </c>
      <c r="M18" s="173">
        <v>2018</v>
      </c>
      <c r="N18" s="173">
        <v>2018</v>
      </c>
      <c r="O18" s="173" t="s">
        <v>24</v>
      </c>
      <c r="P18" s="173">
        <v>5338</v>
      </c>
      <c r="Q18" s="173" t="s">
        <v>131</v>
      </c>
      <c r="R18" s="173" t="s">
        <v>132</v>
      </c>
    </row>
    <row r="19" spans="2:18" ht="13.5" customHeight="1" outlineLevel="1" x14ac:dyDescent="0.35">
      <c r="B19" s="7"/>
      <c r="C19" s="7"/>
      <c r="D19" s="7"/>
      <c r="E19" s="173" t="s">
        <v>128</v>
      </c>
      <c r="F19" s="173" t="s">
        <v>129</v>
      </c>
      <c r="G19" s="173">
        <v>384</v>
      </c>
      <c r="H19" s="173" t="s">
        <v>164</v>
      </c>
      <c r="I19" s="173">
        <v>5312</v>
      </c>
      <c r="J19" s="173" t="s">
        <v>130</v>
      </c>
      <c r="K19" s="173">
        <v>1311</v>
      </c>
      <c r="L19" s="173" t="s">
        <v>133</v>
      </c>
      <c r="M19" s="173">
        <v>2019</v>
      </c>
      <c r="N19" s="173">
        <v>2019</v>
      </c>
      <c r="O19" s="173" t="s">
        <v>24</v>
      </c>
      <c r="P19" s="173">
        <v>5419</v>
      </c>
      <c r="Q19" s="173" t="s">
        <v>131</v>
      </c>
      <c r="R19" s="173" t="s">
        <v>132</v>
      </c>
    </row>
    <row r="20" spans="2:18" ht="13.5" customHeight="1" outlineLevel="1" x14ac:dyDescent="0.35">
      <c r="B20" s="7"/>
      <c r="C20" s="7"/>
      <c r="D20" s="7"/>
      <c r="E20" s="173" t="s">
        <v>128</v>
      </c>
      <c r="F20" s="173" t="s">
        <v>129</v>
      </c>
      <c r="G20" s="173">
        <v>384</v>
      </c>
      <c r="H20" s="173" t="s">
        <v>164</v>
      </c>
      <c r="I20" s="173">
        <v>5312</v>
      </c>
      <c r="J20" s="173" t="s">
        <v>130</v>
      </c>
      <c r="K20" s="173">
        <v>1311</v>
      </c>
      <c r="L20" s="173" t="s">
        <v>133</v>
      </c>
      <c r="M20" s="173">
        <v>2020</v>
      </c>
      <c r="N20" s="173">
        <v>2020</v>
      </c>
      <c r="O20" s="173" t="s">
        <v>24</v>
      </c>
      <c r="P20" s="173">
        <v>5457</v>
      </c>
      <c r="Q20" s="173" t="s">
        <v>131</v>
      </c>
      <c r="R20" s="173" t="s">
        <v>132</v>
      </c>
    </row>
    <row r="21" spans="2:18" ht="13.5" customHeight="1" outlineLevel="1" x14ac:dyDescent="0.35">
      <c r="B21" s="7"/>
      <c r="C21" s="7"/>
      <c r="D21" s="7"/>
      <c r="E21" s="173" t="s">
        <v>128</v>
      </c>
      <c r="F21" s="173" t="s">
        <v>129</v>
      </c>
      <c r="G21" s="173">
        <v>384</v>
      </c>
      <c r="H21" s="173" t="s">
        <v>164</v>
      </c>
      <c r="I21" s="173">
        <v>5312</v>
      </c>
      <c r="J21" s="173" t="s">
        <v>130</v>
      </c>
      <c r="K21" s="173">
        <v>1311</v>
      </c>
      <c r="L21" s="173" t="s">
        <v>133</v>
      </c>
      <c r="M21" s="173">
        <v>2021</v>
      </c>
      <c r="N21" s="173">
        <v>2021</v>
      </c>
      <c r="O21" s="173" t="s">
        <v>24</v>
      </c>
      <c r="P21" s="173">
        <v>5493</v>
      </c>
      <c r="Q21" s="173" t="s">
        <v>131</v>
      </c>
      <c r="R21" s="173" t="s">
        <v>132</v>
      </c>
    </row>
    <row r="22" spans="2:18" ht="13.5" customHeight="1" outlineLevel="1" x14ac:dyDescent="0.35">
      <c r="B22" s="7"/>
      <c r="C22" s="7"/>
      <c r="D22" s="7"/>
      <c r="E22" s="173" t="s">
        <v>128</v>
      </c>
      <c r="F22" s="173" t="s">
        <v>129</v>
      </c>
      <c r="G22" s="173">
        <v>384</v>
      </c>
      <c r="H22" s="173" t="s">
        <v>164</v>
      </c>
      <c r="I22" s="173">
        <v>5312</v>
      </c>
      <c r="J22" s="173" t="s">
        <v>130</v>
      </c>
      <c r="K22" s="173">
        <v>1312</v>
      </c>
      <c r="L22" s="173" t="s">
        <v>122</v>
      </c>
      <c r="M22" s="173">
        <v>2015</v>
      </c>
      <c r="N22" s="173">
        <v>2015</v>
      </c>
      <c r="O22" s="173" t="s">
        <v>24</v>
      </c>
      <c r="P22" s="173">
        <v>8319</v>
      </c>
      <c r="Q22" s="173" t="s">
        <v>131</v>
      </c>
      <c r="R22" s="173" t="s">
        <v>132</v>
      </c>
    </row>
    <row r="23" spans="2:18" ht="13.5" customHeight="1" outlineLevel="1" x14ac:dyDescent="0.35">
      <c r="B23" s="7"/>
      <c r="C23" s="7"/>
      <c r="D23" s="7"/>
      <c r="E23" s="173" t="s">
        <v>128</v>
      </c>
      <c r="F23" s="173" t="s">
        <v>129</v>
      </c>
      <c r="G23" s="173">
        <v>384</v>
      </c>
      <c r="H23" s="173" t="s">
        <v>164</v>
      </c>
      <c r="I23" s="173">
        <v>5312</v>
      </c>
      <c r="J23" s="173" t="s">
        <v>130</v>
      </c>
      <c r="K23" s="173">
        <v>1312</v>
      </c>
      <c r="L23" s="173" t="s">
        <v>122</v>
      </c>
      <c r="M23" s="173">
        <v>2016</v>
      </c>
      <c r="N23" s="173">
        <v>2016</v>
      </c>
      <c r="O23" s="173" t="s">
        <v>24</v>
      </c>
      <c r="P23" s="173">
        <v>8924</v>
      </c>
      <c r="Q23" s="173" t="s">
        <v>131</v>
      </c>
      <c r="R23" s="173" t="s">
        <v>132</v>
      </c>
    </row>
    <row r="24" spans="2:18" ht="13.5" customHeight="1" outlineLevel="1" x14ac:dyDescent="0.35">
      <c r="B24" s="51"/>
      <c r="C24" s="7"/>
      <c r="D24" s="52"/>
      <c r="E24" s="173" t="s">
        <v>128</v>
      </c>
      <c r="F24" s="173" t="s">
        <v>129</v>
      </c>
      <c r="G24" s="173">
        <v>384</v>
      </c>
      <c r="H24" s="173" t="s">
        <v>164</v>
      </c>
      <c r="I24" s="173">
        <v>5312</v>
      </c>
      <c r="J24" s="173" t="s">
        <v>130</v>
      </c>
      <c r="K24" s="173">
        <v>1312</v>
      </c>
      <c r="L24" s="173" t="s">
        <v>122</v>
      </c>
      <c r="M24" s="173">
        <v>2017</v>
      </c>
      <c r="N24" s="173">
        <v>2017</v>
      </c>
      <c r="O24" s="173" t="s">
        <v>24</v>
      </c>
      <c r="P24" s="173">
        <v>9012</v>
      </c>
      <c r="Q24" s="173" t="s">
        <v>131</v>
      </c>
      <c r="R24" s="173" t="s">
        <v>132</v>
      </c>
    </row>
    <row r="25" spans="2:18" ht="13.5" customHeight="1" outlineLevel="1" x14ac:dyDescent="0.35">
      <c r="B25" s="7"/>
      <c r="C25" s="7"/>
      <c r="D25" s="7"/>
      <c r="E25" s="173" t="s">
        <v>128</v>
      </c>
      <c r="F25" s="173" t="s">
        <v>129</v>
      </c>
      <c r="G25" s="173">
        <v>384</v>
      </c>
      <c r="H25" s="173" t="s">
        <v>164</v>
      </c>
      <c r="I25" s="173">
        <v>5312</v>
      </c>
      <c r="J25" s="173" t="s">
        <v>130</v>
      </c>
      <c r="K25" s="173">
        <v>1312</v>
      </c>
      <c r="L25" s="173" t="s">
        <v>122</v>
      </c>
      <c r="M25" s="173">
        <v>2018</v>
      </c>
      <c r="N25" s="173">
        <v>2018</v>
      </c>
      <c r="O25" s="173" t="s">
        <v>24</v>
      </c>
      <c r="P25" s="173">
        <v>6075</v>
      </c>
      <c r="Q25" s="173" t="s">
        <v>131</v>
      </c>
      <c r="R25" s="173" t="s">
        <v>132</v>
      </c>
    </row>
    <row r="26" spans="2:18" ht="13.5" customHeight="1" outlineLevel="1" x14ac:dyDescent="0.35">
      <c r="B26" s="7"/>
      <c r="C26" s="7"/>
      <c r="D26" s="7"/>
      <c r="E26" s="173" t="s">
        <v>128</v>
      </c>
      <c r="F26" s="173" t="s">
        <v>129</v>
      </c>
      <c r="G26" s="173">
        <v>384</v>
      </c>
      <c r="H26" s="173" t="s">
        <v>164</v>
      </c>
      <c r="I26" s="173">
        <v>5312</v>
      </c>
      <c r="J26" s="173" t="s">
        <v>130</v>
      </c>
      <c r="K26" s="173">
        <v>1312</v>
      </c>
      <c r="L26" s="173" t="s">
        <v>122</v>
      </c>
      <c r="M26" s="173">
        <v>2019</v>
      </c>
      <c r="N26" s="173">
        <v>2019</v>
      </c>
      <c r="O26" s="173" t="s">
        <v>24</v>
      </c>
      <c r="P26" s="173">
        <v>11278</v>
      </c>
      <c r="Q26" s="173" t="s">
        <v>131</v>
      </c>
      <c r="R26" s="173" t="s">
        <v>132</v>
      </c>
    </row>
    <row r="27" spans="2:18" ht="13.5" customHeight="1" outlineLevel="1" x14ac:dyDescent="0.35">
      <c r="B27" s="7"/>
      <c r="C27" s="7"/>
      <c r="D27" s="7"/>
      <c r="E27" s="173" t="s">
        <v>128</v>
      </c>
      <c r="F27" s="173" t="s">
        <v>129</v>
      </c>
      <c r="G27" s="173">
        <v>384</v>
      </c>
      <c r="H27" s="173" t="s">
        <v>164</v>
      </c>
      <c r="I27" s="173">
        <v>5312</v>
      </c>
      <c r="J27" s="173" t="s">
        <v>130</v>
      </c>
      <c r="K27" s="173">
        <v>1312</v>
      </c>
      <c r="L27" s="173" t="s">
        <v>122</v>
      </c>
      <c r="M27" s="173">
        <v>2020</v>
      </c>
      <c r="N27" s="173">
        <v>2020</v>
      </c>
      <c r="O27" s="173" t="s">
        <v>24</v>
      </c>
      <c r="P27" s="173">
        <v>14123</v>
      </c>
      <c r="Q27" s="173" t="s">
        <v>131</v>
      </c>
      <c r="R27" s="173" t="s">
        <v>132</v>
      </c>
    </row>
    <row r="28" spans="2:18" ht="13.5" customHeight="1" outlineLevel="1" x14ac:dyDescent="0.35">
      <c r="B28" s="7"/>
      <c r="C28" s="7"/>
      <c r="D28" s="7"/>
      <c r="E28" s="173" t="s">
        <v>128</v>
      </c>
      <c r="F28" s="173" t="s">
        <v>129</v>
      </c>
      <c r="G28" s="173">
        <v>384</v>
      </c>
      <c r="H28" s="173" t="s">
        <v>164</v>
      </c>
      <c r="I28" s="173">
        <v>5312</v>
      </c>
      <c r="J28" s="173" t="s">
        <v>130</v>
      </c>
      <c r="K28" s="173">
        <v>1312</v>
      </c>
      <c r="L28" s="173" t="s">
        <v>122</v>
      </c>
      <c r="M28" s="173">
        <v>2021</v>
      </c>
      <c r="N28" s="173">
        <v>2021</v>
      </c>
      <c r="O28" s="173" t="s">
        <v>24</v>
      </c>
      <c r="P28" s="173">
        <v>13961</v>
      </c>
      <c r="Q28" s="173" t="s">
        <v>131</v>
      </c>
      <c r="R28" s="173" t="s">
        <v>132</v>
      </c>
    </row>
    <row r="29" spans="2:18" ht="13.5" customHeight="1" outlineLevel="1" x14ac:dyDescent="0.35">
      <c r="B29" s="7"/>
      <c r="C29" s="7"/>
      <c r="D29" s="7"/>
      <c r="E29" s="173" t="s">
        <v>128</v>
      </c>
      <c r="F29" s="173" t="s">
        <v>129</v>
      </c>
      <c r="G29" s="173">
        <v>384</v>
      </c>
      <c r="H29" s="173" t="s">
        <v>164</v>
      </c>
      <c r="I29" s="173">
        <v>5312</v>
      </c>
      <c r="J29" s="173" t="s">
        <v>130</v>
      </c>
      <c r="K29" s="173">
        <v>1701</v>
      </c>
      <c r="L29" s="173" t="s">
        <v>114</v>
      </c>
      <c r="M29" s="173">
        <v>2015</v>
      </c>
      <c r="N29" s="173">
        <v>2015</v>
      </c>
      <c r="O29" s="173" t="s">
        <v>24</v>
      </c>
      <c r="P29" s="173">
        <v>45548</v>
      </c>
      <c r="Q29" s="173" t="s">
        <v>131</v>
      </c>
      <c r="R29" s="173" t="s">
        <v>132</v>
      </c>
    </row>
    <row r="30" spans="2:18" ht="13.5" customHeight="1" outlineLevel="1" x14ac:dyDescent="0.35">
      <c r="B30" s="7"/>
      <c r="C30" s="7"/>
      <c r="D30" s="7"/>
      <c r="E30" s="173" t="s">
        <v>128</v>
      </c>
      <c r="F30" s="173" t="s">
        <v>129</v>
      </c>
      <c r="G30" s="173">
        <v>384</v>
      </c>
      <c r="H30" s="173" t="s">
        <v>164</v>
      </c>
      <c r="I30" s="173">
        <v>5312</v>
      </c>
      <c r="J30" s="173" t="s">
        <v>130</v>
      </c>
      <c r="K30" s="173">
        <v>1701</v>
      </c>
      <c r="L30" s="173" t="s">
        <v>114</v>
      </c>
      <c r="M30" s="173">
        <v>2016</v>
      </c>
      <c r="N30" s="173">
        <v>2016</v>
      </c>
      <c r="O30" s="173" t="s">
        <v>24</v>
      </c>
      <c r="P30" s="173">
        <v>43651</v>
      </c>
      <c r="Q30" s="173" t="s">
        <v>109</v>
      </c>
      <c r="R30" s="173" t="s">
        <v>110</v>
      </c>
    </row>
    <row r="31" spans="2:18" ht="13.5" customHeight="1" outlineLevel="1" x14ac:dyDescent="0.35">
      <c r="B31" s="7"/>
      <c r="C31" s="7"/>
      <c r="D31" s="7"/>
      <c r="E31" s="173" t="s">
        <v>128</v>
      </c>
      <c r="F31" s="173" t="s">
        <v>129</v>
      </c>
      <c r="G31" s="173">
        <v>384</v>
      </c>
      <c r="H31" s="173" t="s">
        <v>164</v>
      </c>
      <c r="I31" s="173">
        <v>5312</v>
      </c>
      <c r="J31" s="173" t="s">
        <v>130</v>
      </c>
      <c r="K31" s="173">
        <v>1701</v>
      </c>
      <c r="L31" s="173" t="s">
        <v>114</v>
      </c>
      <c r="M31" s="173">
        <v>2017</v>
      </c>
      <c r="N31" s="173">
        <v>2017</v>
      </c>
      <c r="O31" s="173" t="s">
        <v>24</v>
      </c>
      <c r="P31" s="173">
        <v>44295</v>
      </c>
      <c r="Q31" s="173" t="s">
        <v>131</v>
      </c>
      <c r="R31" s="173" t="s">
        <v>132</v>
      </c>
    </row>
    <row r="32" spans="2:18" ht="13.5" customHeight="1" x14ac:dyDescent="0.35">
      <c r="B32" s="7"/>
      <c r="C32" s="7"/>
      <c r="D32" s="7"/>
      <c r="E32" s="173" t="s">
        <v>128</v>
      </c>
      <c r="F32" s="173" t="s">
        <v>129</v>
      </c>
      <c r="G32" s="173">
        <v>384</v>
      </c>
      <c r="H32" s="173" t="s">
        <v>164</v>
      </c>
      <c r="I32" s="173">
        <v>5312</v>
      </c>
      <c r="J32" s="173" t="s">
        <v>130</v>
      </c>
      <c r="K32" s="173">
        <v>1701</v>
      </c>
      <c r="L32" s="173" t="s">
        <v>114</v>
      </c>
      <c r="M32" s="173">
        <v>2018</v>
      </c>
      <c r="N32" s="173">
        <v>2018</v>
      </c>
      <c r="O32" s="173" t="s">
        <v>24</v>
      </c>
      <c r="P32" s="173">
        <v>44498</v>
      </c>
      <c r="Q32" s="173" t="s">
        <v>109</v>
      </c>
      <c r="R32" s="173" t="s">
        <v>110</v>
      </c>
    </row>
    <row r="33" spans="2:18" ht="13.5" customHeight="1" x14ac:dyDescent="0.35">
      <c r="B33" s="7"/>
      <c r="C33" s="7"/>
      <c r="D33" s="7"/>
      <c r="E33" s="173" t="s">
        <v>128</v>
      </c>
      <c r="F33" s="173" t="s">
        <v>129</v>
      </c>
      <c r="G33" s="173">
        <v>384</v>
      </c>
      <c r="H33" s="173" t="s">
        <v>164</v>
      </c>
      <c r="I33" s="173">
        <v>5312</v>
      </c>
      <c r="J33" s="173" t="s">
        <v>130</v>
      </c>
      <c r="K33" s="173">
        <v>1701</v>
      </c>
      <c r="L33" s="173" t="s">
        <v>114</v>
      </c>
      <c r="M33" s="173">
        <v>2019</v>
      </c>
      <c r="N33" s="173">
        <v>2019</v>
      </c>
      <c r="O33" s="173" t="s">
        <v>24</v>
      </c>
      <c r="P33" s="173">
        <v>44148</v>
      </c>
      <c r="Q33" s="173" t="s">
        <v>109</v>
      </c>
      <c r="R33" s="173" t="s">
        <v>110</v>
      </c>
    </row>
    <row r="34" spans="2:18" ht="13.5" customHeight="1" x14ac:dyDescent="0.35">
      <c r="E34" s="173" t="s">
        <v>128</v>
      </c>
      <c r="F34" s="173" t="s">
        <v>129</v>
      </c>
      <c r="G34" s="173">
        <v>384</v>
      </c>
      <c r="H34" s="173" t="s">
        <v>164</v>
      </c>
      <c r="I34" s="173">
        <v>5312</v>
      </c>
      <c r="J34" s="173" t="s">
        <v>130</v>
      </c>
      <c r="K34" s="173">
        <v>1701</v>
      </c>
      <c r="L34" s="173" t="s">
        <v>114</v>
      </c>
      <c r="M34" s="173">
        <v>2020</v>
      </c>
      <c r="N34" s="173">
        <v>2020</v>
      </c>
      <c r="O34" s="173" t="s">
        <v>24</v>
      </c>
      <c r="P34" s="173">
        <v>44314</v>
      </c>
      <c r="Q34" s="173" t="s">
        <v>109</v>
      </c>
      <c r="R34" s="173" t="s">
        <v>110</v>
      </c>
    </row>
    <row r="35" spans="2:18" ht="13.5" customHeight="1" x14ac:dyDescent="0.35">
      <c r="E35" s="173" t="s">
        <v>128</v>
      </c>
      <c r="F35" s="173" t="s">
        <v>129</v>
      </c>
      <c r="G35" s="173">
        <v>384</v>
      </c>
      <c r="H35" s="173" t="s">
        <v>164</v>
      </c>
      <c r="I35" s="173">
        <v>5312</v>
      </c>
      <c r="J35" s="173" t="s">
        <v>130</v>
      </c>
      <c r="K35" s="173">
        <v>1701</v>
      </c>
      <c r="L35" s="173" t="s">
        <v>114</v>
      </c>
      <c r="M35" s="173">
        <v>2021</v>
      </c>
      <c r="N35" s="173">
        <v>2021</v>
      </c>
      <c r="O35" s="173" t="s">
        <v>24</v>
      </c>
      <c r="P35" s="173">
        <v>44320</v>
      </c>
      <c r="Q35" s="173" t="s">
        <v>109</v>
      </c>
      <c r="R35" s="173" t="s">
        <v>110</v>
      </c>
    </row>
    <row r="36" spans="2:18" ht="13.5" customHeight="1" x14ac:dyDescent="0.35">
      <c r="E36" s="173" t="s">
        <v>128</v>
      </c>
      <c r="F36" s="173" t="s">
        <v>129</v>
      </c>
      <c r="G36" s="173">
        <v>384</v>
      </c>
      <c r="H36" s="173" t="s">
        <v>164</v>
      </c>
      <c r="I36" s="173">
        <v>5312</v>
      </c>
      <c r="J36" s="173" t="s">
        <v>130</v>
      </c>
      <c r="K36" s="173">
        <v>1372</v>
      </c>
      <c r="L36" s="173" t="s">
        <v>136</v>
      </c>
      <c r="M36" s="173">
        <v>2015</v>
      </c>
      <c r="N36" s="173">
        <v>2015</v>
      </c>
      <c r="O36" s="173" t="s">
        <v>24</v>
      </c>
      <c r="P36" s="173">
        <v>1675000</v>
      </c>
      <c r="Q36" s="173" t="s">
        <v>109</v>
      </c>
      <c r="R36" s="173" t="s">
        <v>110</v>
      </c>
    </row>
    <row r="37" spans="2:18" ht="13.5" customHeight="1" x14ac:dyDescent="0.35">
      <c r="E37" s="173" t="s">
        <v>128</v>
      </c>
      <c r="F37" s="173" t="s">
        <v>129</v>
      </c>
      <c r="G37" s="173">
        <v>384</v>
      </c>
      <c r="H37" s="173" t="s">
        <v>164</v>
      </c>
      <c r="I37" s="173">
        <v>5312</v>
      </c>
      <c r="J37" s="173" t="s">
        <v>130</v>
      </c>
      <c r="K37" s="173">
        <v>1372</v>
      </c>
      <c r="L37" s="173" t="s">
        <v>136</v>
      </c>
      <c r="M37" s="173">
        <v>2016</v>
      </c>
      <c r="N37" s="173">
        <v>2016</v>
      </c>
      <c r="O37" s="173" t="s">
        <v>24</v>
      </c>
      <c r="P37" s="173">
        <v>1530804</v>
      </c>
      <c r="Q37" s="173" t="s">
        <v>131</v>
      </c>
      <c r="R37" s="173" t="s">
        <v>132</v>
      </c>
    </row>
    <row r="38" spans="2:18" ht="13.5" customHeight="1" x14ac:dyDescent="0.35">
      <c r="E38" s="173" t="s">
        <v>128</v>
      </c>
      <c r="F38" s="173" t="s">
        <v>129</v>
      </c>
      <c r="G38" s="173">
        <v>384</v>
      </c>
      <c r="H38" s="173" t="s">
        <v>164</v>
      </c>
      <c r="I38" s="173">
        <v>5312</v>
      </c>
      <c r="J38" s="173" t="s">
        <v>130</v>
      </c>
      <c r="K38" s="173">
        <v>1372</v>
      </c>
      <c r="L38" s="173" t="s">
        <v>136</v>
      </c>
      <c r="M38" s="173">
        <v>2017</v>
      </c>
      <c r="N38" s="173">
        <v>2017</v>
      </c>
      <c r="O38" s="173" t="s">
        <v>24</v>
      </c>
      <c r="P38" s="173">
        <v>1660327</v>
      </c>
      <c r="Q38" s="173" t="s">
        <v>131</v>
      </c>
      <c r="R38" s="173" t="s">
        <v>132</v>
      </c>
    </row>
    <row r="39" spans="2:18" ht="13.5" customHeight="1" x14ac:dyDescent="0.35">
      <c r="E39" s="173" t="s">
        <v>128</v>
      </c>
      <c r="F39" s="173" t="s">
        <v>129</v>
      </c>
      <c r="G39" s="173">
        <v>384</v>
      </c>
      <c r="H39" s="173" t="s">
        <v>164</v>
      </c>
      <c r="I39" s="173">
        <v>5312</v>
      </c>
      <c r="J39" s="173" t="s">
        <v>130</v>
      </c>
      <c r="K39" s="173">
        <v>1372</v>
      </c>
      <c r="L39" s="173" t="s">
        <v>136</v>
      </c>
      <c r="M39" s="173">
        <v>2018</v>
      </c>
      <c r="N39" s="173">
        <v>2018</v>
      </c>
      <c r="O39" s="173" t="s">
        <v>24</v>
      </c>
      <c r="P39" s="173">
        <v>1790861</v>
      </c>
      <c r="Q39" s="173" t="s">
        <v>131</v>
      </c>
      <c r="R39" s="173" t="s">
        <v>132</v>
      </c>
    </row>
    <row r="40" spans="2:18" ht="13.5" customHeight="1" x14ac:dyDescent="0.35">
      <c r="E40" s="173" t="s">
        <v>128</v>
      </c>
      <c r="F40" s="173" t="s">
        <v>129</v>
      </c>
      <c r="G40" s="173">
        <v>384</v>
      </c>
      <c r="H40" s="173" t="s">
        <v>164</v>
      </c>
      <c r="I40" s="173">
        <v>5312</v>
      </c>
      <c r="J40" s="173" t="s">
        <v>130</v>
      </c>
      <c r="K40" s="173">
        <v>1372</v>
      </c>
      <c r="L40" s="173" t="s">
        <v>136</v>
      </c>
      <c r="M40" s="173">
        <v>2019</v>
      </c>
      <c r="N40" s="173">
        <v>2019</v>
      </c>
      <c r="O40" s="173" t="s">
        <v>24</v>
      </c>
      <c r="P40" s="173">
        <v>1517635</v>
      </c>
      <c r="Q40" s="173" t="s">
        <v>131</v>
      </c>
      <c r="R40" s="173" t="s">
        <v>132</v>
      </c>
    </row>
    <row r="41" spans="2:18" ht="13.5" customHeight="1" x14ac:dyDescent="0.35">
      <c r="E41" s="173" t="s">
        <v>128</v>
      </c>
      <c r="F41" s="173" t="s">
        <v>129</v>
      </c>
      <c r="G41" s="173">
        <v>384</v>
      </c>
      <c r="H41" s="173" t="s">
        <v>164</v>
      </c>
      <c r="I41" s="173">
        <v>5312</v>
      </c>
      <c r="J41" s="173" t="s">
        <v>130</v>
      </c>
      <c r="K41" s="173">
        <v>1372</v>
      </c>
      <c r="L41" s="173" t="s">
        <v>136</v>
      </c>
      <c r="M41" s="173">
        <v>2020</v>
      </c>
      <c r="N41" s="173">
        <v>2020</v>
      </c>
      <c r="O41" s="173" t="s">
        <v>24</v>
      </c>
      <c r="P41" s="173">
        <v>2022567</v>
      </c>
      <c r="Q41" s="173" t="s">
        <v>131</v>
      </c>
      <c r="R41" s="173" t="s">
        <v>132</v>
      </c>
    </row>
    <row r="42" spans="2:18" ht="13.5" customHeight="1" x14ac:dyDescent="0.35">
      <c r="E42" s="173" t="s">
        <v>128</v>
      </c>
      <c r="F42" s="173" t="s">
        <v>129</v>
      </c>
      <c r="G42" s="173">
        <v>384</v>
      </c>
      <c r="H42" s="173" t="s">
        <v>164</v>
      </c>
      <c r="I42" s="173">
        <v>5312</v>
      </c>
      <c r="J42" s="173" t="s">
        <v>130</v>
      </c>
      <c r="K42" s="173">
        <v>1372</v>
      </c>
      <c r="L42" s="173" t="s">
        <v>136</v>
      </c>
      <c r="M42" s="173">
        <v>2021</v>
      </c>
      <c r="N42" s="173">
        <v>2021</v>
      </c>
      <c r="O42" s="173" t="s">
        <v>24</v>
      </c>
      <c r="P42" s="173">
        <v>1989861</v>
      </c>
      <c r="Q42" s="173" t="s">
        <v>131</v>
      </c>
      <c r="R42" s="173" t="s">
        <v>132</v>
      </c>
    </row>
    <row r="43" spans="2:18" ht="13.5" customHeight="1" x14ac:dyDescent="0.35">
      <c r="E43" s="173" t="s">
        <v>128</v>
      </c>
      <c r="F43" s="173" t="s">
        <v>129</v>
      </c>
      <c r="G43" s="173">
        <v>384</v>
      </c>
      <c r="H43" s="173" t="s">
        <v>164</v>
      </c>
      <c r="I43" s="173">
        <v>5312</v>
      </c>
      <c r="J43" s="173" t="s">
        <v>130</v>
      </c>
      <c r="K43" s="173" t="s">
        <v>166</v>
      </c>
      <c r="L43" s="173" t="s">
        <v>124</v>
      </c>
      <c r="M43" s="173">
        <v>2015</v>
      </c>
      <c r="N43" s="173">
        <v>2015</v>
      </c>
      <c r="O43" s="173" t="s">
        <v>24</v>
      </c>
      <c r="P43" s="173">
        <v>798201</v>
      </c>
      <c r="Q43" s="173" t="s">
        <v>131</v>
      </c>
      <c r="R43" s="173" t="s">
        <v>132</v>
      </c>
    </row>
    <row r="44" spans="2:18" ht="13.5" customHeight="1" x14ac:dyDescent="0.35">
      <c r="E44" s="173" t="s">
        <v>128</v>
      </c>
      <c r="F44" s="173" t="s">
        <v>129</v>
      </c>
      <c r="G44" s="173">
        <v>384</v>
      </c>
      <c r="H44" s="173" t="s">
        <v>164</v>
      </c>
      <c r="I44" s="173">
        <v>5312</v>
      </c>
      <c r="J44" s="173" t="s">
        <v>130</v>
      </c>
      <c r="K44" s="173" t="s">
        <v>166</v>
      </c>
      <c r="L44" s="173" t="s">
        <v>124</v>
      </c>
      <c r="M44" s="173">
        <v>2016</v>
      </c>
      <c r="N44" s="173">
        <v>2016</v>
      </c>
      <c r="O44" s="173" t="s">
        <v>24</v>
      </c>
      <c r="P44" s="173">
        <v>726829</v>
      </c>
      <c r="Q44" s="173" t="s">
        <v>131</v>
      </c>
      <c r="R44" s="173" t="s">
        <v>132</v>
      </c>
    </row>
    <row r="45" spans="2:18" ht="13.5" customHeight="1" x14ac:dyDescent="0.35">
      <c r="E45" s="173" t="s">
        <v>128</v>
      </c>
      <c r="F45" s="173" t="s">
        <v>129</v>
      </c>
      <c r="G45" s="173">
        <v>384</v>
      </c>
      <c r="H45" s="173" t="s">
        <v>164</v>
      </c>
      <c r="I45" s="173">
        <v>5312</v>
      </c>
      <c r="J45" s="173" t="s">
        <v>130</v>
      </c>
      <c r="K45" s="173" t="s">
        <v>166</v>
      </c>
      <c r="L45" s="173" t="s">
        <v>124</v>
      </c>
      <c r="M45" s="173">
        <v>2017</v>
      </c>
      <c r="N45" s="173">
        <v>2017</v>
      </c>
      <c r="O45" s="173" t="s">
        <v>24</v>
      </c>
      <c r="P45" s="173">
        <v>878898</v>
      </c>
      <c r="Q45" s="173" t="s">
        <v>131</v>
      </c>
      <c r="R45" s="173" t="s">
        <v>132</v>
      </c>
    </row>
    <row r="46" spans="2:18" ht="13.5" customHeight="1" x14ac:dyDescent="0.35">
      <c r="E46" s="173" t="s">
        <v>128</v>
      </c>
      <c r="F46" s="173" t="s">
        <v>129</v>
      </c>
      <c r="G46" s="173">
        <v>384</v>
      </c>
      <c r="H46" s="173" t="s">
        <v>164</v>
      </c>
      <c r="I46" s="173">
        <v>5312</v>
      </c>
      <c r="J46" s="173" t="s">
        <v>130</v>
      </c>
      <c r="K46" s="173" t="s">
        <v>166</v>
      </c>
      <c r="L46" s="173" t="s">
        <v>124</v>
      </c>
      <c r="M46" s="173">
        <v>2018</v>
      </c>
      <c r="N46" s="173">
        <v>2018</v>
      </c>
      <c r="O46" s="173" t="s">
        <v>24</v>
      </c>
      <c r="P46" s="173">
        <v>991677</v>
      </c>
      <c r="Q46" s="173" t="s">
        <v>131</v>
      </c>
      <c r="R46" s="173" t="s">
        <v>132</v>
      </c>
    </row>
    <row r="47" spans="2:18" ht="13.5" customHeight="1" x14ac:dyDescent="0.35">
      <c r="E47" s="173" t="s">
        <v>128</v>
      </c>
      <c r="F47" s="173" t="s">
        <v>129</v>
      </c>
      <c r="G47" s="173">
        <v>384</v>
      </c>
      <c r="H47" s="173" t="s">
        <v>164</v>
      </c>
      <c r="I47" s="173">
        <v>5312</v>
      </c>
      <c r="J47" s="173" t="s">
        <v>130</v>
      </c>
      <c r="K47" s="173" t="s">
        <v>166</v>
      </c>
      <c r="L47" s="173" t="s">
        <v>124</v>
      </c>
      <c r="M47" s="173">
        <v>2019</v>
      </c>
      <c r="N47" s="173">
        <v>2019</v>
      </c>
      <c r="O47" s="173" t="s">
        <v>24</v>
      </c>
      <c r="P47" s="173">
        <v>922955</v>
      </c>
      <c r="Q47" s="173" t="s">
        <v>109</v>
      </c>
      <c r="R47" s="173" t="s">
        <v>110</v>
      </c>
    </row>
    <row r="48" spans="2:18" ht="13.5" customHeight="1" x14ac:dyDescent="0.35">
      <c r="E48" s="173" t="s">
        <v>128</v>
      </c>
      <c r="F48" s="173" t="s">
        <v>129</v>
      </c>
      <c r="G48" s="173">
        <v>384</v>
      </c>
      <c r="H48" s="173" t="s">
        <v>164</v>
      </c>
      <c r="I48" s="173">
        <v>5312</v>
      </c>
      <c r="J48" s="173" t="s">
        <v>130</v>
      </c>
      <c r="K48" s="173" t="s">
        <v>166</v>
      </c>
      <c r="L48" s="173" t="s">
        <v>124</v>
      </c>
      <c r="M48" s="173">
        <v>2020</v>
      </c>
      <c r="N48" s="173">
        <v>2020</v>
      </c>
      <c r="O48" s="173" t="s">
        <v>24</v>
      </c>
      <c r="P48" s="173">
        <v>1011891</v>
      </c>
      <c r="Q48" s="173" t="s">
        <v>109</v>
      </c>
      <c r="R48" s="173" t="s">
        <v>110</v>
      </c>
    </row>
    <row r="49" spans="5:20" ht="13.5" customHeight="1" x14ac:dyDescent="0.35">
      <c r="E49" s="173" t="s">
        <v>128</v>
      </c>
      <c r="F49" s="173" t="s">
        <v>129</v>
      </c>
      <c r="G49" s="173">
        <v>384</v>
      </c>
      <c r="H49" s="173" t="s">
        <v>164</v>
      </c>
      <c r="I49" s="173">
        <v>5312</v>
      </c>
      <c r="J49" s="173" t="s">
        <v>130</v>
      </c>
      <c r="K49" s="173" t="s">
        <v>166</v>
      </c>
      <c r="L49" s="173" t="s">
        <v>124</v>
      </c>
      <c r="M49" s="173">
        <v>2021</v>
      </c>
      <c r="N49" s="173">
        <v>2021</v>
      </c>
      <c r="O49" s="173" t="s">
        <v>24</v>
      </c>
      <c r="P49" s="173">
        <v>1093246</v>
      </c>
      <c r="Q49" s="173" t="s">
        <v>109</v>
      </c>
      <c r="R49" s="173" t="s">
        <v>110</v>
      </c>
    </row>
    <row r="50" spans="5:20" ht="13.5" customHeight="1" x14ac:dyDescent="0.35">
      <c r="E50" s="173" t="s">
        <v>128</v>
      </c>
      <c r="F50" s="173" t="s">
        <v>129</v>
      </c>
      <c r="G50" s="173">
        <v>384</v>
      </c>
      <c r="H50" s="173" t="s">
        <v>164</v>
      </c>
      <c r="I50" s="173">
        <v>5312</v>
      </c>
      <c r="J50" s="173" t="s">
        <v>130</v>
      </c>
      <c r="K50" s="173">
        <v>1652</v>
      </c>
      <c r="L50" s="173" t="s">
        <v>139</v>
      </c>
      <c r="M50" s="173">
        <v>2015</v>
      </c>
      <c r="N50" s="173">
        <v>2015</v>
      </c>
      <c r="O50" s="173" t="s">
        <v>24</v>
      </c>
      <c r="P50" s="173">
        <v>25804</v>
      </c>
      <c r="Q50" s="173" t="s">
        <v>131</v>
      </c>
      <c r="R50" s="173" t="s">
        <v>132</v>
      </c>
    </row>
    <row r="51" spans="5:20" ht="13.5" customHeight="1" x14ac:dyDescent="0.35">
      <c r="E51" s="173" t="s">
        <v>128</v>
      </c>
      <c r="F51" s="173" t="s">
        <v>129</v>
      </c>
      <c r="G51" s="173">
        <v>384</v>
      </c>
      <c r="H51" s="173" t="s">
        <v>164</v>
      </c>
      <c r="I51" s="173">
        <v>5312</v>
      </c>
      <c r="J51" s="173" t="s">
        <v>130</v>
      </c>
      <c r="K51" s="173">
        <v>1652</v>
      </c>
      <c r="L51" s="173" t="s">
        <v>139</v>
      </c>
      <c r="M51" s="173">
        <v>2016</v>
      </c>
      <c r="N51" s="173">
        <v>2016</v>
      </c>
      <c r="O51" s="173" t="s">
        <v>24</v>
      </c>
      <c r="P51" s="173">
        <v>24741</v>
      </c>
      <c r="Q51" s="173" t="s">
        <v>109</v>
      </c>
      <c r="R51" s="173" t="s">
        <v>110</v>
      </c>
    </row>
    <row r="52" spans="5:20" ht="13.5" customHeight="1" x14ac:dyDescent="0.35">
      <c r="E52" s="173" t="s">
        <v>128</v>
      </c>
      <c r="F52" s="173" t="s">
        <v>129</v>
      </c>
      <c r="G52" s="173">
        <v>384</v>
      </c>
      <c r="H52" s="173" t="s">
        <v>164</v>
      </c>
      <c r="I52" s="173">
        <v>5312</v>
      </c>
      <c r="J52" s="173" t="s">
        <v>130</v>
      </c>
      <c r="K52" s="173">
        <v>1652</v>
      </c>
      <c r="L52" s="173" t="s">
        <v>139</v>
      </c>
      <c r="M52" s="173">
        <v>2017</v>
      </c>
      <c r="N52" s="173">
        <v>2017</v>
      </c>
      <c r="O52" s="173" t="s">
        <v>24</v>
      </c>
      <c r="P52" s="173">
        <v>25922</v>
      </c>
      <c r="Q52" s="173" t="s">
        <v>131</v>
      </c>
      <c r="R52" s="173" t="s">
        <v>132</v>
      </c>
    </row>
    <row r="53" spans="5:20" ht="13.5" customHeight="1" x14ac:dyDescent="0.35">
      <c r="E53" s="173" t="s">
        <v>128</v>
      </c>
      <c r="F53" s="173" t="s">
        <v>129</v>
      </c>
      <c r="G53" s="173">
        <v>384</v>
      </c>
      <c r="H53" s="173" t="s">
        <v>164</v>
      </c>
      <c r="I53" s="173">
        <v>5312</v>
      </c>
      <c r="J53" s="173" t="s">
        <v>130</v>
      </c>
      <c r="K53" s="173">
        <v>1652</v>
      </c>
      <c r="L53" s="173" t="s">
        <v>139</v>
      </c>
      <c r="M53" s="173">
        <v>2018</v>
      </c>
      <c r="N53" s="173">
        <v>2018</v>
      </c>
      <c r="O53" s="173" t="s">
        <v>24</v>
      </c>
      <c r="P53" s="173">
        <v>25489</v>
      </c>
      <c r="Q53" s="173" t="s">
        <v>109</v>
      </c>
      <c r="R53" s="173" t="s">
        <v>110</v>
      </c>
    </row>
    <row r="54" spans="5:20" ht="13.5" customHeight="1" x14ac:dyDescent="0.35">
      <c r="E54" s="173" t="s">
        <v>128</v>
      </c>
      <c r="F54" s="173" t="s">
        <v>129</v>
      </c>
      <c r="G54" s="173">
        <v>384</v>
      </c>
      <c r="H54" s="173" t="s">
        <v>164</v>
      </c>
      <c r="I54" s="173">
        <v>5312</v>
      </c>
      <c r="J54" s="173" t="s">
        <v>130</v>
      </c>
      <c r="K54" s="173">
        <v>1652</v>
      </c>
      <c r="L54" s="173" t="s">
        <v>139</v>
      </c>
      <c r="M54" s="173">
        <v>2019</v>
      </c>
      <c r="N54" s="173">
        <v>2019</v>
      </c>
      <c r="O54" s="173" t="s">
        <v>24</v>
      </c>
      <c r="P54" s="173">
        <v>25384</v>
      </c>
      <c r="Q54" s="173" t="s">
        <v>109</v>
      </c>
      <c r="R54" s="173" t="s">
        <v>110</v>
      </c>
    </row>
    <row r="55" spans="5:20" ht="13.5" customHeight="1" x14ac:dyDescent="0.35">
      <c r="E55" s="173" t="s">
        <v>128</v>
      </c>
      <c r="F55" s="173" t="s">
        <v>129</v>
      </c>
      <c r="G55" s="173">
        <v>384</v>
      </c>
      <c r="H55" s="173" t="s">
        <v>164</v>
      </c>
      <c r="I55" s="173">
        <v>5312</v>
      </c>
      <c r="J55" s="173" t="s">
        <v>130</v>
      </c>
      <c r="K55" s="173">
        <v>1652</v>
      </c>
      <c r="L55" s="173" t="s">
        <v>139</v>
      </c>
      <c r="M55" s="173">
        <v>2020</v>
      </c>
      <c r="N55" s="173">
        <v>2020</v>
      </c>
      <c r="O55" s="173" t="s">
        <v>24</v>
      </c>
      <c r="P55" s="173">
        <v>25598</v>
      </c>
      <c r="Q55" s="173" t="s">
        <v>109</v>
      </c>
      <c r="R55" s="173" t="s">
        <v>110</v>
      </c>
    </row>
    <row r="56" spans="5:20" ht="13.5" customHeight="1" x14ac:dyDescent="0.35">
      <c r="E56" s="173" t="s">
        <v>128</v>
      </c>
      <c r="F56" s="173" t="s">
        <v>129</v>
      </c>
      <c r="G56" s="173">
        <v>384</v>
      </c>
      <c r="H56" s="173" t="s">
        <v>164</v>
      </c>
      <c r="I56" s="173">
        <v>5312</v>
      </c>
      <c r="J56" s="173" t="s">
        <v>130</v>
      </c>
      <c r="K56" s="173">
        <v>1652</v>
      </c>
      <c r="L56" s="173" t="s">
        <v>139</v>
      </c>
      <c r="M56" s="173">
        <v>2021</v>
      </c>
      <c r="N56" s="173">
        <v>2021</v>
      </c>
      <c r="O56" s="173" t="s">
        <v>24</v>
      </c>
      <c r="P56" s="173">
        <v>25490</v>
      </c>
      <c r="Q56" s="173" t="s">
        <v>109</v>
      </c>
      <c r="R56" s="173" t="s">
        <v>110</v>
      </c>
    </row>
    <row r="57" spans="5:20" ht="13.5" customHeight="1" x14ac:dyDescent="0.35">
      <c r="E57" s="173" t="s">
        <v>128</v>
      </c>
      <c r="F57" s="173" t="s">
        <v>129</v>
      </c>
      <c r="G57" s="173">
        <v>384</v>
      </c>
      <c r="H57" s="173" t="s">
        <v>164</v>
      </c>
      <c r="I57" s="173">
        <v>5312</v>
      </c>
      <c r="J57" s="173" t="s">
        <v>130</v>
      </c>
      <c r="K57" s="173">
        <v>1231</v>
      </c>
      <c r="L57" s="173" t="s">
        <v>140</v>
      </c>
      <c r="M57" s="173">
        <v>2015</v>
      </c>
      <c r="N57" s="173">
        <v>2015</v>
      </c>
      <c r="O57" s="173" t="s">
        <v>24</v>
      </c>
      <c r="P57" s="173">
        <v>4057</v>
      </c>
      <c r="Q57" s="173" t="s">
        <v>131</v>
      </c>
      <c r="R57" s="173" t="s">
        <v>132</v>
      </c>
    </row>
    <row r="58" spans="5:20" ht="13.5" customHeight="1" x14ac:dyDescent="0.35">
      <c r="E58" s="173" t="s">
        <v>128</v>
      </c>
      <c r="F58" s="173" t="s">
        <v>129</v>
      </c>
      <c r="G58" s="173">
        <v>384</v>
      </c>
      <c r="H58" s="173" t="s">
        <v>164</v>
      </c>
      <c r="I58" s="173">
        <v>5312</v>
      </c>
      <c r="J58" s="173" t="s">
        <v>130</v>
      </c>
      <c r="K58" s="173">
        <v>1231</v>
      </c>
      <c r="L58" s="173" t="s">
        <v>140</v>
      </c>
      <c r="M58" s="173">
        <v>2016</v>
      </c>
      <c r="N58" s="173">
        <v>2016</v>
      </c>
      <c r="O58" s="173" t="s">
        <v>24</v>
      </c>
      <c r="P58" s="173">
        <v>4036</v>
      </c>
      <c r="Q58" s="173" t="s">
        <v>131</v>
      </c>
      <c r="R58" s="173" t="s">
        <v>132</v>
      </c>
    </row>
    <row r="59" spans="5:20" ht="13.5" customHeight="1" x14ac:dyDescent="0.35">
      <c r="E59" s="173" t="s">
        <v>128</v>
      </c>
      <c r="F59" s="173" t="s">
        <v>129</v>
      </c>
      <c r="G59" s="173">
        <v>384</v>
      </c>
      <c r="H59" s="173" t="s">
        <v>164</v>
      </c>
      <c r="I59" s="173">
        <v>5312</v>
      </c>
      <c r="J59" s="173" t="s">
        <v>130</v>
      </c>
      <c r="K59" s="173">
        <v>1231</v>
      </c>
      <c r="L59" s="173" t="s">
        <v>140</v>
      </c>
      <c r="M59" s="173">
        <v>2017</v>
      </c>
      <c r="N59" s="173">
        <v>2017</v>
      </c>
      <c r="O59" s="173" t="s">
        <v>24</v>
      </c>
      <c r="P59" s="173">
        <v>4029</v>
      </c>
      <c r="Q59" s="173" t="s">
        <v>131</v>
      </c>
      <c r="R59" s="173" t="s">
        <v>132</v>
      </c>
    </row>
    <row r="60" spans="5:20" ht="13.5" customHeight="1" x14ac:dyDescent="0.35">
      <c r="E60" s="173" t="s">
        <v>128</v>
      </c>
      <c r="F60" s="173" t="s">
        <v>129</v>
      </c>
      <c r="G60" s="173">
        <v>384</v>
      </c>
      <c r="H60" s="173" t="s">
        <v>164</v>
      </c>
      <c r="I60" s="173">
        <v>5312</v>
      </c>
      <c r="J60" s="173" t="s">
        <v>130</v>
      </c>
      <c r="K60" s="173">
        <v>1231</v>
      </c>
      <c r="L60" s="173" t="s">
        <v>140</v>
      </c>
      <c r="M60" s="173">
        <v>2018</v>
      </c>
      <c r="N60" s="173">
        <v>2018</v>
      </c>
      <c r="O60" s="173" t="s">
        <v>24</v>
      </c>
      <c r="P60" s="173">
        <v>4065</v>
      </c>
      <c r="Q60" s="173" t="s">
        <v>131</v>
      </c>
      <c r="R60" s="173" t="s">
        <v>132</v>
      </c>
    </row>
    <row r="61" spans="5:20" ht="13.5" customHeight="1" x14ac:dyDescent="0.35">
      <c r="E61" s="173" t="s">
        <v>128</v>
      </c>
      <c r="F61" s="173" t="s">
        <v>129</v>
      </c>
      <c r="G61" s="173">
        <v>384</v>
      </c>
      <c r="H61" s="173" t="s">
        <v>164</v>
      </c>
      <c r="I61" s="173">
        <v>5312</v>
      </c>
      <c r="J61" s="173" t="s">
        <v>130</v>
      </c>
      <c r="K61" s="173">
        <v>1231</v>
      </c>
      <c r="L61" s="173" t="s">
        <v>140</v>
      </c>
      <c r="M61" s="173">
        <v>2019</v>
      </c>
      <c r="N61" s="173">
        <v>2019</v>
      </c>
      <c r="O61" s="173" t="s">
        <v>24</v>
      </c>
      <c r="P61" s="173">
        <v>4065</v>
      </c>
      <c r="Q61" s="173" t="s">
        <v>131</v>
      </c>
      <c r="R61" s="173" t="s">
        <v>132</v>
      </c>
    </row>
    <row r="62" spans="5:20" ht="13.5" customHeight="1" x14ac:dyDescent="0.35">
      <c r="E62" s="173" t="s">
        <v>128</v>
      </c>
      <c r="F62" s="173" t="s">
        <v>129</v>
      </c>
      <c r="G62" s="173">
        <v>384</v>
      </c>
      <c r="H62" s="173" t="s">
        <v>164</v>
      </c>
      <c r="I62" s="173">
        <v>5312</v>
      </c>
      <c r="J62" s="173" t="s">
        <v>130</v>
      </c>
      <c r="K62" s="173">
        <v>1231</v>
      </c>
      <c r="L62" s="173" t="s">
        <v>140</v>
      </c>
      <c r="M62" s="173">
        <v>2020</v>
      </c>
      <c r="N62" s="173">
        <v>2020</v>
      </c>
      <c r="O62" s="173" t="s">
        <v>24</v>
      </c>
      <c r="P62" s="173">
        <v>4068</v>
      </c>
      <c r="Q62" s="173" t="s">
        <v>131</v>
      </c>
      <c r="R62" s="173" t="s">
        <v>132</v>
      </c>
    </row>
    <row r="63" spans="5:20" ht="13.5" customHeight="1" x14ac:dyDescent="0.35">
      <c r="E63" s="173" t="s">
        <v>128</v>
      </c>
      <c r="F63" s="173" t="s">
        <v>129</v>
      </c>
      <c r="G63" s="173">
        <v>384</v>
      </c>
      <c r="H63" s="173" t="s">
        <v>164</v>
      </c>
      <c r="I63" s="173">
        <v>5312</v>
      </c>
      <c r="J63" s="173" t="s">
        <v>130</v>
      </c>
      <c r="K63" s="173">
        <v>1231</v>
      </c>
      <c r="L63" s="173" t="s">
        <v>140</v>
      </c>
      <c r="M63" s="173">
        <v>2021</v>
      </c>
      <c r="N63" s="173">
        <v>2021</v>
      </c>
      <c r="O63" s="173" t="s">
        <v>24</v>
      </c>
      <c r="P63" s="173">
        <v>4070</v>
      </c>
      <c r="Q63" s="173" t="s">
        <v>131</v>
      </c>
      <c r="R63" s="173" t="s">
        <v>132</v>
      </c>
      <c r="T63" s="7"/>
    </row>
    <row r="64" spans="5:20" ht="13.5" customHeight="1" x14ac:dyDescent="0.35">
      <c r="E64" s="173" t="s">
        <v>128</v>
      </c>
      <c r="F64" s="173" t="s">
        <v>129</v>
      </c>
      <c r="G64" s="173">
        <v>384</v>
      </c>
      <c r="H64" s="173" t="s">
        <v>164</v>
      </c>
      <c r="I64" s="173">
        <v>5312</v>
      </c>
      <c r="J64" s="173" t="s">
        <v>130</v>
      </c>
      <c r="K64" s="173">
        <v>1640</v>
      </c>
      <c r="L64" s="173" t="s">
        <v>167</v>
      </c>
      <c r="M64" s="173">
        <v>2015</v>
      </c>
      <c r="N64" s="173">
        <v>2015</v>
      </c>
      <c r="O64" s="173" t="s">
        <v>24</v>
      </c>
      <c r="P64" s="173">
        <v>3458163</v>
      </c>
      <c r="Q64" s="173" t="s">
        <v>131</v>
      </c>
      <c r="R64" s="173" t="s">
        <v>132</v>
      </c>
      <c r="T64" s="7"/>
    </row>
    <row r="65" spans="5:20" ht="13.5" customHeight="1" x14ac:dyDescent="0.35">
      <c r="E65" s="173" t="s">
        <v>128</v>
      </c>
      <c r="F65" s="173" t="s">
        <v>129</v>
      </c>
      <c r="G65" s="173">
        <v>384</v>
      </c>
      <c r="H65" s="173" t="s">
        <v>164</v>
      </c>
      <c r="I65" s="173">
        <v>5312</v>
      </c>
      <c r="J65" s="173" t="s">
        <v>130</v>
      </c>
      <c r="K65" s="173">
        <v>1640</v>
      </c>
      <c r="L65" s="173" t="s">
        <v>167</v>
      </c>
      <c r="M65" s="173">
        <v>2016</v>
      </c>
      <c r="N65" s="173">
        <v>2016</v>
      </c>
      <c r="O65" s="173" t="s">
        <v>24</v>
      </c>
      <c r="P65" s="173">
        <v>3168749</v>
      </c>
      <c r="Q65" s="173" t="s">
        <v>131</v>
      </c>
      <c r="R65" s="173" t="s">
        <v>132</v>
      </c>
      <c r="T65" s="7"/>
    </row>
    <row r="66" spans="5:20" ht="13.5" customHeight="1" x14ac:dyDescent="0.35">
      <c r="E66" s="173" t="s">
        <v>128</v>
      </c>
      <c r="F66" s="173" t="s">
        <v>129</v>
      </c>
      <c r="G66" s="173">
        <v>384</v>
      </c>
      <c r="H66" s="173" t="s">
        <v>164</v>
      </c>
      <c r="I66" s="173">
        <v>5312</v>
      </c>
      <c r="J66" s="173" t="s">
        <v>130</v>
      </c>
      <c r="K66" s="173">
        <v>1640</v>
      </c>
      <c r="L66" s="173" t="s">
        <v>167</v>
      </c>
      <c r="M66" s="173">
        <v>2017</v>
      </c>
      <c r="N66" s="173">
        <v>2017</v>
      </c>
      <c r="O66" s="173" t="s">
        <v>24</v>
      </c>
      <c r="P66" s="173">
        <v>3982695</v>
      </c>
      <c r="Q66" s="173" t="s">
        <v>131</v>
      </c>
      <c r="R66" s="173" t="s">
        <v>132</v>
      </c>
      <c r="T66" s="7"/>
    </row>
    <row r="67" spans="5:20" ht="13.5" customHeight="1" x14ac:dyDescent="0.35">
      <c r="E67" s="173" t="s">
        <v>128</v>
      </c>
      <c r="F67" s="173" t="s">
        <v>129</v>
      </c>
      <c r="G67" s="173">
        <v>384</v>
      </c>
      <c r="H67" s="173" t="s">
        <v>164</v>
      </c>
      <c r="I67" s="173">
        <v>5312</v>
      </c>
      <c r="J67" s="173" t="s">
        <v>130</v>
      </c>
      <c r="K67" s="173">
        <v>1640</v>
      </c>
      <c r="L67" s="173" t="s">
        <v>167</v>
      </c>
      <c r="M67" s="173">
        <v>2018</v>
      </c>
      <c r="N67" s="173">
        <v>2018</v>
      </c>
      <c r="O67" s="173" t="s">
        <v>24</v>
      </c>
      <c r="P67" s="173">
        <v>4267698</v>
      </c>
      <c r="Q67" s="173" t="s">
        <v>109</v>
      </c>
      <c r="R67" s="173" t="s">
        <v>110</v>
      </c>
      <c r="T67" s="7"/>
    </row>
    <row r="68" spans="5:20" ht="13.5" customHeight="1" x14ac:dyDescent="0.35">
      <c r="E68" s="173" t="s">
        <v>128</v>
      </c>
      <c r="F68" s="173" t="s">
        <v>129</v>
      </c>
      <c r="G68" s="173">
        <v>384</v>
      </c>
      <c r="H68" s="173" t="s">
        <v>164</v>
      </c>
      <c r="I68" s="173">
        <v>5312</v>
      </c>
      <c r="J68" s="173" t="s">
        <v>130</v>
      </c>
      <c r="K68" s="173">
        <v>1640</v>
      </c>
      <c r="L68" s="173" t="s">
        <v>167</v>
      </c>
      <c r="M68" s="173">
        <v>2019</v>
      </c>
      <c r="N68" s="173">
        <v>2019</v>
      </c>
      <c r="O68" s="173" t="s">
        <v>24</v>
      </c>
      <c r="P68" s="173">
        <v>4732864</v>
      </c>
      <c r="Q68" s="173" t="s">
        <v>109</v>
      </c>
      <c r="R68" s="173" t="s">
        <v>110</v>
      </c>
      <c r="T68" s="7"/>
    </row>
    <row r="69" spans="5:20" ht="13.5" customHeight="1" x14ac:dyDescent="0.35">
      <c r="E69" s="173" t="s">
        <v>128</v>
      </c>
      <c r="F69" s="173" t="s">
        <v>129</v>
      </c>
      <c r="G69" s="173">
        <v>384</v>
      </c>
      <c r="H69" s="173" t="s">
        <v>164</v>
      </c>
      <c r="I69" s="173">
        <v>5312</v>
      </c>
      <c r="J69" s="173" t="s">
        <v>130</v>
      </c>
      <c r="K69" s="173">
        <v>1640</v>
      </c>
      <c r="L69" s="173" t="s">
        <v>167</v>
      </c>
      <c r="M69" s="173">
        <v>2020</v>
      </c>
      <c r="N69" s="173">
        <v>2020</v>
      </c>
      <c r="O69" s="173" t="s">
        <v>24</v>
      </c>
      <c r="P69" s="173">
        <v>4817367</v>
      </c>
      <c r="Q69" s="173" t="s">
        <v>109</v>
      </c>
      <c r="R69" s="173" t="s">
        <v>110</v>
      </c>
      <c r="T69" s="7"/>
    </row>
    <row r="70" spans="5:20" ht="13.5" customHeight="1" x14ac:dyDescent="0.35">
      <c r="E70" s="173" t="s">
        <v>128</v>
      </c>
      <c r="F70" s="173" t="s">
        <v>129</v>
      </c>
      <c r="G70" s="173">
        <v>384</v>
      </c>
      <c r="H70" s="173" t="s">
        <v>164</v>
      </c>
      <c r="I70" s="173">
        <v>5312</v>
      </c>
      <c r="J70" s="173" t="s">
        <v>130</v>
      </c>
      <c r="K70" s="173">
        <v>1640</v>
      </c>
      <c r="L70" s="173" t="s">
        <v>167</v>
      </c>
      <c r="M70" s="173">
        <v>2021</v>
      </c>
      <c r="N70" s="173">
        <v>2021</v>
      </c>
      <c r="O70" s="173" t="s">
        <v>24</v>
      </c>
      <c r="P70" s="173">
        <v>4214608</v>
      </c>
      <c r="Q70" s="173" t="s">
        <v>109</v>
      </c>
      <c r="R70" s="173" t="s">
        <v>110</v>
      </c>
      <c r="T70" s="7"/>
    </row>
    <row r="71" spans="5:20" ht="13.5" customHeight="1" x14ac:dyDescent="0.35">
      <c r="E71" s="173" t="s">
        <v>128</v>
      </c>
      <c r="F71" s="173" t="s">
        <v>129</v>
      </c>
      <c r="G71" s="173">
        <v>384</v>
      </c>
      <c r="H71" s="173" t="s">
        <v>164</v>
      </c>
      <c r="I71" s="173">
        <v>5312</v>
      </c>
      <c r="J71" s="173" t="s">
        <v>130</v>
      </c>
      <c r="K71" s="173">
        <v>1460</v>
      </c>
      <c r="L71" s="173" t="s">
        <v>121</v>
      </c>
      <c r="M71" s="173">
        <v>2015</v>
      </c>
      <c r="N71" s="173">
        <v>2015</v>
      </c>
      <c r="O71" s="173" t="s">
        <v>24</v>
      </c>
      <c r="P71" s="173">
        <v>38000</v>
      </c>
      <c r="Q71" s="173" t="s">
        <v>134</v>
      </c>
      <c r="R71" s="173" t="s">
        <v>135</v>
      </c>
      <c r="T71" s="7"/>
    </row>
    <row r="72" spans="5:20" ht="13.5" customHeight="1" x14ac:dyDescent="0.35">
      <c r="E72" s="173" t="s">
        <v>128</v>
      </c>
      <c r="F72" s="173" t="s">
        <v>129</v>
      </c>
      <c r="G72" s="173">
        <v>384</v>
      </c>
      <c r="H72" s="173" t="s">
        <v>164</v>
      </c>
      <c r="I72" s="173">
        <v>5312</v>
      </c>
      <c r="J72" s="173" t="s">
        <v>130</v>
      </c>
      <c r="K72" s="173">
        <v>1460</v>
      </c>
      <c r="L72" s="173" t="s">
        <v>121</v>
      </c>
      <c r="M72" s="173">
        <v>2016</v>
      </c>
      <c r="N72" s="173">
        <v>2016</v>
      </c>
      <c r="O72" s="173" t="s">
        <v>24</v>
      </c>
      <c r="P72" s="173">
        <v>37000</v>
      </c>
      <c r="Q72" s="173" t="s">
        <v>134</v>
      </c>
      <c r="R72" s="173" t="s">
        <v>135</v>
      </c>
      <c r="T72" s="7"/>
    </row>
    <row r="73" spans="5:20" ht="13.5" customHeight="1" x14ac:dyDescent="0.35">
      <c r="E73" s="173" t="s">
        <v>128</v>
      </c>
      <c r="F73" s="173" t="s">
        <v>129</v>
      </c>
      <c r="G73" s="173">
        <v>384</v>
      </c>
      <c r="H73" s="173" t="s">
        <v>164</v>
      </c>
      <c r="I73" s="173">
        <v>5312</v>
      </c>
      <c r="J73" s="173" t="s">
        <v>130</v>
      </c>
      <c r="K73" s="173">
        <v>1460</v>
      </c>
      <c r="L73" s="173" t="s">
        <v>121</v>
      </c>
      <c r="M73" s="173">
        <v>2017</v>
      </c>
      <c r="N73" s="173">
        <v>2017</v>
      </c>
      <c r="O73" s="173" t="s">
        <v>24</v>
      </c>
      <c r="P73" s="173">
        <v>37000</v>
      </c>
      <c r="Q73" s="173" t="s">
        <v>134</v>
      </c>
      <c r="R73" s="173" t="s">
        <v>135</v>
      </c>
      <c r="T73" s="7"/>
    </row>
    <row r="74" spans="5:20" ht="13.5" customHeight="1" x14ac:dyDescent="0.35">
      <c r="E74" s="173" t="s">
        <v>128</v>
      </c>
      <c r="F74" s="173" t="s">
        <v>129</v>
      </c>
      <c r="G74" s="173">
        <v>384</v>
      </c>
      <c r="H74" s="173" t="s">
        <v>164</v>
      </c>
      <c r="I74" s="173">
        <v>5312</v>
      </c>
      <c r="J74" s="173" t="s">
        <v>130</v>
      </c>
      <c r="K74" s="173">
        <v>1460</v>
      </c>
      <c r="L74" s="173" t="s">
        <v>121</v>
      </c>
      <c r="M74" s="173">
        <v>2018</v>
      </c>
      <c r="N74" s="173">
        <v>2018</v>
      </c>
      <c r="O74" s="173" t="s">
        <v>24</v>
      </c>
      <c r="P74" s="173">
        <v>59000</v>
      </c>
      <c r="Q74" s="173" t="s">
        <v>134</v>
      </c>
      <c r="R74" s="173" t="s">
        <v>135</v>
      </c>
      <c r="T74" s="7"/>
    </row>
    <row r="75" spans="5:20" ht="13.5" customHeight="1" x14ac:dyDescent="0.35">
      <c r="E75" s="173" t="s">
        <v>128</v>
      </c>
      <c r="F75" s="173" t="s">
        <v>129</v>
      </c>
      <c r="G75" s="173">
        <v>384</v>
      </c>
      <c r="H75" s="173" t="s">
        <v>164</v>
      </c>
      <c r="I75" s="173">
        <v>5312</v>
      </c>
      <c r="J75" s="173" t="s">
        <v>130</v>
      </c>
      <c r="K75" s="173">
        <v>1460</v>
      </c>
      <c r="L75" s="173" t="s">
        <v>121</v>
      </c>
      <c r="M75" s="173">
        <v>2019</v>
      </c>
      <c r="N75" s="173">
        <v>2019</v>
      </c>
      <c r="O75" s="173" t="s">
        <v>24</v>
      </c>
      <c r="P75" s="173">
        <v>49672</v>
      </c>
      <c r="Q75" s="173" t="s">
        <v>131</v>
      </c>
      <c r="R75" s="173" t="s">
        <v>132</v>
      </c>
      <c r="T75" s="7"/>
    </row>
    <row r="76" spans="5:20" ht="13.5" customHeight="1" x14ac:dyDescent="0.35">
      <c r="E76" s="173" t="s">
        <v>128</v>
      </c>
      <c r="F76" s="173" t="s">
        <v>129</v>
      </c>
      <c r="G76" s="173">
        <v>384</v>
      </c>
      <c r="H76" s="173" t="s">
        <v>164</v>
      </c>
      <c r="I76" s="173">
        <v>5312</v>
      </c>
      <c r="J76" s="173" t="s">
        <v>130</v>
      </c>
      <c r="K76" s="173">
        <v>1460</v>
      </c>
      <c r="L76" s="173" t="s">
        <v>121</v>
      </c>
      <c r="M76" s="173">
        <v>2020</v>
      </c>
      <c r="N76" s="173">
        <v>2020</v>
      </c>
      <c r="O76" s="173" t="s">
        <v>24</v>
      </c>
      <c r="P76" s="173">
        <v>38198</v>
      </c>
      <c r="Q76" s="173" t="s">
        <v>131</v>
      </c>
      <c r="R76" s="173" t="s">
        <v>132</v>
      </c>
      <c r="T76" s="7"/>
    </row>
    <row r="77" spans="5:20" ht="13.5" customHeight="1" x14ac:dyDescent="0.35">
      <c r="E77" s="173" t="s">
        <v>128</v>
      </c>
      <c r="F77" s="173" t="s">
        <v>129</v>
      </c>
      <c r="G77" s="173">
        <v>384</v>
      </c>
      <c r="H77" s="173" t="s">
        <v>164</v>
      </c>
      <c r="I77" s="173">
        <v>5312</v>
      </c>
      <c r="J77" s="173" t="s">
        <v>130</v>
      </c>
      <c r="K77" s="173">
        <v>1460</v>
      </c>
      <c r="L77" s="173" t="s">
        <v>121</v>
      </c>
      <c r="M77" s="173">
        <v>2021</v>
      </c>
      <c r="N77" s="173">
        <v>2021</v>
      </c>
      <c r="O77" s="173" t="s">
        <v>24</v>
      </c>
      <c r="P77" s="173">
        <v>38531</v>
      </c>
      <c r="Q77" s="173" t="s">
        <v>131</v>
      </c>
      <c r="R77" s="173" t="s">
        <v>132</v>
      </c>
      <c r="T77" s="7"/>
    </row>
    <row r="78" spans="5:20" ht="13.5" customHeight="1" x14ac:dyDescent="0.35">
      <c r="E78" s="173" t="s">
        <v>128</v>
      </c>
      <c r="F78" s="173" t="s">
        <v>129</v>
      </c>
      <c r="G78" s="173">
        <v>384</v>
      </c>
      <c r="H78" s="173" t="s">
        <v>164</v>
      </c>
      <c r="I78" s="173">
        <v>5312</v>
      </c>
      <c r="J78" s="173" t="s">
        <v>130</v>
      </c>
      <c r="K78" s="173">
        <v>1610</v>
      </c>
      <c r="L78" s="173" t="s">
        <v>117</v>
      </c>
      <c r="M78" s="173">
        <v>2015</v>
      </c>
      <c r="N78" s="173">
        <v>2015</v>
      </c>
      <c r="O78" s="173" t="s">
        <v>24</v>
      </c>
      <c r="P78" s="173">
        <v>954793</v>
      </c>
      <c r="Q78" s="173" t="s">
        <v>131</v>
      </c>
      <c r="R78" s="173" t="s">
        <v>132</v>
      </c>
    </row>
    <row r="79" spans="5:20" ht="13.5" customHeight="1" x14ac:dyDescent="0.35">
      <c r="E79" s="173" t="s">
        <v>128</v>
      </c>
      <c r="F79" s="173" t="s">
        <v>129</v>
      </c>
      <c r="G79" s="173">
        <v>384</v>
      </c>
      <c r="H79" s="173" t="s">
        <v>164</v>
      </c>
      <c r="I79" s="173">
        <v>5312</v>
      </c>
      <c r="J79" s="173" t="s">
        <v>130</v>
      </c>
      <c r="K79" s="173">
        <v>1610</v>
      </c>
      <c r="L79" s="173" t="s">
        <v>117</v>
      </c>
      <c r="M79" s="173">
        <v>2016</v>
      </c>
      <c r="N79" s="173">
        <v>2016</v>
      </c>
      <c r="O79" s="173" t="s">
        <v>24</v>
      </c>
      <c r="P79" s="173">
        <v>830166</v>
      </c>
      <c r="Q79" s="173" t="s">
        <v>131</v>
      </c>
      <c r="R79" s="173" t="s">
        <v>132</v>
      </c>
    </row>
    <row r="80" spans="5:20" ht="13.5" customHeight="1" x14ac:dyDescent="0.35">
      <c r="E80" s="173" t="s">
        <v>128</v>
      </c>
      <c r="F80" s="173" t="s">
        <v>129</v>
      </c>
      <c r="G80" s="173">
        <v>384</v>
      </c>
      <c r="H80" s="173" t="s">
        <v>164</v>
      </c>
      <c r="I80" s="173">
        <v>5312</v>
      </c>
      <c r="J80" s="173" t="s">
        <v>130</v>
      </c>
      <c r="K80" s="173">
        <v>1610</v>
      </c>
      <c r="L80" s="173" t="s">
        <v>117</v>
      </c>
      <c r="M80" s="173">
        <v>2017</v>
      </c>
      <c r="N80" s="173">
        <v>2017</v>
      </c>
      <c r="O80" s="173" t="s">
        <v>24</v>
      </c>
      <c r="P80" s="173">
        <v>275011</v>
      </c>
      <c r="Q80" s="173" t="s">
        <v>109</v>
      </c>
      <c r="R80" s="173" t="s">
        <v>110</v>
      </c>
    </row>
    <row r="81" spans="5:18" ht="13.5" customHeight="1" x14ac:dyDescent="0.35">
      <c r="E81" s="173" t="s">
        <v>128</v>
      </c>
      <c r="F81" s="173" t="s">
        <v>129</v>
      </c>
      <c r="G81" s="173">
        <v>384</v>
      </c>
      <c r="H81" s="173" t="s">
        <v>164</v>
      </c>
      <c r="I81" s="173">
        <v>5312</v>
      </c>
      <c r="J81" s="173" t="s">
        <v>130</v>
      </c>
      <c r="K81" s="173">
        <v>1610</v>
      </c>
      <c r="L81" s="173" t="s">
        <v>117</v>
      </c>
      <c r="M81" s="173">
        <v>2018</v>
      </c>
      <c r="N81" s="173">
        <v>2018</v>
      </c>
      <c r="O81" s="173" t="s">
        <v>24</v>
      </c>
      <c r="P81" s="173">
        <v>1096915</v>
      </c>
      <c r="Q81" s="173" t="s">
        <v>131</v>
      </c>
      <c r="R81" s="173" t="s">
        <v>132</v>
      </c>
    </row>
    <row r="82" spans="5:18" ht="13.5" customHeight="1" x14ac:dyDescent="0.35">
      <c r="E82" s="173" t="s">
        <v>128</v>
      </c>
      <c r="F82" s="173" t="s">
        <v>129</v>
      </c>
      <c r="G82" s="173">
        <v>384</v>
      </c>
      <c r="H82" s="173" t="s">
        <v>164</v>
      </c>
      <c r="I82" s="173">
        <v>5312</v>
      </c>
      <c r="J82" s="173" t="s">
        <v>130</v>
      </c>
      <c r="K82" s="173">
        <v>1610</v>
      </c>
      <c r="L82" s="173" t="s">
        <v>117</v>
      </c>
      <c r="M82" s="173">
        <v>2019</v>
      </c>
      <c r="N82" s="173">
        <v>2019</v>
      </c>
      <c r="O82" s="173" t="s">
        <v>24</v>
      </c>
      <c r="P82" s="173">
        <v>1085615</v>
      </c>
      <c r="Q82" s="173" t="s">
        <v>131</v>
      </c>
      <c r="R82" s="173" t="s">
        <v>132</v>
      </c>
    </row>
    <row r="83" spans="5:18" ht="13.5" customHeight="1" x14ac:dyDescent="0.35">
      <c r="E83" s="173" t="s">
        <v>128</v>
      </c>
      <c r="F83" s="173" t="s">
        <v>129</v>
      </c>
      <c r="G83" s="173">
        <v>384</v>
      </c>
      <c r="H83" s="173" t="s">
        <v>164</v>
      </c>
      <c r="I83" s="173">
        <v>5312</v>
      </c>
      <c r="J83" s="173" t="s">
        <v>130</v>
      </c>
      <c r="K83" s="173">
        <v>1610</v>
      </c>
      <c r="L83" s="173" t="s">
        <v>117</v>
      </c>
      <c r="M83" s="173">
        <v>2020</v>
      </c>
      <c r="N83" s="173">
        <v>2020</v>
      </c>
      <c r="O83" s="173" t="s">
        <v>24</v>
      </c>
      <c r="P83" s="173">
        <v>1081370</v>
      </c>
      <c r="Q83" s="173" t="s">
        <v>131</v>
      </c>
      <c r="R83" s="173" t="s">
        <v>132</v>
      </c>
    </row>
    <row r="84" spans="5:18" ht="13.5" customHeight="1" x14ac:dyDescent="0.35">
      <c r="E84" s="173" t="s">
        <v>128</v>
      </c>
      <c r="F84" s="173" t="s">
        <v>129</v>
      </c>
      <c r="G84" s="173">
        <v>384</v>
      </c>
      <c r="H84" s="173" t="s">
        <v>164</v>
      </c>
      <c r="I84" s="173">
        <v>5312</v>
      </c>
      <c r="J84" s="173" t="s">
        <v>130</v>
      </c>
      <c r="K84" s="173">
        <v>1610</v>
      </c>
      <c r="L84" s="173" t="s">
        <v>117</v>
      </c>
      <c r="M84" s="173">
        <v>2021</v>
      </c>
      <c r="N84" s="173">
        <v>2021</v>
      </c>
      <c r="O84" s="173" t="s">
        <v>24</v>
      </c>
      <c r="P84" s="173">
        <v>999938</v>
      </c>
      <c r="Q84" s="173" t="s">
        <v>109</v>
      </c>
      <c r="R84" s="173" t="s">
        <v>110</v>
      </c>
    </row>
    <row r="85" spans="5:18" ht="13.5" customHeight="1" x14ac:dyDescent="0.35">
      <c r="E85" s="173" t="s">
        <v>128</v>
      </c>
      <c r="F85" s="173" t="s">
        <v>129</v>
      </c>
      <c r="G85" s="173">
        <v>384</v>
      </c>
      <c r="H85" s="173" t="s">
        <v>164</v>
      </c>
      <c r="I85" s="173">
        <v>5312</v>
      </c>
      <c r="J85" s="173" t="s">
        <v>130</v>
      </c>
      <c r="K85" s="173" t="s">
        <v>168</v>
      </c>
      <c r="L85" s="173" t="s">
        <v>169</v>
      </c>
      <c r="M85" s="173">
        <v>2015</v>
      </c>
      <c r="N85" s="173">
        <v>2015</v>
      </c>
      <c r="O85" s="173" t="s">
        <v>24</v>
      </c>
      <c r="P85" s="173">
        <v>0</v>
      </c>
      <c r="Q85" s="173" t="s">
        <v>137</v>
      </c>
      <c r="R85" s="173" t="s">
        <v>138</v>
      </c>
    </row>
    <row r="86" spans="5:18" ht="13.5" customHeight="1" x14ac:dyDescent="0.35">
      <c r="E86" s="173" t="s">
        <v>128</v>
      </c>
      <c r="F86" s="173" t="s">
        <v>129</v>
      </c>
      <c r="G86" s="173">
        <v>384</v>
      </c>
      <c r="H86" s="173" t="s">
        <v>164</v>
      </c>
      <c r="I86" s="173">
        <v>5312</v>
      </c>
      <c r="J86" s="173" t="s">
        <v>130</v>
      </c>
      <c r="K86" s="173" t="s">
        <v>168</v>
      </c>
      <c r="L86" s="173" t="s">
        <v>169</v>
      </c>
      <c r="M86" s="173">
        <v>2016</v>
      </c>
      <c r="N86" s="173">
        <v>2016</v>
      </c>
      <c r="O86" s="173" t="s">
        <v>24</v>
      </c>
      <c r="P86" s="173">
        <v>0</v>
      </c>
      <c r="Q86" s="173" t="s">
        <v>137</v>
      </c>
      <c r="R86" s="173" t="s">
        <v>138</v>
      </c>
    </row>
    <row r="87" spans="5:18" ht="13.5" customHeight="1" x14ac:dyDescent="0.35">
      <c r="E87" s="173" t="s">
        <v>128</v>
      </c>
      <c r="F87" s="173" t="s">
        <v>129</v>
      </c>
      <c r="G87" s="173">
        <v>384</v>
      </c>
      <c r="H87" s="173" t="s">
        <v>164</v>
      </c>
      <c r="I87" s="173">
        <v>5312</v>
      </c>
      <c r="J87" s="173" t="s">
        <v>130</v>
      </c>
      <c r="K87" s="173" t="s">
        <v>168</v>
      </c>
      <c r="L87" s="173" t="s">
        <v>169</v>
      </c>
      <c r="M87" s="173">
        <v>2017</v>
      </c>
      <c r="N87" s="173">
        <v>2017</v>
      </c>
      <c r="O87" s="173" t="s">
        <v>24</v>
      </c>
      <c r="P87" s="173">
        <v>0</v>
      </c>
      <c r="Q87" s="173" t="s">
        <v>137</v>
      </c>
      <c r="R87" s="173" t="s">
        <v>138</v>
      </c>
    </row>
    <row r="88" spans="5:18" ht="13.5" customHeight="1" x14ac:dyDescent="0.35">
      <c r="E88" s="173" t="s">
        <v>128</v>
      </c>
      <c r="F88" s="173" t="s">
        <v>129</v>
      </c>
      <c r="G88" s="173">
        <v>384</v>
      </c>
      <c r="H88" s="173" t="s">
        <v>164</v>
      </c>
      <c r="I88" s="173">
        <v>5312</v>
      </c>
      <c r="J88" s="173" t="s">
        <v>130</v>
      </c>
      <c r="K88" s="173" t="s">
        <v>168</v>
      </c>
      <c r="L88" s="173" t="s">
        <v>169</v>
      </c>
      <c r="M88" s="173">
        <v>2018</v>
      </c>
      <c r="N88" s="173">
        <v>2018</v>
      </c>
      <c r="O88" s="173" t="s">
        <v>24</v>
      </c>
      <c r="P88" s="173">
        <v>0</v>
      </c>
      <c r="Q88" s="173" t="s">
        <v>137</v>
      </c>
      <c r="R88" s="173" t="s">
        <v>138</v>
      </c>
    </row>
    <row r="89" spans="5:18" ht="13.5" customHeight="1" x14ac:dyDescent="0.35">
      <c r="E89" s="173" t="s">
        <v>128</v>
      </c>
      <c r="F89" s="173" t="s">
        <v>129</v>
      </c>
      <c r="G89" s="173">
        <v>384</v>
      </c>
      <c r="H89" s="173" t="s">
        <v>164</v>
      </c>
      <c r="I89" s="173">
        <v>5312</v>
      </c>
      <c r="J89" s="173" t="s">
        <v>130</v>
      </c>
      <c r="K89" s="173" t="s">
        <v>168</v>
      </c>
      <c r="L89" s="173" t="s">
        <v>169</v>
      </c>
      <c r="M89" s="173">
        <v>2019</v>
      </c>
      <c r="N89" s="173">
        <v>2019</v>
      </c>
      <c r="O89" s="173" t="s">
        <v>24</v>
      </c>
      <c r="P89" s="173">
        <v>0</v>
      </c>
      <c r="Q89" s="173" t="s">
        <v>137</v>
      </c>
      <c r="R89" s="173" t="s">
        <v>138</v>
      </c>
    </row>
    <row r="90" spans="5:18" ht="13.5" customHeight="1" x14ac:dyDescent="0.35">
      <c r="E90" s="173" t="s">
        <v>128</v>
      </c>
      <c r="F90" s="173" t="s">
        <v>129</v>
      </c>
      <c r="G90" s="173">
        <v>384</v>
      </c>
      <c r="H90" s="173" t="s">
        <v>164</v>
      </c>
      <c r="I90" s="173">
        <v>5312</v>
      </c>
      <c r="J90" s="173" t="s">
        <v>130</v>
      </c>
      <c r="K90" s="173" t="s">
        <v>168</v>
      </c>
      <c r="L90" s="173" t="s">
        <v>169</v>
      </c>
      <c r="M90" s="173">
        <v>2020</v>
      </c>
      <c r="N90" s="173">
        <v>2020</v>
      </c>
      <c r="O90" s="173" t="s">
        <v>24</v>
      </c>
      <c r="P90" s="173">
        <v>0</v>
      </c>
      <c r="Q90" s="173" t="s">
        <v>137</v>
      </c>
      <c r="R90" s="173" t="s">
        <v>138</v>
      </c>
    </row>
    <row r="91" spans="5:18" ht="13.5" customHeight="1" x14ac:dyDescent="0.35">
      <c r="E91" s="173" t="s">
        <v>128</v>
      </c>
      <c r="F91" s="173" t="s">
        <v>129</v>
      </c>
      <c r="G91" s="173">
        <v>384</v>
      </c>
      <c r="H91" s="173" t="s">
        <v>164</v>
      </c>
      <c r="I91" s="173">
        <v>5312</v>
      </c>
      <c r="J91" s="173" t="s">
        <v>130</v>
      </c>
      <c r="K91" s="173" t="s">
        <v>168</v>
      </c>
      <c r="L91" s="173" t="s">
        <v>169</v>
      </c>
      <c r="M91" s="173">
        <v>2021</v>
      </c>
      <c r="N91" s="173">
        <v>2021</v>
      </c>
      <c r="O91" s="173" t="s">
        <v>24</v>
      </c>
      <c r="P91" s="173">
        <v>0</v>
      </c>
      <c r="Q91" s="173" t="s">
        <v>137</v>
      </c>
      <c r="R91" s="173" t="s">
        <v>138</v>
      </c>
    </row>
    <row r="92" spans="5:18" ht="13.5" customHeight="1" x14ac:dyDescent="0.35">
      <c r="E92" s="173" t="s">
        <v>128</v>
      </c>
      <c r="F92" s="173" t="s">
        <v>129</v>
      </c>
      <c r="G92" s="173">
        <v>384</v>
      </c>
      <c r="H92" s="173" t="s">
        <v>164</v>
      </c>
      <c r="I92" s="173">
        <v>5312</v>
      </c>
      <c r="J92" s="173" t="s">
        <v>130</v>
      </c>
      <c r="K92" s="173">
        <v>1232</v>
      </c>
      <c r="L92" s="173" t="s">
        <v>141</v>
      </c>
      <c r="M92" s="173">
        <v>2015</v>
      </c>
      <c r="N92" s="173">
        <v>2015</v>
      </c>
      <c r="O92" s="173" t="s">
        <v>24</v>
      </c>
      <c r="P92" s="173">
        <v>4531</v>
      </c>
      <c r="Q92" s="173" t="s">
        <v>131</v>
      </c>
      <c r="R92" s="173" t="s">
        <v>132</v>
      </c>
    </row>
    <row r="93" spans="5:18" ht="13.5" customHeight="1" x14ac:dyDescent="0.35">
      <c r="E93" s="173" t="s">
        <v>128</v>
      </c>
      <c r="F93" s="173" t="s">
        <v>129</v>
      </c>
      <c r="G93" s="173">
        <v>384</v>
      </c>
      <c r="H93" s="173" t="s">
        <v>164</v>
      </c>
      <c r="I93" s="173">
        <v>5312</v>
      </c>
      <c r="J93" s="173" t="s">
        <v>130</v>
      </c>
      <c r="K93" s="173">
        <v>1232</v>
      </c>
      <c r="L93" s="173" t="s">
        <v>141</v>
      </c>
      <c r="M93" s="173">
        <v>2016</v>
      </c>
      <c r="N93" s="173">
        <v>2016</v>
      </c>
      <c r="O93" s="173" t="s">
        <v>24</v>
      </c>
      <c r="P93" s="173">
        <v>4373</v>
      </c>
      <c r="Q93" s="173" t="s">
        <v>109</v>
      </c>
      <c r="R93" s="173" t="s">
        <v>110</v>
      </c>
    </row>
    <row r="94" spans="5:18" ht="13.5" customHeight="1" x14ac:dyDescent="0.35">
      <c r="E94" s="173" t="s">
        <v>128</v>
      </c>
      <c r="F94" s="173" t="s">
        <v>129</v>
      </c>
      <c r="G94" s="173">
        <v>384</v>
      </c>
      <c r="H94" s="173" t="s">
        <v>164</v>
      </c>
      <c r="I94" s="173">
        <v>5312</v>
      </c>
      <c r="J94" s="173" t="s">
        <v>130</v>
      </c>
      <c r="K94" s="173">
        <v>1232</v>
      </c>
      <c r="L94" s="173" t="s">
        <v>141</v>
      </c>
      <c r="M94" s="173">
        <v>2017</v>
      </c>
      <c r="N94" s="173">
        <v>2017</v>
      </c>
      <c r="O94" s="173" t="s">
        <v>24</v>
      </c>
      <c r="P94" s="173">
        <v>4306</v>
      </c>
      <c r="Q94" s="173" t="s">
        <v>131</v>
      </c>
      <c r="R94" s="173" t="s">
        <v>132</v>
      </c>
    </row>
    <row r="95" spans="5:18" ht="13.5" customHeight="1" x14ac:dyDescent="0.35">
      <c r="E95" s="173" t="s">
        <v>128</v>
      </c>
      <c r="F95" s="173" t="s">
        <v>129</v>
      </c>
      <c r="G95" s="173">
        <v>384</v>
      </c>
      <c r="H95" s="173" t="s">
        <v>164</v>
      </c>
      <c r="I95" s="173">
        <v>5312</v>
      </c>
      <c r="J95" s="173" t="s">
        <v>130</v>
      </c>
      <c r="K95" s="173">
        <v>1232</v>
      </c>
      <c r="L95" s="173" t="s">
        <v>141</v>
      </c>
      <c r="M95" s="173">
        <v>2018</v>
      </c>
      <c r="N95" s="173">
        <v>2018</v>
      </c>
      <c r="O95" s="173" t="s">
        <v>24</v>
      </c>
      <c r="P95" s="173">
        <v>4416</v>
      </c>
      <c r="Q95" s="173" t="s">
        <v>131</v>
      </c>
      <c r="R95" s="173" t="s">
        <v>132</v>
      </c>
    </row>
    <row r="96" spans="5:18" ht="13.5" customHeight="1" x14ac:dyDescent="0.35">
      <c r="E96" s="173" t="s">
        <v>128</v>
      </c>
      <c r="F96" s="173" t="s">
        <v>129</v>
      </c>
      <c r="G96" s="173">
        <v>384</v>
      </c>
      <c r="H96" s="173" t="s">
        <v>164</v>
      </c>
      <c r="I96" s="173">
        <v>5312</v>
      </c>
      <c r="J96" s="173" t="s">
        <v>130</v>
      </c>
      <c r="K96" s="173">
        <v>1232</v>
      </c>
      <c r="L96" s="173" t="s">
        <v>141</v>
      </c>
      <c r="M96" s="173">
        <v>2019</v>
      </c>
      <c r="N96" s="173">
        <v>2019</v>
      </c>
      <c r="O96" s="173" t="s">
        <v>24</v>
      </c>
      <c r="P96" s="173">
        <v>4419</v>
      </c>
      <c r="Q96" s="173" t="s">
        <v>131</v>
      </c>
      <c r="R96" s="173" t="s">
        <v>132</v>
      </c>
    </row>
    <row r="97" spans="5:18" ht="13.5" customHeight="1" x14ac:dyDescent="0.35">
      <c r="E97" s="173" t="s">
        <v>128</v>
      </c>
      <c r="F97" s="173" t="s">
        <v>129</v>
      </c>
      <c r="G97" s="173">
        <v>384</v>
      </c>
      <c r="H97" s="173" t="s">
        <v>164</v>
      </c>
      <c r="I97" s="173">
        <v>5312</v>
      </c>
      <c r="J97" s="173" t="s">
        <v>130</v>
      </c>
      <c r="K97" s="173">
        <v>1232</v>
      </c>
      <c r="L97" s="173" t="s">
        <v>141</v>
      </c>
      <c r="M97" s="173">
        <v>2020</v>
      </c>
      <c r="N97" s="173">
        <v>2020</v>
      </c>
      <c r="O97" s="173" t="s">
        <v>24</v>
      </c>
      <c r="P97" s="173">
        <v>4389</v>
      </c>
      <c r="Q97" s="173" t="s">
        <v>131</v>
      </c>
      <c r="R97" s="173" t="s">
        <v>132</v>
      </c>
    </row>
    <row r="98" spans="5:18" ht="13.5" customHeight="1" x14ac:dyDescent="0.35">
      <c r="E98" s="173" t="s">
        <v>128</v>
      </c>
      <c r="F98" s="173" t="s">
        <v>129</v>
      </c>
      <c r="G98" s="173">
        <v>384</v>
      </c>
      <c r="H98" s="173" t="s">
        <v>164</v>
      </c>
      <c r="I98" s="173">
        <v>5312</v>
      </c>
      <c r="J98" s="173" t="s">
        <v>130</v>
      </c>
      <c r="K98" s="173">
        <v>1232</v>
      </c>
      <c r="L98" s="173" t="s">
        <v>141</v>
      </c>
      <c r="M98" s="173">
        <v>2021</v>
      </c>
      <c r="N98" s="173">
        <v>2021</v>
      </c>
      <c r="O98" s="173" t="s">
        <v>24</v>
      </c>
      <c r="P98" s="173">
        <v>4358</v>
      </c>
      <c r="Q98" s="173" t="s">
        <v>131</v>
      </c>
      <c r="R98" s="173" t="s">
        <v>132</v>
      </c>
    </row>
    <row r="99" spans="5:18" ht="13.5" customHeight="1" x14ac:dyDescent="0.35">
      <c r="E99" s="173" t="s">
        <v>128</v>
      </c>
      <c r="F99" s="173" t="s">
        <v>129</v>
      </c>
      <c r="G99" s="173">
        <v>384</v>
      </c>
      <c r="H99" s="173" t="s">
        <v>164</v>
      </c>
      <c r="I99" s="173">
        <v>5312</v>
      </c>
      <c r="J99" s="173" t="s">
        <v>130</v>
      </c>
      <c r="K99" s="173" t="s">
        <v>170</v>
      </c>
      <c r="L99" s="173" t="s">
        <v>142</v>
      </c>
      <c r="M99" s="173">
        <v>2015</v>
      </c>
      <c r="N99" s="173">
        <v>2015</v>
      </c>
      <c r="O99" s="173" t="s">
        <v>24</v>
      </c>
      <c r="P99" s="173">
        <v>2894</v>
      </c>
      <c r="Q99" s="173" t="s">
        <v>131</v>
      </c>
      <c r="R99" s="173" t="s">
        <v>132</v>
      </c>
    </row>
    <row r="100" spans="5:18" ht="13.5" customHeight="1" x14ac:dyDescent="0.35">
      <c r="E100" s="173" t="s">
        <v>128</v>
      </c>
      <c r="F100" s="173" t="s">
        <v>129</v>
      </c>
      <c r="G100" s="173">
        <v>384</v>
      </c>
      <c r="H100" s="173" t="s">
        <v>164</v>
      </c>
      <c r="I100" s="173">
        <v>5312</v>
      </c>
      <c r="J100" s="173" t="s">
        <v>130</v>
      </c>
      <c r="K100" s="173" t="s">
        <v>170</v>
      </c>
      <c r="L100" s="173" t="s">
        <v>142</v>
      </c>
      <c r="M100" s="173">
        <v>2016</v>
      </c>
      <c r="N100" s="173">
        <v>2016</v>
      </c>
      <c r="O100" s="173" t="s">
        <v>24</v>
      </c>
      <c r="P100" s="173">
        <v>2723</v>
      </c>
      <c r="Q100" s="173" t="s">
        <v>131</v>
      </c>
      <c r="R100" s="173" t="s">
        <v>132</v>
      </c>
    </row>
    <row r="101" spans="5:18" ht="13.5" customHeight="1" x14ac:dyDescent="0.35">
      <c r="E101" s="173" t="s">
        <v>128</v>
      </c>
      <c r="F101" s="173" t="s">
        <v>129</v>
      </c>
      <c r="G101" s="173">
        <v>384</v>
      </c>
      <c r="H101" s="173" t="s">
        <v>164</v>
      </c>
      <c r="I101" s="173">
        <v>5312</v>
      </c>
      <c r="J101" s="173" t="s">
        <v>130</v>
      </c>
      <c r="K101" s="173" t="s">
        <v>170</v>
      </c>
      <c r="L101" s="173" t="s">
        <v>142</v>
      </c>
      <c r="M101" s="173">
        <v>2017</v>
      </c>
      <c r="N101" s="173">
        <v>2017</v>
      </c>
      <c r="O101" s="173" t="s">
        <v>24</v>
      </c>
      <c r="P101" s="173">
        <v>2563</v>
      </c>
      <c r="Q101" s="173" t="s">
        <v>131</v>
      </c>
      <c r="R101" s="173" t="s">
        <v>132</v>
      </c>
    </row>
    <row r="102" spans="5:18" ht="13.5" customHeight="1" x14ac:dyDescent="0.35">
      <c r="E102" s="173" t="s">
        <v>128</v>
      </c>
      <c r="F102" s="173" t="s">
        <v>129</v>
      </c>
      <c r="G102" s="173">
        <v>384</v>
      </c>
      <c r="H102" s="173" t="s">
        <v>164</v>
      </c>
      <c r="I102" s="173">
        <v>5312</v>
      </c>
      <c r="J102" s="173" t="s">
        <v>130</v>
      </c>
      <c r="K102" s="173" t="s">
        <v>170</v>
      </c>
      <c r="L102" s="173" t="s">
        <v>142</v>
      </c>
      <c r="M102" s="173">
        <v>2018</v>
      </c>
      <c r="N102" s="173">
        <v>2018</v>
      </c>
      <c r="O102" s="173" t="s">
        <v>24</v>
      </c>
      <c r="P102" s="173">
        <v>2477</v>
      </c>
      <c r="Q102" s="173" t="s">
        <v>131</v>
      </c>
      <c r="R102" s="173" t="s">
        <v>132</v>
      </c>
    </row>
    <row r="103" spans="5:18" ht="13.5" customHeight="1" x14ac:dyDescent="0.35">
      <c r="E103" s="173" t="s">
        <v>128</v>
      </c>
      <c r="F103" s="173" t="s">
        <v>129</v>
      </c>
      <c r="G103" s="173">
        <v>384</v>
      </c>
      <c r="H103" s="173" t="s">
        <v>164</v>
      </c>
      <c r="I103" s="173">
        <v>5312</v>
      </c>
      <c r="J103" s="173" t="s">
        <v>130</v>
      </c>
      <c r="K103" s="173" t="s">
        <v>170</v>
      </c>
      <c r="L103" s="173" t="s">
        <v>142</v>
      </c>
      <c r="M103" s="173">
        <v>2019</v>
      </c>
      <c r="N103" s="173">
        <v>2019</v>
      </c>
      <c r="O103" s="173" t="s">
        <v>24</v>
      </c>
      <c r="P103" s="173">
        <v>2400</v>
      </c>
      <c r="Q103" s="173" t="s">
        <v>131</v>
      </c>
      <c r="R103" s="173" t="s">
        <v>132</v>
      </c>
    </row>
    <row r="104" spans="5:18" ht="13.5" customHeight="1" x14ac:dyDescent="0.35">
      <c r="E104" s="173" t="s">
        <v>128</v>
      </c>
      <c r="F104" s="173" t="s">
        <v>129</v>
      </c>
      <c r="G104" s="173">
        <v>384</v>
      </c>
      <c r="H104" s="173" t="s">
        <v>164</v>
      </c>
      <c r="I104" s="173">
        <v>5312</v>
      </c>
      <c r="J104" s="173" t="s">
        <v>130</v>
      </c>
      <c r="K104" s="173" t="s">
        <v>170</v>
      </c>
      <c r="L104" s="173" t="s">
        <v>142</v>
      </c>
      <c r="M104" s="173">
        <v>2020</v>
      </c>
      <c r="N104" s="173">
        <v>2020</v>
      </c>
      <c r="O104" s="173" t="s">
        <v>24</v>
      </c>
      <c r="P104" s="173">
        <v>2331</v>
      </c>
      <c r="Q104" s="173" t="s">
        <v>131</v>
      </c>
      <c r="R104" s="173" t="s">
        <v>132</v>
      </c>
    </row>
    <row r="105" spans="5:18" ht="13.5" customHeight="1" x14ac:dyDescent="0.35">
      <c r="E105" s="173" t="s">
        <v>128</v>
      </c>
      <c r="F105" s="173" t="s">
        <v>129</v>
      </c>
      <c r="G105" s="173">
        <v>384</v>
      </c>
      <c r="H105" s="173" t="s">
        <v>164</v>
      </c>
      <c r="I105" s="173">
        <v>5312</v>
      </c>
      <c r="J105" s="173" t="s">
        <v>130</v>
      </c>
      <c r="K105" s="173" t="s">
        <v>170</v>
      </c>
      <c r="L105" s="173" t="s">
        <v>142</v>
      </c>
      <c r="M105" s="173">
        <v>2021</v>
      </c>
      <c r="N105" s="173">
        <v>2021</v>
      </c>
      <c r="O105" s="173" t="s">
        <v>24</v>
      </c>
      <c r="P105" s="173">
        <v>2381</v>
      </c>
      <c r="Q105" s="173" t="s">
        <v>131</v>
      </c>
      <c r="R105" s="173" t="s">
        <v>132</v>
      </c>
    </row>
    <row r="106" spans="5:18" ht="13.5" customHeight="1" x14ac:dyDescent="0.35">
      <c r="E106" s="173" t="s">
        <v>128</v>
      </c>
      <c r="F106" s="173" t="s">
        <v>129</v>
      </c>
      <c r="G106" s="173">
        <v>384</v>
      </c>
      <c r="H106" s="173" t="s">
        <v>164</v>
      </c>
      <c r="I106" s="173">
        <v>5312</v>
      </c>
      <c r="J106" s="173" t="s">
        <v>130</v>
      </c>
      <c r="K106" s="173">
        <v>1233</v>
      </c>
      <c r="L106" s="173" t="s">
        <v>171</v>
      </c>
      <c r="M106" s="173">
        <v>2015</v>
      </c>
      <c r="N106" s="173">
        <v>2015</v>
      </c>
      <c r="O106" s="173" t="s">
        <v>24</v>
      </c>
      <c r="P106" s="173">
        <v>16006</v>
      </c>
      <c r="Q106" s="173" t="s">
        <v>131</v>
      </c>
      <c r="R106" s="173" t="s">
        <v>132</v>
      </c>
    </row>
    <row r="107" spans="5:18" ht="13.5" customHeight="1" x14ac:dyDescent="0.35">
      <c r="E107" s="173" t="s">
        <v>128</v>
      </c>
      <c r="F107" s="173" t="s">
        <v>129</v>
      </c>
      <c r="G107" s="173">
        <v>384</v>
      </c>
      <c r="H107" s="173" t="s">
        <v>164</v>
      </c>
      <c r="I107" s="173">
        <v>5312</v>
      </c>
      <c r="J107" s="173" t="s">
        <v>130</v>
      </c>
      <c r="K107" s="173">
        <v>1233</v>
      </c>
      <c r="L107" s="173" t="s">
        <v>171</v>
      </c>
      <c r="M107" s="173">
        <v>2016</v>
      </c>
      <c r="N107" s="173">
        <v>2016</v>
      </c>
      <c r="O107" s="173" t="s">
        <v>24</v>
      </c>
      <c r="P107" s="173">
        <v>17250</v>
      </c>
      <c r="Q107" s="173" t="s">
        <v>131</v>
      </c>
      <c r="R107" s="173" t="s">
        <v>132</v>
      </c>
    </row>
    <row r="108" spans="5:18" ht="13.5" customHeight="1" x14ac:dyDescent="0.35">
      <c r="E108" s="173" t="s">
        <v>128</v>
      </c>
      <c r="F108" s="173" t="s">
        <v>129</v>
      </c>
      <c r="G108" s="173">
        <v>384</v>
      </c>
      <c r="H108" s="173" t="s">
        <v>164</v>
      </c>
      <c r="I108" s="173">
        <v>5312</v>
      </c>
      <c r="J108" s="173" t="s">
        <v>130</v>
      </c>
      <c r="K108" s="173">
        <v>1233</v>
      </c>
      <c r="L108" s="173" t="s">
        <v>171</v>
      </c>
      <c r="M108" s="173">
        <v>2017</v>
      </c>
      <c r="N108" s="173">
        <v>2017</v>
      </c>
      <c r="O108" s="173" t="s">
        <v>24</v>
      </c>
      <c r="P108" s="173">
        <v>19102</v>
      </c>
      <c r="Q108" s="173" t="s">
        <v>131</v>
      </c>
      <c r="R108" s="173" t="s">
        <v>132</v>
      </c>
    </row>
    <row r="109" spans="5:18" ht="13.5" customHeight="1" x14ac:dyDescent="0.35">
      <c r="E109" s="173" t="s">
        <v>128</v>
      </c>
      <c r="F109" s="173" t="s">
        <v>129</v>
      </c>
      <c r="G109" s="173">
        <v>384</v>
      </c>
      <c r="H109" s="173" t="s">
        <v>164</v>
      </c>
      <c r="I109" s="173">
        <v>5312</v>
      </c>
      <c r="J109" s="173" t="s">
        <v>130</v>
      </c>
      <c r="K109" s="173">
        <v>1233</v>
      </c>
      <c r="L109" s="173" t="s">
        <v>171</v>
      </c>
      <c r="M109" s="173">
        <v>2018</v>
      </c>
      <c r="N109" s="173">
        <v>2018</v>
      </c>
      <c r="O109" s="173" t="s">
        <v>24</v>
      </c>
      <c r="P109" s="173">
        <v>20241</v>
      </c>
      <c r="Q109" s="173" t="s">
        <v>131</v>
      </c>
      <c r="R109" s="173" t="s">
        <v>132</v>
      </c>
    </row>
    <row r="110" spans="5:18" ht="13.5" customHeight="1" x14ac:dyDescent="0.35">
      <c r="E110" s="173" t="s">
        <v>128</v>
      </c>
      <c r="F110" s="173" t="s">
        <v>129</v>
      </c>
      <c r="G110" s="173">
        <v>384</v>
      </c>
      <c r="H110" s="173" t="s">
        <v>164</v>
      </c>
      <c r="I110" s="173">
        <v>5312</v>
      </c>
      <c r="J110" s="173" t="s">
        <v>130</v>
      </c>
      <c r="K110" s="173">
        <v>1233</v>
      </c>
      <c r="L110" s="173" t="s">
        <v>171</v>
      </c>
      <c r="M110" s="173">
        <v>2019</v>
      </c>
      <c r="N110" s="173">
        <v>2019</v>
      </c>
      <c r="O110" s="173" t="s">
        <v>24</v>
      </c>
      <c r="P110" s="173">
        <v>21625</v>
      </c>
      <c r="Q110" s="173" t="s">
        <v>131</v>
      </c>
      <c r="R110" s="173" t="s">
        <v>132</v>
      </c>
    </row>
    <row r="111" spans="5:18" ht="13.5" customHeight="1" x14ac:dyDescent="0.35">
      <c r="E111" s="173" t="s">
        <v>128</v>
      </c>
      <c r="F111" s="173" t="s">
        <v>129</v>
      </c>
      <c r="G111" s="173">
        <v>384</v>
      </c>
      <c r="H111" s="173" t="s">
        <v>164</v>
      </c>
      <c r="I111" s="173">
        <v>5312</v>
      </c>
      <c r="J111" s="173" t="s">
        <v>130</v>
      </c>
      <c r="K111" s="173">
        <v>1233</v>
      </c>
      <c r="L111" s="173" t="s">
        <v>171</v>
      </c>
      <c r="M111" s="173">
        <v>2020</v>
      </c>
      <c r="N111" s="173">
        <v>2020</v>
      </c>
      <c r="O111" s="173" t="s">
        <v>24</v>
      </c>
      <c r="P111" s="173">
        <v>23190</v>
      </c>
      <c r="Q111" s="173" t="s">
        <v>131</v>
      </c>
      <c r="R111" s="173" t="s">
        <v>132</v>
      </c>
    </row>
    <row r="112" spans="5:18" ht="13.5" customHeight="1" x14ac:dyDescent="0.35">
      <c r="E112" s="173" t="s">
        <v>128</v>
      </c>
      <c r="F112" s="173" t="s">
        <v>129</v>
      </c>
      <c r="G112" s="173">
        <v>384</v>
      </c>
      <c r="H112" s="173" t="s">
        <v>164</v>
      </c>
      <c r="I112" s="173">
        <v>5312</v>
      </c>
      <c r="J112" s="173" t="s">
        <v>130</v>
      </c>
      <c r="K112" s="173">
        <v>1233</v>
      </c>
      <c r="L112" s="173" t="s">
        <v>171</v>
      </c>
      <c r="M112" s="173">
        <v>2021</v>
      </c>
      <c r="N112" s="173">
        <v>2021</v>
      </c>
      <c r="O112" s="173" t="s">
        <v>24</v>
      </c>
      <c r="P112" s="173">
        <v>24532</v>
      </c>
      <c r="Q112" s="173" t="s">
        <v>131</v>
      </c>
      <c r="R112" s="173" t="s">
        <v>132</v>
      </c>
    </row>
    <row r="113" spans="5:18" ht="13.5" customHeight="1" x14ac:dyDescent="0.35">
      <c r="E113" s="173" t="s">
        <v>128</v>
      </c>
      <c r="F113" s="173" t="s">
        <v>129</v>
      </c>
      <c r="G113" s="173">
        <v>384</v>
      </c>
      <c r="H113" s="173" t="s">
        <v>164</v>
      </c>
      <c r="I113" s="173">
        <v>5312</v>
      </c>
      <c r="J113" s="173" t="s">
        <v>130</v>
      </c>
      <c r="K113" s="173">
        <v>1193</v>
      </c>
      <c r="L113" s="173" t="s">
        <v>172</v>
      </c>
      <c r="M113" s="173">
        <v>2015</v>
      </c>
      <c r="N113" s="173">
        <v>2015</v>
      </c>
      <c r="O113" s="173" t="s">
        <v>24</v>
      </c>
      <c r="P113" s="173">
        <v>14436</v>
      </c>
      <c r="Q113" s="173" t="s">
        <v>131</v>
      </c>
      <c r="R113" s="173" t="s">
        <v>132</v>
      </c>
    </row>
    <row r="114" spans="5:18" ht="13.5" customHeight="1" x14ac:dyDescent="0.35">
      <c r="E114" s="173" t="s">
        <v>128</v>
      </c>
      <c r="F114" s="173" t="s">
        <v>129</v>
      </c>
      <c r="G114" s="173">
        <v>384</v>
      </c>
      <c r="H114" s="173" t="s">
        <v>164</v>
      </c>
      <c r="I114" s="173">
        <v>5312</v>
      </c>
      <c r="J114" s="173" t="s">
        <v>130</v>
      </c>
      <c r="K114" s="173">
        <v>1193</v>
      </c>
      <c r="L114" s="173" t="s">
        <v>172</v>
      </c>
      <c r="M114" s="173">
        <v>2016</v>
      </c>
      <c r="N114" s="173">
        <v>2016</v>
      </c>
      <c r="O114" s="173" t="s">
        <v>24</v>
      </c>
      <c r="P114" s="173">
        <v>14532</v>
      </c>
      <c r="Q114" s="173" t="s">
        <v>131</v>
      </c>
      <c r="R114" s="173" t="s">
        <v>132</v>
      </c>
    </row>
    <row r="115" spans="5:18" ht="13.5" customHeight="1" x14ac:dyDescent="0.35">
      <c r="E115" s="173" t="s">
        <v>128</v>
      </c>
      <c r="F115" s="173" t="s">
        <v>129</v>
      </c>
      <c r="G115" s="173">
        <v>384</v>
      </c>
      <c r="H115" s="173" t="s">
        <v>164</v>
      </c>
      <c r="I115" s="173">
        <v>5312</v>
      </c>
      <c r="J115" s="173" t="s">
        <v>130</v>
      </c>
      <c r="K115" s="173">
        <v>1193</v>
      </c>
      <c r="L115" s="173" t="s">
        <v>172</v>
      </c>
      <c r="M115" s="173">
        <v>2017</v>
      </c>
      <c r="N115" s="173">
        <v>2017</v>
      </c>
      <c r="O115" s="173" t="s">
        <v>24</v>
      </c>
      <c r="P115" s="173">
        <v>14999</v>
      </c>
      <c r="Q115" s="173" t="s">
        <v>131</v>
      </c>
      <c r="R115" s="173" t="s">
        <v>132</v>
      </c>
    </row>
    <row r="116" spans="5:18" ht="13.5" customHeight="1" x14ac:dyDescent="0.35">
      <c r="E116" s="173" t="s">
        <v>128</v>
      </c>
      <c r="F116" s="173" t="s">
        <v>129</v>
      </c>
      <c r="G116" s="173">
        <v>384</v>
      </c>
      <c r="H116" s="173" t="s">
        <v>164</v>
      </c>
      <c r="I116" s="173">
        <v>5312</v>
      </c>
      <c r="J116" s="173" t="s">
        <v>130</v>
      </c>
      <c r="K116" s="173">
        <v>1193</v>
      </c>
      <c r="L116" s="173" t="s">
        <v>172</v>
      </c>
      <c r="M116" s="173">
        <v>2018</v>
      </c>
      <c r="N116" s="173">
        <v>2018</v>
      </c>
      <c r="O116" s="173" t="s">
        <v>24</v>
      </c>
      <c r="P116" s="173">
        <v>16463</v>
      </c>
      <c r="Q116" s="173" t="s">
        <v>131</v>
      </c>
      <c r="R116" s="173" t="s">
        <v>132</v>
      </c>
    </row>
    <row r="117" spans="5:18" ht="13.5" customHeight="1" x14ac:dyDescent="0.35">
      <c r="E117" s="173" t="s">
        <v>128</v>
      </c>
      <c r="F117" s="173" t="s">
        <v>129</v>
      </c>
      <c r="G117" s="173">
        <v>384</v>
      </c>
      <c r="H117" s="173" t="s">
        <v>164</v>
      </c>
      <c r="I117" s="173">
        <v>5312</v>
      </c>
      <c r="J117" s="173" t="s">
        <v>130</v>
      </c>
      <c r="K117" s="173">
        <v>1193</v>
      </c>
      <c r="L117" s="173" t="s">
        <v>172</v>
      </c>
      <c r="M117" s="173">
        <v>2019</v>
      </c>
      <c r="N117" s="173">
        <v>2019</v>
      </c>
      <c r="O117" s="173" t="s">
        <v>24</v>
      </c>
      <c r="P117" s="173">
        <v>13245</v>
      </c>
      <c r="Q117" s="173" t="s">
        <v>131</v>
      </c>
      <c r="R117" s="173" t="s">
        <v>132</v>
      </c>
    </row>
    <row r="118" spans="5:18" ht="13.5" customHeight="1" x14ac:dyDescent="0.35">
      <c r="E118" s="173" t="s">
        <v>128</v>
      </c>
      <c r="F118" s="173" t="s">
        <v>129</v>
      </c>
      <c r="G118" s="173">
        <v>384</v>
      </c>
      <c r="H118" s="173" t="s">
        <v>164</v>
      </c>
      <c r="I118" s="173">
        <v>5312</v>
      </c>
      <c r="J118" s="173" t="s">
        <v>130</v>
      </c>
      <c r="K118" s="173">
        <v>1193</v>
      </c>
      <c r="L118" s="173" t="s">
        <v>172</v>
      </c>
      <c r="M118" s="173">
        <v>2020</v>
      </c>
      <c r="N118" s="173">
        <v>2020</v>
      </c>
      <c r="O118" s="173" t="s">
        <v>24</v>
      </c>
      <c r="P118" s="173">
        <v>13234</v>
      </c>
      <c r="Q118" s="173" t="s">
        <v>131</v>
      </c>
      <c r="R118" s="173" t="s">
        <v>132</v>
      </c>
    </row>
    <row r="119" spans="5:18" ht="13.5" customHeight="1" x14ac:dyDescent="0.35">
      <c r="E119" s="173" t="s">
        <v>128</v>
      </c>
      <c r="F119" s="173" t="s">
        <v>129</v>
      </c>
      <c r="G119" s="173">
        <v>384</v>
      </c>
      <c r="H119" s="173" t="s">
        <v>164</v>
      </c>
      <c r="I119" s="173">
        <v>5312</v>
      </c>
      <c r="J119" s="173" t="s">
        <v>130</v>
      </c>
      <c r="K119" s="173">
        <v>1193</v>
      </c>
      <c r="L119" s="173" t="s">
        <v>172</v>
      </c>
      <c r="M119" s="173">
        <v>2021</v>
      </c>
      <c r="N119" s="173">
        <v>2021</v>
      </c>
      <c r="O119" s="173" t="s">
        <v>24</v>
      </c>
      <c r="P119" s="173">
        <v>13677</v>
      </c>
      <c r="Q119" s="173" t="s">
        <v>131</v>
      </c>
      <c r="R119" s="173" t="s">
        <v>132</v>
      </c>
    </row>
    <row r="120" spans="5:18" ht="13.5" customHeight="1" x14ac:dyDescent="0.35">
      <c r="E120" s="173" t="s">
        <v>128</v>
      </c>
      <c r="F120" s="173" t="s">
        <v>129</v>
      </c>
      <c r="G120" s="173">
        <v>384</v>
      </c>
      <c r="H120" s="173" t="s">
        <v>164</v>
      </c>
      <c r="I120" s="173">
        <v>5312</v>
      </c>
      <c r="J120" s="173" t="s">
        <v>130</v>
      </c>
      <c r="K120" s="173">
        <v>1657</v>
      </c>
      <c r="L120" s="173" t="s">
        <v>143</v>
      </c>
      <c r="M120" s="173">
        <v>2015</v>
      </c>
      <c r="N120" s="173">
        <v>2015</v>
      </c>
      <c r="O120" s="173" t="s">
        <v>24</v>
      </c>
      <c r="P120" s="173">
        <v>531</v>
      </c>
      <c r="Q120" s="173" t="s">
        <v>131</v>
      </c>
      <c r="R120" s="173" t="s">
        <v>132</v>
      </c>
    </row>
    <row r="121" spans="5:18" ht="13.5" customHeight="1" x14ac:dyDescent="0.35">
      <c r="E121" s="173" t="s">
        <v>128</v>
      </c>
      <c r="F121" s="173" t="s">
        <v>129</v>
      </c>
      <c r="G121" s="173">
        <v>384</v>
      </c>
      <c r="H121" s="173" t="s">
        <v>164</v>
      </c>
      <c r="I121" s="173">
        <v>5312</v>
      </c>
      <c r="J121" s="173" t="s">
        <v>130</v>
      </c>
      <c r="K121" s="173">
        <v>1657</v>
      </c>
      <c r="L121" s="173" t="s">
        <v>143</v>
      </c>
      <c r="M121" s="173">
        <v>2016</v>
      </c>
      <c r="N121" s="173">
        <v>2016</v>
      </c>
      <c r="O121" s="173" t="s">
        <v>24</v>
      </c>
      <c r="P121" s="173">
        <v>542</v>
      </c>
      <c r="Q121" s="173" t="s">
        <v>131</v>
      </c>
      <c r="R121" s="173" t="s">
        <v>132</v>
      </c>
    </row>
    <row r="122" spans="5:18" ht="13.5" customHeight="1" x14ac:dyDescent="0.35">
      <c r="E122" s="173" t="s">
        <v>128</v>
      </c>
      <c r="F122" s="173" t="s">
        <v>129</v>
      </c>
      <c r="G122" s="173">
        <v>384</v>
      </c>
      <c r="H122" s="173" t="s">
        <v>164</v>
      </c>
      <c r="I122" s="173">
        <v>5312</v>
      </c>
      <c r="J122" s="173" t="s">
        <v>130</v>
      </c>
      <c r="K122" s="173">
        <v>1657</v>
      </c>
      <c r="L122" s="173" t="s">
        <v>143</v>
      </c>
      <c r="M122" s="173">
        <v>2017</v>
      </c>
      <c r="N122" s="173">
        <v>2017</v>
      </c>
      <c r="O122" s="173" t="s">
        <v>24</v>
      </c>
      <c r="P122" s="173">
        <v>531</v>
      </c>
      <c r="Q122" s="173" t="s">
        <v>131</v>
      </c>
      <c r="R122" s="173" t="s">
        <v>132</v>
      </c>
    </row>
    <row r="123" spans="5:18" ht="13.5" customHeight="1" x14ac:dyDescent="0.35">
      <c r="E123" s="173" t="s">
        <v>128</v>
      </c>
      <c r="F123" s="173" t="s">
        <v>129</v>
      </c>
      <c r="G123" s="173">
        <v>384</v>
      </c>
      <c r="H123" s="173" t="s">
        <v>164</v>
      </c>
      <c r="I123" s="173">
        <v>5312</v>
      </c>
      <c r="J123" s="173" t="s">
        <v>130</v>
      </c>
      <c r="K123" s="173">
        <v>1657</v>
      </c>
      <c r="L123" s="173" t="s">
        <v>143</v>
      </c>
      <c r="M123" s="173">
        <v>2018</v>
      </c>
      <c r="N123" s="173">
        <v>2018</v>
      </c>
      <c r="O123" s="173" t="s">
        <v>24</v>
      </c>
      <c r="P123" s="173">
        <v>536</v>
      </c>
      <c r="Q123" s="173" t="s">
        <v>131</v>
      </c>
      <c r="R123" s="173" t="s">
        <v>132</v>
      </c>
    </row>
    <row r="124" spans="5:18" ht="13.5" customHeight="1" x14ac:dyDescent="0.35">
      <c r="E124" s="173" t="s">
        <v>128</v>
      </c>
      <c r="F124" s="173" t="s">
        <v>129</v>
      </c>
      <c r="G124" s="173">
        <v>384</v>
      </c>
      <c r="H124" s="173" t="s">
        <v>164</v>
      </c>
      <c r="I124" s="173">
        <v>5312</v>
      </c>
      <c r="J124" s="173" t="s">
        <v>130</v>
      </c>
      <c r="K124" s="173">
        <v>1657</v>
      </c>
      <c r="L124" s="173" t="s">
        <v>143</v>
      </c>
      <c r="M124" s="173">
        <v>2019</v>
      </c>
      <c r="N124" s="173">
        <v>2019</v>
      </c>
      <c r="O124" s="173" t="s">
        <v>24</v>
      </c>
      <c r="P124" s="173">
        <v>529</v>
      </c>
      <c r="Q124" s="173" t="s">
        <v>131</v>
      </c>
      <c r="R124" s="173" t="s">
        <v>132</v>
      </c>
    </row>
    <row r="125" spans="5:18" ht="13.5" customHeight="1" x14ac:dyDescent="0.35">
      <c r="E125" s="173" t="s">
        <v>128</v>
      </c>
      <c r="F125" s="173" t="s">
        <v>129</v>
      </c>
      <c r="G125" s="173">
        <v>384</v>
      </c>
      <c r="H125" s="173" t="s">
        <v>164</v>
      </c>
      <c r="I125" s="173">
        <v>5312</v>
      </c>
      <c r="J125" s="173" t="s">
        <v>130</v>
      </c>
      <c r="K125" s="173">
        <v>1657</v>
      </c>
      <c r="L125" s="173" t="s">
        <v>143</v>
      </c>
      <c r="M125" s="173">
        <v>2020</v>
      </c>
      <c r="N125" s="173">
        <v>2020</v>
      </c>
      <c r="O125" s="173" t="s">
        <v>24</v>
      </c>
      <c r="P125" s="173">
        <v>527</v>
      </c>
      <c r="Q125" s="173" t="s">
        <v>131</v>
      </c>
      <c r="R125" s="173" t="s">
        <v>132</v>
      </c>
    </row>
    <row r="126" spans="5:18" ht="13.5" customHeight="1" x14ac:dyDescent="0.35">
      <c r="E126" s="173" t="s">
        <v>128</v>
      </c>
      <c r="F126" s="173" t="s">
        <v>129</v>
      </c>
      <c r="G126" s="173">
        <v>384</v>
      </c>
      <c r="H126" s="173" t="s">
        <v>164</v>
      </c>
      <c r="I126" s="173">
        <v>5312</v>
      </c>
      <c r="J126" s="173" t="s">
        <v>130</v>
      </c>
      <c r="K126" s="173">
        <v>1657</v>
      </c>
      <c r="L126" s="173" t="s">
        <v>143</v>
      </c>
      <c r="M126" s="173">
        <v>2021</v>
      </c>
      <c r="N126" s="173">
        <v>2021</v>
      </c>
      <c r="O126" s="173" t="s">
        <v>24</v>
      </c>
      <c r="P126" s="173">
        <v>525</v>
      </c>
      <c r="Q126" s="173" t="s">
        <v>131</v>
      </c>
      <c r="R126" s="173" t="s">
        <v>132</v>
      </c>
    </row>
    <row r="127" spans="5:18" ht="13.5" customHeight="1" x14ac:dyDescent="0.35">
      <c r="E127" s="173" t="s">
        <v>128</v>
      </c>
      <c r="F127" s="173" t="s">
        <v>129</v>
      </c>
      <c r="G127" s="173">
        <v>384</v>
      </c>
      <c r="H127" s="173" t="s">
        <v>164</v>
      </c>
      <c r="I127" s="173">
        <v>5312</v>
      </c>
      <c r="J127" s="173" t="s">
        <v>130</v>
      </c>
      <c r="K127" s="173" t="s">
        <v>173</v>
      </c>
      <c r="L127" s="173" t="s">
        <v>174</v>
      </c>
      <c r="M127" s="173">
        <v>2015</v>
      </c>
      <c r="N127" s="173">
        <v>2015</v>
      </c>
      <c r="O127" s="173" t="s">
        <v>24</v>
      </c>
      <c r="P127" s="173">
        <v>74493</v>
      </c>
      <c r="Q127" s="173" t="s">
        <v>131</v>
      </c>
      <c r="R127" s="173" t="s">
        <v>132</v>
      </c>
    </row>
    <row r="128" spans="5:18" ht="13.5" customHeight="1" x14ac:dyDescent="0.35">
      <c r="E128" s="173" t="s">
        <v>128</v>
      </c>
      <c r="F128" s="173" t="s">
        <v>129</v>
      </c>
      <c r="G128" s="173">
        <v>384</v>
      </c>
      <c r="H128" s="173" t="s">
        <v>164</v>
      </c>
      <c r="I128" s="173">
        <v>5312</v>
      </c>
      <c r="J128" s="173" t="s">
        <v>130</v>
      </c>
      <c r="K128" s="173" t="s">
        <v>173</v>
      </c>
      <c r="L128" s="173" t="s">
        <v>174</v>
      </c>
      <c r="M128" s="173">
        <v>2016</v>
      </c>
      <c r="N128" s="173">
        <v>2016</v>
      </c>
      <c r="O128" s="173" t="s">
        <v>24</v>
      </c>
      <c r="P128" s="173">
        <v>74896</v>
      </c>
      <c r="Q128" s="173" t="s">
        <v>131</v>
      </c>
      <c r="R128" s="173" t="s">
        <v>132</v>
      </c>
    </row>
    <row r="129" spans="5:18" ht="13.5" customHeight="1" x14ac:dyDescent="0.35">
      <c r="E129" s="173" t="s">
        <v>128</v>
      </c>
      <c r="F129" s="173" t="s">
        <v>129</v>
      </c>
      <c r="G129" s="173">
        <v>384</v>
      </c>
      <c r="H129" s="173" t="s">
        <v>164</v>
      </c>
      <c r="I129" s="173">
        <v>5312</v>
      </c>
      <c r="J129" s="173" t="s">
        <v>130</v>
      </c>
      <c r="K129" s="173" t="s">
        <v>173</v>
      </c>
      <c r="L129" s="173" t="s">
        <v>174</v>
      </c>
      <c r="M129" s="173">
        <v>2017</v>
      </c>
      <c r="N129" s="173">
        <v>2017</v>
      </c>
      <c r="O129" s="173" t="s">
        <v>24</v>
      </c>
      <c r="P129" s="173">
        <v>74717</v>
      </c>
      <c r="Q129" s="173" t="s">
        <v>131</v>
      </c>
      <c r="R129" s="173" t="s">
        <v>132</v>
      </c>
    </row>
    <row r="130" spans="5:18" ht="13.5" customHeight="1" x14ac:dyDescent="0.35">
      <c r="E130" s="173" t="s">
        <v>128</v>
      </c>
      <c r="F130" s="173" t="s">
        <v>129</v>
      </c>
      <c r="G130" s="173">
        <v>384</v>
      </c>
      <c r="H130" s="173" t="s">
        <v>164</v>
      </c>
      <c r="I130" s="173">
        <v>5312</v>
      </c>
      <c r="J130" s="173" t="s">
        <v>130</v>
      </c>
      <c r="K130" s="173" t="s">
        <v>173</v>
      </c>
      <c r="L130" s="173" t="s">
        <v>174</v>
      </c>
      <c r="M130" s="173">
        <v>2018</v>
      </c>
      <c r="N130" s="173">
        <v>2018</v>
      </c>
      <c r="O130" s="173" t="s">
        <v>24</v>
      </c>
      <c r="P130" s="173">
        <v>74406</v>
      </c>
      <c r="Q130" s="173" t="s">
        <v>131</v>
      </c>
      <c r="R130" s="173" t="s">
        <v>132</v>
      </c>
    </row>
    <row r="131" spans="5:18" ht="13.5" customHeight="1" x14ac:dyDescent="0.35">
      <c r="E131" s="173" t="s">
        <v>128</v>
      </c>
      <c r="F131" s="173" t="s">
        <v>129</v>
      </c>
      <c r="G131" s="173">
        <v>384</v>
      </c>
      <c r="H131" s="173" t="s">
        <v>164</v>
      </c>
      <c r="I131" s="173">
        <v>5312</v>
      </c>
      <c r="J131" s="173" t="s">
        <v>130</v>
      </c>
      <c r="K131" s="173" t="s">
        <v>173</v>
      </c>
      <c r="L131" s="173" t="s">
        <v>174</v>
      </c>
      <c r="M131" s="173">
        <v>2019</v>
      </c>
      <c r="N131" s="173">
        <v>2019</v>
      </c>
      <c r="O131" s="173" t="s">
        <v>24</v>
      </c>
      <c r="P131" s="173">
        <v>73770</v>
      </c>
      <c r="Q131" s="173" t="s">
        <v>131</v>
      </c>
      <c r="R131" s="173" t="s">
        <v>132</v>
      </c>
    </row>
    <row r="132" spans="5:18" ht="13.5" customHeight="1" x14ac:dyDescent="0.35">
      <c r="E132" s="173" t="s">
        <v>128</v>
      </c>
      <c r="F132" s="173" t="s">
        <v>129</v>
      </c>
      <c r="G132" s="173">
        <v>384</v>
      </c>
      <c r="H132" s="173" t="s">
        <v>164</v>
      </c>
      <c r="I132" s="173">
        <v>5312</v>
      </c>
      <c r="J132" s="173" t="s">
        <v>130</v>
      </c>
      <c r="K132" s="173" t="s">
        <v>173</v>
      </c>
      <c r="L132" s="173" t="s">
        <v>174</v>
      </c>
      <c r="M132" s="173">
        <v>2020</v>
      </c>
      <c r="N132" s="173">
        <v>2020</v>
      </c>
      <c r="O132" s="173" t="s">
        <v>24</v>
      </c>
      <c r="P132" s="173">
        <v>73636</v>
      </c>
      <c r="Q132" s="173" t="s">
        <v>131</v>
      </c>
      <c r="R132" s="173" t="s">
        <v>132</v>
      </c>
    </row>
    <row r="133" spans="5:18" ht="13.5" customHeight="1" x14ac:dyDescent="0.35">
      <c r="E133" s="173" t="s">
        <v>128</v>
      </c>
      <c r="F133" s="173" t="s">
        <v>129</v>
      </c>
      <c r="G133" s="173">
        <v>384</v>
      </c>
      <c r="H133" s="173" t="s">
        <v>164</v>
      </c>
      <c r="I133" s="173">
        <v>5312</v>
      </c>
      <c r="J133" s="173" t="s">
        <v>130</v>
      </c>
      <c r="K133" s="173" t="s">
        <v>173</v>
      </c>
      <c r="L133" s="173" t="s">
        <v>174</v>
      </c>
      <c r="M133" s="173">
        <v>2021</v>
      </c>
      <c r="N133" s="173">
        <v>2021</v>
      </c>
      <c r="O133" s="173" t="s">
        <v>24</v>
      </c>
      <c r="P133" s="173">
        <v>73478</v>
      </c>
      <c r="Q133" s="173" t="s">
        <v>131</v>
      </c>
      <c r="R133" s="173" t="s">
        <v>132</v>
      </c>
    </row>
    <row r="134" spans="5:18" ht="13.5" customHeight="1" x14ac:dyDescent="0.35">
      <c r="E134" s="173" t="s">
        <v>128</v>
      </c>
      <c r="F134" s="173" t="s">
        <v>129</v>
      </c>
      <c r="G134" s="173">
        <v>384</v>
      </c>
      <c r="H134" s="173" t="s">
        <v>164</v>
      </c>
      <c r="I134" s="173">
        <v>5312</v>
      </c>
      <c r="J134" s="173" t="s">
        <v>130</v>
      </c>
      <c r="K134" s="173">
        <v>142</v>
      </c>
      <c r="L134" s="173" t="s">
        <v>144</v>
      </c>
      <c r="M134" s="173">
        <v>2015</v>
      </c>
      <c r="N134" s="173">
        <v>2015</v>
      </c>
      <c r="O134" s="173" t="s">
        <v>24</v>
      </c>
      <c r="P134" s="173">
        <v>120263</v>
      </c>
      <c r="Q134" s="173" t="s">
        <v>131</v>
      </c>
      <c r="R134" s="173" t="s">
        <v>132</v>
      </c>
    </row>
    <row r="135" spans="5:18" ht="13.5" customHeight="1" x14ac:dyDescent="0.35">
      <c r="E135" s="173" t="s">
        <v>128</v>
      </c>
      <c r="F135" s="173" t="s">
        <v>129</v>
      </c>
      <c r="G135" s="173">
        <v>384</v>
      </c>
      <c r="H135" s="173" t="s">
        <v>164</v>
      </c>
      <c r="I135" s="173">
        <v>5312</v>
      </c>
      <c r="J135" s="173" t="s">
        <v>130</v>
      </c>
      <c r="K135" s="173">
        <v>142</v>
      </c>
      <c r="L135" s="173" t="s">
        <v>144</v>
      </c>
      <c r="M135" s="173">
        <v>2016</v>
      </c>
      <c r="N135" s="173">
        <v>2016</v>
      </c>
      <c r="O135" s="173" t="s">
        <v>24</v>
      </c>
      <c r="P135" s="173">
        <v>130629</v>
      </c>
      <c r="Q135" s="173" t="s">
        <v>131</v>
      </c>
      <c r="R135" s="173" t="s">
        <v>132</v>
      </c>
    </row>
    <row r="136" spans="5:18" ht="13.5" customHeight="1" x14ac:dyDescent="0.35">
      <c r="E136" s="173" t="s">
        <v>128</v>
      </c>
      <c r="F136" s="173" t="s">
        <v>129</v>
      </c>
      <c r="G136" s="173">
        <v>384</v>
      </c>
      <c r="H136" s="173" t="s">
        <v>164</v>
      </c>
      <c r="I136" s="173">
        <v>5312</v>
      </c>
      <c r="J136" s="173" t="s">
        <v>130</v>
      </c>
      <c r="K136" s="173">
        <v>142</v>
      </c>
      <c r="L136" s="173" t="s">
        <v>144</v>
      </c>
      <c r="M136" s="173">
        <v>2017</v>
      </c>
      <c r="N136" s="173">
        <v>2017</v>
      </c>
      <c r="O136" s="173" t="s">
        <v>24</v>
      </c>
      <c r="P136" s="173">
        <v>137728</v>
      </c>
      <c r="Q136" s="173" t="s">
        <v>131</v>
      </c>
      <c r="R136" s="173" t="s">
        <v>132</v>
      </c>
    </row>
    <row r="137" spans="5:18" ht="13.5" customHeight="1" x14ac:dyDescent="0.35">
      <c r="E137" s="173" t="s">
        <v>128</v>
      </c>
      <c r="F137" s="173" t="s">
        <v>129</v>
      </c>
      <c r="G137" s="173">
        <v>384</v>
      </c>
      <c r="H137" s="173" t="s">
        <v>164</v>
      </c>
      <c r="I137" s="173">
        <v>5312</v>
      </c>
      <c r="J137" s="173" t="s">
        <v>130</v>
      </c>
      <c r="K137" s="173">
        <v>142</v>
      </c>
      <c r="L137" s="173" t="s">
        <v>144</v>
      </c>
      <c r="M137" s="173">
        <v>2018</v>
      </c>
      <c r="N137" s="173">
        <v>2018</v>
      </c>
      <c r="O137" s="173" t="s">
        <v>24</v>
      </c>
      <c r="P137" s="173">
        <v>136549</v>
      </c>
      <c r="Q137" s="173" t="s">
        <v>131</v>
      </c>
      <c r="R137" s="173" t="s">
        <v>132</v>
      </c>
    </row>
    <row r="138" spans="5:18" ht="13.5" customHeight="1" x14ac:dyDescent="0.35">
      <c r="E138" s="173" t="s">
        <v>128</v>
      </c>
      <c r="F138" s="173" t="s">
        <v>129</v>
      </c>
      <c r="G138" s="173">
        <v>384</v>
      </c>
      <c r="H138" s="173" t="s">
        <v>164</v>
      </c>
      <c r="I138" s="173">
        <v>5312</v>
      </c>
      <c r="J138" s="173" t="s">
        <v>130</v>
      </c>
      <c r="K138" s="173">
        <v>142</v>
      </c>
      <c r="L138" s="173" t="s">
        <v>144</v>
      </c>
      <c r="M138" s="173">
        <v>2019</v>
      </c>
      <c r="N138" s="173">
        <v>2019</v>
      </c>
      <c r="O138" s="173" t="s">
        <v>24</v>
      </c>
      <c r="P138" s="173">
        <v>136848</v>
      </c>
      <c r="Q138" s="173" t="s">
        <v>131</v>
      </c>
      <c r="R138" s="173" t="s">
        <v>132</v>
      </c>
    </row>
    <row r="139" spans="5:18" ht="13.5" customHeight="1" x14ac:dyDescent="0.35">
      <c r="E139" s="173" t="s">
        <v>128</v>
      </c>
      <c r="F139" s="173" t="s">
        <v>129</v>
      </c>
      <c r="G139" s="173">
        <v>384</v>
      </c>
      <c r="H139" s="173" t="s">
        <v>164</v>
      </c>
      <c r="I139" s="173">
        <v>5312</v>
      </c>
      <c r="J139" s="173" t="s">
        <v>130</v>
      </c>
      <c r="K139" s="173">
        <v>142</v>
      </c>
      <c r="L139" s="173" t="s">
        <v>144</v>
      </c>
      <c r="M139" s="173">
        <v>2020</v>
      </c>
      <c r="N139" s="173">
        <v>2020</v>
      </c>
      <c r="O139" s="173" t="s">
        <v>24</v>
      </c>
      <c r="P139" s="173">
        <v>139303</v>
      </c>
      <c r="Q139" s="173" t="s">
        <v>131</v>
      </c>
      <c r="R139" s="173" t="s">
        <v>132</v>
      </c>
    </row>
    <row r="140" spans="5:18" ht="13.5" customHeight="1" x14ac:dyDescent="0.35">
      <c r="E140" s="173" t="s">
        <v>128</v>
      </c>
      <c r="F140" s="173" t="s">
        <v>129</v>
      </c>
      <c r="G140" s="173">
        <v>384</v>
      </c>
      <c r="H140" s="173" t="s">
        <v>164</v>
      </c>
      <c r="I140" s="173">
        <v>5312</v>
      </c>
      <c r="J140" s="173" t="s">
        <v>130</v>
      </c>
      <c r="K140" s="173">
        <v>142</v>
      </c>
      <c r="L140" s="173" t="s">
        <v>144</v>
      </c>
      <c r="M140" s="173">
        <v>2021</v>
      </c>
      <c r="N140" s="173">
        <v>2021</v>
      </c>
      <c r="O140" s="173" t="s">
        <v>24</v>
      </c>
      <c r="P140" s="173">
        <v>125209</v>
      </c>
      <c r="Q140" s="173" t="s">
        <v>131</v>
      </c>
      <c r="R140" s="173" t="s">
        <v>132</v>
      </c>
    </row>
    <row r="141" spans="5:18" ht="13.5" customHeight="1" x14ac:dyDescent="0.35">
      <c r="E141" s="173" t="s">
        <v>128</v>
      </c>
      <c r="F141" s="173" t="s">
        <v>129</v>
      </c>
      <c r="G141" s="173">
        <v>384</v>
      </c>
      <c r="H141" s="173" t="s">
        <v>164</v>
      </c>
      <c r="I141" s="173">
        <v>5312</v>
      </c>
      <c r="J141" s="173" t="s">
        <v>130</v>
      </c>
      <c r="K141" s="173" t="s">
        <v>175</v>
      </c>
      <c r="L141" s="173" t="s">
        <v>176</v>
      </c>
      <c r="M141" s="173">
        <v>2015</v>
      </c>
      <c r="N141" s="173">
        <v>2015</v>
      </c>
      <c r="O141" s="173" t="s">
        <v>24</v>
      </c>
      <c r="P141" s="173">
        <v>0</v>
      </c>
      <c r="Q141" s="173" t="s">
        <v>137</v>
      </c>
      <c r="R141" s="173" t="s">
        <v>138</v>
      </c>
    </row>
    <row r="142" spans="5:18" ht="13.5" customHeight="1" x14ac:dyDescent="0.35">
      <c r="E142" s="173" t="s">
        <v>128</v>
      </c>
      <c r="F142" s="173" t="s">
        <v>129</v>
      </c>
      <c r="G142" s="173">
        <v>384</v>
      </c>
      <c r="H142" s="173" t="s">
        <v>164</v>
      </c>
      <c r="I142" s="173">
        <v>5312</v>
      </c>
      <c r="J142" s="173" t="s">
        <v>130</v>
      </c>
      <c r="K142" s="173" t="s">
        <v>175</v>
      </c>
      <c r="L142" s="173" t="s">
        <v>176</v>
      </c>
      <c r="M142" s="173">
        <v>2016</v>
      </c>
      <c r="N142" s="173">
        <v>2016</v>
      </c>
      <c r="O142" s="173" t="s">
        <v>24</v>
      </c>
      <c r="P142" s="173">
        <v>0</v>
      </c>
      <c r="Q142" s="173" t="s">
        <v>137</v>
      </c>
      <c r="R142" s="173" t="s">
        <v>138</v>
      </c>
    </row>
    <row r="143" spans="5:18" ht="13.5" customHeight="1" x14ac:dyDescent="0.35">
      <c r="E143" s="173" t="s">
        <v>128</v>
      </c>
      <c r="F143" s="173" t="s">
        <v>129</v>
      </c>
      <c r="G143" s="173">
        <v>384</v>
      </c>
      <c r="H143" s="173" t="s">
        <v>164</v>
      </c>
      <c r="I143" s="173">
        <v>5312</v>
      </c>
      <c r="J143" s="173" t="s">
        <v>130</v>
      </c>
      <c r="K143" s="173" t="s">
        <v>175</v>
      </c>
      <c r="L143" s="173" t="s">
        <v>176</v>
      </c>
      <c r="M143" s="173">
        <v>2017</v>
      </c>
      <c r="N143" s="173">
        <v>2017</v>
      </c>
      <c r="O143" s="173" t="s">
        <v>24</v>
      </c>
      <c r="P143" s="173">
        <v>0</v>
      </c>
      <c r="Q143" s="173" t="s">
        <v>137</v>
      </c>
      <c r="R143" s="173" t="s">
        <v>138</v>
      </c>
    </row>
    <row r="144" spans="5:18" ht="13.5" customHeight="1" x14ac:dyDescent="0.35">
      <c r="E144" s="173" t="s">
        <v>128</v>
      </c>
      <c r="F144" s="173" t="s">
        <v>129</v>
      </c>
      <c r="G144" s="173">
        <v>384</v>
      </c>
      <c r="H144" s="173" t="s">
        <v>164</v>
      </c>
      <c r="I144" s="173">
        <v>5312</v>
      </c>
      <c r="J144" s="173" t="s">
        <v>130</v>
      </c>
      <c r="K144" s="173" t="s">
        <v>175</v>
      </c>
      <c r="L144" s="173" t="s">
        <v>176</v>
      </c>
      <c r="M144" s="173">
        <v>2018</v>
      </c>
      <c r="N144" s="173">
        <v>2018</v>
      </c>
      <c r="O144" s="173" t="s">
        <v>24</v>
      </c>
      <c r="P144" s="173">
        <v>0</v>
      </c>
      <c r="Q144" s="173" t="s">
        <v>137</v>
      </c>
      <c r="R144" s="173" t="s">
        <v>138</v>
      </c>
    </row>
    <row r="145" spans="5:18" ht="13.5" customHeight="1" x14ac:dyDescent="0.35">
      <c r="E145" s="173" t="s">
        <v>128</v>
      </c>
      <c r="F145" s="173" t="s">
        <v>129</v>
      </c>
      <c r="G145" s="173">
        <v>384</v>
      </c>
      <c r="H145" s="173" t="s">
        <v>164</v>
      </c>
      <c r="I145" s="173">
        <v>5312</v>
      </c>
      <c r="J145" s="173" t="s">
        <v>130</v>
      </c>
      <c r="K145" s="173" t="s">
        <v>175</v>
      </c>
      <c r="L145" s="173" t="s">
        <v>176</v>
      </c>
      <c r="M145" s="173">
        <v>2019</v>
      </c>
      <c r="N145" s="173">
        <v>2019</v>
      </c>
      <c r="O145" s="173" t="s">
        <v>24</v>
      </c>
      <c r="P145" s="173">
        <v>0</v>
      </c>
      <c r="Q145" s="173" t="s">
        <v>137</v>
      </c>
      <c r="R145" s="173" t="s">
        <v>138</v>
      </c>
    </row>
    <row r="146" spans="5:18" ht="13.5" customHeight="1" x14ac:dyDescent="0.35">
      <c r="E146" s="173" t="s">
        <v>128</v>
      </c>
      <c r="F146" s="173" t="s">
        <v>129</v>
      </c>
      <c r="G146" s="173">
        <v>384</v>
      </c>
      <c r="H146" s="173" t="s">
        <v>164</v>
      </c>
      <c r="I146" s="173">
        <v>5312</v>
      </c>
      <c r="J146" s="173" t="s">
        <v>130</v>
      </c>
      <c r="K146" s="173" t="s">
        <v>175</v>
      </c>
      <c r="L146" s="173" t="s">
        <v>176</v>
      </c>
      <c r="M146" s="173">
        <v>2020</v>
      </c>
      <c r="N146" s="173">
        <v>2020</v>
      </c>
      <c r="O146" s="173" t="s">
        <v>24</v>
      </c>
      <c r="P146" s="173">
        <v>0</v>
      </c>
      <c r="Q146" s="173" t="s">
        <v>137</v>
      </c>
      <c r="R146" s="173" t="s">
        <v>138</v>
      </c>
    </row>
    <row r="147" spans="5:18" ht="13.5" customHeight="1" x14ac:dyDescent="0.35">
      <c r="E147" s="173" t="s">
        <v>128</v>
      </c>
      <c r="F147" s="173" t="s">
        <v>129</v>
      </c>
      <c r="G147" s="173">
        <v>384</v>
      </c>
      <c r="H147" s="173" t="s">
        <v>164</v>
      </c>
      <c r="I147" s="173">
        <v>5312</v>
      </c>
      <c r="J147" s="173" t="s">
        <v>130</v>
      </c>
      <c r="K147" s="173" t="s">
        <v>175</v>
      </c>
      <c r="L147" s="173" t="s">
        <v>176</v>
      </c>
      <c r="M147" s="173">
        <v>2021</v>
      </c>
      <c r="N147" s="173">
        <v>2021</v>
      </c>
      <c r="O147" s="173" t="s">
        <v>24</v>
      </c>
      <c r="P147" s="173">
        <v>0</v>
      </c>
      <c r="Q147" s="173" t="s">
        <v>137</v>
      </c>
      <c r="R147" s="173" t="s">
        <v>138</v>
      </c>
    </row>
    <row r="148" spans="5:18" ht="13.5" customHeight="1" x14ac:dyDescent="0.35">
      <c r="E148" s="173" t="s">
        <v>128</v>
      </c>
      <c r="F148" s="173" t="s">
        <v>129</v>
      </c>
      <c r="G148" s="173">
        <v>384</v>
      </c>
      <c r="H148" s="173" t="s">
        <v>164</v>
      </c>
      <c r="I148" s="173">
        <v>5312</v>
      </c>
      <c r="J148" s="173" t="s">
        <v>130</v>
      </c>
      <c r="K148" s="173" t="s">
        <v>177</v>
      </c>
      <c r="L148" s="173" t="s">
        <v>178</v>
      </c>
      <c r="M148" s="173">
        <v>2015</v>
      </c>
      <c r="N148" s="173">
        <v>2015</v>
      </c>
      <c r="O148" s="173" t="s">
        <v>24</v>
      </c>
      <c r="P148" s="173">
        <v>24161</v>
      </c>
      <c r="Q148" s="173" t="s">
        <v>131</v>
      </c>
      <c r="R148" s="173" t="s">
        <v>132</v>
      </c>
    </row>
    <row r="149" spans="5:18" ht="13.5" customHeight="1" x14ac:dyDescent="0.35">
      <c r="E149" s="173" t="s">
        <v>128</v>
      </c>
      <c r="F149" s="173" t="s">
        <v>129</v>
      </c>
      <c r="G149" s="173">
        <v>384</v>
      </c>
      <c r="H149" s="173" t="s">
        <v>164</v>
      </c>
      <c r="I149" s="173">
        <v>5312</v>
      </c>
      <c r="J149" s="173" t="s">
        <v>130</v>
      </c>
      <c r="K149" s="173" t="s">
        <v>177</v>
      </c>
      <c r="L149" s="173" t="s">
        <v>178</v>
      </c>
      <c r="M149" s="173">
        <v>2016</v>
      </c>
      <c r="N149" s="173">
        <v>2016</v>
      </c>
      <c r="O149" s="173" t="s">
        <v>24</v>
      </c>
      <c r="P149" s="173">
        <v>23442</v>
      </c>
      <c r="Q149" s="173" t="s">
        <v>109</v>
      </c>
      <c r="R149" s="173" t="s">
        <v>110</v>
      </c>
    </row>
    <row r="150" spans="5:18" ht="13.5" customHeight="1" x14ac:dyDescent="0.35">
      <c r="E150" s="173" t="s">
        <v>128</v>
      </c>
      <c r="F150" s="173" t="s">
        <v>129</v>
      </c>
      <c r="G150" s="173">
        <v>384</v>
      </c>
      <c r="H150" s="173" t="s">
        <v>164</v>
      </c>
      <c r="I150" s="173">
        <v>5312</v>
      </c>
      <c r="J150" s="173" t="s">
        <v>130</v>
      </c>
      <c r="K150" s="173" t="s">
        <v>177</v>
      </c>
      <c r="L150" s="173" t="s">
        <v>178</v>
      </c>
      <c r="M150" s="173">
        <v>2017</v>
      </c>
      <c r="N150" s="173">
        <v>2017</v>
      </c>
      <c r="O150" s="173" t="s">
        <v>24</v>
      </c>
      <c r="P150" s="173">
        <v>23756</v>
      </c>
      <c r="Q150" s="173" t="s">
        <v>109</v>
      </c>
      <c r="R150" s="173" t="s">
        <v>110</v>
      </c>
    </row>
    <row r="151" spans="5:18" ht="13.5" customHeight="1" x14ac:dyDescent="0.35">
      <c r="E151" s="173" t="s">
        <v>128</v>
      </c>
      <c r="F151" s="173" t="s">
        <v>129</v>
      </c>
      <c r="G151" s="173">
        <v>384</v>
      </c>
      <c r="H151" s="173" t="s">
        <v>164</v>
      </c>
      <c r="I151" s="173">
        <v>5312</v>
      </c>
      <c r="J151" s="173" t="s">
        <v>130</v>
      </c>
      <c r="K151" s="173" t="s">
        <v>177</v>
      </c>
      <c r="L151" s="173" t="s">
        <v>178</v>
      </c>
      <c r="M151" s="173">
        <v>2018</v>
      </c>
      <c r="N151" s="173">
        <v>2018</v>
      </c>
      <c r="O151" s="173" t="s">
        <v>24</v>
      </c>
      <c r="P151" s="173">
        <v>23787</v>
      </c>
      <c r="Q151" s="173" t="s">
        <v>109</v>
      </c>
      <c r="R151" s="173" t="s">
        <v>110</v>
      </c>
    </row>
    <row r="152" spans="5:18" ht="13.5" customHeight="1" x14ac:dyDescent="0.35">
      <c r="E152" s="173" t="s">
        <v>128</v>
      </c>
      <c r="F152" s="173" t="s">
        <v>129</v>
      </c>
      <c r="G152" s="173">
        <v>384</v>
      </c>
      <c r="H152" s="173" t="s">
        <v>164</v>
      </c>
      <c r="I152" s="173">
        <v>5312</v>
      </c>
      <c r="J152" s="173" t="s">
        <v>130</v>
      </c>
      <c r="K152" s="173" t="s">
        <v>177</v>
      </c>
      <c r="L152" s="173" t="s">
        <v>178</v>
      </c>
      <c r="M152" s="173">
        <v>2019</v>
      </c>
      <c r="N152" s="173">
        <v>2019</v>
      </c>
      <c r="O152" s="173" t="s">
        <v>24</v>
      </c>
      <c r="P152" s="173">
        <v>23662</v>
      </c>
      <c r="Q152" s="173" t="s">
        <v>109</v>
      </c>
      <c r="R152" s="173" t="s">
        <v>110</v>
      </c>
    </row>
    <row r="153" spans="5:18" ht="13.5" customHeight="1" x14ac:dyDescent="0.35">
      <c r="E153" s="173" t="s">
        <v>128</v>
      </c>
      <c r="F153" s="173" t="s">
        <v>129</v>
      </c>
      <c r="G153" s="173">
        <v>384</v>
      </c>
      <c r="H153" s="173" t="s">
        <v>164</v>
      </c>
      <c r="I153" s="173">
        <v>5312</v>
      </c>
      <c r="J153" s="173" t="s">
        <v>130</v>
      </c>
      <c r="K153" s="173" t="s">
        <v>177</v>
      </c>
      <c r="L153" s="173" t="s">
        <v>178</v>
      </c>
      <c r="M153" s="173">
        <v>2020</v>
      </c>
      <c r="N153" s="173">
        <v>2020</v>
      </c>
      <c r="O153" s="173" t="s">
        <v>24</v>
      </c>
      <c r="P153" s="173">
        <v>23735</v>
      </c>
      <c r="Q153" s="173" t="s">
        <v>109</v>
      </c>
      <c r="R153" s="173" t="s">
        <v>110</v>
      </c>
    </row>
    <row r="154" spans="5:18" ht="13.5" customHeight="1" x14ac:dyDescent="0.35">
      <c r="E154" s="173" t="s">
        <v>128</v>
      </c>
      <c r="F154" s="173" t="s">
        <v>129</v>
      </c>
      <c r="G154" s="173">
        <v>384</v>
      </c>
      <c r="H154" s="173" t="s">
        <v>164</v>
      </c>
      <c r="I154" s="173">
        <v>5312</v>
      </c>
      <c r="J154" s="173" t="s">
        <v>130</v>
      </c>
      <c r="K154" s="173" t="s">
        <v>177</v>
      </c>
      <c r="L154" s="173" t="s">
        <v>178</v>
      </c>
      <c r="M154" s="173">
        <v>2021</v>
      </c>
      <c r="N154" s="173">
        <v>2021</v>
      </c>
      <c r="O154" s="173" t="s">
        <v>24</v>
      </c>
      <c r="P154" s="173">
        <v>23728</v>
      </c>
      <c r="Q154" s="173" t="s">
        <v>109</v>
      </c>
      <c r="R154" s="173" t="s">
        <v>110</v>
      </c>
    </row>
    <row r="155" spans="5:18" ht="13.5" customHeight="1" x14ac:dyDescent="0.35">
      <c r="E155" s="173" t="s">
        <v>128</v>
      </c>
      <c r="F155" s="173" t="s">
        <v>129</v>
      </c>
      <c r="G155" s="173">
        <v>384</v>
      </c>
      <c r="H155" s="173" t="s">
        <v>164</v>
      </c>
      <c r="I155" s="173">
        <v>5312</v>
      </c>
      <c r="J155" s="173" t="s">
        <v>130</v>
      </c>
      <c r="K155" s="173" t="s">
        <v>179</v>
      </c>
      <c r="L155" s="173" t="s">
        <v>180</v>
      </c>
      <c r="M155" s="173">
        <v>2015</v>
      </c>
      <c r="N155" s="173">
        <v>2015</v>
      </c>
      <c r="O155" s="173" t="s">
        <v>24</v>
      </c>
      <c r="P155" s="173">
        <v>90101</v>
      </c>
      <c r="Q155" s="173" t="s">
        <v>131</v>
      </c>
      <c r="R155" s="173" t="s">
        <v>132</v>
      </c>
    </row>
    <row r="156" spans="5:18" ht="13.5" customHeight="1" x14ac:dyDescent="0.35">
      <c r="E156" s="173" t="s">
        <v>128</v>
      </c>
      <c r="F156" s="173" t="s">
        <v>129</v>
      </c>
      <c r="G156" s="173">
        <v>384</v>
      </c>
      <c r="H156" s="173" t="s">
        <v>164</v>
      </c>
      <c r="I156" s="173">
        <v>5312</v>
      </c>
      <c r="J156" s="173" t="s">
        <v>130</v>
      </c>
      <c r="K156" s="173" t="s">
        <v>179</v>
      </c>
      <c r="L156" s="173" t="s">
        <v>180</v>
      </c>
      <c r="M156" s="173">
        <v>2016</v>
      </c>
      <c r="N156" s="173">
        <v>2016</v>
      </c>
      <c r="O156" s="173" t="s">
        <v>24</v>
      </c>
      <c r="P156" s="173">
        <v>84982</v>
      </c>
      <c r="Q156" s="173" t="s">
        <v>109</v>
      </c>
      <c r="R156" s="173" t="s">
        <v>110</v>
      </c>
    </row>
    <row r="157" spans="5:18" ht="13.5" customHeight="1" x14ac:dyDescent="0.35">
      <c r="E157" s="173" t="s">
        <v>128</v>
      </c>
      <c r="F157" s="173" t="s">
        <v>129</v>
      </c>
      <c r="G157" s="173">
        <v>384</v>
      </c>
      <c r="H157" s="173" t="s">
        <v>164</v>
      </c>
      <c r="I157" s="173">
        <v>5312</v>
      </c>
      <c r="J157" s="173" t="s">
        <v>130</v>
      </c>
      <c r="K157" s="173" t="s">
        <v>179</v>
      </c>
      <c r="L157" s="173" t="s">
        <v>180</v>
      </c>
      <c r="M157" s="173">
        <v>2017</v>
      </c>
      <c r="N157" s="173">
        <v>2017</v>
      </c>
      <c r="O157" s="173" t="s">
        <v>24</v>
      </c>
      <c r="P157" s="173">
        <v>83622</v>
      </c>
      <c r="Q157" s="173" t="s">
        <v>131</v>
      </c>
      <c r="R157" s="173" t="s">
        <v>132</v>
      </c>
    </row>
    <row r="158" spans="5:18" ht="13.5" customHeight="1" x14ac:dyDescent="0.35">
      <c r="E158" s="173" t="s">
        <v>128</v>
      </c>
      <c r="F158" s="173" t="s">
        <v>129</v>
      </c>
      <c r="G158" s="173">
        <v>384</v>
      </c>
      <c r="H158" s="173" t="s">
        <v>164</v>
      </c>
      <c r="I158" s="173">
        <v>5312</v>
      </c>
      <c r="J158" s="173" t="s">
        <v>130</v>
      </c>
      <c r="K158" s="173" t="s">
        <v>179</v>
      </c>
      <c r="L158" s="173" t="s">
        <v>180</v>
      </c>
      <c r="M158" s="173">
        <v>2018</v>
      </c>
      <c r="N158" s="173">
        <v>2018</v>
      </c>
      <c r="O158" s="173" t="s">
        <v>24</v>
      </c>
      <c r="P158" s="173">
        <v>85677</v>
      </c>
      <c r="Q158" s="173" t="s">
        <v>131</v>
      </c>
      <c r="R158" s="173" t="s">
        <v>132</v>
      </c>
    </row>
    <row r="159" spans="5:18" ht="13.5" customHeight="1" x14ac:dyDescent="0.35">
      <c r="E159" s="173" t="s">
        <v>128</v>
      </c>
      <c r="F159" s="173" t="s">
        <v>129</v>
      </c>
      <c r="G159" s="173">
        <v>384</v>
      </c>
      <c r="H159" s="173" t="s">
        <v>164</v>
      </c>
      <c r="I159" s="173">
        <v>5312</v>
      </c>
      <c r="J159" s="173" t="s">
        <v>130</v>
      </c>
      <c r="K159" s="173" t="s">
        <v>179</v>
      </c>
      <c r="L159" s="173" t="s">
        <v>180</v>
      </c>
      <c r="M159" s="173">
        <v>2019</v>
      </c>
      <c r="N159" s="173">
        <v>2019</v>
      </c>
      <c r="O159" s="173" t="s">
        <v>24</v>
      </c>
      <c r="P159" s="173">
        <v>83955</v>
      </c>
      <c r="Q159" s="173" t="s">
        <v>131</v>
      </c>
      <c r="R159" s="173" t="s">
        <v>132</v>
      </c>
    </row>
    <row r="160" spans="5:18" ht="13.5" customHeight="1" x14ac:dyDescent="0.35">
      <c r="E160" s="173" t="s">
        <v>128</v>
      </c>
      <c r="F160" s="173" t="s">
        <v>129</v>
      </c>
      <c r="G160" s="173">
        <v>384</v>
      </c>
      <c r="H160" s="173" t="s">
        <v>164</v>
      </c>
      <c r="I160" s="173">
        <v>5312</v>
      </c>
      <c r="J160" s="173" t="s">
        <v>130</v>
      </c>
      <c r="K160" s="173" t="s">
        <v>179</v>
      </c>
      <c r="L160" s="173" t="s">
        <v>180</v>
      </c>
      <c r="M160" s="173">
        <v>2020</v>
      </c>
      <c r="N160" s="173">
        <v>2020</v>
      </c>
      <c r="O160" s="173" t="s">
        <v>24</v>
      </c>
      <c r="P160" s="173">
        <v>83028</v>
      </c>
      <c r="Q160" s="173" t="s">
        <v>131</v>
      </c>
      <c r="R160" s="173" t="s">
        <v>132</v>
      </c>
    </row>
    <row r="161" spans="5:18" ht="13.5" customHeight="1" x14ac:dyDescent="0.35">
      <c r="E161" s="173" t="s">
        <v>128</v>
      </c>
      <c r="F161" s="173" t="s">
        <v>129</v>
      </c>
      <c r="G161" s="173">
        <v>384</v>
      </c>
      <c r="H161" s="173" t="s">
        <v>164</v>
      </c>
      <c r="I161" s="173">
        <v>5312</v>
      </c>
      <c r="J161" s="173" t="s">
        <v>130</v>
      </c>
      <c r="K161" s="173" t="s">
        <v>179</v>
      </c>
      <c r="L161" s="173" t="s">
        <v>180</v>
      </c>
      <c r="M161" s="173">
        <v>2021</v>
      </c>
      <c r="N161" s="173">
        <v>2021</v>
      </c>
      <c r="O161" s="173" t="s">
        <v>24</v>
      </c>
      <c r="P161" s="173">
        <v>82193</v>
      </c>
      <c r="Q161" s="173" t="s">
        <v>131</v>
      </c>
      <c r="R161" s="173" t="s">
        <v>132</v>
      </c>
    </row>
    <row r="162" spans="5:18" ht="13.5" customHeight="1" x14ac:dyDescent="0.35">
      <c r="E162" s="173" t="s">
        <v>128</v>
      </c>
      <c r="F162" s="173" t="s">
        <v>129</v>
      </c>
      <c r="G162" s="173">
        <v>384</v>
      </c>
      <c r="H162" s="173" t="s">
        <v>164</v>
      </c>
      <c r="I162" s="173">
        <v>5312</v>
      </c>
      <c r="J162" s="173" t="s">
        <v>130</v>
      </c>
      <c r="K162" s="173">
        <v>112</v>
      </c>
      <c r="L162" s="173" t="s">
        <v>113</v>
      </c>
      <c r="M162" s="173">
        <v>2015</v>
      </c>
      <c r="N162" s="173">
        <v>2015</v>
      </c>
      <c r="O162" s="173" t="s">
        <v>24</v>
      </c>
      <c r="P162" s="173">
        <v>497864</v>
      </c>
      <c r="Q162" s="173" t="s">
        <v>131</v>
      </c>
      <c r="R162" s="173" t="s">
        <v>132</v>
      </c>
    </row>
    <row r="163" spans="5:18" ht="13.5" customHeight="1" x14ac:dyDescent="0.35">
      <c r="E163" s="173" t="s">
        <v>128</v>
      </c>
      <c r="F163" s="173" t="s">
        <v>129</v>
      </c>
      <c r="G163" s="173">
        <v>384</v>
      </c>
      <c r="H163" s="173" t="s">
        <v>164</v>
      </c>
      <c r="I163" s="173">
        <v>5312</v>
      </c>
      <c r="J163" s="173" t="s">
        <v>130</v>
      </c>
      <c r="K163" s="173">
        <v>112</v>
      </c>
      <c r="L163" s="173" t="s">
        <v>113</v>
      </c>
      <c r="M163" s="173">
        <v>2016</v>
      </c>
      <c r="N163" s="173">
        <v>2016</v>
      </c>
      <c r="O163" s="173" t="s">
        <v>24</v>
      </c>
      <c r="P163" s="173">
        <v>472032</v>
      </c>
      <c r="Q163" s="173" t="s">
        <v>131</v>
      </c>
      <c r="R163" s="173" t="s">
        <v>132</v>
      </c>
    </row>
    <row r="164" spans="5:18" ht="13.5" customHeight="1" x14ac:dyDescent="0.35">
      <c r="E164" s="173" t="s">
        <v>128</v>
      </c>
      <c r="F164" s="173" t="s">
        <v>129</v>
      </c>
      <c r="G164" s="173">
        <v>384</v>
      </c>
      <c r="H164" s="173" t="s">
        <v>164</v>
      </c>
      <c r="I164" s="173">
        <v>5312</v>
      </c>
      <c r="J164" s="173" t="s">
        <v>130</v>
      </c>
      <c r="K164" s="173">
        <v>112</v>
      </c>
      <c r="L164" s="173" t="s">
        <v>113</v>
      </c>
      <c r="M164" s="173">
        <v>2017</v>
      </c>
      <c r="N164" s="173">
        <v>2017</v>
      </c>
      <c r="O164" s="173" t="s">
        <v>24</v>
      </c>
      <c r="P164" s="173">
        <v>493661</v>
      </c>
      <c r="Q164" s="173" t="s">
        <v>131</v>
      </c>
      <c r="R164" s="173" t="s">
        <v>132</v>
      </c>
    </row>
    <row r="165" spans="5:18" ht="13.5" customHeight="1" x14ac:dyDescent="0.35">
      <c r="E165" s="173" t="s">
        <v>128</v>
      </c>
      <c r="F165" s="173" t="s">
        <v>129</v>
      </c>
      <c r="G165" s="173">
        <v>384</v>
      </c>
      <c r="H165" s="173" t="s">
        <v>164</v>
      </c>
      <c r="I165" s="173">
        <v>5312</v>
      </c>
      <c r="J165" s="173" t="s">
        <v>130</v>
      </c>
      <c r="K165" s="173">
        <v>112</v>
      </c>
      <c r="L165" s="173" t="s">
        <v>113</v>
      </c>
      <c r="M165" s="173">
        <v>2018</v>
      </c>
      <c r="N165" s="173">
        <v>2018</v>
      </c>
      <c r="O165" s="173" t="s">
        <v>24</v>
      </c>
      <c r="P165" s="173">
        <v>489900</v>
      </c>
      <c r="Q165" s="173" t="s">
        <v>131</v>
      </c>
      <c r="R165" s="173" t="s">
        <v>132</v>
      </c>
    </row>
    <row r="166" spans="5:18" ht="13.5" customHeight="1" x14ac:dyDescent="0.35">
      <c r="E166" s="173" t="s">
        <v>128</v>
      </c>
      <c r="F166" s="173" t="s">
        <v>129</v>
      </c>
      <c r="G166" s="173">
        <v>384</v>
      </c>
      <c r="H166" s="173" t="s">
        <v>164</v>
      </c>
      <c r="I166" s="173">
        <v>5312</v>
      </c>
      <c r="J166" s="173" t="s">
        <v>130</v>
      </c>
      <c r="K166" s="173">
        <v>112</v>
      </c>
      <c r="L166" s="173" t="s">
        <v>113</v>
      </c>
      <c r="M166" s="173">
        <v>2019</v>
      </c>
      <c r="N166" s="173">
        <v>2019</v>
      </c>
      <c r="O166" s="173" t="s">
        <v>24</v>
      </c>
      <c r="P166" s="173">
        <v>509440</v>
      </c>
      <c r="Q166" s="173" t="s">
        <v>131</v>
      </c>
      <c r="R166" s="173" t="s">
        <v>132</v>
      </c>
    </row>
    <row r="167" spans="5:18" ht="13.5" customHeight="1" x14ac:dyDescent="0.35">
      <c r="E167" s="173" t="s">
        <v>128</v>
      </c>
      <c r="F167" s="173" t="s">
        <v>129</v>
      </c>
      <c r="G167" s="173">
        <v>384</v>
      </c>
      <c r="H167" s="173" t="s">
        <v>164</v>
      </c>
      <c r="I167" s="173">
        <v>5312</v>
      </c>
      <c r="J167" s="173" t="s">
        <v>130</v>
      </c>
      <c r="K167" s="173">
        <v>112</v>
      </c>
      <c r="L167" s="173" t="s">
        <v>113</v>
      </c>
      <c r="M167" s="173">
        <v>2020</v>
      </c>
      <c r="N167" s="173">
        <v>2020</v>
      </c>
      <c r="O167" s="173" t="s">
        <v>24</v>
      </c>
      <c r="P167" s="173">
        <v>539144</v>
      </c>
      <c r="Q167" s="173" t="s">
        <v>131</v>
      </c>
      <c r="R167" s="173" t="s">
        <v>132</v>
      </c>
    </row>
    <row r="168" spans="5:18" ht="13.5" customHeight="1" x14ac:dyDescent="0.35">
      <c r="E168" s="173" t="s">
        <v>128</v>
      </c>
      <c r="F168" s="173" t="s">
        <v>129</v>
      </c>
      <c r="G168" s="173">
        <v>384</v>
      </c>
      <c r="H168" s="173" t="s">
        <v>164</v>
      </c>
      <c r="I168" s="173">
        <v>5312</v>
      </c>
      <c r="J168" s="173" t="s">
        <v>130</v>
      </c>
      <c r="K168" s="173">
        <v>112</v>
      </c>
      <c r="L168" s="173" t="s">
        <v>113</v>
      </c>
      <c r="M168" s="173">
        <v>2021</v>
      </c>
      <c r="N168" s="173">
        <v>2021</v>
      </c>
      <c r="O168" s="173" t="s">
        <v>24</v>
      </c>
      <c r="P168" s="173">
        <v>518794</v>
      </c>
      <c r="Q168" s="173" t="s">
        <v>131</v>
      </c>
      <c r="R168" s="173" t="s">
        <v>132</v>
      </c>
    </row>
    <row r="169" spans="5:18" ht="13.5" customHeight="1" x14ac:dyDescent="0.35">
      <c r="E169" s="173" t="s">
        <v>128</v>
      </c>
      <c r="F169" s="173" t="s">
        <v>129</v>
      </c>
      <c r="G169" s="173">
        <v>384</v>
      </c>
      <c r="H169" s="173" t="s">
        <v>164</v>
      </c>
      <c r="I169" s="173">
        <v>5312</v>
      </c>
      <c r="J169" s="173" t="s">
        <v>130</v>
      </c>
      <c r="K169" s="173">
        <v>1316</v>
      </c>
      <c r="L169" s="173" t="s">
        <v>125</v>
      </c>
      <c r="M169" s="173">
        <v>2015</v>
      </c>
      <c r="N169" s="173">
        <v>2015</v>
      </c>
      <c r="O169" s="173" t="s">
        <v>24</v>
      </c>
      <c r="P169" s="173">
        <v>141599</v>
      </c>
      <c r="Q169" s="173" t="s">
        <v>131</v>
      </c>
      <c r="R169" s="173" t="s">
        <v>132</v>
      </c>
    </row>
    <row r="170" spans="5:18" ht="13.5" customHeight="1" x14ac:dyDescent="0.35">
      <c r="E170" s="173" t="s">
        <v>128</v>
      </c>
      <c r="F170" s="173" t="s">
        <v>129</v>
      </c>
      <c r="G170" s="173">
        <v>384</v>
      </c>
      <c r="H170" s="173" t="s">
        <v>164</v>
      </c>
      <c r="I170" s="173">
        <v>5312</v>
      </c>
      <c r="J170" s="173" t="s">
        <v>130</v>
      </c>
      <c r="K170" s="173">
        <v>1316</v>
      </c>
      <c r="L170" s="173" t="s">
        <v>125</v>
      </c>
      <c r="M170" s="173">
        <v>2016</v>
      </c>
      <c r="N170" s="173">
        <v>2016</v>
      </c>
      <c r="O170" s="173" t="s">
        <v>24</v>
      </c>
      <c r="P170" s="173">
        <v>178479</v>
      </c>
      <c r="Q170" s="173" t="s">
        <v>131</v>
      </c>
      <c r="R170" s="173" t="s">
        <v>132</v>
      </c>
    </row>
    <row r="171" spans="5:18" ht="13.5" customHeight="1" x14ac:dyDescent="0.35">
      <c r="E171" s="173" t="s">
        <v>128</v>
      </c>
      <c r="F171" s="173" t="s">
        <v>129</v>
      </c>
      <c r="G171" s="173">
        <v>384</v>
      </c>
      <c r="H171" s="173" t="s">
        <v>164</v>
      </c>
      <c r="I171" s="173">
        <v>5312</v>
      </c>
      <c r="J171" s="173" t="s">
        <v>130</v>
      </c>
      <c r="K171" s="173">
        <v>1316</v>
      </c>
      <c r="L171" s="173" t="s">
        <v>125</v>
      </c>
      <c r="M171" s="173">
        <v>2017</v>
      </c>
      <c r="N171" s="173">
        <v>2017</v>
      </c>
      <c r="O171" s="173" t="s">
        <v>24</v>
      </c>
      <c r="P171" s="173">
        <v>179259</v>
      </c>
      <c r="Q171" s="173" t="s">
        <v>131</v>
      </c>
      <c r="R171" s="173" t="s">
        <v>132</v>
      </c>
    </row>
    <row r="172" spans="5:18" ht="13.5" customHeight="1" x14ac:dyDescent="0.35">
      <c r="E172" s="173" t="s">
        <v>128</v>
      </c>
      <c r="F172" s="173" t="s">
        <v>129</v>
      </c>
      <c r="G172" s="173">
        <v>384</v>
      </c>
      <c r="H172" s="173" t="s">
        <v>164</v>
      </c>
      <c r="I172" s="173">
        <v>5312</v>
      </c>
      <c r="J172" s="173" t="s">
        <v>130</v>
      </c>
      <c r="K172" s="173">
        <v>1316</v>
      </c>
      <c r="L172" s="173" t="s">
        <v>125</v>
      </c>
      <c r="M172" s="173">
        <v>2018</v>
      </c>
      <c r="N172" s="173">
        <v>2018</v>
      </c>
      <c r="O172" s="173" t="s">
        <v>24</v>
      </c>
      <c r="P172" s="173">
        <v>179430</v>
      </c>
      <c r="Q172" s="173" t="s">
        <v>131</v>
      </c>
      <c r="R172" s="173" t="s">
        <v>132</v>
      </c>
    </row>
    <row r="173" spans="5:18" ht="13.5" customHeight="1" x14ac:dyDescent="0.35">
      <c r="E173" s="173" t="s">
        <v>128</v>
      </c>
      <c r="F173" s="173" t="s">
        <v>129</v>
      </c>
      <c r="G173" s="173">
        <v>384</v>
      </c>
      <c r="H173" s="173" t="s">
        <v>164</v>
      </c>
      <c r="I173" s="173">
        <v>5312</v>
      </c>
      <c r="J173" s="173" t="s">
        <v>130</v>
      </c>
      <c r="K173" s="173">
        <v>1316</v>
      </c>
      <c r="L173" s="173" t="s">
        <v>125</v>
      </c>
      <c r="M173" s="173">
        <v>2019</v>
      </c>
      <c r="N173" s="173">
        <v>2019</v>
      </c>
      <c r="O173" s="173" t="s">
        <v>24</v>
      </c>
      <c r="P173" s="173">
        <v>179512</v>
      </c>
      <c r="Q173" s="173" t="s">
        <v>131</v>
      </c>
      <c r="R173" s="173" t="s">
        <v>132</v>
      </c>
    </row>
    <row r="174" spans="5:18" ht="13.5" customHeight="1" x14ac:dyDescent="0.35">
      <c r="E174" s="173" t="s">
        <v>128</v>
      </c>
      <c r="F174" s="173" t="s">
        <v>129</v>
      </c>
      <c r="G174" s="173">
        <v>384</v>
      </c>
      <c r="H174" s="173" t="s">
        <v>164</v>
      </c>
      <c r="I174" s="173">
        <v>5312</v>
      </c>
      <c r="J174" s="173" t="s">
        <v>130</v>
      </c>
      <c r="K174" s="173">
        <v>1316</v>
      </c>
      <c r="L174" s="173" t="s">
        <v>125</v>
      </c>
      <c r="M174" s="173">
        <v>2020</v>
      </c>
      <c r="N174" s="173">
        <v>2020</v>
      </c>
      <c r="O174" s="173" t="s">
        <v>24</v>
      </c>
      <c r="P174" s="173">
        <v>330000</v>
      </c>
      <c r="Q174" s="173" t="s">
        <v>109</v>
      </c>
      <c r="R174" s="173" t="s">
        <v>110</v>
      </c>
    </row>
    <row r="175" spans="5:18" ht="13.5" customHeight="1" x14ac:dyDescent="0.35">
      <c r="E175" s="173" t="s">
        <v>128</v>
      </c>
      <c r="F175" s="173" t="s">
        <v>129</v>
      </c>
      <c r="G175" s="173">
        <v>384</v>
      </c>
      <c r="H175" s="173" t="s">
        <v>164</v>
      </c>
      <c r="I175" s="173">
        <v>5312</v>
      </c>
      <c r="J175" s="173" t="s">
        <v>130</v>
      </c>
      <c r="K175" s="173">
        <v>1316</v>
      </c>
      <c r="L175" s="173" t="s">
        <v>125</v>
      </c>
      <c r="M175" s="173">
        <v>2021</v>
      </c>
      <c r="N175" s="173">
        <v>2021</v>
      </c>
      <c r="O175" s="173" t="s">
        <v>24</v>
      </c>
      <c r="P175" s="173">
        <v>322254</v>
      </c>
      <c r="Q175" s="173" t="s">
        <v>131</v>
      </c>
      <c r="R175" s="173" t="s">
        <v>132</v>
      </c>
    </row>
    <row r="176" spans="5:18" ht="13.5" customHeight="1" x14ac:dyDescent="0.35">
      <c r="E176" s="173" t="s">
        <v>128</v>
      </c>
      <c r="F176" s="173" t="s">
        <v>129</v>
      </c>
      <c r="G176" s="173">
        <v>384</v>
      </c>
      <c r="H176" s="173" t="s">
        <v>164</v>
      </c>
      <c r="I176" s="173">
        <v>5312</v>
      </c>
      <c r="J176" s="173" t="s">
        <v>130</v>
      </c>
      <c r="K176" s="173">
        <v>118</v>
      </c>
      <c r="L176" s="173" t="s">
        <v>70</v>
      </c>
      <c r="M176" s="173">
        <v>2015</v>
      </c>
      <c r="N176" s="173">
        <v>2015</v>
      </c>
      <c r="O176" s="173" t="s">
        <v>24</v>
      </c>
      <c r="P176" s="173">
        <v>67148</v>
      </c>
      <c r="Q176" s="173" t="s">
        <v>131</v>
      </c>
      <c r="R176" s="173" t="s">
        <v>132</v>
      </c>
    </row>
    <row r="177" spans="5:18" ht="13.5" customHeight="1" x14ac:dyDescent="0.35">
      <c r="E177" s="173" t="s">
        <v>128</v>
      </c>
      <c r="F177" s="173" t="s">
        <v>129</v>
      </c>
      <c r="G177" s="173">
        <v>384</v>
      </c>
      <c r="H177" s="173" t="s">
        <v>164</v>
      </c>
      <c r="I177" s="173">
        <v>5312</v>
      </c>
      <c r="J177" s="173" t="s">
        <v>130</v>
      </c>
      <c r="K177" s="173">
        <v>118</v>
      </c>
      <c r="L177" s="173" t="s">
        <v>70</v>
      </c>
      <c r="M177" s="173">
        <v>2016</v>
      </c>
      <c r="N177" s="173">
        <v>2016</v>
      </c>
      <c r="O177" s="173" t="s">
        <v>24</v>
      </c>
      <c r="P177" s="173">
        <v>70259</v>
      </c>
      <c r="Q177" s="173" t="s">
        <v>131</v>
      </c>
      <c r="R177" s="173" t="s">
        <v>132</v>
      </c>
    </row>
    <row r="178" spans="5:18" ht="13.5" customHeight="1" x14ac:dyDescent="0.35">
      <c r="E178" s="173" t="s">
        <v>128</v>
      </c>
      <c r="F178" s="173" t="s">
        <v>129</v>
      </c>
      <c r="G178" s="173">
        <v>384</v>
      </c>
      <c r="H178" s="173" t="s">
        <v>164</v>
      </c>
      <c r="I178" s="173">
        <v>5312</v>
      </c>
      <c r="J178" s="173" t="s">
        <v>130</v>
      </c>
      <c r="K178" s="173">
        <v>118</v>
      </c>
      <c r="L178" s="173" t="s">
        <v>70</v>
      </c>
      <c r="M178" s="173">
        <v>2017</v>
      </c>
      <c r="N178" s="173">
        <v>2017</v>
      </c>
      <c r="O178" s="173" t="s">
        <v>24</v>
      </c>
      <c r="P178" s="173">
        <v>73313</v>
      </c>
      <c r="Q178" s="173" t="s">
        <v>131</v>
      </c>
      <c r="R178" s="173" t="s">
        <v>132</v>
      </c>
    </row>
    <row r="179" spans="5:18" ht="13.5" customHeight="1" x14ac:dyDescent="0.35">
      <c r="E179" s="173" t="s">
        <v>128</v>
      </c>
      <c r="F179" s="173" t="s">
        <v>129</v>
      </c>
      <c r="G179" s="173">
        <v>384</v>
      </c>
      <c r="H179" s="173" t="s">
        <v>164</v>
      </c>
      <c r="I179" s="173">
        <v>5312</v>
      </c>
      <c r="J179" s="173" t="s">
        <v>130</v>
      </c>
      <c r="K179" s="173">
        <v>118</v>
      </c>
      <c r="L179" s="173" t="s">
        <v>70</v>
      </c>
      <c r="M179" s="173">
        <v>2018</v>
      </c>
      <c r="N179" s="173">
        <v>2018</v>
      </c>
      <c r="O179" s="173" t="s">
        <v>24</v>
      </c>
      <c r="P179" s="173">
        <v>73901</v>
      </c>
      <c r="Q179" s="173" t="s">
        <v>131</v>
      </c>
      <c r="R179" s="173" t="s">
        <v>132</v>
      </c>
    </row>
    <row r="180" spans="5:18" ht="13.5" customHeight="1" x14ac:dyDescent="0.35">
      <c r="E180" s="173" t="s">
        <v>128</v>
      </c>
      <c r="F180" s="173" t="s">
        <v>129</v>
      </c>
      <c r="G180" s="173">
        <v>384</v>
      </c>
      <c r="H180" s="173" t="s">
        <v>164</v>
      </c>
      <c r="I180" s="173">
        <v>5312</v>
      </c>
      <c r="J180" s="173" t="s">
        <v>130</v>
      </c>
      <c r="K180" s="173">
        <v>118</v>
      </c>
      <c r="L180" s="173" t="s">
        <v>70</v>
      </c>
      <c r="M180" s="173">
        <v>2019</v>
      </c>
      <c r="N180" s="173">
        <v>2019</v>
      </c>
      <c r="O180" s="173" t="s">
        <v>24</v>
      </c>
      <c r="P180" s="173">
        <v>77001</v>
      </c>
      <c r="Q180" s="173" t="s">
        <v>131</v>
      </c>
      <c r="R180" s="173" t="s">
        <v>132</v>
      </c>
    </row>
    <row r="181" spans="5:18" ht="13.5" customHeight="1" x14ac:dyDescent="0.35">
      <c r="E181" s="173" t="s">
        <v>128</v>
      </c>
      <c r="F181" s="173" t="s">
        <v>129</v>
      </c>
      <c r="G181" s="173">
        <v>384</v>
      </c>
      <c r="H181" s="173" t="s">
        <v>164</v>
      </c>
      <c r="I181" s="173">
        <v>5312</v>
      </c>
      <c r="J181" s="173" t="s">
        <v>130</v>
      </c>
      <c r="K181" s="173">
        <v>118</v>
      </c>
      <c r="L181" s="173" t="s">
        <v>70</v>
      </c>
      <c r="M181" s="173">
        <v>2020</v>
      </c>
      <c r="N181" s="173">
        <v>2020</v>
      </c>
      <c r="O181" s="173" t="s">
        <v>24</v>
      </c>
      <c r="P181" s="173">
        <v>79974</v>
      </c>
      <c r="Q181" s="173" t="s">
        <v>131</v>
      </c>
      <c r="R181" s="173" t="s">
        <v>132</v>
      </c>
    </row>
    <row r="182" spans="5:18" ht="13.5" customHeight="1" x14ac:dyDescent="0.35">
      <c r="E182" s="173" t="s">
        <v>128</v>
      </c>
      <c r="F182" s="173" t="s">
        <v>129</v>
      </c>
      <c r="G182" s="173">
        <v>384</v>
      </c>
      <c r="H182" s="173" t="s">
        <v>164</v>
      </c>
      <c r="I182" s="173">
        <v>5312</v>
      </c>
      <c r="J182" s="173" t="s">
        <v>130</v>
      </c>
      <c r="K182" s="173">
        <v>118</v>
      </c>
      <c r="L182" s="173" t="s">
        <v>70</v>
      </c>
      <c r="M182" s="173">
        <v>2021</v>
      </c>
      <c r="N182" s="173">
        <v>2021</v>
      </c>
      <c r="O182" s="173" t="s">
        <v>24</v>
      </c>
      <c r="P182" s="173">
        <v>76411</v>
      </c>
      <c r="Q182" s="173" t="s">
        <v>131</v>
      </c>
      <c r="R182" s="173" t="s">
        <v>132</v>
      </c>
    </row>
    <row r="183" spans="5:18" ht="13.5" customHeight="1" x14ac:dyDescent="0.35">
      <c r="E183" s="173" t="s">
        <v>128</v>
      </c>
      <c r="F183" s="173" t="s">
        <v>129</v>
      </c>
      <c r="G183" s="173">
        <v>384</v>
      </c>
      <c r="H183" s="173" t="s">
        <v>164</v>
      </c>
      <c r="I183" s="173">
        <v>5312</v>
      </c>
      <c r="J183" s="173" t="s">
        <v>130</v>
      </c>
      <c r="K183" s="173" t="s">
        <v>181</v>
      </c>
      <c r="L183" s="173" t="s">
        <v>182</v>
      </c>
      <c r="M183" s="173">
        <v>2015</v>
      </c>
      <c r="N183" s="173">
        <v>2015</v>
      </c>
      <c r="O183" s="173" t="s">
        <v>24</v>
      </c>
      <c r="P183" s="173">
        <v>215583</v>
      </c>
      <c r="Q183" s="173" t="s">
        <v>131</v>
      </c>
      <c r="R183" s="173" t="s">
        <v>132</v>
      </c>
    </row>
    <row r="184" spans="5:18" ht="13.5" customHeight="1" x14ac:dyDescent="0.35">
      <c r="E184" s="173" t="s">
        <v>128</v>
      </c>
      <c r="F184" s="173" t="s">
        <v>129</v>
      </c>
      <c r="G184" s="173">
        <v>384</v>
      </c>
      <c r="H184" s="173" t="s">
        <v>164</v>
      </c>
      <c r="I184" s="173">
        <v>5312</v>
      </c>
      <c r="J184" s="173" t="s">
        <v>130</v>
      </c>
      <c r="K184" s="173" t="s">
        <v>181</v>
      </c>
      <c r="L184" s="173" t="s">
        <v>182</v>
      </c>
      <c r="M184" s="173">
        <v>2016</v>
      </c>
      <c r="N184" s="173">
        <v>2016</v>
      </c>
      <c r="O184" s="173" t="s">
        <v>24</v>
      </c>
      <c r="P184" s="173">
        <v>280018</v>
      </c>
      <c r="Q184" s="173" t="s">
        <v>131</v>
      </c>
      <c r="R184" s="173" t="s">
        <v>132</v>
      </c>
    </row>
    <row r="185" spans="5:18" ht="13.5" customHeight="1" x14ac:dyDescent="0.35">
      <c r="E185" s="173" t="s">
        <v>128</v>
      </c>
      <c r="F185" s="173" t="s">
        <v>129</v>
      </c>
      <c r="G185" s="173">
        <v>384</v>
      </c>
      <c r="H185" s="173" t="s">
        <v>164</v>
      </c>
      <c r="I185" s="173">
        <v>5312</v>
      </c>
      <c r="J185" s="173" t="s">
        <v>130</v>
      </c>
      <c r="K185" s="173" t="s">
        <v>181</v>
      </c>
      <c r="L185" s="173" t="s">
        <v>182</v>
      </c>
      <c r="M185" s="173">
        <v>2017</v>
      </c>
      <c r="N185" s="173">
        <v>2017</v>
      </c>
      <c r="O185" s="173" t="s">
        <v>24</v>
      </c>
      <c r="P185" s="173">
        <v>358609</v>
      </c>
      <c r="Q185" s="173" t="s">
        <v>131</v>
      </c>
      <c r="R185" s="173" t="s">
        <v>132</v>
      </c>
    </row>
    <row r="186" spans="5:18" ht="13.5" customHeight="1" x14ac:dyDescent="0.35">
      <c r="E186" s="173" t="s">
        <v>128</v>
      </c>
      <c r="F186" s="173" t="s">
        <v>129</v>
      </c>
      <c r="G186" s="173">
        <v>384</v>
      </c>
      <c r="H186" s="173" t="s">
        <v>164</v>
      </c>
      <c r="I186" s="173">
        <v>5312</v>
      </c>
      <c r="J186" s="173" t="s">
        <v>130</v>
      </c>
      <c r="K186" s="173" t="s">
        <v>181</v>
      </c>
      <c r="L186" s="173" t="s">
        <v>182</v>
      </c>
      <c r="M186" s="173">
        <v>2018</v>
      </c>
      <c r="N186" s="173">
        <v>2018</v>
      </c>
      <c r="O186" s="173" t="s">
        <v>24</v>
      </c>
      <c r="P186" s="173">
        <v>385060</v>
      </c>
      <c r="Q186" s="173" t="s">
        <v>131</v>
      </c>
      <c r="R186" s="173" t="s">
        <v>132</v>
      </c>
    </row>
    <row r="187" spans="5:18" ht="13.5" customHeight="1" x14ac:dyDescent="0.35">
      <c r="E187" s="173" t="s">
        <v>128</v>
      </c>
      <c r="F187" s="173" t="s">
        <v>129</v>
      </c>
      <c r="G187" s="173">
        <v>384</v>
      </c>
      <c r="H187" s="173" t="s">
        <v>164</v>
      </c>
      <c r="I187" s="173">
        <v>5312</v>
      </c>
      <c r="J187" s="173" t="s">
        <v>130</v>
      </c>
      <c r="K187" s="173" t="s">
        <v>181</v>
      </c>
      <c r="L187" s="173" t="s">
        <v>182</v>
      </c>
      <c r="M187" s="173">
        <v>2019</v>
      </c>
      <c r="N187" s="173">
        <v>2019</v>
      </c>
      <c r="O187" s="173" t="s">
        <v>24</v>
      </c>
      <c r="P187" s="173">
        <v>480401</v>
      </c>
      <c r="Q187" s="173" t="s">
        <v>131</v>
      </c>
      <c r="R187" s="173" t="s">
        <v>132</v>
      </c>
    </row>
    <row r="188" spans="5:18" ht="13.5" customHeight="1" x14ac:dyDescent="0.35">
      <c r="E188" s="173" t="s">
        <v>128</v>
      </c>
      <c r="F188" s="173" t="s">
        <v>129</v>
      </c>
      <c r="G188" s="173">
        <v>384</v>
      </c>
      <c r="H188" s="173" t="s">
        <v>164</v>
      </c>
      <c r="I188" s="173">
        <v>5312</v>
      </c>
      <c r="J188" s="173" t="s">
        <v>130</v>
      </c>
      <c r="K188" s="173" t="s">
        <v>181</v>
      </c>
      <c r="L188" s="173" t="s">
        <v>182</v>
      </c>
      <c r="M188" s="173">
        <v>2020</v>
      </c>
      <c r="N188" s="173">
        <v>2020</v>
      </c>
      <c r="O188" s="173" t="s">
        <v>24</v>
      </c>
      <c r="P188" s="173">
        <v>577580</v>
      </c>
      <c r="Q188" s="173" t="s">
        <v>131</v>
      </c>
      <c r="R188" s="173" t="s">
        <v>132</v>
      </c>
    </row>
    <row r="189" spans="5:18" ht="13.5" customHeight="1" x14ac:dyDescent="0.35">
      <c r="E189" s="173" t="s">
        <v>128</v>
      </c>
      <c r="F189" s="173" t="s">
        <v>129</v>
      </c>
      <c r="G189" s="173">
        <v>384</v>
      </c>
      <c r="H189" s="173" t="s">
        <v>164</v>
      </c>
      <c r="I189" s="173">
        <v>5312</v>
      </c>
      <c r="J189" s="173" t="s">
        <v>130</v>
      </c>
      <c r="K189" s="173" t="s">
        <v>181</v>
      </c>
      <c r="L189" s="173" t="s">
        <v>182</v>
      </c>
      <c r="M189" s="173">
        <v>2021</v>
      </c>
      <c r="N189" s="173">
        <v>2021</v>
      </c>
      <c r="O189" s="173" t="s">
        <v>24</v>
      </c>
      <c r="P189" s="173">
        <v>451333</v>
      </c>
      <c r="Q189" s="173" t="s">
        <v>109</v>
      </c>
      <c r="R189" s="173" t="s">
        <v>110</v>
      </c>
    </row>
    <row r="190" spans="5:18" ht="13.5" customHeight="1" x14ac:dyDescent="0.35">
      <c r="E190" s="173" t="s">
        <v>128</v>
      </c>
      <c r="F190" s="173" t="s">
        <v>129</v>
      </c>
      <c r="G190" s="173">
        <v>384</v>
      </c>
      <c r="H190" s="173" t="s">
        <v>164</v>
      </c>
      <c r="I190" s="173">
        <v>5312</v>
      </c>
      <c r="J190" s="173" t="s">
        <v>130</v>
      </c>
      <c r="K190" s="173" t="s">
        <v>183</v>
      </c>
      <c r="L190" s="173" t="s">
        <v>184</v>
      </c>
      <c r="M190" s="173">
        <v>2015</v>
      </c>
      <c r="N190" s="173">
        <v>2015</v>
      </c>
      <c r="O190" s="173" t="s">
        <v>24</v>
      </c>
      <c r="P190" s="173">
        <v>274000</v>
      </c>
      <c r="Q190" s="173" t="s">
        <v>134</v>
      </c>
      <c r="R190" s="173" t="s">
        <v>135</v>
      </c>
    </row>
    <row r="191" spans="5:18" ht="13.5" customHeight="1" x14ac:dyDescent="0.35">
      <c r="E191" s="173" t="s">
        <v>128</v>
      </c>
      <c r="F191" s="173" t="s">
        <v>129</v>
      </c>
      <c r="G191" s="173">
        <v>384</v>
      </c>
      <c r="H191" s="173" t="s">
        <v>164</v>
      </c>
      <c r="I191" s="173">
        <v>5312</v>
      </c>
      <c r="J191" s="173" t="s">
        <v>130</v>
      </c>
      <c r="K191" s="173" t="s">
        <v>183</v>
      </c>
      <c r="L191" s="173" t="s">
        <v>184</v>
      </c>
      <c r="M191" s="173">
        <v>2016</v>
      </c>
      <c r="N191" s="173">
        <v>2016</v>
      </c>
      <c r="O191" s="173" t="s">
        <v>24</v>
      </c>
      <c r="P191" s="173">
        <v>314294</v>
      </c>
      <c r="Q191" s="173" t="s">
        <v>131</v>
      </c>
      <c r="R191" s="173" t="s">
        <v>132</v>
      </c>
    </row>
    <row r="192" spans="5:18" ht="13.5" customHeight="1" x14ac:dyDescent="0.35">
      <c r="E192" s="173" t="s">
        <v>128</v>
      </c>
      <c r="F192" s="173" t="s">
        <v>129</v>
      </c>
      <c r="G192" s="173">
        <v>384</v>
      </c>
      <c r="H192" s="173" t="s">
        <v>164</v>
      </c>
      <c r="I192" s="173">
        <v>5312</v>
      </c>
      <c r="J192" s="173" t="s">
        <v>130</v>
      </c>
      <c r="K192" s="173" t="s">
        <v>183</v>
      </c>
      <c r="L192" s="173" t="s">
        <v>184</v>
      </c>
      <c r="M192" s="173">
        <v>2017</v>
      </c>
      <c r="N192" s="173">
        <v>2017</v>
      </c>
      <c r="O192" s="173" t="s">
        <v>24</v>
      </c>
      <c r="P192" s="173">
        <v>354898</v>
      </c>
      <c r="Q192" s="173" t="s">
        <v>131</v>
      </c>
      <c r="R192" s="173" t="s">
        <v>132</v>
      </c>
    </row>
    <row r="193" spans="5:18" ht="13.5" customHeight="1" x14ac:dyDescent="0.35">
      <c r="E193" s="173" t="s">
        <v>128</v>
      </c>
      <c r="F193" s="173" t="s">
        <v>129</v>
      </c>
      <c r="G193" s="173">
        <v>384</v>
      </c>
      <c r="H193" s="173" t="s">
        <v>164</v>
      </c>
      <c r="I193" s="173">
        <v>5312</v>
      </c>
      <c r="J193" s="173" t="s">
        <v>130</v>
      </c>
      <c r="K193" s="173" t="s">
        <v>183</v>
      </c>
      <c r="L193" s="173" t="s">
        <v>184</v>
      </c>
      <c r="M193" s="173">
        <v>2018</v>
      </c>
      <c r="N193" s="173">
        <v>2018</v>
      </c>
      <c r="O193" s="173" t="s">
        <v>24</v>
      </c>
      <c r="P193" s="173">
        <v>336777</v>
      </c>
      <c r="Q193" s="173" t="s">
        <v>131</v>
      </c>
      <c r="R193" s="173" t="s">
        <v>132</v>
      </c>
    </row>
    <row r="194" spans="5:18" ht="13.5" customHeight="1" x14ac:dyDescent="0.35">
      <c r="E194" s="173" t="s">
        <v>128</v>
      </c>
      <c r="F194" s="173" t="s">
        <v>129</v>
      </c>
      <c r="G194" s="173">
        <v>384</v>
      </c>
      <c r="H194" s="173" t="s">
        <v>164</v>
      </c>
      <c r="I194" s="173">
        <v>5312</v>
      </c>
      <c r="J194" s="173" t="s">
        <v>130</v>
      </c>
      <c r="K194" s="173" t="s">
        <v>183</v>
      </c>
      <c r="L194" s="173" t="s">
        <v>184</v>
      </c>
      <c r="M194" s="173">
        <v>2019</v>
      </c>
      <c r="N194" s="173">
        <v>2019</v>
      </c>
      <c r="O194" s="173" t="s">
        <v>24</v>
      </c>
      <c r="P194" s="173">
        <v>386707</v>
      </c>
      <c r="Q194" s="173" t="s">
        <v>131</v>
      </c>
      <c r="R194" s="173" t="s">
        <v>132</v>
      </c>
    </row>
    <row r="195" spans="5:18" ht="13.5" customHeight="1" x14ac:dyDescent="0.35">
      <c r="E195" s="173" t="s">
        <v>128</v>
      </c>
      <c r="F195" s="173" t="s">
        <v>129</v>
      </c>
      <c r="G195" s="173">
        <v>384</v>
      </c>
      <c r="H195" s="173" t="s">
        <v>164</v>
      </c>
      <c r="I195" s="173">
        <v>5312</v>
      </c>
      <c r="J195" s="173" t="s">
        <v>130</v>
      </c>
      <c r="K195" s="173" t="s">
        <v>183</v>
      </c>
      <c r="L195" s="173" t="s">
        <v>184</v>
      </c>
      <c r="M195" s="173">
        <v>2020</v>
      </c>
      <c r="N195" s="173">
        <v>2020</v>
      </c>
      <c r="O195" s="173" t="s">
        <v>24</v>
      </c>
      <c r="P195" s="173">
        <v>364771</v>
      </c>
      <c r="Q195" s="173" t="s">
        <v>131</v>
      </c>
      <c r="R195" s="173" t="s">
        <v>132</v>
      </c>
    </row>
    <row r="196" spans="5:18" ht="13.5" customHeight="1" x14ac:dyDescent="0.35">
      <c r="E196" s="173" t="s">
        <v>128</v>
      </c>
      <c r="F196" s="173" t="s">
        <v>129</v>
      </c>
      <c r="G196" s="173">
        <v>384</v>
      </c>
      <c r="H196" s="173" t="s">
        <v>164</v>
      </c>
      <c r="I196" s="173">
        <v>5312</v>
      </c>
      <c r="J196" s="173" t="s">
        <v>130</v>
      </c>
      <c r="K196" s="173" t="s">
        <v>183</v>
      </c>
      <c r="L196" s="173" t="s">
        <v>184</v>
      </c>
      <c r="M196" s="173">
        <v>2021</v>
      </c>
      <c r="N196" s="173">
        <v>2021</v>
      </c>
      <c r="O196" s="173" t="s">
        <v>24</v>
      </c>
      <c r="P196" s="173">
        <v>362704</v>
      </c>
      <c r="Q196" s="173" t="s">
        <v>131</v>
      </c>
      <c r="R196" s="173" t="s">
        <v>132</v>
      </c>
    </row>
    <row r="197" spans="5:18" ht="13.5" customHeight="1" x14ac:dyDescent="0.35">
      <c r="E197" s="173" t="s">
        <v>128</v>
      </c>
      <c r="F197" s="173" t="s">
        <v>129</v>
      </c>
      <c r="G197" s="173">
        <v>384</v>
      </c>
      <c r="H197" s="173" t="s">
        <v>164</v>
      </c>
      <c r="I197" s="173">
        <v>5312</v>
      </c>
      <c r="J197" s="173" t="s">
        <v>130</v>
      </c>
      <c r="K197" s="173" t="s">
        <v>185</v>
      </c>
      <c r="L197" s="173" t="s">
        <v>145</v>
      </c>
      <c r="M197" s="173">
        <v>2015</v>
      </c>
      <c r="N197" s="173">
        <v>2015</v>
      </c>
      <c r="O197" s="173" t="s">
        <v>24</v>
      </c>
      <c r="P197" s="173">
        <v>54037</v>
      </c>
      <c r="Q197" s="173" t="s">
        <v>131</v>
      </c>
      <c r="R197" s="173" t="s">
        <v>132</v>
      </c>
    </row>
    <row r="198" spans="5:18" ht="13.5" customHeight="1" x14ac:dyDescent="0.35">
      <c r="E198" s="173" t="s">
        <v>128</v>
      </c>
      <c r="F198" s="173" t="s">
        <v>129</v>
      </c>
      <c r="G198" s="173">
        <v>384</v>
      </c>
      <c r="H198" s="173" t="s">
        <v>164</v>
      </c>
      <c r="I198" s="173">
        <v>5312</v>
      </c>
      <c r="J198" s="173" t="s">
        <v>130</v>
      </c>
      <c r="K198" s="173" t="s">
        <v>185</v>
      </c>
      <c r="L198" s="173" t="s">
        <v>145</v>
      </c>
      <c r="M198" s="173">
        <v>2016</v>
      </c>
      <c r="N198" s="173">
        <v>2016</v>
      </c>
      <c r="O198" s="173" t="s">
        <v>24</v>
      </c>
      <c r="P198" s="173">
        <v>56111</v>
      </c>
      <c r="Q198" s="173" t="s">
        <v>131</v>
      </c>
      <c r="R198" s="173" t="s">
        <v>132</v>
      </c>
    </row>
    <row r="199" spans="5:18" ht="13.5" customHeight="1" x14ac:dyDescent="0.35">
      <c r="E199" s="173" t="s">
        <v>128</v>
      </c>
      <c r="F199" s="173" t="s">
        <v>129</v>
      </c>
      <c r="G199" s="173">
        <v>384</v>
      </c>
      <c r="H199" s="173" t="s">
        <v>164</v>
      </c>
      <c r="I199" s="173">
        <v>5312</v>
      </c>
      <c r="J199" s="173" t="s">
        <v>130</v>
      </c>
      <c r="K199" s="173" t="s">
        <v>185</v>
      </c>
      <c r="L199" s="173" t="s">
        <v>145</v>
      </c>
      <c r="M199" s="173">
        <v>2017</v>
      </c>
      <c r="N199" s="173">
        <v>2017</v>
      </c>
      <c r="O199" s="173" t="s">
        <v>24</v>
      </c>
      <c r="P199" s="173">
        <v>57652</v>
      </c>
      <c r="Q199" s="173" t="s">
        <v>131</v>
      </c>
      <c r="R199" s="173" t="s">
        <v>132</v>
      </c>
    </row>
    <row r="200" spans="5:18" ht="13.5" customHeight="1" x14ac:dyDescent="0.35">
      <c r="E200" s="173" t="s">
        <v>128</v>
      </c>
      <c r="F200" s="173" t="s">
        <v>129</v>
      </c>
      <c r="G200" s="173">
        <v>384</v>
      </c>
      <c r="H200" s="173" t="s">
        <v>164</v>
      </c>
      <c r="I200" s="173">
        <v>5312</v>
      </c>
      <c r="J200" s="173" t="s">
        <v>130</v>
      </c>
      <c r="K200" s="173" t="s">
        <v>185</v>
      </c>
      <c r="L200" s="173" t="s">
        <v>145</v>
      </c>
      <c r="M200" s="173">
        <v>2018</v>
      </c>
      <c r="N200" s="173">
        <v>2018</v>
      </c>
      <c r="O200" s="173" t="s">
        <v>24</v>
      </c>
      <c r="P200" s="173">
        <v>63721</v>
      </c>
      <c r="Q200" s="173" t="s">
        <v>131</v>
      </c>
      <c r="R200" s="173" t="s">
        <v>132</v>
      </c>
    </row>
    <row r="201" spans="5:18" ht="13.5" customHeight="1" x14ac:dyDescent="0.35">
      <c r="E201" s="173" t="s">
        <v>128</v>
      </c>
      <c r="F201" s="173" t="s">
        <v>129</v>
      </c>
      <c r="G201" s="173">
        <v>384</v>
      </c>
      <c r="H201" s="173" t="s">
        <v>164</v>
      </c>
      <c r="I201" s="173">
        <v>5312</v>
      </c>
      <c r="J201" s="173" t="s">
        <v>130</v>
      </c>
      <c r="K201" s="173" t="s">
        <v>185</v>
      </c>
      <c r="L201" s="173" t="s">
        <v>145</v>
      </c>
      <c r="M201" s="173">
        <v>2019</v>
      </c>
      <c r="N201" s="173">
        <v>2019</v>
      </c>
      <c r="O201" s="173" t="s">
        <v>24</v>
      </c>
      <c r="P201" s="173">
        <v>65219</v>
      </c>
      <c r="Q201" s="173" t="s">
        <v>131</v>
      </c>
      <c r="R201" s="173" t="s">
        <v>132</v>
      </c>
    </row>
    <row r="202" spans="5:18" ht="13.5" customHeight="1" x14ac:dyDescent="0.35">
      <c r="E202" s="173" t="s">
        <v>128</v>
      </c>
      <c r="F202" s="173" t="s">
        <v>129</v>
      </c>
      <c r="G202" s="173">
        <v>384</v>
      </c>
      <c r="H202" s="173" t="s">
        <v>164</v>
      </c>
      <c r="I202" s="173">
        <v>5312</v>
      </c>
      <c r="J202" s="173" t="s">
        <v>130</v>
      </c>
      <c r="K202" s="173" t="s">
        <v>185</v>
      </c>
      <c r="L202" s="173" t="s">
        <v>145</v>
      </c>
      <c r="M202" s="173">
        <v>2020</v>
      </c>
      <c r="N202" s="173">
        <v>2020</v>
      </c>
      <c r="O202" s="173" t="s">
        <v>24</v>
      </c>
      <c r="P202" s="173">
        <v>67501</v>
      </c>
      <c r="Q202" s="173" t="s">
        <v>131</v>
      </c>
      <c r="R202" s="173" t="s">
        <v>132</v>
      </c>
    </row>
    <row r="203" spans="5:18" ht="13.5" customHeight="1" x14ac:dyDescent="0.35">
      <c r="E203" s="173" t="s">
        <v>128</v>
      </c>
      <c r="F203" s="173" t="s">
        <v>129</v>
      </c>
      <c r="G203" s="173">
        <v>384</v>
      </c>
      <c r="H203" s="173" t="s">
        <v>164</v>
      </c>
      <c r="I203" s="173">
        <v>5312</v>
      </c>
      <c r="J203" s="173" t="s">
        <v>130</v>
      </c>
      <c r="K203" s="173" t="s">
        <v>185</v>
      </c>
      <c r="L203" s="173" t="s">
        <v>145</v>
      </c>
      <c r="M203" s="173">
        <v>2021</v>
      </c>
      <c r="N203" s="173">
        <v>2021</v>
      </c>
      <c r="O203" s="173" t="s">
        <v>24</v>
      </c>
      <c r="P203" s="173">
        <v>68713</v>
      </c>
      <c r="Q203" s="173" t="s">
        <v>131</v>
      </c>
      <c r="R203" s="173" t="s">
        <v>132</v>
      </c>
    </row>
    <row r="204" spans="5:18" ht="13.5" customHeight="1" x14ac:dyDescent="0.35">
      <c r="E204" s="173" t="s">
        <v>128</v>
      </c>
      <c r="F204" s="173" t="s">
        <v>129</v>
      </c>
      <c r="G204" s="173">
        <v>384</v>
      </c>
      <c r="H204" s="173" t="s">
        <v>164</v>
      </c>
      <c r="I204" s="173">
        <v>5312</v>
      </c>
      <c r="J204" s="173" t="s">
        <v>130</v>
      </c>
      <c r="K204" s="173" t="s">
        <v>186</v>
      </c>
      <c r="L204" s="173" t="s">
        <v>187</v>
      </c>
      <c r="M204" s="173">
        <v>2015</v>
      </c>
      <c r="N204" s="173">
        <v>2015</v>
      </c>
      <c r="O204" s="173" t="s">
        <v>24</v>
      </c>
      <c r="P204" s="173">
        <v>840</v>
      </c>
      <c r="Q204" s="173" t="s">
        <v>131</v>
      </c>
      <c r="R204" s="173" t="s">
        <v>132</v>
      </c>
    </row>
    <row r="205" spans="5:18" ht="13.5" customHeight="1" x14ac:dyDescent="0.35">
      <c r="E205" s="173" t="s">
        <v>128</v>
      </c>
      <c r="F205" s="173" t="s">
        <v>129</v>
      </c>
      <c r="G205" s="173">
        <v>384</v>
      </c>
      <c r="H205" s="173" t="s">
        <v>164</v>
      </c>
      <c r="I205" s="173">
        <v>5312</v>
      </c>
      <c r="J205" s="173" t="s">
        <v>130</v>
      </c>
      <c r="K205" s="173" t="s">
        <v>186</v>
      </c>
      <c r="L205" s="173" t="s">
        <v>187</v>
      </c>
      <c r="M205" s="173">
        <v>2016</v>
      </c>
      <c r="N205" s="173">
        <v>2016</v>
      </c>
      <c r="O205" s="173" t="s">
        <v>24</v>
      </c>
      <c r="P205" s="173">
        <v>838</v>
      </c>
      <c r="Q205" s="173" t="s">
        <v>131</v>
      </c>
      <c r="R205" s="173" t="s">
        <v>132</v>
      </c>
    </row>
    <row r="206" spans="5:18" ht="13.5" customHeight="1" x14ac:dyDescent="0.35">
      <c r="E206" s="173" t="s">
        <v>128</v>
      </c>
      <c r="F206" s="173" t="s">
        <v>129</v>
      </c>
      <c r="G206" s="173">
        <v>384</v>
      </c>
      <c r="H206" s="173" t="s">
        <v>164</v>
      </c>
      <c r="I206" s="173">
        <v>5312</v>
      </c>
      <c r="J206" s="173" t="s">
        <v>130</v>
      </c>
      <c r="K206" s="173" t="s">
        <v>186</v>
      </c>
      <c r="L206" s="173" t="s">
        <v>187</v>
      </c>
      <c r="M206" s="173">
        <v>2017</v>
      </c>
      <c r="N206" s="173">
        <v>2017</v>
      </c>
      <c r="O206" s="173" t="s">
        <v>24</v>
      </c>
      <c r="P206" s="173">
        <v>851</v>
      </c>
      <c r="Q206" s="173" t="s">
        <v>131</v>
      </c>
      <c r="R206" s="173" t="s">
        <v>132</v>
      </c>
    </row>
    <row r="207" spans="5:18" ht="13.5" customHeight="1" x14ac:dyDescent="0.35">
      <c r="E207" s="173" t="s">
        <v>128</v>
      </c>
      <c r="F207" s="173" t="s">
        <v>129</v>
      </c>
      <c r="G207" s="173">
        <v>384</v>
      </c>
      <c r="H207" s="173" t="s">
        <v>164</v>
      </c>
      <c r="I207" s="173">
        <v>5312</v>
      </c>
      <c r="J207" s="173" t="s">
        <v>130</v>
      </c>
      <c r="K207" s="173" t="s">
        <v>186</v>
      </c>
      <c r="L207" s="173" t="s">
        <v>187</v>
      </c>
      <c r="M207" s="173">
        <v>2018</v>
      </c>
      <c r="N207" s="173">
        <v>2018</v>
      </c>
      <c r="O207" s="173" t="s">
        <v>24</v>
      </c>
      <c r="P207" s="173">
        <v>861</v>
      </c>
      <c r="Q207" s="173" t="s">
        <v>131</v>
      </c>
      <c r="R207" s="173" t="s">
        <v>132</v>
      </c>
    </row>
    <row r="208" spans="5:18" ht="13.5" customHeight="1" x14ac:dyDescent="0.35">
      <c r="E208" s="173" t="s">
        <v>128</v>
      </c>
      <c r="F208" s="173" t="s">
        <v>129</v>
      </c>
      <c r="G208" s="173">
        <v>384</v>
      </c>
      <c r="H208" s="173" t="s">
        <v>164</v>
      </c>
      <c r="I208" s="173">
        <v>5312</v>
      </c>
      <c r="J208" s="173" t="s">
        <v>130</v>
      </c>
      <c r="K208" s="173" t="s">
        <v>186</v>
      </c>
      <c r="L208" s="173" t="s">
        <v>187</v>
      </c>
      <c r="M208" s="173">
        <v>2019</v>
      </c>
      <c r="N208" s="173">
        <v>2019</v>
      </c>
      <c r="O208" s="173" t="s">
        <v>24</v>
      </c>
      <c r="P208" s="173">
        <v>847</v>
      </c>
      <c r="Q208" s="173" t="s">
        <v>131</v>
      </c>
      <c r="R208" s="173" t="s">
        <v>132</v>
      </c>
    </row>
    <row r="209" spans="5:18" ht="13.5" customHeight="1" x14ac:dyDescent="0.35">
      <c r="E209" s="173" t="s">
        <v>128</v>
      </c>
      <c r="F209" s="173" t="s">
        <v>129</v>
      </c>
      <c r="G209" s="173">
        <v>384</v>
      </c>
      <c r="H209" s="173" t="s">
        <v>164</v>
      </c>
      <c r="I209" s="173">
        <v>5312</v>
      </c>
      <c r="J209" s="173" t="s">
        <v>130</v>
      </c>
      <c r="K209" s="173" t="s">
        <v>186</v>
      </c>
      <c r="L209" s="173" t="s">
        <v>187</v>
      </c>
      <c r="M209" s="173">
        <v>2020</v>
      </c>
      <c r="N209" s="173">
        <v>2020</v>
      </c>
      <c r="O209" s="173" t="s">
        <v>24</v>
      </c>
      <c r="P209" s="173">
        <v>847</v>
      </c>
      <c r="Q209" s="173" t="s">
        <v>131</v>
      </c>
      <c r="R209" s="173" t="s">
        <v>132</v>
      </c>
    </row>
    <row r="210" spans="5:18" ht="13.5" customHeight="1" x14ac:dyDescent="0.35">
      <c r="E210" s="173" t="s">
        <v>128</v>
      </c>
      <c r="F210" s="173" t="s">
        <v>129</v>
      </c>
      <c r="G210" s="173">
        <v>384</v>
      </c>
      <c r="H210" s="173" t="s">
        <v>164</v>
      </c>
      <c r="I210" s="173">
        <v>5312</v>
      </c>
      <c r="J210" s="173" t="s">
        <v>130</v>
      </c>
      <c r="K210" s="173" t="s">
        <v>186</v>
      </c>
      <c r="L210" s="173" t="s">
        <v>187</v>
      </c>
      <c r="M210" s="173">
        <v>2021</v>
      </c>
      <c r="N210" s="173">
        <v>2021</v>
      </c>
      <c r="O210" s="173" t="s">
        <v>24</v>
      </c>
      <c r="P210" s="173">
        <v>847</v>
      </c>
      <c r="Q210" s="173" t="s">
        <v>131</v>
      </c>
      <c r="R210" s="173" t="s">
        <v>132</v>
      </c>
    </row>
    <row r="211" spans="5:18" ht="13.5" customHeight="1" x14ac:dyDescent="0.35">
      <c r="E211" s="173" t="s">
        <v>128</v>
      </c>
      <c r="F211" s="173" t="s">
        <v>129</v>
      </c>
      <c r="G211" s="173">
        <v>384</v>
      </c>
      <c r="H211" s="173" t="s">
        <v>164</v>
      </c>
      <c r="I211" s="173">
        <v>5312</v>
      </c>
      <c r="J211" s="173" t="s">
        <v>130</v>
      </c>
      <c r="K211" s="173">
        <v>1323</v>
      </c>
      <c r="L211" s="173" t="s">
        <v>146</v>
      </c>
      <c r="M211" s="173">
        <v>2015</v>
      </c>
      <c r="N211" s="173">
        <v>2015</v>
      </c>
      <c r="O211" s="173" t="s">
        <v>24</v>
      </c>
      <c r="P211" s="173">
        <v>3149</v>
      </c>
      <c r="Q211" s="173" t="s">
        <v>131</v>
      </c>
      <c r="R211" s="173" t="s">
        <v>132</v>
      </c>
    </row>
    <row r="212" spans="5:18" ht="13.5" customHeight="1" x14ac:dyDescent="0.35">
      <c r="E212" s="173" t="s">
        <v>128</v>
      </c>
      <c r="F212" s="173" t="s">
        <v>129</v>
      </c>
      <c r="G212" s="173">
        <v>384</v>
      </c>
      <c r="H212" s="173" t="s">
        <v>164</v>
      </c>
      <c r="I212" s="173">
        <v>5312</v>
      </c>
      <c r="J212" s="173" t="s">
        <v>130</v>
      </c>
      <c r="K212" s="173">
        <v>1323</v>
      </c>
      <c r="L212" s="173" t="s">
        <v>146</v>
      </c>
      <c r="M212" s="173">
        <v>2016</v>
      </c>
      <c r="N212" s="173">
        <v>2016</v>
      </c>
      <c r="O212" s="173" t="s">
        <v>24</v>
      </c>
      <c r="P212" s="173">
        <v>3194</v>
      </c>
      <c r="Q212" s="173" t="s">
        <v>131</v>
      </c>
      <c r="R212" s="173" t="s">
        <v>132</v>
      </c>
    </row>
    <row r="213" spans="5:18" ht="13.5" customHeight="1" x14ac:dyDescent="0.35">
      <c r="E213" s="173" t="s">
        <v>128</v>
      </c>
      <c r="F213" s="173" t="s">
        <v>129</v>
      </c>
      <c r="G213" s="173">
        <v>384</v>
      </c>
      <c r="H213" s="173" t="s">
        <v>164</v>
      </c>
      <c r="I213" s="173">
        <v>5312</v>
      </c>
      <c r="J213" s="173" t="s">
        <v>130</v>
      </c>
      <c r="K213" s="173">
        <v>1323</v>
      </c>
      <c r="L213" s="173" t="s">
        <v>146</v>
      </c>
      <c r="M213" s="173">
        <v>2017</v>
      </c>
      <c r="N213" s="173">
        <v>2017</v>
      </c>
      <c r="O213" s="173" t="s">
        <v>24</v>
      </c>
      <c r="P213" s="173">
        <v>3141</v>
      </c>
      <c r="Q213" s="173" t="s">
        <v>131</v>
      </c>
      <c r="R213" s="173" t="s">
        <v>132</v>
      </c>
    </row>
    <row r="214" spans="5:18" ht="13.5" customHeight="1" x14ac:dyDescent="0.35">
      <c r="E214" s="173" t="s">
        <v>128</v>
      </c>
      <c r="F214" s="173" t="s">
        <v>129</v>
      </c>
      <c r="G214" s="173">
        <v>384</v>
      </c>
      <c r="H214" s="173" t="s">
        <v>164</v>
      </c>
      <c r="I214" s="173">
        <v>5312</v>
      </c>
      <c r="J214" s="173" t="s">
        <v>130</v>
      </c>
      <c r="K214" s="173">
        <v>1323</v>
      </c>
      <c r="L214" s="173" t="s">
        <v>146</v>
      </c>
      <c r="M214" s="173">
        <v>2018</v>
      </c>
      <c r="N214" s="173">
        <v>2018</v>
      </c>
      <c r="O214" s="173" t="s">
        <v>24</v>
      </c>
      <c r="P214" s="173">
        <v>3170</v>
      </c>
      <c r="Q214" s="173" t="s">
        <v>131</v>
      </c>
      <c r="R214" s="173" t="s">
        <v>132</v>
      </c>
    </row>
    <row r="215" spans="5:18" ht="13.5" customHeight="1" x14ac:dyDescent="0.35">
      <c r="E215" s="173" t="s">
        <v>128</v>
      </c>
      <c r="F215" s="173" t="s">
        <v>129</v>
      </c>
      <c r="G215" s="173">
        <v>384</v>
      </c>
      <c r="H215" s="173" t="s">
        <v>164</v>
      </c>
      <c r="I215" s="173">
        <v>5312</v>
      </c>
      <c r="J215" s="173" t="s">
        <v>130</v>
      </c>
      <c r="K215" s="173">
        <v>1323</v>
      </c>
      <c r="L215" s="173" t="s">
        <v>146</v>
      </c>
      <c r="M215" s="173">
        <v>2019</v>
      </c>
      <c r="N215" s="173">
        <v>2019</v>
      </c>
      <c r="O215" s="173" t="s">
        <v>24</v>
      </c>
      <c r="P215" s="173">
        <v>3197</v>
      </c>
      <c r="Q215" s="173" t="s">
        <v>131</v>
      </c>
      <c r="R215" s="173" t="s">
        <v>132</v>
      </c>
    </row>
    <row r="216" spans="5:18" ht="13.5" customHeight="1" x14ac:dyDescent="0.35">
      <c r="E216" s="173" t="s">
        <v>128</v>
      </c>
      <c r="F216" s="173" t="s">
        <v>129</v>
      </c>
      <c r="G216" s="173">
        <v>384</v>
      </c>
      <c r="H216" s="173" t="s">
        <v>164</v>
      </c>
      <c r="I216" s="173">
        <v>5312</v>
      </c>
      <c r="J216" s="173" t="s">
        <v>130</v>
      </c>
      <c r="K216" s="173">
        <v>1323</v>
      </c>
      <c r="L216" s="173" t="s">
        <v>146</v>
      </c>
      <c r="M216" s="173">
        <v>2020</v>
      </c>
      <c r="N216" s="173">
        <v>2020</v>
      </c>
      <c r="O216" s="173" t="s">
        <v>24</v>
      </c>
      <c r="P216" s="173">
        <v>3221</v>
      </c>
      <c r="Q216" s="173" t="s">
        <v>131</v>
      </c>
      <c r="R216" s="173" t="s">
        <v>132</v>
      </c>
    </row>
    <row r="217" spans="5:18" ht="13.5" customHeight="1" x14ac:dyDescent="0.35">
      <c r="E217" s="173" t="s">
        <v>128</v>
      </c>
      <c r="F217" s="173" t="s">
        <v>129</v>
      </c>
      <c r="G217" s="173">
        <v>384</v>
      </c>
      <c r="H217" s="173" t="s">
        <v>164</v>
      </c>
      <c r="I217" s="173">
        <v>5312</v>
      </c>
      <c r="J217" s="173" t="s">
        <v>130</v>
      </c>
      <c r="K217" s="173">
        <v>1323</v>
      </c>
      <c r="L217" s="173" t="s">
        <v>146</v>
      </c>
      <c r="M217" s="173">
        <v>2021</v>
      </c>
      <c r="N217" s="173">
        <v>2021</v>
      </c>
      <c r="O217" s="173" t="s">
        <v>24</v>
      </c>
      <c r="P217" s="173">
        <v>3244</v>
      </c>
      <c r="Q217" s="173" t="s">
        <v>131</v>
      </c>
      <c r="R217" s="173" t="s">
        <v>132</v>
      </c>
    </row>
    <row r="218" spans="5:18" ht="13.5" customHeight="1" x14ac:dyDescent="0.35">
      <c r="E218" s="173" t="s">
        <v>128</v>
      </c>
      <c r="F218" s="173" t="s">
        <v>129</v>
      </c>
      <c r="G218" s="173">
        <v>384</v>
      </c>
      <c r="H218" s="173" t="s">
        <v>164</v>
      </c>
      <c r="I218" s="173">
        <v>5312</v>
      </c>
      <c r="J218" s="173" t="s">
        <v>130</v>
      </c>
      <c r="K218" s="173" t="s">
        <v>188</v>
      </c>
      <c r="L218" s="173" t="s">
        <v>147</v>
      </c>
      <c r="M218" s="173">
        <v>2015</v>
      </c>
      <c r="N218" s="173">
        <v>2015</v>
      </c>
      <c r="O218" s="173" t="s">
        <v>24</v>
      </c>
      <c r="P218" s="173">
        <v>1624</v>
      </c>
      <c r="Q218" s="173" t="s">
        <v>131</v>
      </c>
      <c r="R218" s="173" t="s">
        <v>132</v>
      </c>
    </row>
    <row r="219" spans="5:18" ht="13.5" customHeight="1" x14ac:dyDescent="0.35">
      <c r="E219" s="173" t="s">
        <v>128</v>
      </c>
      <c r="F219" s="173" t="s">
        <v>129</v>
      </c>
      <c r="G219" s="173">
        <v>384</v>
      </c>
      <c r="H219" s="173" t="s">
        <v>164</v>
      </c>
      <c r="I219" s="173">
        <v>5312</v>
      </c>
      <c r="J219" s="173" t="s">
        <v>130</v>
      </c>
      <c r="K219" s="173" t="s">
        <v>188</v>
      </c>
      <c r="L219" s="173" t="s">
        <v>147</v>
      </c>
      <c r="M219" s="173">
        <v>2016</v>
      </c>
      <c r="N219" s="173">
        <v>2016</v>
      </c>
      <c r="O219" s="173" t="s">
        <v>24</v>
      </c>
      <c r="P219" s="173">
        <v>1634</v>
      </c>
      <c r="Q219" s="173" t="s">
        <v>131</v>
      </c>
      <c r="R219" s="173" t="s">
        <v>132</v>
      </c>
    </row>
    <row r="220" spans="5:18" ht="13.5" customHeight="1" x14ac:dyDescent="0.35">
      <c r="E220" s="173" t="s">
        <v>128</v>
      </c>
      <c r="F220" s="173" t="s">
        <v>129</v>
      </c>
      <c r="G220" s="173">
        <v>384</v>
      </c>
      <c r="H220" s="173" t="s">
        <v>164</v>
      </c>
      <c r="I220" s="173">
        <v>5312</v>
      </c>
      <c r="J220" s="173" t="s">
        <v>130</v>
      </c>
      <c r="K220" s="173" t="s">
        <v>188</v>
      </c>
      <c r="L220" s="173" t="s">
        <v>147</v>
      </c>
      <c r="M220" s="173">
        <v>2017</v>
      </c>
      <c r="N220" s="173">
        <v>2017</v>
      </c>
      <c r="O220" s="173" t="s">
        <v>24</v>
      </c>
      <c r="P220" s="173">
        <v>1662</v>
      </c>
      <c r="Q220" s="173" t="s">
        <v>131</v>
      </c>
      <c r="R220" s="173" t="s">
        <v>132</v>
      </c>
    </row>
    <row r="221" spans="5:18" ht="13.5" customHeight="1" x14ac:dyDescent="0.35">
      <c r="E221" s="173" t="s">
        <v>128</v>
      </c>
      <c r="F221" s="173" t="s">
        <v>129</v>
      </c>
      <c r="G221" s="173">
        <v>384</v>
      </c>
      <c r="H221" s="173" t="s">
        <v>164</v>
      </c>
      <c r="I221" s="173">
        <v>5312</v>
      </c>
      <c r="J221" s="173" t="s">
        <v>130</v>
      </c>
      <c r="K221" s="173" t="s">
        <v>188</v>
      </c>
      <c r="L221" s="173" t="s">
        <v>147</v>
      </c>
      <c r="M221" s="173">
        <v>2018</v>
      </c>
      <c r="N221" s="173">
        <v>2018</v>
      </c>
      <c r="O221" s="173" t="s">
        <v>24</v>
      </c>
      <c r="P221" s="173">
        <v>1702</v>
      </c>
      <c r="Q221" s="173" t="s">
        <v>131</v>
      </c>
      <c r="R221" s="173" t="s">
        <v>132</v>
      </c>
    </row>
    <row r="222" spans="5:18" ht="13.5" customHeight="1" x14ac:dyDescent="0.35">
      <c r="E222" s="173" t="s">
        <v>128</v>
      </c>
      <c r="F222" s="173" t="s">
        <v>129</v>
      </c>
      <c r="G222" s="173">
        <v>384</v>
      </c>
      <c r="H222" s="173" t="s">
        <v>164</v>
      </c>
      <c r="I222" s="173">
        <v>5312</v>
      </c>
      <c r="J222" s="173" t="s">
        <v>130</v>
      </c>
      <c r="K222" s="173" t="s">
        <v>188</v>
      </c>
      <c r="L222" s="173" t="s">
        <v>147</v>
      </c>
      <c r="M222" s="173">
        <v>2019</v>
      </c>
      <c r="N222" s="173">
        <v>2019</v>
      </c>
      <c r="O222" s="173" t="s">
        <v>24</v>
      </c>
      <c r="P222" s="173">
        <v>1666</v>
      </c>
      <c r="Q222" s="173" t="s">
        <v>109</v>
      </c>
      <c r="R222" s="173" t="s">
        <v>110</v>
      </c>
    </row>
    <row r="223" spans="5:18" ht="13.5" customHeight="1" x14ac:dyDescent="0.35">
      <c r="E223" s="173" t="s">
        <v>128</v>
      </c>
      <c r="F223" s="173" t="s">
        <v>129</v>
      </c>
      <c r="G223" s="173">
        <v>384</v>
      </c>
      <c r="H223" s="173" t="s">
        <v>164</v>
      </c>
      <c r="I223" s="173">
        <v>5312</v>
      </c>
      <c r="J223" s="173" t="s">
        <v>130</v>
      </c>
      <c r="K223" s="173" t="s">
        <v>188</v>
      </c>
      <c r="L223" s="173" t="s">
        <v>147</v>
      </c>
      <c r="M223" s="173">
        <v>2020</v>
      </c>
      <c r="N223" s="173">
        <v>2020</v>
      </c>
      <c r="O223" s="173" t="s">
        <v>24</v>
      </c>
      <c r="P223" s="173">
        <v>1677</v>
      </c>
      <c r="Q223" s="173" t="s">
        <v>109</v>
      </c>
      <c r="R223" s="173" t="s">
        <v>110</v>
      </c>
    </row>
    <row r="224" spans="5:18" ht="13.5" customHeight="1" x14ac:dyDescent="0.35">
      <c r="E224" s="173" t="s">
        <v>128</v>
      </c>
      <c r="F224" s="173" t="s">
        <v>129</v>
      </c>
      <c r="G224" s="173">
        <v>384</v>
      </c>
      <c r="H224" s="173" t="s">
        <v>164</v>
      </c>
      <c r="I224" s="173">
        <v>5312</v>
      </c>
      <c r="J224" s="173" t="s">
        <v>130</v>
      </c>
      <c r="K224" s="173" t="s">
        <v>188</v>
      </c>
      <c r="L224" s="173" t="s">
        <v>147</v>
      </c>
      <c r="M224" s="173">
        <v>2021</v>
      </c>
      <c r="N224" s="173">
        <v>2021</v>
      </c>
      <c r="O224" s="173" t="s">
        <v>24</v>
      </c>
      <c r="P224" s="173">
        <v>1682</v>
      </c>
      <c r="Q224" s="173" t="s">
        <v>109</v>
      </c>
      <c r="R224" s="173" t="s">
        <v>110</v>
      </c>
    </row>
    <row r="225" spans="5:18" ht="13.5" customHeight="1" x14ac:dyDescent="0.35">
      <c r="E225" s="173" t="s">
        <v>128</v>
      </c>
      <c r="F225" s="173" t="s">
        <v>129</v>
      </c>
      <c r="G225" s="173">
        <v>384</v>
      </c>
      <c r="H225" s="173" t="s">
        <v>164</v>
      </c>
      <c r="I225" s="173">
        <v>5312</v>
      </c>
      <c r="J225" s="173" t="s">
        <v>130</v>
      </c>
      <c r="K225" s="173">
        <v>1329</v>
      </c>
      <c r="L225" s="173" t="s">
        <v>148</v>
      </c>
      <c r="M225" s="173">
        <v>2015</v>
      </c>
      <c r="N225" s="173">
        <v>2015</v>
      </c>
      <c r="O225" s="173" t="s">
        <v>24</v>
      </c>
      <c r="P225" s="173">
        <v>3351</v>
      </c>
      <c r="Q225" s="173" t="s">
        <v>131</v>
      </c>
      <c r="R225" s="173" t="s">
        <v>132</v>
      </c>
    </row>
    <row r="226" spans="5:18" ht="13.5" customHeight="1" x14ac:dyDescent="0.35">
      <c r="E226" s="173" t="s">
        <v>128</v>
      </c>
      <c r="F226" s="173" t="s">
        <v>129</v>
      </c>
      <c r="G226" s="173">
        <v>384</v>
      </c>
      <c r="H226" s="173" t="s">
        <v>164</v>
      </c>
      <c r="I226" s="173">
        <v>5312</v>
      </c>
      <c r="J226" s="173" t="s">
        <v>130</v>
      </c>
      <c r="K226" s="173">
        <v>1329</v>
      </c>
      <c r="L226" s="173" t="s">
        <v>148</v>
      </c>
      <c r="M226" s="173">
        <v>2016</v>
      </c>
      <c r="N226" s="173">
        <v>2016</v>
      </c>
      <c r="O226" s="173" t="s">
        <v>24</v>
      </c>
      <c r="P226" s="173">
        <v>3389</v>
      </c>
      <c r="Q226" s="173" t="s">
        <v>131</v>
      </c>
      <c r="R226" s="173" t="s">
        <v>132</v>
      </c>
    </row>
    <row r="227" spans="5:18" ht="13.5" customHeight="1" x14ac:dyDescent="0.35">
      <c r="E227" s="173" t="s">
        <v>128</v>
      </c>
      <c r="F227" s="173" t="s">
        <v>129</v>
      </c>
      <c r="G227" s="173">
        <v>384</v>
      </c>
      <c r="H227" s="173" t="s">
        <v>164</v>
      </c>
      <c r="I227" s="173">
        <v>5312</v>
      </c>
      <c r="J227" s="173" t="s">
        <v>130</v>
      </c>
      <c r="K227" s="173">
        <v>1329</v>
      </c>
      <c r="L227" s="173" t="s">
        <v>148</v>
      </c>
      <c r="M227" s="173">
        <v>2017</v>
      </c>
      <c r="N227" s="173">
        <v>2017</v>
      </c>
      <c r="O227" s="173" t="s">
        <v>24</v>
      </c>
      <c r="P227" s="173">
        <v>3433</v>
      </c>
      <c r="Q227" s="173" t="s">
        <v>131</v>
      </c>
      <c r="R227" s="173" t="s">
        <v>132</v>
      </c>
    </row>
    <row r="228" spans="5:18" ht="13.5" customHeight="1" x14ac:dyDescent="0.35">
      <c r="E228" s="173" t="s">
        <v>128</v>
      </c>
      <c r="F228" s="173" t="s">
        <v>129</v>
      </c>
      <c r="G228" s="173">
        <v>384</v>
      </c>
      <c r="H228" s="173" t="s">
        <v>164</v>
      </c>
      <c r="I228" s="173">
        <v>5312</v>
      </c>
      <c r="J228" s="173" t="s">
        <v>130</v>
      </c>
      <c r="K228" s="173">
        <v>1329</v>
      </c>
      <c r="L228" s="173" t="s">
        <v>148</v>
      </c>
      <c r="M228" s="173">
        <v>2018</v>
      </c>
      <c r="N228" s="173">
        <v>2018</v>
      </c>
      <c r="O228" s="173" t="s">
        <v>24</v>
      </c>
      <c r="P228" s="173">
        <v>3493</v>
      </c>
      <c r="Q228" s="173" t="s">
        <v>131</v>
      </c>
      <c r="R228" s="173" t="s">
        <v>132</v>
      </c>
    </row>
    <row r="229" spans="5:18" ht="13.5" customHeight="1" x14ac:dyDescent="0.35">
      <c r="E229" s="173" t="s">
        <v>128</v>
      </c>
      <c r="F229" s="173" t="s">
        <v>129</v>
      </c>
      <c r="G229" s="173">
        <v>384</v>
      </c>
      <c r="H229" s="173" t="s">
        <v>164</v>
      </c>
      <c r="I229" s="173">
        <v>5312</v>
      </c>
      <c r="J229" s="173" t="s">
        <v>130</v>
      </c>
      <c r="K229" s="173">
        <v>1329</v>
      </c>
      <c r="L229" s="173" t="s">
        <v>148</v>
      </c>
      <c r="M229" s="173">
        <v>2019</v>
      </c>
      <c r="N229" s="173">
        <v>2019</v>
      </c>
      <c r="O229" s="173" t="s">
        <v>24</v>
      </c>
      <c r="P229" s="173">
        <v>3438</v>
      </c>
      <c r="Q229" s="173" t="s">
        <v>109</v>
      </c>
      <c r="R229" s="173" t="s">
        <v>110</v>
      </c>
    </row>
    <row r="230" spans="5:18" ht="13.5" customHeight="1" x14ac:dyDescent="0.35">
      <c r="E230" s="173" t="s">
        <v>128</v>
      </c>
      <c r="F230" s="173" t="s">
        <v>129</v>
      </c>
      <c r="G230" s="173">
        <v>384</v>
      </c>
      <c r="H230" s="173" t="s">
        <v>164</v>
      </c>
      <c r="I230" s="173">
        <v>5312</v>
      </c>
      <c r="J230" s="173" t="s">
        <v>130</v>
      </c>
      <c r="K230" s="173">
        <v>1329</v>
      </c>
      <c r="L230" s="173" t="s">
        <v>148</v>
      </c>
      <c r="M230" s="173">
        <v>2020</v>
      </c>
      <c r="N230" s="173">
        <v>2020</v>
      </c>
      <c r="O230" s="173" t="s">
        <v>24</v>
      </c>
      <c r="P230" s="173">
        <v>3455</v>
      </c>
      <c r="Q230" s="173" t="s">
        <v>109</v>
      </c>
      <c r="R230" s="173" t="s">
        <v>110</v>
      </c>
    </row>
    <row r="231" spans="5:18" ht="13.5" customHeight="1" x14ac:dyDescent="0.35">
      <c r="E231" s="173" t="s">
        <v>128</v>
      </c>
      <c r="F231" s="173" t="s">
        <v>129</v>
      </c>
      <c r="G231" s="173">
        <v>384</v>
      </c>
      <c r="H231" s="173" t="s">
        <v>164</v>
      </c>
      <c r="I231" s="173">
        <v>5312</v>
      </c>
      <c r="J231" s="173" t="s">
        <v>130</v>
      </c>
      <c r="K231" s="173">
        <v>1329</v>
      </c>
      <c r="L231" s="173" t="s">
        <v>148</v>
      </c>
      <c r="M231" s="173">
        <v>2021</v>
      </c>
      <c r="N231" s="173">
        <v>2021</v>
      </c>
      <c r="O231" s="173" t="s">
        <v>24</v>
      </c>
      <c r="P231" s="173">
        <v>3462</v>
      </c>
      <c r="Q231" s="173" t="s">
        <v>109</v>
      </c>
      <c r="R231" s="173" t="s">
        <v>110</v>
      </c>
    </row>
    <row r="232" spans="5:18" ht="13.5" customHeight="1" x14ac:dyDescent="0.35">
      <c r="E232" s="173" t="s">
        <v>128</v>
      </c>
      <c r="F232" s="173" t="s">
        <v>129</v>
      </c>
      <c r="G232" s="173">
        <v>384</v>
      </c>
      <c r="H232" s="173" t="s">
        <v>164</v>
      </c>
      <c r="I232" s="173">
        <v>5312</v>
      </c>
      <c r="J232" s="173" t="s">
        <v>130</v>
      </c>
      <c r="K232" s="173" t="s">
        <v>189</v>
      </c>
      <c r="L232" s="173" t="s">
        <v>149</v>
      </c>
      <c r="M232" s="173">
        <v>2015</v>
      </c>
      <c r="N232" s="173">
        <v>2015</v>
      </c>
      <c r="O232" s="173" t="s">
        <v>24</v>
      </c>
      <c r="P232" s="173">
        <v>4132</v>
      </c>
      <c r="Q232" s="173" t="s">
        <v>131</v>
      </c>
      <c r="R232" s="173" t="s">
        <v>132</v>
      </c>
    </row>
    <row r="233" spans="5:18" ht="13.5" customHeight="1" x14ac:dyDescent="0.35">
      <c r="E233" s="173" t="s">
        <v>128</v>
      </c>
      <c r="F233" s="173" t="s">
        <v>129</v>
      </c>
      <c r="G233" s="173">
        <v>384</v>
      </c>
      <c r="H233" s="173" t="s">
        <v>164</v>
      </c>
      <c r="I233" s="173">
        <v>5312</v>
      </c>
      <c r="J233" s="173" t="s">
        <v>130</v>
      </c>
      <c r="K233" s="173" t="s">
        <v>189</v>
      </c>
      <c r="L233" s="173" t="s">
        <v>149</v>
      </c>
      <c r="M233" s="173">
        <v>2016</v>
      </c>
      <c r="N233" s="173">
        <v>2016</v>
      </c>
      <c r="O233" s="173" t="s">
        <v>24</v>
      </c>
      <c r="P233" s="173">
        <v>3912</v>
      </c>
      <c r="Q233" s="173" t="s">
        <v>109</v>
      </c>
      <c r="R233" s="173" t="s">
        <v>110</v>
      </c>
    </row>
    <row r="234" spans="5:18" ht="13.5" customHeight="1" x14ac:dyDescent="0.35">
      <c r="E234" s="173" t="s">
        <v>128</v>
      </c>
      <c r="F234" s="173" t="s">
        <v>129</v>
      </c>
      <c r="G234" s="173">
        <v>384</v>
      </c>
      <c r="H234" s="173" t="s">
        <v>164</v>
      </c>
      <c r="I234" s="173">
        <v>5312</v>
      </c>
      <c r="J234" s="173" t="s">
        <v>130</v>
      </c>
      <c r="K234" s="173" t="s">
        <v>189</v>
      </c>
      <c r="L234" s="173" t="s">
        <v>149</v>
      </c>
      <c r="M234" s="173">
        <v>2017</v>
      </c>
      <c r="N234" s="173">
        <v>2017</v>
      </c>
      <c r="O234" s="173" t="s">
        <v>24</v>
      </c>
      <c r="P234" s="173">
        <v>4096</v>
      </c>
      <c r="Q234" s="173" t="s">
        <v>131</v>
      </c>
      <c r="R234" s="173" t="s">
        <v>132</v>
      </c>
    </row>
    <row r="235" spans="5:18" ht="13.5" customHeight="1" x14ac:dyDescent="0.35">
      <c r="E235" s="173" t="s">
        <v>128</v>
      </c>
      <c r="F235" s="173" t="s">
        <v>129</v>
      </c>
      <c r="G235" s="173">
        <v>384</v>
      </c>
      <c r="H235" s="173" t="s">
        <v>164</v>
      </c>
      <c r="I235" s="173">
        <v>5312</v>
      </c>
      <c r="J235" s="173" t="s">
        <v>130</v>
      </c>
      <c r="K235" s="173" t="s">
        <v>189</v>
      </c>
      <c r="L235" s="173" t="s">
        <v>149</v>
      </c>
      <c r="M235" s="173">
        <v>2018</v>
      </c>
      <c r="N235" s="173">
        <v>2018</v>
      </c>
      <c r="O235" s="173" t="s">
        <v>24</v>
      </c>
      <c r="P235" s="173">
        <v>4046</v>
      </c>
      <c r="Q235" s="173" t="s">
        <v>109</v>
      </c>
      <c r="R235" s="173" t="s">
        <v>110</v>
      </c>
    </row>
    <row r="236" spans="5:18" ht="13.5" customHeight="1" x14ac:dyDescent="0.35">
      <c r="E236" s="173" t="s">
        <v>128</v>
      </c>
      <c r="F236" s="173" t="s">
        <v>129</v>
      </c>
      <c r="G236" s="173">
        <v>384</v>
      </c>
      <c r="H236" s="173" t="s">
        <v>164</v>
      </c>
      <c r="I236" s="173">
        <v>5312</v>
      </c>
      <c r="J236" s="173" t="s">
        <v>130</v>
      </c>
      <c r="K236" s="173" t="s">
        <v>189</v>
      </c>
      <c r="L236" s="173" t="s">
        <v>149</v>
      </c>
      <c r="M236" s="173">
        <v>2019</v>
      </c>
      <c r="N236" s="173">
        <v>2019</v>
      </c>
      <c r="O236" s="173" t="s">
        <v>24</v>
      </c>
      <c r="P236" s="173">
        <v>4018</v>
      </c>
      <c r="Q236" s="173" t="s">
        <v>109</v>
      </c>
      <c r="R236" s="173" t="s">
        <v>110</v>
      </c>
    </row>
    <row r="237" spans="5:18" ht="13.5" customHeight="1" x14ac:dyDescent="0.35">
      <c r="E237" s="173" t="s">
        <v>128</v>
      </c>
      <c r="F237" s="173" t="s">
        <v>129</v>
      </c>
      <c r="G237" s="173">
        <v>384</v>
      </c>
      <c r="H237" s="173" t="s">
        <v>164</v>
      </c>
      <c r="I237" s="173">
        <v>5312</v>
      </c>
      <c r="J237" s="173" t="s">
        <v>130</v>
      </c>
      <c r="K237" s="173" t="s">
        <v>189</v>
      </c>
      <c r="L237" s="173" t="s">
        <v>149</v>
      </c>
      <c r="M237" s="173">
        <v>2020</v>
      </c>
      <c r="N237" s="173">
        <v>2020</v>
      </c>
      <c r="O237" s="173" t="s">
        <v>24</v>
      </c>
      <c r="P237" s="173">
        <v>4053</v>
      </c>
      <c r="Q237" s="173" t="s">
        <v>109</v>
      </c>
      <c r="R237" s="173" t="s">
        <v>110</v>
      </c>
    </row>
    <row r="238" spans="5:18" ht="13.5" customHeight="1" x14ac:dyDescent="0.35">
      <c r="E238" s="173" t="s">
        <v>128</v>
      </c>
      <c r="F238" s="173" t="s">
        <v>129</v>
      </c>
      <c r="G238" s="173">
        <v>384</v>
      </c>
      <c r="H238" s="173" t="s">
        <v>164</v>
      </c>
      <c r="I238" s="173">
        <v>5312</v>
      </c>
      <c r="J238" s="173" t="s">
        <v>130</v>
      </c>
      <c r="K238" s="173" t="s">
        <v>189</v>
      </c>
      <c r="L238" s="173" t="s">
        <v>149</v>
      </c>
      <c r="M238" s="173">
        <v>2021</v>
      </c>
      <c r="N238" s="173">
        <v>2021</v>
      </c>
      <c r="O238" s="173" t="s">
        <v>24</v>
      </c>
      <c r="P238" s="173">
        <v>4039</v>
      </c>
      <c r="Q238" s="173" t="s">
        <v>109</v>
      </c>
      <c r="R238" s="173" t="s">
        <v>110</v>
      </c>
    </row>
    <row r="239" spans="5:18" ht="13.5" customHeight="1" x14ac:dyDescent="0.35">
      <c r="E239" s="173" t="s">
        <v>128</v>
      </c>
      <c r="F239" s="173" t="s">
        <v>129</v>
      </c>
      <c r="G239" s="173">
        <v>384</v>
      </c>
      <c r="H239" s="173" t="s">
        <v>164</v>
      </c>
      <c r="I239" s="173">
        <v>5312</v>
      </c>
      <c r="J239" s="173" t="s">
        <v>130</v>
      </c>
      <c r="K239" s="173" t="s">
        <v>190</v>
      </c>
      <c r="L239" s="173" t="s">
        <v>150</v>
      </c>
      <c r="M239" s="173">
        <v>2015</v>
      </c>
      <c r="N239" s="173">
        <v>2015</v>
      </c>
      <c r="O239" s="173" t="s">
        <v>24</v>
      </c>
      <c r="P239" s="173">
        <v>8466</v>
      </c>
      <c r="Q239" s="173" t="s">
        <v>131</v>
      </c>
      <c r="R239" s="173" t="s">
        <v>132</v>
      </c>
    </row>
    <row r="240" spans="5:18" ht="13.5" customHeight="1" x14ac:dyDescent="0.35">
      <c r="E240" s="173" t="s">
        <v>128</v>
      </c>
      <c r="F240" s="173" t="s">
        <v>129</v>
      </c>
      <c r="G240" s="173">
        <v>384</v>
      </c>
      <c r="H240" s="173" t="s">
        <v>164</v>
      </c>
      <c r="I240" s="173">
        <v>5312</v>
      </c>
      <c r="J240" s="173" t="s">
        <v>130</v>
      </c>
      <c r="K240" s="173" t="s">
        <v>190</v>
      </c>
      <c r="L240" s="173" t="s">
        <v>150</v>
      </c>
      <c r="M240" s="173">
        <v>2016</v>
      </c>
      <c r="N240" s="173">
        <v>2016</v>
      </c>
      <c r="O240" s="173" t="s">
        <v>24</v>
      </c>
      <c r="P240" s="173">
        <v>8106</v>
      </c>
      <c r="Q240" s="173" t="s">
        <v>109</v>
      </c>
      <c r="R240" s="173" t="s">
        <v>110</v>
      </c>
    </row>
    <row r="241" spans="5:18" ht="13.5" customHeight="1" x14ac:dyDescent="0.35">
      <c r="E241" s="173" t="s">
        <v>128</v>
      </c>
      <c r="F241" s="173" t="s">
        <v>129</v>
      </c>
      <c r="G241" s="173">
        <v>384</v>
      </c>
      <c r="H241" s="173" t="s">
        <v>164</v>
      </c>
      <c r="I241" s="173">
        <v>5312</v>
      </c>
      <c r="J241" s="173" t="s">
        <v>130</v>
      </c>
      <c r="K241" s="173" t="s">
        <v>190</v>
      </c>
      <c r="L241" s="173" t="s">
        <v>150</v>
      </c>
      <c r="M241" s="173">
        <v>2017</v>
      </c>
      <c r="N241" s="173">
        <v>2017</v>
      </c>
      <c r="O241" s="173" t="s">
        <v>24</v>
      </c>
      <c r="P241" s="173">
        <v>8090</v>
      </c>
      <c r="Q241" s="173" t="s">
        <v>131</v>
      </c>
      <c r="R241" s="173" t="s">
        <v>132</v>
      </c>
    </row>
    <row r="242" spans="5:18" ht="13.5" customHeight="1" x14ac:dyDescent="0.35">
      <c r="E242" s="173" t="s">
        <v>128</v>
      </c>
      <c r="F242" s="173" t="s">
        <v>129</v>
      </c>
      <c r="G242" s="173">
        <v>384</v>
      </c>
      <c r="H242" s="173" t="s">
        <v>164</v>
      </c>
      <c r="I242" s="173">
        <v>5312</v>
      </c>
      <c r="J242" s="173" t="s">
        <v>130</v>
      </c>
      <c r="K242" s="173" t="s">
        <v>190</v>
      </c>
      <c r="L242" s="173" t="s">
        <v>150</v>
      </c>
      <c r="M242" s="173">
        <v>2018</v>
      </c>
      <c r="N242" s="173">
        <v>2018</v>
      </c>
      <c r="O242" s="173" t="s">
        <v>24</v>
      </c>
      <c r="P242" s="173">
        <v>8189</v>
      </c>
      <c r="Q242" s="173" t="s">
        <v>131</v>
      </c>
      <c r="R242" s="173" t="s">
        <v>132</v>
      </c>
    </row>
    <row r="243" spans="5:18" ht="13.5" customHeight="1" x14ac:dyDescent="0.35">
      <c r="E243" s="173" t="s">
        <v>128</v>
      </c>
      <c r="F243" s="173" t="s">
        <v>129</v>
      </c>
      <c r="G243" s="173">
        <v>384</v>
      </c>
      <c r="H243" s="173" t="s">
        <v>164</v>
      </c>
      <c r="I243" s="173">
        <v>5312</v>
      </c>
      <c r="J243" s="173" t="s">
        <v>130</v>
      </c>
      <c r="K243" s="173" t="s">
        <v>190</v>
      </c>
      <c r="L243" s="173" t="s">
        <v>150</v>
      </c>
      <c r="M243" s="173">
        <v>2019</v>
      </c>
      <c r="N243" s="173">
        <v>2019</v>
      </c>
      <c r="O243" s="173" t="s">
        <v>24</v>
      </c>
      <c r="P243" s="173">
        <v>8155</v>
      </c>
      <c r="Q243" s="173" t="s">
        <v>131</v>
      </c>
      <c r="R243" s="173" t="s">
        <v>132</v>
      </c>
    </row>
    <row r="244" spans="5:18" ht="13.5" customHeight="1" x14ac:dyDescent="0.35">
      <c r="E244" s="173" t="s">
        <v>128</v>
      </c>
      <c r="F244" s="173" t="s">
        <v>129</v>
      </c>
      <c r="G244" s="173">
        <v>384</v>
      </c>
      <c r="H244" s="173" t="s">
        <v>164</v>
      </c>
      <c r="I244" s="173">
        <v>5312</v>
      </c>
      <c r="J244" s="173" t="s">
        <v>130</v>
      </c>
      <c r="K244" s="173" t="s">
        <v>190</v>
      </c>
      <c r="L244" s="173" t="s">
        <v>150</v>
      </c>
      <c r="M244" s="173">
        <v>2020</v>
      </c>
      <c r="N244" s="173">
        <v>2020</v>
      </c>
      <c r="O244" s="173" t="s">
        <v>24</v>
      </c>
      <c r="P244" s="173">
        <v>8168</v>
      </c>
      <c r="Q244" s="173" t="s">
        <v>131</v>
      </c>
      <c r="R244" s="173" t="s">
        <v>132</v>
      </c>
    </row>
    <row r="245" spans="5:18" ht="13.5" customHeight="1" x14ac:dyDescent="0.35">
      <c r="E245" s="173" t="s">
        <v>128</v>
      </c>
      <c r="F245" s="173" t="s">
        <v>129</v>
      </c>
      <c r="G245" s="173">
        <v>384</v>
      </c>
      <c r="H245" s="173" t="s">
        <v>164</v>
      </c>
      <c r="I245" s="173">
        <v>5312</v>
      </c>
      <c r="J245" s="173" t="s">
        <v>130</v>
      </c>
      <c r="K245" s="173" t="s">
        <v>190</v>
      </c>
      <c r="L245" s="173" t="s">
        <v>150</v>
      </c>
      <c r="M245" s="173">
        <v>2021</v>
      </c>
      <c r="N245" s="173">
        <v>2021</v>
      </c>
      <c r="O245" s="173" t="s">
        <v>24</v>
      </c>
      <c r="P245" s="173">
        <v>8181</v>
      </c>
      <c r="Q245" s="173" t="s">
        <v>131</v>
      </c>
      <c r="R245" s="173" t="s">
        <v>132</v>
      </c>
    </row>
    <row r="246" spans="5:18" ht="13.5" customHeight="1" x14ac:dyDescent="0.35">
      <c r="E246" s="173" t="s">
        <v>128</v>
      </c>
      <c r="F246" s="173" t="s">
        <v>129</v>
      </c>
      <c r="G246" s="173">
        <v>384</v>
      </c>
      <c r="H246" s="173" t="s">
        <v>164</v>
      </c>
      <c r="I246" s="173">
        <v>5312</v>
      </c>
      <c r="J246" s="173" t="s">
        <v>130</v>
      </c>
      <c r="K246" s="173" t="s">
        <v>191</v>
      </c>
      <c r="L246" s="173" t="s">
        <v>118</v>
      </c>
      <c r="M246" s="173">
        <v>2015</v>
      </c>
      <c r="N246" s="173">
        <v>2015</v>
      </c>
      <c r="O246" s="173" t="s">
        <v>24</v>
      </c>
      <c r="P246" s="173">
        <v>38343</v>
      </c>
      <c r="Q246" s="173" t="s">
        <v>131</v>
      </c>
      <c r="R246" s="173" t="s">
        <v>132</v>
      </c>
    </row>
    <row r="247" spans="5:18" ht="13.5" customHeight="1" x14ac:dyDescent="0.35">
      <c r="E247" s="173" t="s">
        <v>128</v>
      </c>
      <c r="F247" s="173" t="s">
        <v>129</v>
      </c>
      <c r="G247" s="173">
        <v>384</v>
      </c>
      <c r="H247" s="173" t="s">
        <v>164</v>
      </c>
      <c r="I247" s="173">
        <v>5312</v>
      </c>
      <c r="J247" s="173" t="s">
        <v>130</v>
      </c>
      <c r="K247" s="173" t="s">
        <v>191</v>
      </c>
      <c r="L247" s="173" t="s">
        <v>118</v>
      </c>
      <c r="M247" s="173">
        <v>2016</v>
      </c>
      <c r="N247" s="173">
        <v>2016</v>
      </c>
      <c r="O247" s="173" t="s">
        <v>24</v>
      </c>
      <c r="P247" s="173">
        <v>44183</v>
      </c>
      <c r="Q247" s="173" t="s">
        <v>131</v>
      </c>
      <c r="R247" s="173" t="s">
        <v>132</v>
      </c>
    </row>
    <row r="248" spans="5:18" ht="13.5" customHeight="1" x14ac:dyDescent="0.35">
      <c r="E248" s="173" t="s">
        <v>128</v>
      </c>
      <c r="F248" s="173" t="s">
        <v>129</v>
      </c>
      <c r="G248" s="173">
        <v>384</v>
      </c>
      <c r="H248" s="173" t="s">
        <v>164</v>
      </c>
      <c r="I248" s="173">
        <v>5312</v>
      </c>
      <c r="J248" s="173" t="s">
        <v>130</v>
      </c>
      <c r="K248" s="173" t="s">
        <v>191</v>
      </c>
      <c r="L248" s="173" t="s">
        <v>118</v>
      </c>
      <c r="M248" s="173">
        <v>2017</v>
      </c>
      <c r="N248" s="173">
        <v>2017</v>
      </c>
      <c r="O248" s="173" t="s">
        <v>24</v>
      </c>
      <c r="P248" s="173">
        <v>43695</v>
      </c>
      <c r="Q248" s="173" t="s">
        <v>131</v>
      </c>
      <c r="R248" s="173" t="s">
        <v>132</v>
      </c>
    </row>
    <row r="249" spans="5:18" ht="13.5" customHeight="1" x14ac:dyDescent="0.35">
      <c r="E249" s="173" t="s">
        <v>128</v>
      </c>
      <c r="F249" s="173" t="s">
        <v>129</v>
      </c>
      <c r="G249" s="173">
        <v>384</v>
      </c>
      <c r="H249" s="173" t="s">
        <v>164</v>
      </c>
      <c r="I249" s="173">
        <v>5312</v>
      </c>
      <c r="J249" s="173" t="s">
        <v>130</v>
      </c>
      <c r="K249" s="173" t="s">
        <v>191</v>
      </c>
      <c r="L249" s="173" t="s">
        <v>118</v>
      </c>
      <c r="M249" s="173">
        <v>2018</v>
      </c>
      <c r="N249" s="173">
        <v>2018</v>
      </c>
      <c r="O249" s="173" t="s">
        <v>24</v>
      </c>
      <c r="P249" s="173">
        <v>43362</v>
      </c>
      <c r="Q249" s="173" t="s">
        <v>131</v>
      </c>
      <c r="R249" s="173" t="s">
        <v>132</v>
      </c>
    </row>
    <row r="250" spans="5:18" ht="13.5" customHeight="1" x14ac:dyDescent="0.35">
      <c r="E250" s="173" t="s">
        <v>128</v>
      </c>
      <c r="F250" s="173" t="s">
        <v>129</v>
      </c>
      <c r="G250" s="173">
        <v>384</v>
      </c>
      <c r="H250" s="173" t="s">
        <v>164</v>
      </c>
      <c r="I250" s="173">
        <v>5312</v>
      </c>
      <c r="J250" s="173" t="s">
        <v>130</v>
      </c>
      <c r="K250" s="173" t="s">
        <v>191</v>
      </c>
      <c r="L250" s="173" t="s">
        <v>118</v>
      </c>
      <c r="M250" s="173">
        <v>2019</v>
      </c>
      <c r="N250" s="173">
        <v>2019</v>
      </c>
      <c r="O250" s="173" t="s">
        <v>24</v>
      </c>
      <c r="P250" s="173">
        <v>41852</v>
      </c>
      <c r="Q250" s="173" t="s">
        <v>131</v>
      </c>
      <c r="R250" s="173" t="s">
        <v>132</v>
      </c>
    </row>
    <row r="251" spans="5:18" ht="13.5" customHeight="1" x14ac:dyDescent="0.35">
      <c r="E251" s="173" t="s">
        <v>128</v>
      </c>
      <c r="F251" s="173" t="s">
        <v>129</v>
      </c>
      <c r="G251" s="173">
        <v>384</v>
      </c>
      <c r="H251" s="173" t="s">
        <v>164</v>
      </c>
      <c r="I251" s="173">
        <v>5312</v>
      </c>
      <c r="J251" s="173" t="s">
        <v>130</v>
      </c>
      <c r="K251" s="173" t="s">
        <v>191</v>
      </c>
      <c r="L251" s="173" t="s">
        <v>118</v>
      </c>
      <c r="M251" s="173">
        <v>2020</v>
      </c>
      <c r="N251" s="173">
        <v>2020</v>
      </c>
      <c r="O251" s="173" t="s">
        <v>24</v>
      </c>
      <c r="P251" s="173">
        <v>49636</v>
      </c>
      <c r="Q251" s="173" t="s">
        <v>131</v>
      </c>
      <c r="R251" s="173" t="s">
        <v>132</v>
      </c>
    </row>
    <row r="252" spans="5:18" ht="13.5" customHeight="1" x14ac:dyDescent="0.35">
      <c r="E252" s="173" t="s">
        <v>128</v>
      </c>
      <c r="F252" s="173" t="s">
        <v>129</v>
      </c>
      <c r="G252" s="173">
        <v>384</v>
      </c>
      <c r="H252" s="173" t="s">
        <v>164</v>
      </c>
      <c r="I252" s="173">
        <v>5312</v>
      </c>
      <c r="J252" s="173" t="s">
        <v>130</v>
      </c>
      <c r="K252" s="173" t="s">
        <v>191</v>
      </c>
      <c r="L252" s="173" t="s">
        <v>118</v>
      </c>
      <c r="M252" s="173">
        <v>2021</v>
      </c>
      <c r="N252" s="173">
        <v>2021</v>
      </c>
      <c r="O252" s="173" t="s">
        <v>24</v>
      </c>
      <c r="P252" s="173">
        <v>53857</v>
      </c>
      <c r="Q252" s="173" t="s">
        <v>131</v>
      </c>
      <c r="R252" s="173" t="s">
        <v>132</v>
      </c>
    </row>
    <row r="253" spans="5:18" ht="13.5" customHeight="1" x14ac:dyDescent="0.35">
      <c r="E253" s="173" t="s">
        <v>128</v>
      </c>
      <c r="F253" s="173" t="s">
        <v>129</v>
      </c>
      <c r="G253" s="173">
        <v>384</v>
      </c>
      <c r="H253" s="173" t="s">
        <v>164</v>
      </c>
      <c r="I253" s="173">
        <v>5312</v>
      </c>
      <c r="J253" s="173" t="s">
        <v>130</v>
      </c>
      <c r="K253" s="173" t="s">
        <v>192</v>
      </c>
      <c r="L253" s="173" t="s">
        <v>116</v>
      </c>
      <c r="M253" s="173">
        <v>2015</v>
      </c>
      <c r="N253" s="173">
        <v>2015</v>
      </c>
      <c r="O253" s="173" t="s">
        <v>24</v>
      </c>
      <c r="P253" s="173">
        <v>20900</v>
      </c>
      <c r="Q253" s="173" t="s">
        <v>131</v>
      </c>
      <c r="R253" s="173" t="s">
        <v>132</v>
      </c>
    </row>
    <row r="254" spans="5:18" ht="13.5" customHeight="1" x14ac:dyDescent="0.35">
      <c r="E254" s="173" t="s">
        <v>128</v>
      </c>
      <c r="F254" s="173" t="s">
        <v>129</v>
      </c>
      <c r="G254" s="173">
        <v>384</v>
      </c>
      <c r="H254" s="173" t="s">
        <v>164</v>
      </c>
      <c r="I254" s="173">
        <v>5312</v>
      </c>
      <c r="J254" s="173" t="s">
        <v>130</v>
      </c>
      <c r="K254" s="173" t="s">
        <v>192</v>
      </c>
      <c r="L254" s="173" t="s">
        <v>116</v>
      </c>
      <c r="M254" s="173">
        <v>2016</v>
      </c>
      <c r="N254" s="173">
        <v>2016</v>
      </c>
      <c r="O254" s="173" t="s">
        <v>24</v>
      </c>
      <c r="P254" s="173">
        <v>19999</v>
      </c>
      <c r="Q254" s="173" t="s">
        <v>109</v>
      </c>
      <c r="R254" s="173" t="s">
        <v>110</v>
      </c>
    </row>
    <row r="255" spans="5:18" ht="13.5" customHeight="1" x14ac:dyDescent="0.35">
      <c r="E255" s="173" t="s">
        <v>128</v>
      </c>
      <c r="F255" s="173" t="s">
        <v>129</v>
      </c>
      <c r="G255" s="173">
        <v>384</v>
      </c>
      <c r="H255" s="173" t="s">
        <v>164</v>
      </c>
      <c r="I255" s="173">
        <v>5312</v>
      </c>
      <c r="J255" s="173" t="s">
        <v>130</v>
      </c>
      <c r="K255" s="173" t="s">
        <v>192</v>
      </c>
      <c r="L255" s="173" t="s">
        <v>116</v>
      </c>
      <c r="M255" s="173">
        <v>2017</v>
      </c>
      <c r="N255" s="173">
        <v>2017</v>
      </c>
      <c r="O255" s="173" t="s">
        <v>24</v>
      </c>
      <c r="P255" s="173">
        <v>20214</v>
      </c>
      <c r="Q255" s="173" t="s">
        <v>131</v>
      </c>
      <c r="R255" s="173" t="s">
        <v>132</v>
      </c>
    </row>
    <row r="256" spans="5:18" ht="13.5" customHeight="1" x14ac:dyDescent="0.35">
      <c r="E256" s="173" t="s">
        <v>128</v>
      </c>
      <c r="F256" s="173" t="s">
        <v>129</v>
      </c>
      <c r="G256" s="173">
        <v>384</v>
      </c>
      <c r="H256" s="173" t="s">
        <v>164</v>
      </c>
      <c r="I256" s="173">
        <v>5312</v>
      </c>
      <c r="J256" s="173" t="s">
        <v>130</v>
      </c>
      <c r="K256" s="173" t="s">
        <v>192</v>
      </c>
      <c r="L256" s="173" t="s">
        <v>116</v>
      </c>
      <c r="M256" s="173">
        <v>2018</v>
      </c>
      <c r="N256" s="173">
        <v>2018</v>
      </c>
      <c r="O256" s="173" t="s">
        <v>24</v>
      </c>
      <c r="P256" s="173">
        <v>20371</v>
      </c>
      <c r="Q256" s="173" t="s">
        <v>109</v>
      </c>
      <c r="R256" s="173" t="s">
        <v>110</v>
      </c>
    </row>
    <row r="257" spans="5:18" ht="13.5" customHeight="1" x14ac:dyDescent="0.35">
      <c r="E257" s="173" t="s">
        <v>128</v>
      </c>
      <c r="F257" s="173" t="s">
        <v>129</v>
      </c>
      <c r="G257" s="173">
        <v>384</v>
      </c>
      <c r="H257" s="173" t="s">
        <v>164</v>
      </c>
      <c r="I257" s="173">
        <v>5312</v>
      </c>
      <c r="J257" s="173" t="s">
        <v>130</v>
      </c>
      <c r="K257" s="173" t="s">
        <v>192</v>
      </c>
      <c r="L257" s="173" t="s">
        <v>116</v>
      </c>
      <c r="M257" s="173">
        <v>2019</v>
      </c>
      <c r="N257" s="173">
        <v>2019</v>
      </c>
      <c r="O257" s="173" t="s">
        <v>24</v>
      </c>
      <c r="P257" s="173">
        <v>20194</v>
      </c>
      <c r="Q257" s="173" t="s">
        <v>109</v>
      </c>
      <c r="R257" s="173" t="s">
        <v>110</v>
      </c>
    </row>
    <row r="258" spans="5:18" ht="13.5" customHeight="1" x14ac:dyDescent="0.35">
      <c r="E258" s="173" t="s">
        <v>128</v>
      </c>
      <c r="F258" s="173" t="s">
        <v>129</v>
      </c>
      <c r="G258" s="173">
        <v>384</v>
      </c>
      <c r="H258" s="173" t="s">
        <v>164</v>
      </c>
      <c r="I258" s="173">
        <v>5312</v>
      </c>
      <c r="J258" s="173" t="s">
        <v>130</v>
      </c>
      <c r="K258" s="173" t="s">
        <v>192</v>
      </c>
      <c r="L258" s="173" t="s">
        <v>116</v>
      </c>
      <c r="M258" s="173">
        <v>2020</v>
      </c>
      <c r="N258" s="173">
        <v>2020</v>
      </c>
      <c r="O258" s="173" t="s">
        <v>24</v>
      </c>
      <c r="P258" s="173">
        <v>20260</v>
      </c>
      <c r="Q258" s="173" t="s">
        <v>109</v>
      </c>
      <c r="R258" s="173" t="s">
        <v>110</v>
      </c>
    </row>
    <row r="259" spans="5:18" ht="13.5" customHeight="1" x14ac:dyDescent="0.35">
      <c r="E259" s="173" t="s">
        <v>128</v>
      </c>
      <c r="F259" s="173" t="s">
        <v>129</v>
      </c>
      <c r="G259" s="173">
        <v>384</v>
      </c>
      <c r="H259" s="173" t="s">
        <v>164</v>
      </c>
      <c r="I259" s="173">
        <v>5312</v>
      </c>
      <c r="J259" s="173" t="s">
        <v>130</v>
      </c>
      <c r="K259" s="173" t="s">
        <v>192</v>
      </c>
      <c r="L259" s="173" t="s">
        <v>116</v>
      </c>
      <c r="M259" s="173">
        <v>2021</v>
      </c>
      <c r="N259" s="173">
        <v>2021</v>
      </c>
      <c r="O259" s="173" t="s">
        <v>24</v>
      </c>
      <c r="P259" s="173">
        <v>20275</v>
      </c>
      <c r="Q259" s="173" t="s">
        <v>109</v>
      </c>
      <c r="R259" s="173" t="s">
        <v>110</v>
      </c>
    </row>
    <row r="260" spans="5:18" ht="13.5" customHeight="1" x14ac:dyDescent="0.35">
      <c r="E260" s="173" t="s">
        <v>128</v>
      </c>
      <c r="F260" s="173" t="s">
        <v>129</v>
      </c>
      <c r="G260" s="173">
        <v>384</v>
      </c>
      <c r="H260" s="173" t="s">
        <v>164</v>
      </c>
      <c r="I260" s="173">
        <v>5312</v>
      </c>
      <c r="J260" s="173" t="s">
        <v>130</v>
      </c>
      <c r="K260" s="173">
        <v>1699</v>
      </c>
      <c r="L260" s="173" t="s">
        <v>151</v>
      </c>
      <c r="M260" s="173">
        <v>2015</v>
      </c>
      <c r="N260" s="173">
        <v>2015</v>
      </c>
      <c r="O260" s="173" t="s">
        <v>24</v>
      </c>
      <c r="P260" s="173">
        <v>1141</v>
      </c>
      <c r="Q260" s="173" t="s">
        <v>131</v>
      </c>
      <c r="R260" s="173" t="s">
        <v>132</v>
      </c>
    </row>
    <row r="261" spans="5:18" ht="13.5" customHeight="1" x14ac:dyDescent="0.35">
      <c r="E261" s="173" t="s">
        <v>128</v>
      </c>
      <c r="F261" s="173" t="s">
        <v>129</v>
      </c>
      <c r="G261" s="173">
        <v>384</v>
      </c>
      <c r="H261" s="173" t="s">
        <v>164</v>
      </c>
      <c r="I261" s="173">
        <v>5312</v>
      </c>
      <c r="J261" s="173" t="s">
        <v>130</v>
      </c>
      <c r="K261" s="173">
        <v>1699</v>
      </c>
      <c r="L261" s="173" t="s">
        <v>151</v>
      </c>
      <c r="M261" s="173">
        <v>2016</v>
      </c>
      <c r="N261" s="173">
        <v>2016</v>
      </c>
      <c r="O261" s="173" t="s">
        <v>24</v>
      </c>
      <c r="P261" s="173">
        <v>1143</v>
      </c>
      <c r="Q261" s="173" t="s">
        <v>131</v>
      </c>
      <c r="R261" s="173" t="s">
        <v>132</v>
      </c>
    </row>
    <row r="262" spans="5:18" ht="13.5" customHeight="1" x14ac:dyDescent="0.35">
      <c r="E262" s="173" t="s">
        <v>128</v>
      </c>
      <c r="F262" s="173" t="s">
        <v>129</v>
      </c>
      <c r="G262" s="173">
        <v>384</v>
      </c>
      <c r="H262" s="173" t="s">
        <v>164</v>
      </c>
      <c r="I262" s="173">
        <v>5312</v>
      </c>
      <c r="J262" s="173" t="s">
        <v>130</v>
      </c>
      <c r="K262" s="173">
        <v>1699</v>
      </c>
      <c r="L262" s="173" t="s">
        <v>151</v>
      </c>
      <c r="M262" s="173">
        <v>2017</v>
      </c>
      <c r="N262" s="173">
        <v>2017</v>
      </c>
      <c r="O262" s="173" t="s">
        <v>24</v>
      </c>
      <c r="P262" s="173">
        <v>1142</v>
      </c>
      <c r="Q262" s="173" t="s">
        <v>131</v>
      </c>
      <c r="R262" s="173" t="s">
        <v>132</v>
      </c>
    </row>
    <row r="263" spans="5:18" ht="13.5" customHeight="1" x14ac:dyDescent="0.35">
      <c r="E263" s="173" t="s">
        <v>128</v>
      </c>
      <c r="F263" s="173" t="s">
        <v>129</v>
      </c>
      <c r="G263" s="173">
        <v>384</v>
      </c>
      <c r="H263" s="173" t="s">
        <v>164</v>
      </c>
      <c r="I263" s="173">
        <v>5312</v>
      </c>
      <c r="J263" s="173" t="s">
        <v>130</v>
      </c>
      <c r="K263" s="173">
        <v>1699</v>
      </c>
      <c r="L263" s="173" t="s">
        <v>151</v>
      </c>
      <c r="M263" s="173">
        <v>2018</v>
      </c>
      <c r="N263" s="173">
        <v>2018</v>
      </c>
      <c r="O263" s="173" t="s">
        <v>24</v>
      </c>
      <c r="P263" s="173">
        <v>1135</v>
      </c>
      <c r="Q263" s="173" t="s">
        <v>131</v>
      </c>
      <c r="R263" s="173" t="s">
        <v>132</v>
      </c>
    </row>
    <row r="264" spans="5:18" ht="13.5" customHeight="1" x14ac:dyDescent="0.35">
      <c r="E264" s="173" t="s">
        <v>128</v>
      </c>
      <c r="F264" s="173" t="s">
        <v>129</v>
      </c>
      <c r="G264" s="173">
        <v>384</v>
      </c>
      <c r="H264" s="173" t="s">
        <v>164</v>
      </c>
      <c r="I264" s="173">
        <v>5312</v>
      </c>
      <c r="J264" s="173" t="s">
        <v>130</v>
      </c>
      <c r="K264" s="173">
        <v>1699</v>
      </c>
      <c r="L264" s="173" t="s">
        <v>151</v>
      </c>
      <c r="M264" s="173">
        <v>2019</v>
      </c>
      <c r="N264" s="173">
        <v>2019</v>
      </c>
      <c r="O264" s="173" t="s">
        <v>24</v>
      </c>
      <c r="P264" s="173">
        <v>1128</v>
      </c>
      <c r="Q264" s="173" t="s">
        <v>131</v>
      </c>
      <c r="R264" s="173" t="s">
        <v>132</v>
      </c>
    </row>
    <row r="265" spans="5:18" ht="13.5" customHeight="1" x14ac:dyDescent="0.35">
      <c r="E265" s="173" t="s">
        <v>128</v>
      </c>
      <c r="F265" s="173" t="s">
        <v>129</v>
      </c>
      <c r="G265" s="173">
        <v>384</v>
      </c>
      <c r="H265" s="173" t="s">
        <v>164</v>
      </c>
      <c r="I265" s="173">
        <v>5312</v>
      </c>
      <c r="J265" s="173" t="s">
        <v>130</v>
      </c>
      <c r="K265" s="173">
        <v>1699</v>
      </c>
      <c r="L265" s="173" t="s">
        <v>151</v>
      </c>
      <c r="M265" s="173">
        <v>2020</v>
      </c>
      <c r="N265" s="173">
        <v>2020</v>
      </c>
      <c r="O265" s="173" t="s">
        <v>24</v>
      </c>
      <c r="P265" s="173">
        <v>1126</v>
      </c>
      <c r="Q265" s="173" t="s">
        <v>131</v>
      </c>
      <c r="R265" s="173" t="s">
        <v>132</v>
      </c>
    </row>
    <row r="266" spans="5:18" ht="13.5" customHeight="1" x14ac:dyDescent="0.35">
      <c r="E266" s="173" t="s">
        <v>128</v>
      </c>
      <c r="F266" s="173" t="s">
        <v>129</v>
      </c>
      <c r="G266" s="173">
        <v>384</v>
      </c>
      <c r="H266" s="173" t="s">
        <v>164</v>
      </c>
      <c r="I266" s="173">
        <v>5312</v>
      </c>
      <c r="J266" s="173" t="s">
        <v>130</v>
      </c>
      <c r="K266" s="173">
        <v>1699</v>
      </c>
      <c r="L266" s="173" t="s">
        <v>151</v>
      </c>
      <c r="M266" s="173">
        <v>2021</v>
      </c>
      <c r="N266" s="173">
        <v>2021</v>
      </c>
      <c r="O266" s="173" t="s">
        <v>24</v>
      </c>
      <c r="P266" s="173">
        <v>1125</v>
      </c>
      <c r="Q266" s="173" t="s">
        <v>131</v>
      </c>
      <c r="R266" s="173" t="s">
        <v>132</v>
      </c>
    </row>
    <row r="267" spans="5:18" ht="13.5" customHeight="1" x14ac:dyDescent="0.35">
      <c r="E267" s="173" t="s">
        <v>128</v>
      </c>
      <c r="F267" s="173" t="s">
        <v>129</v>
      </c>
      <c r="G267" s="173">
        <v>384</v>
      </c>
      <c r="H267" s="173" t="s">
        <v>164</v>
      </c>
      <c r="I267" s="173">
        <v>5312</v>
      </c>
      <c r="J267" s="173" t="s">
        <v>130</v>
      </c>
      <c r="K267" s="173">
        <v>1319</v>
      </c>
      <c r="L267" s="173" t="s">
        <v>152</v>
      </c>
      <c r="M267" s="173">
        <v>2015</v>
      </c>
      <c r="N267" s="173">
        <v>2015</v>
      </c>
      <c r="O267" s="173" t="s">
        <v>24</v>
      </c>
      <c r="P267" s="173">
        <v>38774</v>
      </c>
      <c r="Q267" s="173" t="s">
        <v>131</v>
      </c>
      <c r="R267" s="173" t="s">
        <v>132</v>
      </c>
    </row>
    <row r="268" spans="5:18" ht="13.5" customHeight="1" x14ac:dyDescent="0.35">
      <c r="E268" s="173" t="s">
        <v>128</v>
      </c>
      <c r="F268" s="173" t="s">
        <v>129</v>
      </c>
      <c r="G268" s="173">
        <v>384</v>
      </c>
      <c r="H268" s="173" t="s">
        <v>164</v>
      </c>
      <c r="I268" s="173">
        <v>5312</v>
      </c>
      <c r="J268" s="173" t="s">
        <v>130</v>
      </c>
      <c r="K268" s="173">
        <v>1319</v>
      </c>
      <c r="L268" s="173" t="s">
        <v>152</v>
      </c>
      <c r="M268" s="173">
        <v>2016</v>
      </c>
      <c r="N268" s="173">
        <v>2016</v>
      </c>
      <c r="O268" s="173" t="s">
        <v>24</v>
      </c>
      <c r="P268" s="173">
        <v>39368</v>
      </c>
      <c r="Q268" s="173" t="s">
        <v>131</v>
      </c>
      <c r="R268" s="173" t="s">
        <v>132</v>
      </c>
    </row>
    <row r="269" spans="5:18" ht="13.5" customHeight="1" x14ac:dyDescent="0.35">
      <c r="E269" s="173" t="s">
        <v>128</v>
      </c>
      <c r="F269" s="173" t="s">
        <v>129</v>
      </c>
      <c r="G269" s="173">
        <v>384</v>
      </c>
      <c r="H269" s="173" t="s">
        <v>164</v>
      </c>
      <c r="I269" s="173">
        <v>5312</v>
      </c>
      <c r="J269" s="173" t="s">
        <v>130</v>
      </c>
      <c r="K269" s="173">
        <v>1319</v>
      </c>
      <c r="L269" s="173" t="s">
        <v>152</v>
      </c>
      <c r="M269" s="173">
        <v>2017</v>
      </c>
      <c r="N269" s="173">
        <v>2017</v>
      </c>
      <c r="O269" s="173" t="s">
        <v>24</v>
      </c>
      <c r="P269" s="173">
        <v>39951</v>
      </c>
      <c r="Q269" s="173" t="s">
        <v>131</v>
      </c>
      <c r="R269" s="173" t="s">
        <v>132</v>
      </c>
    </row>
    <row r="270" spans="5:18" ht="13.5" customHeight="1" x14ac:dyDescent="0.35">
      <c r="E270" s="173" t="s">
        <v>128</v>
      </c>
      <c r="F270" s="173" t="s">
        <v>129</v>
      </c>
      <c r="G270" s="173">
        <v>384</v>
      </c>
      <c r="H270" s="173" t="s">
        <v>164</v>
      </c>
      <c r="I270" s="173">
        <v>5312</v>
      </c>
      <c r="J270" s="173" t="s">
        <v>130</v>
      </c>
      <c r="K270" s="173">
        <v>1319</v>
      </c>
      <c r="L270" s="173" t="s">
        <v>152</v>
      </c>
      <c r="M270" s="173">
        <v>2018</v>
      </c>
      <c r="N270" s="173">
        <v>2018</v>
      </c>
      <c r="O270" s="173" t="s">
        <v>24</v>
      </c>
      <c r="P270" s="173">
        <v>40559</v>
      </c>
      <c r="Q270" s="173" t="s">
        <v>131</v>
      </c>
      <c r="R270" s="173" t="s">
        <v>132</v>
      </c>
    </row>
    <row r="271" spans="5:18" ht="13.5" customHeight="1" x14ac:dyDescent="0.35">
      <c r="E271" s="173" t="s">
        <v>128</v>
      </c>
      <c r="F271" s="173" t="s">
        <v>129</v>
      </c>
      <c r="G271" s="173">
        <v>384</v>
      </c>
      <c r="H271" s="173" t="s">
        <v>164</v>
      </c>
      <c r="I271" s="173">
        <v>5312</v>
      </c>
      <c r="J271" s="173" t="s">
        <v>130</v>
      </c>
      <c r="K271" s="173">
        <v>1319</v>
      </c>
      <c r="L271" s="173" t="s">
        <v>152</v>
      </c>
      <c r="M271" s="173">
        <v>2019</v>
      </c>
      <c r="N271" s="173">
        <v>2019</v>
      </c>
      <c r="O271" s="173" t="s">
        <v>24</v>
      </c>
      <c r="P271" s="173">
        <v>39960</v>
      </c>
      <c r="Q271" s="173" t="s">
        <v>109</v>
      </c>
      <c r="R271" s="173" t="s">
        <v>110</v>
      </c>
    </row>
    <row r="272" spans="5:18" ht="13.5" customHeight="1" x14ac:dyDescent="0.35">
      <c r="E272" s="173" t="s">
        <v>128</v>
      </c>
      <c r="F272" s="173" t="s">
        <v>129</v>
      </c>
      <c r="G272" s="173">
        <v>384</v>
      </c>
      <c r="H272" s="173" t="s">
        <v>164</v>
      </c>
      <c r="I272" s="173">
        <v>5312</v>
      </c>
      <c r="J272" s="173" t="s">
        <v>130</v>
      </c>
      <c r="K272" s="173">
        <v>1319</v>
      </c>
      <c r="L272" s="173" t="s">
        <v>152</v>
      </c>
      <c r="M272" s="173">
        <v>2020</v>
      </c>
      <c r="N272" s="173">
        <v>2020</v>
      </c>
      <c r="O272" s="173" t="s">
        <v>24</v>
      </c>
      <c r="P272" s="173">
        <v>40157</v>
      </c>
      <c r="Q272" s="173" t="s">
        <v>109</v>
      </c>
      <c r="R272" s="173" t="s">
        <v>110</v>
      </c>
    </row>
    <row r="273" spans="5:18" ht="13.5" customHeight="1" x14ac:dyDescent="0.35">
      <c r="E273" s="173" t="s">
        <v>128</v>
      </c>
      <c r="F273" s="173" t="s">
        <v>129</v>
      </c>
      <c r="G273" s="173">
        <v>384</v>
      </c>
      <c r="H273" s="173" t="s">
        <v>164</v>
      </c>
      <c r="I273" s="173">
        <v>5312</v>
      </c>
      <c r="J273" s="173" t="s">
        <v>130</v>
      </c>
      <c r="K273" s="173">
        <v>1319</v>
      </c>
      <c r="L273" s="173" t="s">
        <v>152</v>
      </c>
      <c r="M273" s="173">
        <v>2021</v>
      </c>
      <c r="N273" s="173">
        <v>2021</v>
      </c>
      <c r="O273" s="173" t="s">
        <v>24</v>
      </c>
      <c r="P273" s="173">
        <v>40225</v>
      </c>
      <c r="Q273" s="173" t="s">
        <v>109</v>
      </c>
      <c r="R273" s="173" t="s">
        <v>110</v>
      </c>
    </row>
    <row r="274" spans="5:18" ht="13.5" customHeight="1" x14ac:dyDescent="0.35">
      <c r="E274" s="173" t="s">
        <v>128</v>
      </c>
      <c r="F274" s="173" t="s">
        <v>129</v>
      </c>
      <c r="G274" s="173">
        <v>384</v>
      </c>
      <c r="H274" s="173" t="s">
        <v>164</v>
      </c>
      <c r="I274" s="173">
        <v>5312</v>
      </c>
      <c r="J274" s="173" t="s">
        <v>130</v>
      </c>
      <c r="K274" s="173" t="s">
        <v>193</v>
      </c>
      <c r="L274" s="173" t="s">
        <v>120</v>
      </c>
      <c r="M274" s="173">
        <v>2015</v>
      </c>
      <c r="N274" s="173">
        <v>2015</v>
      </c>
      <c r="O274" s="173" t="s">
        <v>24</v>
      </c>
      <c r="P274" s="173">
        <v>17536</v>
      </c>
      <c r="Q274" s="173" t="s">
        <v>131</v>
      </c>
      <c r="R274" s="173" t="s">
        <v>132</v>
      </c>
    </row>
    <row r="275" spans="5:18" ht="13.5" customHeight="1" x14ac:dyDescent="0.35">
      <c r="E275" s="173" t="s">
        <v>128</v>
      </c>
      <c r="F275" s="173" t="s">
        <v>129</v>
      </c>
      <c r="G275" s="173">
        <v>384</v>
      </c>
      <c r="H275" s="173" t="s">
        <v>164</v>
      </c>
      <c r="I275" s="173">
        <v>5312</v>
      </c>
      <c r="J275" s="173" t="s">
        <v>130</v>
      </c>
      <c r="K275" s="173" t="s">
        <v>193</v>
      </c>
      <c r="L275" s="173" t="s">
        <v>120</v>
      </c>
      <c r="M275" s="173">
        <v>2016</v>
      </c>
      <c r="N275" s="173">
        <v>2016</v>
      </c>
      <c r="O275" s="173" t="s">
        <v>24</v>
      </c>
      <c r="P275" s="173">
        <v>17882</v>
      </c>
      <c r="Q275" s="173" t="s">
        <v>131</v>
      </c>
      <c r="R275" s="173" t="s">
        <v>132</v>
      </c>
    </row>
    <row r="276" spans="5:18" ht="13.5" customHeight="1" x14ac:dyDescent="0.35">
      <c r="E276" s="173" t="s">
        <v>128</v>
      </c>
      <c r="F276" s="173" t="s">
        <v>129</v>
      </c>
      <c r="G276" s="173">
        <v>384</v>
      </c>
      <c r="H276" s="173" t="s">
        <v>164</v>
      </c>
      <c r="I276" s="173">
        <v>5312</v>
      </c>
      <c r="J276" s="173" t="s">
        <v>130</v>
      </c>
      <c r="K276" s="173" t="s">
        <v>193</v>
      </c>
      <c r="L276" s="173" t="s">
        <v>120</v>
      </c>
      <c r="M276" s="173">
        <v>2017</v>
      </c>
      <c r="N276" s="173">
        <v>2017</v>
      </c>
      <c r="O276" s="173" t="s">
        <v>24</v>
      </c>
      <c r="P276" s="173">
        <v>18163</v>
      </c>
      <c r="Q276" s="173" t="s">
        <v>131</v>
      </c>
      <c r="R276" s="173" t="s">
        <v>132</v>
      </c>
    </row>
    <row r="277" spans="5:18" ht="13.5" customHeight="1" x14ac:dyDescent="0.35">
      <c r="E277" s="173" t="s">
        <v>128</v>
      </c>
      <c r="F277" s="173" t="s">
        <v>129</v>
      </c>
      <c r="G277" s="173">
        <v>384</v>
      </c>
      <c r="H277" s="173" t="s">
        <v>164</v>
      </c>
      <c r="I277" s="173">
        <v>5312</v>
      </c>
      <c r="J277" s="173" t="s">
        <v>130</v>
      </c>
      <c r="K277" s="173" t="s">
        <v>193</v>
      </c>
      <c r="L277" s="173" t="s">
        <v>120</v>
      </c>
      <c r="M277" s="173">
        <v>2018</v>
      </c>
      <c r="N277" s="173">
        <v>2018</v>
      </c>
      <c r="O277" s="173" t="s">
        <v>24</v>
      </c>
      <c r="P277" s="173">
        <v>18219</v>
      </c>
      <c r="Q277" s="173" t="s">
        <v>131</v>
      </c>
      <c r="R277" s="173" t="s">
        <v>132</v>
      </c>
    </row>
    <row r="278" spans="5:18" ht="13.5" customHeight="1" x14ac:dyDescent="0.35">
      <c r="E278" s="173" t="s">
        <v>128</v>
      </c>
      <c r="F278" s="173" t="s">
        <v>129</v>
      </c>
      <c r="G278" s="173">
        <v>384</v>
      </c>
      <c r="H278" s="173" t="s">
        <v>164</v>
      </c>
      <c r="I278" s="173">
        <v>5312</v>
      </c>
      <c r="J278" s="173" t="s">
        <v>130</v>
      </c>
      <c r="K278" s="173" t="s">
        <v>193</v>
      </c>
      <c r="L278" s="173" t="s">
        <v>120</v>
      </c>
      <c r="M278" s="173">
        <v>2019</v>
      </c>
      <c r="N278" s="173">
        <v>2019</v>
      </c>
      <c r="O278" s="173" t="s">
        <v>24</v>
      </c>
      <c r="P278" s="173">
        <v>18088</v>
      </c>
      <c r="Q278" s="173" t="s">
        <v>109</v>
      </c>
      <c r="R278" s="173" t="s">
        <v>110</v>
      </c>
    </row>
    <row r="279" spans="5:18" ht="13.5" customHeight="1" x14ac:dyDescent="0.35">
      <c r="E279" s="173" t="s">
        <v>128</v>
      </c>
      <c r="F279" s="173" t="s">
        <v>129</v>
      </c>
      <c r="G279" s="173">
        <v>384</v>
      </c>
      <c r="H279" s="173" t="s">
        <v>164</v>
      </c>
      <c r="I279" s="173">
        <v>5312</v>
      </c>
      <c r="J279" s="173" t="s">
        <v>130</v>
      </c>
      <c r="K279" s="173" t="s">
        <v>193</v>
      </c>
      <c r="L279" s="173" t="s">
        <v>120</v>
      </c>
      <c r="M279" s="173">
        <v>2020</v>
      </c>
      <c r="N279" s="173">
        <v>2020</v>
      </c>
      <c r="O279" s="173" t="s">
        <v>24</v>
      </c>
      <c r="P279" s="173">
        <v>18157</v>
      </c>
      <c r="Q279" s="173" t="s">
        <v>109</v>
      </c>
      <c r="R279" s="173" t="s">
        <v>110</v>
      </c>
    </row>
    <row r="280" spans="5:18" ht="13.5" customHeight="1" x14ac:dyDescent="0.35">
      <c r="E280" s="173" t="s">
        <v>128</v>
      </c>
      <c r="F280" s="173" t="s">
        <v>129</v>
      </c>
      <c r="G280" s="173">
        <v>384</v>
      </c>
      <c r="H280" s="173" t="s">
        <v>164</v>
      </c>
      <c r="I280" s="173">
        <v>5312</v>
      </c>
      <c r="J280" s="173" t="s">
        <v>130</v>
      </c>
      <c r="K280" s="173" t="s">
        <v>193</v>
      </c>
      <c r="L280" s="173" t="s">
        <v>120</v>
      </c>
      <c r="M280" s="173">
        <v>2021</v>
      </c>
      <c r="N280" s="173">
        <v>2021</v>
      </c>
      <c r="O280" s="173" t="s">
        <v>24</v>
      </c>
      <c r="P280" s="173">
        <v>18155</v>
      </c>
      <c r="Q280" s="173" t="s">
        <v>109</v>
      </c>
      <c r="R280" s="173" t="s">
        <v>110</v>
      </c>
    </row>
    <row r="281" spans="5:18" ht="13.5" customHeight="1" x14ac:dyDescent="0.35">
      <c r="E281" s="173" t="s">
        <v>128</v>
      </c>
      <c r="F281" s="173" t="s">
        <v>129</v>
      </c>
      <c r="G281" s="173">
        <v>384</v>
      </c>
      <c r="H281" s="173" t="s">
        <v>164</v>
      </c>
      <c r="I281" s="173">
        <v>5312</v>
      </c>
      <c r="J281" s="173" t="s">
        <v>130</v>
      </c>
      <c r="K281" s="173">
        <v>1317</v>
      </c>
      <c r="L281" s="173" t="s">
        <v>153</v>
      </c>
      <c r="M281" s="173">
        <v>2015</v>
      </c>
      <c r="N281" s="173">
        <v>2015</v>
      </c>
      <c r="O281" s="173" t="s">
        <v>24</v>
      </c>
      <c r="P281" s="173">
        <v>5942</v>
      </c>
      <c r="Q281" s="173" t="s">
        <v>131</v>
      </c>
      <c r="R281" s="173" t="s">
        <v>132</v>
      </c>
    </row>
    <row r="282" spans="5:18" ht="13.5" customHeight="1" x14ac:dyDescent="0.35">
      <c r="E282" s="173" t="s">
        <v>128</v>
      </c>
      <c r="F282" s="173" t="s">
        <v>129</v>
      </c>
      <c r="G282" s="173">
        <v>384</v>
      </c>
      <c r="H282" s="173" t="s">
        <v>164</v>
      </c>
      <c r="I282" s="173">
        <v>5312</v>
      </c>
      <c r="J282" s="173" t="s">
        <v>130</v>
      </c>
      <c r="K282" s="173">
        <v>1317</v>
      </c>
      <c r="L282" s="173" t="s">
        <v>153</v>
      </c>
      <c r="M282" s="173">
        <v>2016</v>
      </c>
      <c r="N282" s="173">
        <v>2016</v>
      </c>
      <c r="O282" s="173" t="s">
        <v>24</v>
      </c>
      <c r="P282" s="173">
        <v>5549</v>
      </c>
      <c r="Q282" s="173" t="s">
        <v>109</v>
      </c>
      <c r="R282" s="173" t="s">
        <v>110</v>
      </c>
    </row>
    <row r="283" spans="5:18" ht="13.5" customHeight="1" x14ac:dyDescent="0.35">
      <c r="E283" s="173" t="s">
        <v>128</v>
      </c>
      <c r="F283" s="173" t="s">
        <v>129</v>
      </c>
      <c r="G283" s="173">
        <v>384</v>
      </c>
      <c r="H283" s="173" t="s">
        <v>164</v>
      </c>
      <c r="I283" s="173">
        <v>5312</v>
      </c>
      <c r="J283" s="173" t="s">
        <v>130</v>
      </c>
      <c r="K283" s="173">
        <v>1317</v>
      </c>
      <c r="L283" s="173" t="s">
        <v>153</v>
      </c>
      <c r="M283" s="173">
        <v>2017</v>
      </c>
      <c r="N283" s="173">
        <v>2017</v>
      </c>
      <c r="O283" s="173" t="s">
        <v>24</v>
      </c>
      <c r="P283" s="173">
        <v>5737</v>
      </c>
      <c r="Q283" s="173" t="s">
        <v>131</v>
      </c>
      <c r="R283" s="173" t="s">
        <v>132</v>
      </c>
    </row>
    <row r="284" spans="5:18" ht="13.5" customHeight="1" x14ac:dyDescent="0.35">
      <c r="E284" s="173" t="s">
        <v>128</v>
      </c>
      <c r="F284" s="173" t="s">
        <v>129</v>
      </c>
      <c r="G284" s="173">
        <v>384</v>
      </c>
      <c r="H284" s="173" t="s">
        <v>164</v>
      </c>
      <c r="I284" s="173">
        <v>5312</v>
      </c>
      <c r="J284" s="173" t="s">
        <v>130</v>
      </c>
      <c r="K284" s="173">
        <v>1317</v>
      </c>
      <c r="L284" s="173" t="s">
        <v>153</v>
      </c>
      <c r="M284" s="173">
        <v>2018</v>
      </c>
      <c r="N284" s="173">
        <v>2018</v>
      </c>
      <c r="O284" s="173" t="s">
        <v>24</v>
      </c>
      <c r="P284" s="173">
        <v>5742</v>
      </c>
      <c r="Q284" s="173" t="s">
        <v>109</v>
      </c>
      <c r="R284" s="173" t="s">
        <v>110</v>
      </c>
    </row>
    <row r="285" spans="5:18" ht="13.5" customHeight="1" x14ac:dyDescent="0.35">
      <c r="E285" s="173" t="s">
        <v>128</v>
      </c>
      <c r="F285" s="173" t="s">
        <v>129</v>
      </c>
      <c r="G285" s="173">
        <v>384</v>
      </c>
      <c r="H285" s="173" t="s">
        <v>164</v>
      </c>
      <c r="I285" s="173">
        <v>5312</v>
      </c>
      <c r="J285" s="173" t="s">
        <v>130</v>
      </c>
      <c r="K285" s="173">
        <v>1317</v>
      </c>
      <c r="L285" s="173" t="s">
        <v>153</v>
      </c>
      <c r="M285" s="173">
        <v>2019</v>
      </c>
      <c r="N285" s="173">
        <v>2019</v>
      </c>
      <c r="O285" s="173" t="s">
        <v>24</v>
      </c>
      <c r="P285" s="173">
        <v>5676</v>
      </c>
      <c r="Q285" s="173" t="s">
        <v>109</v>
      </c>
      <c r="R285" s="173" t="s">
        <v>110</v>
      </c>
    </row>
    <row r="286" spans="5:18" ht="13.5" customHeight="1" x14ac:dyDescent="0.35">
      <c r="E286" s="173" t="s">
        <v>128</v>
      </c>
      <c r="F286" s="173" t="s">
        <v>129</v>
      </c>
      <c r="G286" s="173">
        <v>384</v>
      </c>
      <c r="H286" s="173" t="s">
        <v>164</v>
      </c>
      <c r="I286" s="173">
        <v>5312</v>
      </c>
      <c r="J286" s="173" t="s">
        <v>130</v>
      </c>
      <c r="K286" s="173">
        <v>1317</v>
      </c>
      <c r="L286" s="173" t="s">
        <v>153</v>
      </c>
      <c r="M286" s="173">
        <v>2020</v>
      </c>
      <c r="N286" s="173">
        <v>2020</v>
      </c>
      <c r="O286" s="173" t="s">
        <v>24</v>
      </c>
      <c r="P286" s="173">
        <v>5718</v>
      </c>
      <c r="Q286" s="173" t="s">
        <v>109</v>
      </c>
      <c r="R286" s="173" t="s">
        <v>110</v>
      </c>
    </row>
    <row r="287" spans="5:18" ht="13.5" customHeight="1" x14ac:dyDescent="0.35">
      <c r="E287" s="173" t="s">
        <v>128</v>
      </c>
      <c r="F287" s="173" t="s">
        <v>129</v>
      </c>
      <c r="G287" s="173">
        <v>384</v>
      </c>
      <c r="H287" s="173" t="s">
        <v>164</v>
      </c>
      <c r="I287" s="173">
        <v>5312</v>
      </c>
      <c r="J287" s="173" t="s">
        <v>130</v>
      </c>
      <c r="K287" s="173">
        <v>1317</v>
      </c>
      <c r="L287" s="173" t="s">
        <v>153</v>
      </c>
      <c r="M287" s="173">
        <v>2021</v>
      </c>
      <c r="N287" s="173">
        <v>2021</v>
      </c>
      <c r="O287" s="173" t="s">
        <v>24</v>
      </c>
      <c r="P287" s="173">
        <v>5712</v>
      </c>
      <c r="Q287" s="173" t="s">
        <v>109</v>
      </c>
      <c r="R287" s="173" t="s">
        <v>110</v>
      </c>
    </row>
    <row r="288" spans="5:18" ht="13.5" customHeight="1" x14ac:dyDescent="0.35">
      <c r="E288" s="173" t="s">
        <v>128</v>
      </c>
      <c r="F288" s="173" t="s">
        <v>129</v>
      </c>
      <c r="G288" s="173">
        <v>384</v>
      </c>
      <c r="H288" s="173" t="s">
        <v>164</v>
      </c>
      <c r="I288" s="173">
        <v>5312</v>
      </c>
      <c r="J288" s="173" t="s">
        <v>130</v>
      </c>
      <c r="K288" s="173">
        <v>1651</v>
      </c>
      <c r="L288" s="173" t="s">
        <v>154</v>
      </c>
      <c r="M288" s="173">
        <v>2015</v>
      </c>
      <c r="N288" s="173">
        <v>2015</v>
      </c>
      <c r="O288" s="173" t="s">
        <v>24</v>
      </c>
      <c r="P288" s="173">
        <v>426</v>
      </c>
      <c r="Q288" s="173" t="s">
        <v>131</v>
      </c>
      <c r="R288" s="173" t="s">
        <v>132</v>
      </c>
    </row>
    <row r="289" spans="5:18" ht="13.5" customHeight="1" x14ac:dyDescent="0.35">
      <c r="E289" s="173" t="s">
        <v>128</v>
      </c>
      <c r="F289" s="173" t="s">
        <v>129</v>
      </c>
      <c r="G289" s="173">
        <v>384</v>
      </c>
      <c r="H289" s="173" t="s">
        <v>164</v>
      </c>
      <c r="I289" s="173">
        <v>5312</v>
      </c>
      <c r="J289" s="173" t="s">
        <v>130</v>
      </c>
      <c r="K289" s="173">
        <v>1651</v>
      </c>
      <c r="L289" s="173" t="s">
        <v>154</v>
      </c>
      <c r="M289" s="173">
        <v>2016</v>
      </c>
      <c r="N289" s="173">
        <v>2016</v>
      </c>
      <c r="O289" s="173" t="s">
        <v>24</v>
      </c>
      <c r="P289" s="173">
        <v>385</v>
      </c>
      <c r="Q289" s="173" t="s">
        <v>109</v>
      </c>
      <c r="R289" s="173" t="s">
        <v>110</v>
      </c>
    </row>
    <row r="290" spans="5:18" ht="13.5" customHeight="1" x14ac:dyDescent="0.35">
      <c r="E290" s="173" t="s">
        <v>128</v>
      </c>
      <c r="F290" s="173" t="s">
        <v>129</v>
      </c>
      <c r="G290" s="173">
        <v>384</v>
      </c>
      <c r="H290" s="173" t="s">
        <v>164</v>
      </c>
      <c r="I290" s="173">
        <v>5312</v>
      </c>
      <c r="J290" s="173" t="s">
        <v>130</v>
      </c>
      <c r="K290" s="173">
        <v>1651</v>
      </c>
      <c r="L290" s="173" t="s">
        <v>154</v>
      </c>
      <c r="M290" s="173">
        <v>2017</v>
      </c>
      <c r="N290" s="173">
        <v>2017</v>
      </c>
      <c r="O290" s="173" t="s">
        <v>24</v>
      </c>
      <c r="P290" s="173">
        <v>415</v>
      </c>
      <c r="Q290" s="173" t="s">
        <v>109</v>
      </c>
      <c r="R290" s="173" t="s">
        <v>110</v>
      </c>
    </row>
    <row r="291" spans="5:18" ht="13.5" customHeight="1" x14ac:dyDescent="0.35">
      <c r="E291" s="173" t="s">
        <v>128</v>
      </c>
      <c r="F291" s="173" t="s">
        <v>129</v>
      </c>
      <c r="G291" s="173">
        <v>384</v>
      </c>
      <c r="H291" s="173" t="s">
        <v>164</v>
      </c>
      <c r="I291" s="173">
        <v>5312</v>
      </c>
      <c r="J291" s="173" t="s">
        <v>130</v>
      </c>
      <c r="K291" s="173">
        <v>1651</v>
      </c>
      <c r="L291" s="173" t="s">
        <v>154</v>
      </c>
      <c r="M291" s="173">
        <v>2018</v>
      </c>
      <c r="N291" s="173">
        <v>2018</v>
      </c>
      <c r="O291" s="173" t="s">
        <v>24</v>
      </c>
      <c r="P291" s="173">
        <v>311</v>
      </c>
      <c r="Q291" s="173" t="s">
        <v>131</v>
      </c>
      <c r="R291" s="173" t="s">
        <v>132</v>
      </c>
    </row>
    <row r="292" spans="5:18" ht="13.5" customHeight="1" x14ac:dyDescent="0.35">
      <c r="E292" s="173" t="s">
        <v>128</v>
      </c>
      <c r="F292" s="173" t="s">
        <v>129</v>
      </c>
      <c r="G292" s="173">
        <v>384</v>
      </c>
      <c r="H292" s="173" t="s">
        <v>164</v>
      </c>
      <c r="I292" s="173">
        <v>5312</v>
      </c>
      <c r="J292" s="173" t="s">
        <v>130</v>
      </c>
      <c r="K292" s="173">
        <v>1651</v>
      </c>
      <c r="L292" s="173" t="s">
        <v>154</v>
      </c>
      <c r="M292" s="173">
        <v>2019</v>
      </c>
      <c r="N292" s="173">
        <v>2019</v>
      </c>
      <c r="O292" s="173" t="s">
        <v>24</v>
      </c>
      <c r="P292" s="173">
        <v>163</v>
      </c>
      <c r="Q292" s="173" t="s">
        <v>131</v>
      </c>
      <c r="R292" s="173" t="s">
        <v>132</v>
      </c>
    </row>
    <row r="293" spans="5:18" ht="13.5" customHeight="1" x14ac:dyDescent="0.35">
      <c r="E293" s="173" t="s">
        <v>128</v>
      </c>
      <c r="F293" s="173" t="s">
        <v>129</v>
      </c>
      <c r="G293" s="173">
        <v>384</v>
      </c>
      <c r="H293" s="173" t="s">
        <v>164</v>
      </c>
      <c r="I293" s="173">
        <v>5312</v>
      </c>
      <c r="J293" s="173" t="s">
        <v>130</v>
      </c>
      <c r="K293" s="173">
        <v>1651</v>
      </c>
      <c r="L293" s="173" t="s">
        <v>154</v>
      </c>
      <c r="M293" s="173">
        <v>2020</v>
      </c>
      <c r="N293" s="173">
        <v>2020</v>
      </c>
      <c r="O293" s="173" t="s">
        <v>24</v>
      </c>
      <c r="P293" s="173">
        <v>112</v>
      </c>
      <c r="Q293" s="173" t="s">
        <v>131</v>
      </c>
      <c r="R293" s="173" t="s">
        <v>132</v>
      </c>
    </row>
    <row r="294" spans="5:18" ht="13.5" customHeight="1" x14ac:dyDescent="0.35">
      <c r="E294" s="173" t="s">
        <v>128</v>
      </c>
      <c r="F294" s="173" t="s">
        <v>129</v>
      </c>
      <c r="G294" s="173">
        <v>384</v>
      </c>
      <c r="H294" s="173" t="s">
        <v>164</v>
      </c>
      <c r="I294" s="173">
        <v>5312</v>
      </c>
      <c r="J294" s="173" t="s">
        <v>130</v>
      </c>
      <c r="K294" s="173">
        <v>1651</v>
      </c>
      <c r="L294" s="173" t="s">
        <v>154</v>
      </c>
      <c r="M294" s="173">
        <v>2021</v>
      </c>
      <c r="N294" s="173">
        <v>2021</v>
      </c>
      <c r="O294" s="173" t="s">
        <v>24</v>
      </c>
      <c r="P294" s="173">
        <v>92</v>
      </c>
      <c r="Q294" s="173" t="s">
        <v>131</v>
      </c>
      <c r="R294" s="173" t="s">
        <v>132</v>
      </c>
    </row>
    <row r="295" spans="5:18" ht="13.5" customHeight="1" x14ac:dyDescent="0.35">
      <c r="E295" s="173" t="s">
        <v>128</v>
      </c>
      <c r="F295" s="173" t="s">
        <v>129</v>
      </c>
      <c r="G295" s="173">
        <v>384</v>
      </c>
      <c r="H295" s="173" t="s">
        <v>164</v>
      </c>
      <c r="I295" s="173">
        <v>5312</v>
      </c>
      <c r="J295" s="173" t="s">
        <v>130</v>
      </c>
      <c r="K295" s="173">
        <v>1318</v>
      </c>
      <c r="L295" s="173" t="s">
        <v>155</v>
      </c>
      <c r="M295" s="173">
        <v>2015</v>
      </c>
      <c r="N295" s="173">
        <v>2015</v>
      </c>
      <c r="O295" s="173" t="s">
        <v>24</v>
      </c>
      <c r="P295" s="173">
        <v>887</v>
      </c>
      <c r="Q295" s="173" t="s">
        <v>131</v>
      </c>
      <c r="R295" s="173" t="s">
        <v>132</v>
      </c>
    </row>
    <row r="296" spans="5:18" ht="13.5" customHeight="1" x14ac:dyDescent="0.35">
      <c r="E296" s="173" t="s">
        <v>128</v>
      </c>
      <c r="F296" s="173" t="s">
        <v>129</v>
      </c>
      <c r="G296" s="173">
        <v>384</v>
      </c>
      <c r="H296" s="173" t="s">
        <v>164</v>
      </c>
      <c r="I296" s="173">
        <v>5312</v>
      </c>
      <c r="J296" s="173" t="s">
        <v>130</v>
      </c>
      <c r="K296" s="173">
        <v>1318</v>
      </c>
      <c r="L296" s="173" t="s">
        <v>155</v>
      </c>
      <c r="M296" s="173">
        <v>2016</v>
      </c>
      <c r="N296" s="173">
        <v>2016</v>
      </c>
      <c r="O296" s="173" t="s">
        <v>24</v>
      </c>
      <c r="P296" s="173">
        <v>672</v>
      </c>
      <c r="Q296" s="173" t="s">
        <v>131</v>
      </c>
      <c r="R296" s="173" t="s">
        <v>132</v>
      </c>
    </row>
    <row r="297" spans="5:18" ht="13.5" customHeight="1" x14ac:dyDescent="0.35">
      <c r="E297" s="173" t="s">
        <v>128</v>
      </c>
      <c r="F297" s="173" t="s">
        <v>129</v>
      </c>
      <c r="G297" s="173">
        <v>384</v>
      </c>
      <c r="H297" s="173" t="s">
        <v>164</v>
      </c>
      <c r="I297" s="173">
        <v>5312</v>
      </c>
      <c r="J297" s="173" t="s">
        <v>130</v>
      </c>
      <c r="K297" s="173">
        <v>1318</v>
      </c>
      <c r="L297" s="173" t="s">
        <v>155</v>
      </c>
      <c r="M297" s="173">
        <v>2017</v>
      </c>
      <c r="N297" s="173">
        <v>2017</v>
      </c>
      <c r="O297" s="173" t="s">
        <v>24</v>
      </c>
      <c r="P297" s="173">
        <v>826</v>
      </c>
      <c r="Q297" s="173" t="s">
        <v>131</v>
      </c>
      <c r="R297" s="173" t="s">
        <v>132</v>
      </c>
    </row>
    <row r="298" spans="5:18" ht="13.5" customHeight="1" x14ac:dyDescent="0.35">
      <c r="E298" s="173" t="s">
        <v>128</v>
      </c>
      <c r="F298" s="173" t="s">
        <v>129</v>
      </c>
      <c r="G298" s="173">
        <v>384</v>
      </c>
      <c r="H298" s="173" t="s">
        <v>164</v>
      </c>
      <c r="I298" s="173">
        <v>5312</v>
      </c>
      <c r="J298" s="173" t="s">
        <v>130</v>
      </c>
      <c r="K298" s="173">
        <v>1318</v>
      </c>
      <c r="L298" s="173" t="s">
        <v>155</v>
      </c>
      <c r="M298" s="173">
        <v>2018</v>
      </c>
      <c r="N298" s="173">
        <v>2018</v>
      </c>
      <c r="O298" s="173" t="s">
        <v>24</v>
      </c>
      <c r="P298" s="173">
        <v>541</v>
      </c>
      <c r="Q298" s="173" t="s">
        <v>131</v>
      </c>
      <c r="R298" s="173" t="s">
        <v>132</v>
      </c>
    </row>
    <row r="299" spans="5:18" ht="13.5" customHeight="1" x14ac:dyDescent="0.35">
      <c r="E299" s="173" t="s">
        <v>128</v>
      </c>
      <c r="F299" s="173" t="s">
        <v>129</v>
      </c>
      <c r="G299" s="173">
        <v>384</v>
      </c>
      <c r="H299" s="173" t="s">
        <v>164</v>
      </c>
      <c r="I299" s="173">
        <v>5312</v>
      </c>
      <c r="J299" s="173" t="s">
        <v>130</v>
      </c>
      <c r="K299" s="173">
        <v>1318</v>
      </c>
      <c r="L299" s="173" t="s">
        <v>155</v>
      </c>
      <c r="M299" s="173">
        <v>2019</v>
      </c>
      <c r="N299" s="173">
        <v>2019</v>
      </c>
      <c r="O299" s="173" t="s">
        <v>24</v>
      </c>
      <c r="P299" s="173">
        <v>798</v>
      </c>
      <c r="Q299" s="173" t="s">
        <v>131</v>
      </c>
      <c r="R299" s="173" t="s">
        <v>132</v>
      </c>
    </row>
    <row r="300" spans="5:18" ht="13.5" customHeight="1" x14ac:dyDescent="0.35">
      <c r="E300" s="173" t="s">
        <v>128</v>
      </c>
      <c r="F300" s="173" t="s">
        <v>129</v>
      </c>
      <c r="G300" s="173">
        <v>384</v>
      </c>
      <c r="H300" s="173" t="s">
        <v>164</v>
      </c>
      <c r="I300" s="173">
        <v>5312</v>
      </c>
      <c r="J300" s="173" t="s">
        <v>130</v>
      </c>
      <c r="K300" s="173">
        <v>1318</v>
      </c>
      <c r="L300" s="173" t="s">
        <v>155</v>
      </c>
      <c r="M300" s="173">
        <v>2020</v>
      </c>
      <c r="N300" s="173">
        <v>2020</v>
      </c>
      <c r="O300" s="173" t="s">
        <v>24</v>
      </c>
      <c r="P300" s="173">
        <v>479</v>
      </c>
      <c r="Q300" s="173" t="s">
        <v>131</v>
      </c>
      <c r="R300" s="173" t="s">
        <v>132</v>
      </c>
    </row>
    <row r="301" spans="5:18" ht="13.5" customHeight="1" x14ac:dyDescent="0.35">
      <c r="E301" s="173" t="s">
        <v>128</v>
      </c>
      <c r="F301" s="173" t="s">
        <v>129</v>
      </c>
      <c r="G301" s="173">
        <v>384</v>
      </c>
      <c r="H301" s="173" t="s">
        <v>164</v>
      </c>
      <c r="I301" s="173">
        <v>5312</v>
      </c>
      <c r="J301" s="173" t="s">
        <v>130</v>
      </c>
      <c r="K301" s="173">
        <v>1318</v>
      </c>
      <c r="L301" s="173" t="s">
        <v>155</v>
      </c>
      <c r="M301" s="173">
        <v>2021</v>
      </c>
      <c r="N301" s="173">
        <v>2021</v>
      </c>
      <c r="O301" s="173" t="s">
        <v>24</v>
      </c>
      <c r="P301" s="173">
        <v>375</v>
      </c>
      <c r="Q301" s="173" t="s">
        <v>131</v>
      </c>
      <c r="R301" s="173" t="s">
        <v>132</v>
      </c>
    </row>
    <row r="302" spans="5:18" ht="13.5" customHeight="1" x14ac:dyDescent="0.35">
      <c r="E302" s="173" t="s">
        <v>128</v>
      </c>
      <c r="F302" s="173" t="s">
        <v>129</v>
      </c>
      <c r="G302" s="173">
        <v>384</v>
      </c>
      <c r="H302" s="173" t="s">
        <v>164</v>
      </c>
      <c r="I302" s="173">
        <v>5312</v>
      </c>
      <c r="J302" s="173" t="s">
        <v>130</v>
      </c>
      <c r="K302" s="173">
        <v>1375</v>
      </c>
      <c r="L302" s="173" t="s">
        <v>194</v>
      </c>
      <c r="M302" s="173">
        <v>2015</v>
      </c>
      <c r="N302" s="173">
        <v>2015</v>
      </c>
      <c r="O302" s="173" t="s">
        <v>24</v>
      </c>
      <c r="P302" s="173">
        <v>0</v>
      </c>
      <c r="Q302" s="173" t="s">
        <v>137</v>
      </c>
      <c r="R302" s="173" t="s">
        <v>138</v>
      </c>
    </row>
    <row r="303" spans="5:18" ht="13.5" customHeight="1" x14ac:dyDescent="0.35">
      <c r="E303" s="173" t="s">
        <v>128</v>
      </c>
      <c r="F303" s="173" t="s">
        <v>129</v>
      </c>
      <c r="G303" s="173">
        <v>384</v>
      </c>
      <c r="H303" s="173" t="s">
        <v>164</v>
      </c>
      <c r="I303" s="173">
        <v>5312</v>
      </c>
      <c r="J303" s="173" t="s">
        <v>130</v>
      </c>
      <c r="K303" s="173">
        <v>1375</v>
      </c>
      <c r="L303" s="173" t="s">
        <v>194</v>
      </c>
      <c r="M303" s="173">
        <v>2016</v>
      </c>
      <c r="N303" s="173">
        <v>2016</v>
      </c>
      <c r="O303" s="173" t="s">
        <v>24</v>
      </c>
      <c r="P303" s="173">
        <v>0</v>
      </c>
      <c r="Q303" s="173" t="s">
        <v>137</v>
      </c>
      <c r="R303" s="173" t="s">
        <v>138</v>
      </c>
    </row>
    <row r="304" spans="5:18" ht="13.5" customHeight="1" x14ac:dyDescent="0.35">
      <c r="E304" s="173" t="s">
        <v>128</v>
      </c>
      <c r="F304" s="173" t="s">
        <v>129</v>
      </c>
      <c r="G304" s="173">
        <v>384</v>
      </c>
      <c r="H304" s="173" t="s">
        <v>164</v>
      </c>
      <c r="I304" s="173">
        <v>5312</v>
      </c>
      <c r="J304" s="173" t="s">
        <v>130</v>
      </c>
      <c r="K304" s="173">
        <v>1375</v>
      </c>
      <c r="L304" s="173" t="s">
        <v>194</v>
      </c>
      <c r="M304" s="173">
        <v>2017</v>
      </c>
      <c r="N304" s="173">
        <v>2017</v>
      </c>
      <c r="O304" s="173" t="s">
        <v>24</v>
      </c>
      <c r="P304" s="173">
        <v>0</v>
      </c>
      <c r="Q304" s="173" t="s">
        <v>137</v>
      </c>
      <c r="R304" s="173" t="s">
        <v>138</v>
      </c>
    </row>
    <row r="305" spans="5:18" ht="13.5" customHeight="1" x14ac:dyDescent="0.35">
      <c r="E305" s="173" t="s">
        <v>128</v>
      </c>
      <c r="F305" s="173" t="s">
        <v>129</v>
      </c>
      <c r="G305" s="173">
        <v>384</v>
      </c>
      <c r="H305" s="173" t="s">
        <v>164</v>
      </c>
      <c r="I305" s="173">
        <v>5312</v>
      </c>
      <c r="J305" s="173" t="s">
        <v>130</v>
      </c>
      <c r="K305" s="173">
        <v>1375</v>
      </c>
      <c r="L305" s="173" t="s">
        <v>194</v>
      </c>
      <c r="M305" s="173">
        <v>2018</v>
      </c>
      <c r="N305" s="173">
        <v>2018</v>
      </c>
      <c r="O305" s="173" t="s">
        <v>24</v>
      </c>
      <c r="P305" s="173">
        <v>0</v>
      </c>
      <c r="Q305" s="173" t="s">
        <v>137</v>
      </c>
      <c r="R305" s="173" t="s">
        <v>138</v>
      </c>
    </row>
    <row r="306" spans="5:18" ht="13.5" customHeight="1" x14ac:dyDescent="0.35">
      <c r="E306" s="173" t="s">
        <v>128</v>
      </c>
      <c r="F306" s="173" t="s">
        <v>129</v>
      </c>
      <c r="G306" s="173">
        <v>384</v>
      </c>
      <c r="H306" s="173" t="s">
        <v>164</v>
      </c>
      <c r="I306" s="173">
        <v>5312</v>
      </c>
      <c r="J306" s="173" t="s">
        <v>130</v>
      </c>
      <c r="K306" s="173">
        <v>1375</v>
      </c>
      <c r="L306" s="173" t="s">
        <v>194</v>
      </c>
      <c r="M306" s="173">
        <v>2019</v>
      </c>
      <c r="N306" s="173">
        <v>2019</v>
      </c>
      <c r="O306" s="173" t="s">
        <v>24</v>
      </c>
      <c r="P306" s="173">
        <v>0</v>
      </c>
      <c r="Q306" s="173" t="s">
        <v>137</v>
      </c>
      <c r="R306" s="173" t="s">
        <v>138</v>
      </c>
    </row>
    <row r="307" spans="5:18" ht="13.5" customHeight="1" x14ac:dyDescent="0.35">
      <c r="E307" s="173" t="s">
        <v>128</v>
      </c>
      <c r="F307" s="173" t="s">
        <v>129</v>
      </c>
      <c r="G307" s="173">
        <v>384</v>
      </c>
      <c r="H307" s="173" t="s">
        <v>164</v>
      </c>
      <c r="I307" s="173">
        <v>5312</v>
      </c>
      <c r="J307" s="173" t="s">
        <v>130</v>
      </c>
      <c r="K307" s="173">
        <v>1375</v>
      </c>
      <c r="L307" s="173" t="s">
        <v>194</v>
      </c>
      <c r="M307" s="173">
        <v>2020</v>
      </c>
      <c r="N307" s="173">
        <v>2020</v>
      </c>
      <c r="O307" s="173" t="s">
        <v>24</v>
      </c>
      <c r="P307" s="173">
        <v>0</v>
      </c>
      <c r="Q307" s="173" t="s">
        <v>137</v>
      </c>
      <c r="R307" s="173" t="s">
        <v>138</v>
      </c>
    </row>
    <row r="308" spans="5:18" ht="13.5" customHeight="1" x14ac:dyDescent="0.35">
      <c r="E308" s="173" t="s">
        <v>128</v>
      </c>
      <c r="F308" s="173" t="s">
        <v>129</v>
      </c>
      <c r="G308" s="173">
        <v>384</v>
      </c>
      <c r="H308" s="173" t="s">
        <v>164</v>
      </c>
      <c r="I308" s="173">
        <v>5312</v>
      </c>
      <c r="J308" s="173" t="s">
        <v>130</v>
      </c>
      <c r="K308" s="173">
        <v>1375</v>
      </c>
      <c r="L308" s="173" t="s">
        <v>194</v>
      </c>
      <c r="M308" s="173">
        <v>2021</v>
      </c>
      <c r="N308" s="173">
        <v>2021</v>
      </c>
      <c r="O308" s="173" t="s">
        <v>24</v>
      </c>
      <c r="P308" s="173">
        <v>0</v>
      </c>
      <c r="Q308" s="173" t="s">
        <v>137</v>
      </c>
      <c r="R308" s="173" t="s">
        <v>138</v>
      </c>
    </row>
    <row r="309" spans="5:18" ht="13.5" customHeight="1" x14ac:dyDescent="0.35">
      <c r="E309" s="173" t="s">
        <v>128</v>
      </c>
      <c r="F309" s="173" t="s">
        <v>129</v>
      </c>
      <c r="G309" s="173">
        <v>384</v>
      </c>
      <c r="H309" s="173" t="s">
        <v>164</v>
      </c>
      <c r="I309" s="173">
        <v>5312</v>
      </c>
      <c r="J309" s="173" t="s">
        <v>130</v>
      </c>
      <c r="K309" s="173">
        <v>1313</v>
      </c>
      <c r="L309" s="173" t="s">
        <v>156</v>
      </c>
      <c r="M309" s="173">
        <v>2015</v>
      </c>
      <c r="N309" s="173">
        <v>2015</v>
      </c>
      <c r="O309" s="173" t="s">
        <v>24</v>
      </c>
      <c r="P309" s="173">
        <v>453217</v>
      </c>
      <c r="Q309" s="173" t="s">
        <v>131</v>
      </c>
      <c r="R309" s="173" t="s">
        <v>132</v>
      </c>
    </row>
    <row r="310" spans="5:18" ht="13.5" customHeight="1" x14ac:dyDescent="0.35">
      <c r="E310" s="173" t="s">
        <v>128</v>
      </c>
      <c r="F310" s="173" t="s">
        <v>129</v>
      </c>
      <c r="G310" s="173">
        <v>384</v>
      </c>
      <c r="H310" s="173" t="s">
        <v>164</v>
      </c>
      <c r="I310" s="173">
        <v>5312</v>
      </c>
      <c r="J310" s="173" t="s">
        <v>130</v>
      </c>
      <c r="K310" s="173">
        <v>1313</v>
      </c>
      <c r="L310" s="173" t="s">
        <v>156</v>
      </c>
      <c r="M310" s="173">
        <v>2016</v>
      </c>
      <c r="N310" s="173">
        <v>2016</v>
      </c>
      <c r="O310" s="173" t="s">
        <v>24</v>
      </c>
      <c r="P310" s="173">
        <v>469746</v>
      </c>
      <c r="Q310" s="173" t="s">
        <v>131</v>
      </c>
      <c r="R310" s="173" t="s">
        <v>132</v>
      </c>
    </row>
    <row r="311" spans="5:18" ht="13.5" customHeight="1" x14ac:dyDescent="0.35">
      <c r="E311" s="173" t="s">
        <v>128</v>
      </c>
      <c r="F311" s="173" t="s">
        <v>129</v>
      </c>
      <c r="G311" s="173">
        <v>384</v>
      </c>
      <c r="H311" s="173" t="s">
        <v>164</v>
      </c>
      <c r="I311" s="173">
        <v>5312</v>
      </c>
      <c r="J311" s="173" t="s">
        <v>130</v>
      </c>
      <c r="K311" s="173">
        <v>1313</v>
      </c>
      <c r="L311" s="173" t="s">
        <v>156</v>
      </c>
      <c r="M311" s="173">
        <v>2017</v>
      </c>
      <c r="N311" s="173">
        <v>2017</v>
      </c>
      <c r="O311" s="173" t="s">
        <v>24</v>
      </c>
      <c r="P311" s="173">
        <v>482543</v>
      </c>
      <c r="Q311" s="173" t="s">
        <v>131</v>
      </c>
      <c r="R311" s="173" t="s">
        <v>132</v>
      </c>
    </row>
    <row r="312" spans="5:18" ht="13.5" customHeight="1" x14ac:dyDescent="0.35">
      <c r="E312" s="173" t="s">
        <v>128</v>
      </c>
      <c r="F312" s="173" t="s">
        <v>129</v>
      </c>
      <c r="G312" s="173">
        <v>384</v>
      </c>
      <c r="H312" s="173" t="s">
        <v>164</v>
      </c>
      <c r="I312" s="173">
        <v>5312</v>
      </c>
      <c r="J312" s="173" t="s">
        <v>130</v>
      </c>
      <c r="K312" s="173">
        <v>1313</v>
      </c>
      <c r="L312" s="173" t="s">
        <v>156</v>
      </c>
      <c r="M312" s="173">
        <v>2018</v>
      </c>
      <c r="N312" s="173">
        <v>2018</v>
      </c>
      <c r="O312" s="173" t="s">
        <v>24</v>
      </c>
      <c r="P312" s="173">
        <v>507519</v>
      </c>
      <c r="Q312" s="173" t="s">
        <v>131</v>
      </c>
      <c r="R312" s="173" t="s">
        <v>132</v>
      </c>
    </row>
    <row r="313" spans="5:18" ht="13.5" customHeight="1" x14ac:dyDescent="0.35">
      <c r="E313" s="173" t="s">
        <v>128</v>
      </c>
      <c r="F313" s="173" t="s">
        <v>129</v>
      </c>
      <c r="G313" s="173">
        <v>384</v>
      </c>
      <c r="H313" s="173" t="s">
        <v>164</v>
      </c>
      <c r="I313" s="173">
        <v>5312</v>
      </c>
      <c r="J313" s="173" t="s">
        <v>130</v>
      </c>
      <c r="K313" s="173">
        <v>1313</v>
      </c>
      <c r="L313" s="173" t="s">
        <v>156</v>
      </c>
      <c r="M313" s="173">
        <v>2019</v>
      </c>
      <c r="N313" s="173">
        <v>2019</v>
      </c>
      <c r="O313" s="173" t="s">
        <v>24</v>
      </c>
      <c r="P313" s="173">
        <v>529264</v>
      </c>
      <c r="Q313" s="173" t="s">
        <v>131</v>
      </c>
      <c r="R313" s="173" t="s">
        <v>132</v>
      </c>
    </row>
    <row r="314" spans="5:18" ht="13.5" customHeight="1" x14ac:dyDescent="0.35">
      <c r="E314" s="173" t="s">
        <v>128</v>
      </c>
      <c r="F314" s="173" t="s">
        <v>129</v>
      </c>
      <c r="G314" s="173">
        <v>384</v>
      </c>
      <c r="H314" s="173" t="s">
        <v>164</v>
      </c>
      <c r="I314" s="173">
        <v>5312</v>
      </c>
      <c r="J314" s="173" t="s">
        <v>130</v>
      </c>
      <c r="K314" s="173">
        <v>1313</v>
      </c>
      <c r="L314" s="173" t="s">
        <v>156</v>
      </c>
      <c r="M314" s="173">
        <v>2020</v>
      </c>
      <c r="N314" s="173">
        <v>2020</v>
      </c>
      <c r="O314" s="173" t="s">
        <v>24</v>
      </c>
      <c r="P314" s="173">
        <v>543163</v>
      </c>
      <c r="Q314" s="173" t="s">
        <v>131</v>
      </c>
      <c r="R314" s="173" t="s">
        <v>132</v>
      </c>
    </row>
    <row r="315" spans="5:18" ht="13.5" customHeight="1" x14ac:dyDescent="0.35">
      <c r="E315" s="173" t="s">
        <v>128</v>
      </c>
      <c r="F315" s="173" t="s">
        <v>129</v>
      </c>
      <c r="G315" s="173">
        <v>384</v>
      </c>
      <c r="H315" s="173" t="s">
        <v>164</v>
      </c>
      <c r="I315" s="173">
        <v>5312</v>
      </c>
      <c r="J315" s="173" t="s">
        <v>130</v>
      </c>
      <c r="K315" s="173">
        <v>1313</v>
      </c>
      <c r="L315" s="173" t="s">
        <v>156</v>
      </c>
      <c r="M315" s="173">
        <v>2021</v>
      </c>
      <c r="N315" s="173">
        <v>2021</v>
      </c>
      <c r="O315" s="173" t="s">
        <v>24</v>
      </c>
      <c r="P315" s="173">
        <v>554604</v>
      </c>
      <c r="Q315" s="173" t="s">
        <v>131</v>
      </c>
      <c r="R315" s="173" t="s">
        <v>132</v>
      </c>
    </row>
    <row r="316" spans="5:18" ht="13.5" customHeight="1" x14ac:dyDescent="0.35">
      <c r="E316" s="173" t="s">
        <v>128</v>
      </c>
      <c r="F316" s="173" t="s">
        <v>129</v>
      </c>
      <c r="G316" s="173">
        <v>384</v>
      </c>
      <c r="H316" s="173" t="s">
        <v>164</v>
      </c>
      <c r="I316" s="173">
        <v>5312</v>
      </c>
      <c r="J316" s="173" t="s">
        <v>130</v>
      </c>
      <c r="K316" s="173">
        <v>1321</v>
      </c>
      <c r="L316" s="173" t="s">
        <v>157</v>
      </c>
      <c r="M316" s="173">
        <v>2015</v>
      </c>
      <c r="N316" s="173">
        <v>2015</v>
      </c>
      <c r="O316" s="173" t="s">
        <v>24</v>
      </c>
      <c r="P316" s="173">
        <v>4255</v>
      </c>
      <c r="Q316" s="173" t="s">
        <v>131</v>
      </c>
      <c r="R316" s="173" t="s">
        <v>132</v>
      </c>
    </row>
    <row r="317" spans="5:18" ht="13.5" customHeight="1" x14ac:dyDescent="0.35">
      <c r="E317" s="173" t="s">
        <v>128</v>
      </c>
      <c r="F317" s="173" t="s">
        <v>129</v>
      </c>
      <c r="G317" s="173">
        <v>384</v>
      </c>
      <c r="H317" s="173" t="s">
        <v>164</v>
      </c>
      <c r="I317" s="173">
        <v>5312</v>
      </c>
      <c r="J317" s="173" t="s">
        <v>130</v>
      </c>
      <c r="K317" s="173">
        <v>1321</v>
      </c>
      <c r="L317" s="173" t="s">
        <v>157</v>
      </c>
      <c r="M317" s="173">
        <v>2016</v>
      </c>
      <c r="N317" s="173">
        <v>2016</v>
      </c>
      <c r="O317" s="173" t="s">
        <v>24</v>
      </c>
      <c r="P317" s="173">
        <v>4343</v>
      </c>
      <c r="Q317" s="173" t="s">
        <v>131</v>
      </c>
      <c r="R317" s="173" t="s">
        <v>132</v>
      </c>
    </row>
    <row r="318" spans="5:18" ht="13.5" customHeight="1" x14ac:dyDescent="0.35">
      <c r="E318" s="173" t="s">
        <v>128</v>
      </c>
      <c r="F318" s="173" t="s">
        <v>129</v>
      </c>
      <c r="G318" s="173">
        <v>384</v>
      </c>
      <c r="H318" s="173" t="s">
        <v>164</v>
      </c>
      <c r="I318" s="173">
        <v>5312</v>
      </c>
      <c r="J318" s="173" t="s">
        <v>130</v>
      </c>
      <c r="K318" s="173">
        <v>1321</v>
      </c>
      <c r="L318" s="173" t="s">
        <v>157</v>
      </c>
      <c r="M318" s="173">
        <v>2017</v>
      </c>
      <c r="N318" s="173">
        <v>2017</v>
      </c>
      <c r="O318" s="173" t="s">
        <v>24</v>
      </c>
      <c r="P318" s="173">
        <v>4444</v>
      </c>
      <c r="Q318" s="173" t="s">
        <v>131</v>
      </c>
      <c r="R318" s="173" t="s">
        <v>132</v>
      </c>
    </row>
    <row r="319" spans="5:18" ht="13.5" customHeight="1" x14ac:dyDescent="0.35">
      <c r="E319" s="173" t="s">
        <v>128</v>
      </c>
      <c r="F319" s="173" t="s">
        <v>129</v>
      </c>
      <c r="G319" s="173">
        <v>384</v>
      </c>
      <c r="H319" s="173" t="s">
        <v>164</v>
      </c>
      <c r="I319" s="173">
        <v>5312</v>
      </c>
      <c r="J319" s="173" t="s">
        <v>130</v>
      </c>
      <c r="K319" s="173">
        <v>1321</v>
      </c>
      <c r="L319" s="173" t="s">
        <v>157</v>
      </c>
      <c r="M319" s="173">
        <v>2018</v>
      </c>
      <c r="N319" s="173">
        <v>2018</v>
      </c>
      <c r="O319" s="173" t="s">
        <v>24</v>
      </c>
      <c r="P319" s="173">
        <v>4347</v>
      </c>
      <c r="Q319" s="173" t="s">
        <v>109</v>
      </c>
      <c r="R319" s="173" t="s">
        <v>110</v>
      </c>
    </row>
    <row r="320" spans="5:18" ht="13.5" customHeight="1" x14ac:dyDescent="0.35">
      <c r="E320" s="173" t="s">
        <v>128</v>
      </c>
      <c r="F320" s="173" t="s">
        <v>129</v>
      </c>
      <c r="G320" s="173">
        <v>384</v>
      </c>
      <c r="H320" s="173" t="s">
        <v>164</v>
      </c>
      <c r="I320" s="173">
        <v>5312</v>
      </c>
      <c r="J320" s="173" t="s">
        <v>130</v>
      </c>
      <c r="K320" s="173">
        <v>1321</v>
      </c>
      <c r="L320" s="173" t="s">
        <v>157</v>
      </c>
      <c r="M320" s="173">
        <v>2019</v>
      </c>
      <c r="N320" s="173">
        <v>2019</v>
      </c>
      <c r="O320" s="173" t="s">
        <v>24</v>
      </c>
      <c r="P320" s="173">
        <v>4378</v>
      </c>
      <c r="Q320" s="173" t="s">
        <v>109</v>
      </c>
      <c r="R320" s="173" t="s">
        <v>110</v>
      </c>
    </row>
    <row r="321" spans="5:18" ht="13.5" customHeight="1" x14ac:dyDescent="0.35">
      <c r="E321" s="173" t="s">
        <v>128</v>
      </c>
      <c r="F321" s="173" t="s">
        <v>129</v>
      </c>
      <c r="G321" s="173">
        <v>384</v>
      </c>
      <c r="H321" s="173" t="s">
        <v>164</v>
      </c>
      <c r="I321" s="173">
        <v>5312</v>
      </c>
      <c r="J321" s="173" t="s">
        <v>130</v>
      </c>
      <c r="K321" s="173">
        <v>1321</v>
      </c>
      <c r="L321" s="173" t="s">
        <v>157</v>
      </c>
      <c r="M321" s="173">
        <v>2020</v>
      </c>
      <c r="N321" s="173">
        <v>2020</v>
      </c>
      <c r="O321" s="173" t="s">
        <v>24</v>
      </c>
      <c r="P321" s="173">
        <v>4390</v>
      </c>
      <c r="Q321" s="173" t="s">
        <v>109</v>
      </c>
      <c r="R321" s="173" t="s">
        <v>110</v>
      </c>
    </row>
    <row r="322" spans="5:18" ht="13.5" customHeight="1" x14ac:dyDescent="0.35">
      <c r="E322" s="173" t="s">
        <v>128</v>
      </c>
      <c r="F322" s="173" t="s">
        <v>129</v>
      </c>
      <c r="G322" s="173">
        <v>384</v>
      </c>
      <c r="H322" s="173" t="s">
        <v>164</v>
      </c>
      <c r="I322" s="173">
        <v>5312</v>
      </c>
      <c r="J322" s="173" t="s">
        <v>130</v>
      </c>
      <c r="K322" s="173">
        <v>1321</v>
      </c>
      <c r="L322" s="173" t="s">
        <v>157</v>
      </c>
      <c r="M322" s="173">
        <v>2021</v>
      </c>
      <c r="N322" s="173">
        <v>2021</v>
      </c>
      <c r="O322" s="173" t="s">
        <v>24</v>
      </c>
      <c r="P322" s="173">
        <v>4371</v>
      </c>
      <c r="Q322" s="173" t="s">
        <v>109</v>
      </c>
      <c r="R322" s="173" t="s">
        <v>110</v>
      </c>
    </row>
    <row r="323" spans="5:18" ht="13.5" customHeight="1" x14ac:dyDescent="0.35">
      <c r="E323" s="173" t="s">
        <v>128</v>
      </c>
      <c r="F323" s="173" t="s">
        <v>129</v>
      </c>
      <c r="G323" s="173">
        <v>384</v>
      </c>
      <c r="H323" s="173" t="s">
        <v>164</v>
      </c>
      <c r="I323" s="173">
        <v>5312</v>
      </c>
      <c r="J323" s="173" t="s">
        <v>130</v>
      </c>
      <c r="K323" s="173">
        <v>1510</v>
      </c>
      <c r="L323" s="173" t="s">
        <v>115</v>
      </c>
      <c r="M323" s="173">
        <v>2015</v>
      </c>
      <c r="N323" s="173">
        <v>2015</v>
      </c>
      <c r="O323" s="173" t="s">
        <v>24</v>
      </c>
      <c r="P323" s="173">
        <v>0</v>
      </c>
      <c r="Q323" s="173" t="s">
        <v>137</v>
      </c>
      <c r="R323" s="173" t="s">
        <v>138</v>
      </c>
    </row>
    <row r="324" spans="5:18" ht="13.5" customHeight="1" x14ac:dyDescent="0.35">
      <c r="E324" s="173" t="s">
        <v>128</v>
      </c>
      <c r="F324" s="173" t="s">
        <v>129</v>
      </c>
      <c r="G324" s="173">
        <v>384</v>
      </c>
      <c r="H324" s="173" t="s">
        <v>164</v>
      </c>
      <c r="I324" s="173">
        <v>5312</v>
      </c>
      <c r="J324" s="173" t="s">
        <v>130</v>
      </c>
      <c r="K324" s="173">
        <v>1510</v>
      </c>
      <c r="L324" s="173" t="s">
        <v>115</v>
      </c>
      <c r="M324" s="173">
        <v>2016</v>
      </c>
      <c r="N324" s="173">
        <v>2016</v>
      </c>
      <c r="O324" s="173" t="s">
        <v>24</v>
      </c>
      <c r="P324" s="173">
        <v>0</v>
      </c>
      <c r="Q324" s="173" t="s">
        <v>137</v>
      </c>
      <c r="R324" s="173" t="s">
        <v>138</v>
      </c>
    </row>
    <row r="325" spans="5:18" ht="13.5" customHeight="1" x14ac:dyDescent="0.35">
      <c r="E325" s="173" t="s">
        <v>128</v>
      </c>
      <c r="F325" s="173" t="s">
        <v>129</v>
      </c>
      <c r="G325" s="173">
        <v>384</v>
      </c>
      <c r="H325" s="173" t="s">
        <v>164</v>
      </c>
      <c r="I325" s="173">
        <v>5312</v>
      </c>
      <c r="J325" s="173" t="s">
        <v>130</v>
      </c>
      <c r="K325" s="173">
        <v>1510</v>
      </c>
      <c r="L325" s="173" t="s">
        <v>115</v>
      </c>
      <c r="M325" s="173">
        <v>2017</v>
      </c>
      <c r="N325" s="173">
        <v>2017</v>
      </c>
      <c r="O325" s="173" t="s">
        <v>24</v>
      </c>
      <c r="P325" s="173">
        <v>0</v>
      </c>
      <c r="Q325" s="173" t="s">
        <v>137</v>
      </c>
      <c r="R325" s="173" t="s">
        <v>138</v>
      </c>
    </row>
    <row r="326" spans="5:18" ht="13.5" customHeight="1" x14ac:dyDescent="0.35">
      <c r="E326" s="173" t="s">
        <v>128</v>
      </c>
      <c r="F326" s="173" t="s">
        <v>129</v>
      </c>
      <c r="G326" s="173">
        <v>384</v>
      </c>
      <c r="H326" s="173" t="s">
        <v>164</v>
      </c>
      <c r="I326" s="173">
        <v>5312</v>
      </c>
      <c r="J326" s="173" t="s">
        <v>130</v>
      </c>
      <c r="K326" s="173">
        <v>1510</v>
      </c>
      <c r="L326" s="173" t="s">
        <v>115</v>
      </c>
      <c r="M326" s="173">
        <v>2018</v>
      </c>
      <c r="N326" s="173">
        <v>2018</v>
      </c>
      <c r="O326" s="173" t="s">
        <v>24</v>
      </c>
      <c r="P326" s="173">
        <v>0</v>
      </c>
      <c r="Q326" s="173" t="s">
        <v>137</v>
      </c>
      <c r="R326" s="173" t="s">
        <v>138</v>
      </c>
    </row>
    <row r="327" spans="5:18" ht="13.5" customHeight="1" x14ac:dyDescent="0.35">
      <c r="E327" s="173" t="s">
        <v>128</v>
      </c>
      <c r="F327" s="173" t="s">
        <v>129</v>
      </c>
      <c r="G327" s="173">
        <v>384</v>
      </c>
      <c r="H327" s="173" t="s">
        <v>164</v>
      </c>
      <c r="I327" s="173">
        <v>5312</v>
      </c>
      <c r="J327" s="173" t="s">
        <v>130</v>
      </c>
      <c r="K327" s="173">
        <v>1510</v>
      </c>
      <c r="L327" s="173" t="s">
        <v>115</v>
      </c>
      <c r="M327" s="173">
        <v>2019</v>
      </c>
      <c r="N327" s="173">
        <v>2019</v>
      </c>
      <c r="O327" s="173" t="s">
        <v>24</v>
      </c>
      <c r="P327" s="173">
        <v>0</v>
      </c>
      <c r="Q327" s="173" t="s">
        <v>137</v>
      </c>
      <c r="R327" s="173" t="s">
        <v>138</v>
      </c>
    </row>
    <row r="328" spans="5:18" ht="13.5" customHeight="1" x14ac:dyDescent="0.35">
      <c r="E328" s="173" t="s">
        <v>128</v>
      </c>
      <c r="F328" s="173" t="s">
        <v>129</v>
      </c>
      <c r="G328" s="173">
        <v>384</v>
      </c>
      <c r="H328" s="173" t="s">
        <v>164</v>
      </c>
      <c r="I328" s="173">
        <v>5312</v>
      </c>
      <c r="J328" s="173" t="s">
        <v>130</v>
      </c>
      <c r="K328" s="173">
        <v>1510</v>
      </c>
      <c r="L328" s="173" t="s">
        <v>115</v>
      </c>
      <c r="M328" s="173">
        <v>2020</v>
      </c>
      <c r="N328" s="173">
        <v>2020</v>
      </c>
      <c r="O328" s="173" t="s">
        <v>24</v>
      </c>
      <c r="P328" s="173">
        <v>0</v>
      </c>
      <c r="Q328" s="173" t="s">
        <v>137</v>
      </c>
      <c r="R328" s="173" t="s">
        <v>138</v>
      </c>
    </row>
    <row r="329" spans="5:18" ht="13.5" customHeight="1" x14ac:dyDescent="0.35">
      <c r="E329" s="173" t="s">
        <v>128</v>
      </c>
      <c r="F329" s="173" t="s">
        <v>129</v>
      </c>
      <c r="G329" s="173">
        <v>384</v>
      </c>
      <c r="H329" s="173" t="s">
        <v>164</v>
      </c>
      <c r="I329" s="173">
        <v>5312</v>
      </c>
      <c r="J329" s="173" t="s">
        <v>130</v>
      </c>
      <c r="K329" s="173">
        <v>1510</v>
      </c>
      <c r="L329" s="173" t="s">
        <v>115</v>
      </c>
      <c r="M329" s="173">
        <v>2021</v>
      </c>
      <c r="N329" s="173">
        <v>2021</v>
      </c>
      <c r="O329" s="173" t="s">
        <v>24</v>
      </c>
      <c r="P329" s="173">
        <v>0</v>
      </c>
      <c r="Q329" s="173" t="s">
        <v>137</v>
      </c>
      <c r="R329" s="173" t="s">
        <v>138</v>
      </c>
    </row>
    <row r="330" spans="5:18" ht="13.5" customHeight="1" x14ac:dyDescent="0.35">
      <c r="E330" s="173" t="s">
        <v>128</v>
      </c>
      <c r="F330" s="173" t="s">
        <v>129</v>
      </c>
      <c r="G330" s="173">
        <v>384</v>
      </c>
      <c r="H330" s="173" t="s">
        <v>164</v>
      </c>
      <c r="I330" s="173">
        <v>5312</v>
      </c>
      <c r="J330" s="173" t="s">
        <v>130</v>
      </c>
      <c r="K330" s="173">
        <v>1235</v>
      </c>
      <c r="L330" s="173" t="s">
        <v>195</v>
      </c>
      <c r="M330" s="173">
        <v>2015</v>
      </c>
      <c r="N330" s="173">
        <v>2015</v>
      </c>
      <c r="O330" s="173" t="s">
        <v>24</v>
      </c>
      <c r="P330" s="173">
        <v>1993</v>
      </c>
      <c r="Q330" s="173" t="s">
        <v>131</v>
      </c>
      <c r="R330" s="173" t="s">
        <v>132</v>
      </c>
    </row>
    <row r="331" spans="5:18" ht="13.5" customHeight="1" x14ac:dyDescent="0.35">
      <c r="E331" s="173" t="s">
        <v>128</v>
      </c>
      <c r="F331" s="173" t="s">
        <v>129</v>
      </c>
      <c r="G331" s="173">
        <v>384</v>
      </c>
      <c r="H331" s="173" t="s">
        <v>164</v>
      </c>
      <c r="I331" s="173">
        <v>5312</v>
      </c>
      <c r="J331" s="173" t="s">
        <v>130</v>
      </c>
      <c r="K331" s="173">
        <v>1235</v>
      </c>
      <c r="L331" s="173" t="s">
        <v>195</v>
      </c>
      <c r="M331" s="173">
        <v>2016</v>
      </c>
      <c r="N331" s="173">
        <v>2016</v>
      </c>
      <c r="O331" s="173" t="s">
        <v>24</v>
      </c>
      <c r="P331" s="173">
        <v>1989</v>
      </c>
      <c r="Q331" s="173" t="s">
        <v>131</v>
      </c>
      <c r="R331" s="173" t="s">
        <v>132</v>
      </c>
    </row>
    <row r="332" spans="5:18" ht="13.5" customHeight="1" x14ac:dyDescent="0.35">
      <c r="E332" s="173" t="s">
        <v>128</v>
      </c>
      <c r="F332" s="173" t="s">
        <v>129</v>
      </c>
      <c r="G332" s="173">
        <v>384</v>
      </c>
      <c r="H332" s="173" t="s">
        <v>164</v>
      </c>
      <c r="I332" s="173">
        <v>5312</v>
      </c>
      <c r="J332" s="173" t="s">
        <v>130</v>
      </c>
      <c r="K332" s="173">
        <v>1235</v>
      </c>
      <c r="L332" s="173" t="s">
        <v>195</v>
      </c>
      <c r="M332" s="173">
        <v>2017</v>
      </c>
      <c r="N332" s="173">
        <v>2017</v>
      </c>
      <c r="O332" s="173" t="s">
        <v>24</v>
      </c>
      <c r="P332" s="173">
        <v>1991</v>
      </c>
      <c r="Q332" s="173" t="s">
        <v>131</v>
      </c>
      <c r="R332" s="173" t="s">
        <v>132</v>
      </c>
    </row>
    <row r="333" spans="5:18" ht="13.5" customHeight="1" x14ac:dyDescent="0.35">
      <c r="E333" s="173" t="s">
        <v>128</v>
      </c>
      <c r="F333" s="173" t="s">
        <v>129</v>
      </c>
      <c r="G333" s="173">
        <v>384</v>
      </c>
      <c r="H333" s="173" t="s">
        <v>164</v>
      </c>
      <c r="I333" s="173">
        <v>5312</v>
      </c>
      <c r="J333" s="173" t="s">
        <v>130</v>
      </c>
      <c r="K333" s="173">
        <v>1235</v>
      </c>
      <c r="L333" s="173" t="s">
        <v>195</v>
      </c>
      <c r="M333" s="173">
        <v>2018</v>
      </c>
      <c r="N333" s="173">
        <v>2018</v>
      </c>
      <c r="O333" s="173" t="s">
        <v>24</v>
      </c>
      <c r="P333" s="173">
        <v>1992</v>
      </c>
      <c r="Q333" s="173" t="s">
        <v>131</v>
      </c>
      <c r="R333" s="173" t="s">
        <v>132</v>
      </c>
    </row>
    <row r="334" spans="5:18" ht="13.5" customHeight="1" x14ac:dyDescent="0.35">
      <c r="E334" s="173" t="s">
        <v>128</v>
      </c>
      <c r="F334" s="173" t="s">
        <v>129</v>
      </c>
      <c r="G334" s="173">
        <v>384</v>
      </c>
      <c r="H334" s="173" t="s">
        <v>164</v>
      </c>
      <c r="I334" s="173">
        <v>5312</v>
      </c>
      <c r="J334" s="173" t="s">
        <v>130</v>
      </c>
      <c r="K334" s="173">
        <v>1235</v>
      </c>
      <c r="L334" s="173" t="s">
        <v>195</v>
      </c>
      <c r="M334" s="173">
        <v>2019</v>
      </c>
      <c r="N334" s="173">
        <v>2019</v>
      </c>
      <c r="O334" s="173" t="s">
        <v>24</v>
      </c>
      <c r="P334" s="173">
        <v>1997</v>
      </c>
      <c r="Q334" s="173" t="s">
        <v>131</v>
      </c>
      <c r="R334" s="173" t="s">
        <v>132</v>
      </c>
    </row>
    <row r="335" spans="5:18" ht="13.5" customHeight="1" x14ac:dyDescent="0.35">
      <c r="E335" s="173" t="s">
        <v>128</v>
      </c>
      <c r="F335" s="173" t="s">
        <v>129</v>
      </c>
      <c r="G335" s="173">
        <v>384</v>
      </c>
      <c r="H335" s="173" t="s">
        <v>164</v>
      </c>
      <c r="I335" s="173">
        <v>5312</v>
      </c>
      <c r="J335" s="173" t="s">
        <v>130</v>
      </c>
      <c r="K335" s="173">
        <v>1235</v>
      </c>
      <c r="L335" s="173" t="s">
        <v>195</v>
      </c>
      <c r="M335" s="173">
        <v>2020</v>
      </c>
      <c r="N335" s="173">
        <v>2020</v>
      </c>
      <c r="O335" s="173" t="s">
        <v>24</v>
      </c>
      <c r="P335" s="173">
        <v>1995</v>
      </c>
      <c r="Q335" s="173" t="s">
        <v>131</v>
      </c>
      <c r="R335" s="173" t="s">
        <v>132</v>
      </c>
    </row>
    <row r="336" spans="5:18" ht="13.5" customHeight="1" x14ac:dyDescent="0.35">
      <c r="E336" s="173" t="s">
        <v>128</v>
      </c>
      <c r="F336" s="173" t="s">
        <v>129</v>
      </c>
      <c r="G336" s="173">
        <v>384</v>
      </c>
      <c r="H336" s="173" t="s">
        <v>164</v>
      </c>
      <c r="I336" s="173">
        <v>5312</v>
      </c>
      <c r="J336" s="173" t="s">
        <v>130</v>
      </c>
      <c r="K336" s="173">
        <v>1235</v>
      </c>
      <c r="L336" s="173" t="s">
        <v>195</v>
      </c>
      <c r="M336" s="173">
        <v>2021</v>
      </c>
      <c r="N336" s="173">
        <v>2021</v>
      </c>
      <c r="O336" s="173" t="s">
        <v>24</v>
      </c>
      <c r="P336" s="173">
        <v>1992</v>
      </c>
      <c r="Q336" s="173" t="s">
        <v>131</v>
      </c>
      <c r="R336" s="173" t="s">
        <v>132</v>
      </c>
    </row>
    <row r="337" spans="5:18" ht="13.5" customHeight="1" x14ac:dyDescent="0.35">
      <c r="E337" s="173" t="s">
        <v>128</v>
      </c>
      <c r="F337" s="173" t="s">
        <v>129</v>
      </c>
      <c r="G337" s="173">
        <v>384</v>
      </c>
      <c r="H337" s="173" t="s">
        <v>164</v>
      </c>
      <c r="I337" s="173">
        <v>5312</v>
      </c>
      <c r="J337" s="173" t="s">
        <v>130</v>
      </c>
      <c r="K337" s="173">
        <v>113</v>
      </c>
      <c r="L337" s="173" t="s">
        <v>73</v>
      </c>
      <c r="M337" s="173">
        <v>2015</v>
      </c>
      <c r="N337" s="173">
        <v>2015</v>
      </c>
      <c r="O337" s="173" t="s">
        <v>24</v>
      </c>
      <c r="P337" s="173">
        <v>844023</v>
      </c>
      <c r="Q337" s="173" t="s">
        <v>131</v>
      </c>
      <c r="R337" s="173" t="s">
        <v>132</v>
      </c>
    </row>
    <row r="338" spans="5:18" ht="13.5" customHeight="1" x14ac:dyDescent="0.35">
      <c r="E338" s="173" t="s">
        <v>128</v>
      </c>
      <c r="F338" s="173" t="s">
        <v>129</v>
      </c>
      <c r="G338" s="173">
        <v>384</v>
      </c>
      <c r="H338" s="173" t="s">
        <v>164</v>
      </c>
      <c r="I338" s="173">
        <v>5312</v>
      </c>
      <c r="J338" s="173" t="s">
        <v>130</v>
      </c>
      <c r="K338" s="173">
        <v>113</v>
      </c>
      <c r="L338" s="173" t="s">
        <v>73</v>
      </c>
      <c r="M338" s="173">
        <v>2016</v>
      </c>
      <c r="N338" s="173">
        <v>2016</v>
      </c>
      <c r="O338" s="173" t="s">
        <v>24</v>
      </c>
      <c r="P338" s="173">
        <v>780575</v>
      </c>
      <c r="Q338" s="173" t="s">
        <v>131</v>
      </c>
      <c r="R338" s="173" t="s">
        <v>132</v>
      </c>
    </row>
    <row r="339" spans="5:18" ht="13.5" customHeight="1" x14ac:dyDescent="0.35">
      <c r="E339" s="173" t="s">
        <v>128</v>
      </c>
      <c r="F339" s="173" t="s">
        <v>129</v>
      </c>
      <c r="G339" s="173">
        <v>384</v>
      </c>
      <c r="H339" s="173" t="s">
        <v>164</v>
      </c>
      <c r="I339" s="173">
        <v>5312</v>
      </c>
      <c r="J339" s="173" t="s">
        <v>130</v>
      </c>
      <c r="K339" s="173">
        <v>113</v>
      </c>
      <c r="L339" s="173" t="s">
        <v>73</v>
      </c>
      <c r="M339" s="173">
        <v>2017</v>
      </c>
      <c r="N339" s="173">
        <v>2017</v>
      </c>
      <c r="O339" s="173" t="s">
        <v>24</v>
      </c>
      <c r="P339" s="173">
        <v>790539</v>
      </c>
      <c r="Q339" s="173" t="s">
        <v>131</v>
      </c>
      <c r="R339" s="173" t="s">
        <v>132</v>
      </c>
    </row>
    <row r="340" spans="5:18" ht="13.5" customHeight="1" x14ac:dyDescent="0.35">
      <c r="E340" s="173" t="s">
        <v>128</v>
      </c>
      <c r="F340" s="173" t="s">
        <v>129</v>
      </c>
      <c r="G340" s="173">
        <v>384</v>
      </c>
      <c r="H340" s="173" t="s">
        <v>164</v>
      </c>
      <c r="I340" s="173">
        <v>5312</v>
      </c>
      <c r="J340" s="173" t="s">
        <v>130</v>
      </c>
      <c r="K340" s="173">
        <v>113</v>
      </c>
      <c r="L340" s="173" t="s">
        <v>73</v>
      </c>
      <c r="M340" s="173">
        <v>2018</v>
      </c>
      <c r="N340" s="173">
        <v>2018</v>
      </c>
      <c r="O340" s="173" t="s">
        <v>24</v>
      </c>
      <c r="P340" s="173">
        <v>729793</v>
      </c>
      <c r="Q340" s="173" t="s">
        <v>131</v>
      </c>
      <c r="R340" s="173" t="s">
        <v>132</v>
      </c>
    </row>
    <row r="341" spans="5:18" ht="13.5" customHeight="1" x14ac:dyDescent="0.35">
      <c r="E341" s="173" t="s">
        <v>128</v>
      </c>
      <c r="F341" s="173" t="s">
        <v>129</v>
      </c>
      <c r="G341" s="173">
        <v>384</v>
      </c>
      <c r="H341" s="173" t="s">
        <v>164</v>
      </c>
      <c r="I341" s="173">
        <v>5312</v>
      </c>
      <c r="J341" s="173" t="s">
        <v>130</v>
      </c>
      <c r="K341" s="173">
        <v>113</v>
      </c>
      <c r="L341" s="173" t="s">
        <v>73</v>
      </c>
      <c r="M341" s="173">
        <v>2019</v>
      </c>
      <c r="N341" s="173">
        <v>2019</v>
      </c>
      <c r="O341" s="173" t="s">
        <v>24</v>
      </c>
      <c r="P341" s="173">
        <v>684027</v>
      </c>
      <c r="Q341" s="173" t="s">
        <v>131</v>
      </c>
      <c r="R341" s="173" t="s">
        <v>132</v>
      </c>
    </row>
    <row r="342" spans="5:18" ht="13.5" customHeight="1" x14ac:dyDescent="0.35">
      <c r="E342" s="173" t="s">
        <v>128</v>
      </c>
      <c r="F342" s="173" t="s">
        <v>129</v>
      </c>
      <c r="G342" s="173">
        <v>384</v>
      </c>
      <c r="H342" s="173" t="s">
        <v>164</v>
      </c>
      <c r="I342" s="173">
        <v>5312</v>
      </c>
      <c r="J342" s="173" t="s">
        <v>130</v>
      </c>
      <c r="K342" s="173">
        <v>113</v>
      </c>
      <c r="L342" s="173" t="s">
        <v>73</v>
      </c>
      <c r="M342" s="173">
        <v>2020</v>
      </c>
      <c r="N342" s="173">
        <v>2020</v>
      </c>
      <c r="O342" s="173" t="s">
        <v>24</v>
      </c>
      <c r="P342" s="173">
        <v>528548</v>
      </c>
      <c r="Q342" s="173" t="s">
        <v>131</v>
      </c>
      <c r="R342" s="173" t="s">
        <v>132</v>
      </c>
    </row>
    <row r="343" spans="5:18" ht="13.5" customHeight="1" x14ac:dyDescent="0.35">
      <c r="E343" s="173" t="s">
        <v>128</v>
      </c>
      <c r="F343" s="173" t="s">
        <v>129</v>
      </c>
      <c r="G343" s="173">
        <v>384</v>
      </c>
      <c r="H343" s="173" t="s">
        <v>164</v>
      </c>
      <c r="I343" s="173">
        <v>5312</v>
      </c>
      <c r="J343" s="173" t="s">
        <v>130</v>
      </c>
      <c r="K343" s="173">
        <v>113</v>
      </c>
      <c r="L343" s="173" t="s">
        <v>73</v>
      </c>
      <c r="M343" s="173">
        <v>2021</v>
      </c>
      <c r="N343" s="173">
        <v>2021</v>
      </c>
      <c r="O343" s="173" t="s">
        <v>24</v>
      </c>
      <c r="P343" s="173">
        <v>581756</v>
      </c>
      <c r="Q343" s="173" t="s">
        <v>131</v>
      </c>
      <c r="R343" s="173" t="s">
        <v>132</v>
      </c>
    </row>
    <row r="344" spans="5:18" ht="13.5" customHeight="1" x14ac:dyDescent="0.35">
      <c r="E344" s="173" t="s">
        <v>128</v>
      </c>
      <c r="F344" s="173" t="s">
        <v>129</v>
      </c>
      <c r="G344" s="173">
        <v>384</v>
      </c>
      <c r="H344" s="173" t="s">
        <v>164</v>
      </c>
      <c r="I344" s="173">
        <v>5312</v>
      </c>
      <c r="J344" s="173" t="s">
        <v>130</v>
      </c>
      <c r="K344" s="173" t="s">
        <v>196</v>
      </c>
      <c r="L344" s="173" t="s">
        <v>158</v>
      </c>
      <c r="M344" s="173">
        <v>2015</v>
      </c>
      <c r="N344" s="173">
        <v>2015</v>
      </c>
      <c r="O344" s="173" t="s">
        <v>24</v>
      </c>
      <c r="P344" s="173">
        <v>402000</v>
      </c>
      <c r="Q344" s="173" t="s">
        <v>134</v>
      </c>
      <c r="R344" s="173" t="s">
        <v>135</v>
      </c>
    </row>
    <row r="345" spans="5:18" ht="13.5" customHeight="1" x14ac:dyDescent="0.35">
      <c r="E345" s="173" t="s">
        <v>128</v>
      </c>
      <c r="F345" s="173" t="s">
        <v>129</v>
      </c>
      <c r="G345" s="173">
        <v>384</v>
      </c>
      <c r="H345" s="173" t="s">
        <v>164</v>
      </c>
      <c r="I345" s="173">
        <v>5312</v>
      </c>
      <c r="J345" s="173" t="s">
        <v>130</v>
      </c>
      <c r="K345" s="173" t="s">
        <v>196</v>
      </c>
      <c r="L345" s="173" t="s">
        <v>158</v>
      </c>
      <c r="M345" s="173">
        <v>2016</v>
      </c>
      <c r="N345" s="173">
        <v>2016</v>
      </c>
      <c r="O345" s="173" t="s">
        <v>24</v>
      </c>
      <c r="P345" s="173">
        <v>345000</v>
      </c>
      <c r="Q345" s="173" t="s">
        <v>134</v>
      </c>
      <c r="R345" s="173" t="s">
        <v>135</v>
      </c>
    </row>
    <row r="346" spans="5:18" ht="13.5" customHeight="1" x14ac:dyDescent="0.35">
      <c r="E346" s="173" t="s">
        <v>128</v>
      </c>
      <c r="F346" s="173" t="s">
        <v>129</v>
      </c>
      <c r="G346" s="173">
        <v>384</v>
      </c>
      <c r="H346" s="173" t="s">
        <v>164</v>
      </c>
      <c r="I346" s="173">
        <v>5312</v>
      </c>
      <c r="J346" s="173" t="s">
        <v>130</v>
      </c>
      <c r="K346" s="173" t="s">
        <v>196</v>
      </c>
      <c r="L346" s="173" t="s">
        <v>158</v>
      </c>
      <c r="M346" s="173">
        <v>2017</v>
      </c>
      <c r="N346" s="173">
        <v>2017</v>
      </c>
      <c r="O346" s="173" t="s">
        <v>24</v>
      </c>
      <c r="P346" s="173">
        <v>360000</v>
      </c>
      <c r="Q346" s="173" t="s">
        <v>134</v>
      </c>
      <c r="R346" s="173" t="s">
        <v>135</v>
      </c>
    </row>
    <row r="347" spans="5:18" ht="13.5" customHeight="1" x14ac:dyDescent="0.35">
      <c r="E347" s="173" t="s">
        <v>128</v>
      </c>
      <c r="F347" s="173" t="s">
        <v>129</v>
      </c>
      <c r="G347" s="173">
        <v>384</v>
      </c>
      <c r="H347" s="173" t="s">
        <v>164</v>
      </c>
      <c r="I347" s="173">
        <v>5312</v>
      </c>
      <c r="J347" s="173" t="s">
        <v>130</v>
      </c>
      <c r="K347" s="173" t="s">
        <v>196</v>
      </c>
      <c r="L347" s="173" t="s">
        <v>158</v>
      </c>
      <c r="M347" s="173">
        <v>2018</v>
      </c>
      <c r="N347" s="173">
        <v>2018</v>
      </c>
      <c r="O347" s="173" t="s">
        <v>24</v>
      </c>
      <c r="P347" s="173">
        <v>370000</v>
      </c>
      <c r="Q347" s="173" t="s">
        <v>134</v>
      </c>
      <c r="R347" s="173" t="s">
        <v>135</v>
      </c>
    </row>
    <row r="348" spans="5:18" ht="13.5" customHeight="1" x14ac:dyDescent="0.35">
      <c r="E348" s="173" t="s">
        <v>128</v>
      </c>
      <c r="F348" s="173" t="s">
        <v>129</v>
      </c>
      <c r="G348" s="173">
        <v>384</v>
      </c>
      <c r="H348" s="173" t="s">
        <v>164</v>
      </c>
      <c r="I348" s="173">
        <v>5312</v>
      </c>
      <c r="J348" s="173" t="s">
        <v>130</v>
      </c>
      <c r="K348" s="173" t="s">
        <v>196</v>
      </c>
      <c r="L348" s="173" t="s">
        <v>158</v>
      </c>
      <c r="M348" s="173">
        <v>2019</v>
      </c>
      <c r="N348" s="173">
        <v>2019</v>
      </c>
      <c r="O348" s="173" t="s">
        <v>24</v>
      </c>
      <c r="P348" s="173">
        <v>410000</v>
      </c>
      <c r="Q348" s="173" t="s">
        <v>134</v>
      </c>
      <c r="R348" s="173" t="s">
        <v>135</v>
      </c>
    </row>
    <row r="349" spans="5:18" ht="13.5" customHeight="1" x14ac:dyDescent="0.35">
      <c r="E349" s="173" t="s">
        <v>128</v>
      </c>
      <c r="F349" s="173" t="s">
        <v>129</v>
      </c>
      <c r="G349" s="173">
        <v>384</v>
      </c>
      <c r="H349" s="173" t="s">
        <v>164</v>
      </c>
      <c r="I349" s="173">
        <v>5312</v>
      </c>
      <c r="J349" s="173" t="s">
        <v>130</v>
      </c>
      <c r="K349" s="173" t="s">
        <v>196</v>
      </c>
      <c r="L349" s="173" t="s">
        <v>158</v>
      </c>
      <c r="M349" s="173">
        <v>2020</v>
      </c>
      <c r="N349" s="173">
        <v>2020</v>
      </c>
      <c r="O349" s="173" t="s">
        <v>24</v>
      </c>
      <c r="P349" s="173">
        <v>440000</v>
      </c>
      <c r="Q349" s="173" t="s">
        <v>134</v>
      </c>
      <c r="R349" s="173" t="s">
        <v>135</v>
      </c>
    </row>
    <row r="350" spans="5:18" ht="13.5" customHeight="1" x14ac:dyDescent="0.35">
      <c r="E350" s="173" t="s">
        <v>128</v>
      </c>
      <c r="F350" s="173" t="s">
        <v>129</v>
      </c>
      <c r="G350" s="173">
        <v>384</v>
      </c>
      <c r="H350" s="173" t="s">
        <v>164</v>
      </c>
      <c r="I350" s="173">
        <v>5312</v>
      </c>
      <c r="J350" s="173" t="s">
        <v>130</v>
      </c>
      <c r="K350" s="173" t="s">
        <v>196</v>
      </c>
      <c r="L350" s="173" t="s">
        <v>158</v>
      </c>
      <c r="M350" s="173">
        <v>2021</v>
      </c>
      <c r="N350" s="173">
        <v>2021</v>
      </c>
      <c r="O350" s="173" t="s">
        <v>24</v>
      </c>
      <c r="P350" s="173">
        <v>460000</v>
      </c>
      <c r="Q350" s="173" t="s">
        <v>134</v>
      </c>
      <c r="R350" s="173" t="s">
        <v>135</v>
      </c>
    </row>
    <row r="351" spans="5:18" ht="13.5" customHeight="1" x14ac:dyDescent="0.35">
      <c r="E351" s="173" t="s">
        <v>128</v>
      </c>
      <c r="F351" s="173" t="s">
        <v>129</v>
      </c>
      <c r="G351" s="173">
        <v>384</v>
      </c>
      <c r="H351" s="173" t="s">
        <v>164</v>
      </c>
      <c r="I351" s="173">
        <v>5312</v>
      </c>
      <c r="J351" s="173" t="s">
        <v>130</v>
      </c>
      <c r="K351" s="173">
        <v>1444</v>
      </c>
      <c r="L351" s="173" t="s">
        <v>159</v>
      </c>
      <c r="M351" s="173">
        <v>2015</v>
      </c>
      <c r="N351" s="173">
        <v>2015</v>
      </c>
      <c r="O351" s="173" t="s">
        <v>24</v>
      </c>
      <c r="P351" s="173">
        <v>14770</v>
      </c>
      <c r="Q351" s="173" t="s">
        <v>131</v>
      </c>
      <c r="R351" s="173" t="s">
        <v>132</v>
      </c>
    </row>
    <row r="352" spans="5:18" ht="13.5" customHeight="1" x14ac:dyDescent="0.35">
      <c r="E352" s="173" t="s">
        <v>128</v>
      </c>
      <c r="F352" s="173" t="s">
        <v>129</v>
      </c>
      <c r="G352" s="173">
        <v>384</v>
      </c>
      <c r="H352" s="173" t="s">
        <v>164</v>
      </c>
      <c r="I352" s="173">
        <v>5312</v>
      </c>
      <c r="J352" s="173" t="s">
        <v>130</v>
      </c>
      <c r="K352" s="173">
        <v>1444</v>
      </c>
      <c r="L352" s="173" t="s">
        <v>159</v>
      </c>
      <c r="M352" s="173">
        <v>2016</v>
      </c>
      <c r="N352" s="173">
        <v>2016</v>
      </c>
      <c r="O352" s="173" t="s">
        <v>24</v>
      </c>
      <c r="P352" s="173">
        <v>14764</v>
      </c>
      <c r="Q352" s="173" t="s">
        <v>131</v>
      </c>
      <c r="R352" s="173" t="s">
        <v>132</v>
      </c>
    </row>
    <row r="353" spans="5:18" ht="13.5" customHeight="1" x14ac:dyDescent="0.35">
      <c r="E353" s="173" t="s">
        <v>128</v>
      </c>
      <c r="F353" s="173" t="s">
        <v>129</v>
      </c>
      <c r="G353" s="173">
        <v>384</v>
      </c>
      <c r="H353" s="173" t="s">
        <v>164</v>
      </c>
      <c r="I353" s="173">
        <v>5312</v>
      </c>
      <c r="J353" s="173" t="s">
        <v>130</v>
      </c>
      <c r="K353" s="173">
        <v>1444</v>
      </c>
      <c r="L353" s="173" t="s">
        <v>159</v>
      </c>
      <c r="M353" s="173">
        <v>2017</v>
      </c>
      <c r="N353" s="173">
        <v>2017</v>
      </c>
      <c r="O353" s="173" t="s">
        <v>24</v>
      </c>
      <c r="P353" s="173">
        <v>14803</v>
      </c>
      <c r="Q353" s="173" t="s">
        <v>131</v>
      </c>
      <c r="R353" s="173" t="s">
        <v>132</v>
      </c>
    </row>
    <row r="354" spans="5:18" ht="13.5" customHeight="1" x14ac:dyDescent="0.35">
      <c r="E354" s="173" t="s">
        <v>128</v>
      </c>
      <c r="F354" s="173" t="s">
        <v>129</v>
      </c>
      <c r="G354" s="173">
        <v>384</v>
      </c>
      <c r="H354" s="173" t="s">
        <v>164</v>
      </c>
      <c r="I354" s="173">
        <v>5312</v>
      </c>
      <c r="J354" s="173" t="s">
        <v>130</v>
      </c>
      <c r="K354" s="173">
        <v>1444</v>
      </c>
      <c r="L354" s="173" t="s">
        <v>159</v>
      </c>
      <c r="M354" s="173">
        <v>2018</v>
      </c>
      <c r="N354" s="173">
        <v>2018</v>
      </c>
      <c r="O354" s="173" t="s">
        <v>24</v>
      </c>
      <c r="P354" s="173">
        <v>14541</v>
      </c>
      <c r="Q354" s="173" t="s">
        <v>131</v>
      </c>
      <c r="R354" s="173" t="s">
        <v>132</v>
      </c>
    </row>
    <row r="355" spans="5:18" ht="13.5" customHeight="1" x14ac:dyDescent="0.35">
      <c r="E355" s="173" t="s">
        <v>128</v>
      </c>
      <c r="F355" s="173" t="s">
        <v>129</v>
      </c>
      <c r="G355" s="173">
        <v>384</v>
      </c>
      <c r="H355" s="173" t="s">
        <v>164</v>
      </c>
      <c r="I355" s="173">
        <v>5312</v>
      </c>
      <c r="J355" s="173" t="s">
        <v>130</v>
      </c>
      <c r="K355" s="173">
        <v>1444</v>
      </c>
      <c r="L355" s="173" t="s">
        <v>159</v>
      </c>
      <c r="M355" s="173">
        <v>2019</v>
      </c>
      <c r="N355" s="173">
        <v>2019</v>
      </c>
      <c r="O355" s="173" t="s">
        <v>24</v>
      </c>
      <c r="P355" s="173">
        <v>14484</v>
      </c>
      <c r="Q355" s="173" t="s">
        <v>131</v>
      </c>
      <c r="R355" s="173" t="s">
        <v>132</v>
      </c>
    </row>
    <row r="356" spans="5:18" ht="13.5" customHeight="1" x14ac:dyDescent="0.35">
      <c r="E356" s="173" t="s">
        <v>128</v>
      </c>
      <c r="F356" s="173" t="s">
        <v>129</v>
      </c>
      <c r="G356" s="173">
        <v>384</v>
      </c>
      <c r="H356" s="173" t="s">
        <v>164</v>
      </c>
      <c r="I356" s="173">
        <v>5312</v>
      </c>
      <c r="J356" s="173" t="s">
        <v>130</v>
      </c>
      <c r="K356" s="173">
        <v>1444</v>
      </c>
      <c r="L356" s="173" t="s">
        <v>159</v>
      </c>
      <c r="M356" s="173">
        <v>2020</v>
      </c>
      <c r="N356" s="173">
        <v>2020</v>
      </c>
      <c r="O356" s="173" t="s">
        <v>24</v>
      </c>
      <c r="P356" s="173">
        <v>14396</v>
      </c>
      <c r="Q356" s="173" t="s">
        <v>131</v>
      </c>
      <c r="R356" s="173" t="s">
        <v>132</v>
      </c>
    </row>
    <row r="357" spans="5:18" ht="13.5" customHeight="1" x14ac:dyDescent="0.35">
      <c r="E357" s="173" t="s">
        <v>128</v>
      </c>
      <c r="F357" s="173" t="s">
        <v>129</v>
      </c>
      <c r="G357" s="173">
        <v>384</v>
      </c>
      <c r="H357" s="173" t="s">
        <v>164</v>
      </c>
      <c r="I357" s="173">
        <v>5312</v>
      </c>
      <c r="J357" s="173" t="s">
        <v>130</v>
      </c>
      <c r="K357" s="173">
        <v>1444</v>
      </c>
      <c r="L357" s="173" t="s">
        <v>159</v>
      </c>
      <c r="M357" s="173">
        <v>2021</v>
      </c>
      <c r="N357" s="173">
        <v>2021</v>
      </c>
      <c r="O357" s="173" t="s">
        <v>24</v>
      </c>
      <c r="P357" s="173">
        <v>14352</v>
      </c>
      <c r="Q357" s="173" t="s">
        <v>131</v>
      </c>
      <c r="R357" s="173" t="s">
        <v>132</v>
      </c>
    </row>
    <row r="358" spans="5:18" ht="13.5" customHeight="1" x14ac:dyDescent="0.35">
      <c r="E358" s="173" t="s">
        <v>128</v>
      </c>
      <c r="F358" s="173" t="s">
        <v>129</v>
      </c>
      <c r="G358" s="173">
        <v>384</v>
      </c>
      <c r="H358" s="173" t="s">
        <v>164</v>
      </c>
      <c r="I358" s="173">
        <v>5312</v>
      </c>
      <c r="J358" s="173" t="s">
        <v>130</v>
      </c>
      <c r="K358" s="173">
        <v>114</v>
      </c>
      <c r="L358" s="173" t="s">
        <v>68</v>
      </c>
      <c r="M358" s="173">
        <v>2015</v>
      </c>
      <c r="N358" s="173">
        <v>2015</v>
      </c>
      <c r="O358" s="173" t="s">
        <v>24</v>
      </c>
      <c r="P358" s="173">
        <v>80264</v>
      </c>
      <c r="Q358" s="173" t="s">
        <v>131</v>
      </c>
      <c r="R358" s="173" t="s">
        <v>132</v>
      </c>
    </row>
    <row r="359" spans="5:18" ht="13.5" customHeight="1" x14ac:dyDescent="0.35">
      <c r="E359" s="173" t="s">
        <v>128</v>
      </c>
      <c r="F359" s="173" t="s">
        <v>129</v>
      </c>
      <c r="G359" s="173">
        <v>384</v>
      </c>
      <c r="H359" s="173" t="s">
        <v>164</v>
      </c>
      <c r="I359" s="173">
        <v>5312</v>
      </c>
      <c r="J359" s="173" t="s">
        <v>130</v>
      </c>
      <c r="K359" s="173">
        <v>114</v>
      </c>
      <c r="L359" s="173" t="s">
        <v>68</v>
      </c>
      <c r="M359" s="173">
        <v>2016</v>
      </c>
      <c r="N359" s="173">
        <v>2016</v>
      </c>
      <c r="O359" s="173" t="s">
        <v>24</v>
      </c>
      <c r="P359" s="173">
        <v>85796</v>
      </c>
      <c r="Q359" s="173" t="s">
        <v>131</v>
      </c>
      <c r="R359" s="173" t="s">
        <v>132</v>
      </c>
    </row>
    <row r="360" spans="5:18" ht="13.5" customHeight="1" x14ac:dyDescent="0.35">
      <c r="E360" s="173" t="s">
        <v>128</v>
      </c>
      <c r="F360" s="173" t="s">
        <v>129</v>
      </c>
      <c r="G360" s="173">
        <v>384</v>
      </c>
      <c r="H360" s="173" t="s">
        <v>164</v>
      </c>
      <c r="I360" s="173">
        <v>5312</v>
      </c>
      <c r="J360" s="173" t="s">
        <v>130</v>
      </c>
      <c r="K360" s="173">
        <v>114</v>
      </c>
      <c r="L360" s="173" t="s">
        <v>68</v>
      </c>
      <c r="M360" s="173">
        <v>2017</v>
      </c>
      <c r="N360" s="173">
        <v>2017</v>
      </c>
      <c r="O360" s="173" t="s">
        <v>24</v>
      </c>
      <c r="P360" s="173">
        <v>91578</v>
      </c>
      <c r="Q360" s="173" t="s">
        <v>131</v>
      </c>
      <c r="R360" s="173" t="s">
        <v>132</v>
      </c>
    </row>
    <row r="361" spans="5:18" ht="13.5" customHeight="1" x14ac:dyDescent="0.35">
      <c r="E361" s="173" t="s">
        <v>128</v>
      </c>
      <c r="F361" s="173" t="s">
        <v>129</v>
      </c>
      <c r="G361" s="173">
        <v>384</v>
      </c>
      <c r="H361" s="173" t="s">
        <v>164</v>
      </c>
      <c r="I361" s="173">
        <v>5312</v>
      </c>
      <c r="J361" s="173" t="s">
        <v>130</v>
      </c>
      <c r="K361" s="173">
        <v>114</v>
      </c>
      <c r="L361" s="173" t="s">
        <v>68</v>
      </c>
      <c r="M361" s="173">
        <v>2018</v>
      </c>
      <c r="N361" s="173">
        <v>2018</v>
      </c>
      <c r="O361" s="173" t="s">
        <v>24</v>
      </c>
      <c r="P361" s="173">
        <v>93835</v>
      </c>
      <c r="Q361" s="173" t="s">
        <v>131</v>
      </c>
      <c r="R361" s="173" t="s">
        <v>132</v>
      </c>
    </row>
    <row r="362" spans="5:18" ht="13.5" customHeight="1" x14ac:dyDescent="0.35">
      <c r="E362" s="173" t="s">
        <v>128</v>
      </c>
      <c r="F362" s="173" t="s">
        <v>129</v>
      </c>
      <c r="G362" s="173">
        <v>384</v>
      </c>
      <c r="H362" s="173" t="s">
        <v>164</v>
      </c>
      <c r="I362" s="173">
        <v>5312</v>
      </c>
      <c r="J362" s="173" t="s">
        <v>130</v>
      </c>
      <c r="K362" s="173">
        <v>114</v>
      </c>
      <c r="L362" s="173" t="s">
        <v>68</v>
      </c>
      <c r="M362" s="173">
        <v>2019</v>
      </c>
      <c r="N362" s="173">
        <v>2019</v>
      </c>
      <c r="O362" s="173" t="s">
        <v>24</v>
      </c>
      <c r="P362" s="173">
        <v>96458</v>
      </c>
      <c r="Q362" s="173" t="s">
        <v>131</v>
      </c>
      <c r="R362" s="173" t="s">
        <v>132</v>
      </c>
    </row>
    <row r="363" spans="5:18" ht="13.5" customHeight="1" x14ac:dyDescent="0.35">
      <c r="E363" s="173" t="s">
        <v>128</v>
      </c>
      <c r="F363" s="173" t="s">
        <v>129</v>
      </c>
      <c r="G363" s="173">
        <v>384</v>
      </c>
      <c r="H363" s="173" t="s">
        <v>164</v>
      </c>
      <c r="I363" s="173">
        <v>5312</v>
      </c>
      <c r="J363" s="173" t="s">
        <v>130</v>
      </c>
      <c r="K363" s="173">
        <v>114</v>
      </c>
      <c r="L363" s="173" t="s">
        <v>68</v>
      </c>
      <c r="M363" s="173">
        <v>2020</v>
      </c>
      <c r="N363" s="173">
        <v>2020</v>
      </c>
      <c r="O363" s="173" t="s">
        <v>24</v>
      </c>
      <c r="P363" s="173">
        <v>101464</v>
      </c>
      <c r="Q363" s="173" t="s">
        <v>131</v>
      </c>
      <c r="R363" s="173" t="s">
        <v>132</v>
      </c>
    </row>
    <row r="364" spans="5:18" ht="13.5" customHeight="1" x14ac:dyDescent="0.35">
      <c r="E364" s="173" t="s">
        <v>128</v>
      </c>
      <c r="F364" s="173" t="s">
        <v>129</v>
      </c>
      <c r="G364" s="173">
        <v>384</v>
      </c>
      <c r="H364" s="173" t="s">
        <v>164</v>
      </c>
      <c r="I364" s="173">
        <v>5312</v>
      </c>
      <c r="J364" s="173" t="s">
        <v>130</v>
      </c>
      <c r="K364" s="173">
        <v>114</v>
      </c>
      <c r="L364" s="173" t="s">
        <v>68</v>
      </c>
      <c r="M364" s="173">
        <v>2021</v>
      </c>
      <c r="N364" s="173">
        <v>2021</v>
      </c>
      <c r="O364" s="173" t="s">
        <v>24</v>
      </c>
      <c r="P364" s="173">
        <v>97691</v>
      </c>
      <c r="Q364" s="173" t="s">
        <v>131</v>
      </c>
      <c r="R364" s="173" t="s">
        <v>132</v>
      </c>
    </row>
    <row r="365" spans="5:18" ht="13.5" customHeight="1" x14ac:dyDescent="0.35">
      <c r="E365" s="173" t="s">
        <v>128</v>
      </c>
      <c r="F365" s="173" t="s">
        <v>129</v>
      </c>
      <c r="G365" s="173">
        <v>384</v>
      </c>
      <c r="H365" s="173" t="s">
        <v>164</v>
      </c>
      <c r="I365" s="173">
        <v>5312</v>
      </c>
      <c r="J365" s="173" t="s">
        <v>130</v>
      </c>
      <c r="K365" s="173">
        <v>141</v>
      </c>
      <c r="L365" s="173" t="s">
        <v>160</v>
      </c>
      <c r="M365" s="173">
        <v>2015</v>
      </c>
      <c r="N365" s="173">
        <v>2015</v>
      </c>
      <c r="O365" s="173" t="s">
        <v>24</v>
      </c>
      <c r="P365" s="173">
        <v>330</v>
      </c>
      <c r="Q365" s="173" t="s">
        <v>109</v>
      </c>
      <c r="R365" s="173" t="s">
        <v>110</v>
      </c>
    </row>
    <row r="366" spans="5:18" ht="13.5" customHeight="1" x14ac:dyDescent="0.35">
      <c r="E366" s="173" t="s">
        <v>128</v>
      </c>
      <c r="F366" s="173" t="s">
        <v>129</v>
      </c>
      <c r="G366" s="173">
        <v>384</v>
      </c>
      <c r="H366" s="173" t="s">
        <v>164</v>
      </c>
      <c r="I366" s="173">
        <v>5312</v>
      </c>
      <c r="J366" s="173" t="s">
        <v>130</v>
      </c>
      <c r="K366" s="173">
        <v>141</v>
      </c>
      <c r="L366" s="173" t="s">
        <v>160</v>
      </c>
      <c r="M366" s="173">
        <v>2016</v>
      </c>
      <c r="N366" s="173">
        <v>2016</v>
      </c>
      <c r="O366" s="173" t="s">
        <v>24</v>
      </c>
      <c r="P366" s="173">
        <v>460</v>
      </c>
      <c r="Q366" s="173" t="s">
        <v>109</v>
      </c>
      <c r="R366" s="173" t="s">
        <v>110</v>
      </c>
    </row>
    <row r="367" spans="5:18" ht="13.5" customHeight="1" x14ac:dyDescent="0.35">
      <c r="E367" s="173" t="s">
        <v>128</v>
      </c>
      <c r="F367" s="173" t="s">
        <v>129</v>
      </c>
      <c r="G367" s="173">
        <v>384</v>
      </c>
      <c r="H367" s="173" t="s">
        <v>164</v>
      </c>
      <c r="I367" s="173">
        <v>5312</v>
      </c>
      <c r="J367" s="173" t="s">
        <v>130</v>
      </c>
      <c r="K367" s="173">
        <v>141</v>
      </c>
      <c r="L367" s="173" t="s">
        <v>160</v>
      </c>
      <c r="M367" s="173">
        <v>2017</v>
      </c>
      <c r="N367" s="173">
        <v>2017</v>
      </c>
      <c r="O367" s="173" t="s">
        <v>24</v>
      </c>
      <c r="P367" s="173">
        <v>364</v>
      </c>
      <c r="Q367" s="173" t="s">
        <v>109</v>
      </c>
      <c r="R367" s="173" t="s">
        <v>110</v>
      </c>
    </row>
    <row r="368" spans="5:18" ht="13.5" customHeight="1" x14ac:dyDescent="0.35">
      <c r="E368" s="173" t="s">
        <v>128</v>
      </c>
      <c r="F368" s="173" t="s">
        <v>129</v>
      </c>
      <c r="G368" s="173">
        <v>384</v>
      </c>
      <c r="H368" s="173" t="s">
        <v>164</v>
      </c>
      <c r="I368" s="173">
        <v>5312</v>
      </c>
      <c r="J368" s="173" t="s">
        <v>130</v>
      </c>
      <c r="K368" s="173">
        <v>141</v>
      </c>
      <c r="L368" s="173" t="s">
        <v>160</v>
      </c>
      <c r="M368" s="173">
        <v>2018</v>
      </c>
      <c r="N368" s="173">
        <v>2018</v>
      </c>
      <c r="O368" s="173" t="s">
        <v>24</v>
      </c>
      <c r="P368" s="173">
        <v>385</v>
      </c>
      <c r="Q368" s="173" t="s">
        <v>109</v>
      </c>
      <c r="R368" s="173" t="s">
        <v>110</v>
      </c>
    </row>
    <row r="369" spans="5:18" ht="13.5" customHeight="1" x14ac:dyDescent="0.35">
      <c r="E369" s="173" t="s">
        <v>128</v>
      </c>
      <c r="F369" s="173" t="s">
        <v>129</v>
      </c>
      <c r="G369" s="173">
        <v>384</v>
      </c>
      <c r="H369" s="173" t="s">
        <v>164</v>
      </c>
      <c r="I369" s="173">
        <v>5312</v>
      </c>
      <c r="J369" s="173" t="s">
        <v>130</v>
      </c>
      <c r="K369" s="173">
        <v>141</v>
      </c>
      <c r="L369" s="173" t="s">
        <v>160</v>
      </c>
      <c r="M369" s="173">
        <v>2019</v>
      </c>
      <c r="N369" s="173">
        <v>2019</v>
      </c>
      <c r="O369" s="173" t="s">
        <v>24</v>
      </c>
      <c r="P369" s="173">
        <v>403</v>
      </c>
      <c r="Q369" s="173" t="s">
        <v>109</v>
      </c>
      <c r="R369" s="173" t="s">
        <v>110</v>
      </c>
    </row>
    <row r="370" spans="5:18" ht="13.5" customHeight="1" x14ac:dyDescent="0.35">
      <c r="E370" s="173" t="s">
        <v>128</v>
      </c>
      <c r="F370" s="173" t="s">
        <v>129</v>
      </c>
      <c r="G370" s="173">
        <v>384</v>
      </c>
      <c r="H370" s="173" t="s">
        <v>164</v>
      </c>
      <c r="I370" s="173">
        <v>5312</v>
      </c>
      <c r="J370" s="173" t="s">
        <v>130</v>
      </c>
      <c r="K370" s="173">
        <v>141</v>
      </c>
      <c r="L370" s="173" t="s">
        <v>160</v>
      </c>
      <c r="M370" s="173">
        <v>2020</v>
      </c>
      <c r="N370" s="173">
        <v>2020</v>
      </c>
      <c r="O370" s="173" t="s">
        <v>24</v>
      </c>
      <c r="P370" s="173">
        <v>384</v>
      </c>
      <c r="Q370" s="173" t="s">
        <v>109</v>
      </c>
      <c r="R370" s="173" t="s">
        <v>110</v>
      </c>
    </row>
    <row r="371" spans="5:18" ht="13.5" customHeight="1" x14ac:dyDescent="0.35">
      <c r="E371" s="173" t="s">
        <v>128</v>
      </c>
      <c r="F371" s="173" t="s">
        <v>129</v>
      </c>
      <c r="G371" s="173">
        <v>384</v>
      </c>
      <c r="H371" s="173" t="s">
        <v>164</v>
      </c>
      <c r="I371" s="173">
        <v>5312</v>
      </c>
      <c r="J371" s="173" t="s">
        <v>130</v>
      </c>
      <c r="K371" s="173">
        <v>141</v>
      </c>
      <c r="L371" s="173" t="s">
        <v>160</v>
      </c>
      <c r="M371" s="173">
        <v>2021</v>
      </c>
      <c r="N371" s="173">
        <v>2021</v>
      </c>
      <c r="O371" s="173" t="s">
        <v>24</v>
      </c>
      <c r="P371" s="173">
        <v>391</v>
      </c>
      <c r="Q371" s="173" t="s">
        <v>109</v>
      </c>
      <c r="R371" s="173" t="s">
        <v>110</v>
      </c>
    </row>
    <row r="372" spans="5:18" ht="13.5" customHeight="1" x14ac:dyDescent="0.35">
      <c r="E372" s="173" t="s">
        <v>128</v>
      </c>
      <c r="F372" s="173" t="s">
        <v>129</v>
      </c>
      <c r="G372" s="173">
        <v>384</v>
      </c>
      <c r="H372" s="173" t="s">
        <v>164</v>
      </c>
      <c r="I372" s="173">
        <v>5312</v>
      </c>
      <c r="J372" s="173" t="s">
        <v>130</v>
      </c>
      <c r="K372" s="173" t="s">
        <v>197</v>
      </c>
      <c r="L372" s="173" t="s">
        <v>198</v>
      </c>
      <c r="M372" s="173">
        <v>2015</v>
      </c>
      <c r="N372" s="173">
        <v>2015</v>
      </c>
      <c r="O372" s="173" t="s">
        <v>24</v>
      </c>
      <c r="P372" s="173">
        <v>1446</v>
      </c>
      <c r="Q372" s="173" t="s">
        <v>131</v>
      </c>
      <c r="R372" s="173" t="s">
        <v>132</v>
      </c>
    </row>
    <row r="373" spans="5:18" ht="13.5" customHeight="1" x14ac:dyDescent="0.35">
      <c r="E373" s="173" t="s">
        <v>128</v>
      </c>
      <c r="F373" s="173" t="s">
        <v>129</v>
      </c>
      <c r="G373" s="173">
        <v>384</v>
      </c>
      <c r="H373" s="173" t="s">
        <v>164</v>
      </c>
      <c r="I373" s="173">
        <v>5312</v>
      </c>
      <c r="J373" s="173" t="s">
        <v>130</v>
      </c>
      <c r="K373" s="173" t="s">
        <v>197</v>
      </c>
      <c r="L373" s="173" t="s">
        <v>198</v>
      </c>
      <c r="M373" s="173">
        <v>2016</v>
      </c>
      <c r="N373" s="173">
        <v>2016</v>
      </c>
      <c r="O373" s="173" t="s">
        <v>24</v>
      </c>
      <c r="P373" s="173">
        <v>1439</v>
      </c>
      <c r="Q373" s="173" t="s">
        <v>131</v>
      </c>
      <c r="R373" s="173" t="s">
        <v>132</v>
      </c>
    </row>
    <row r="374" spans="5:18" ht="13.5" customHeight="1" x14ac:dyDescent="0.35">
      <c r="E374" s="173" t="s">
        <v>128</v>
      </c>
      <c r="F374" s="173" t="s">
        <v>129</v>
      </c>
      <c r="G374" s="173">
        <v>384</v>
      </c>
      <c r="H374" s="173" t="s">
        <v>164</v>
      </c>
      <c r="I374" s="173">
        <v>5312</v>
      </c>
      <c r="J374" s="173" t="s">
        <v>130</v>
      </c>
      <c r="K374" s="173" t="s">
        <v>197</v>
      </c>
      <c r="L374" s="173" t="s">
        <v>198</v>
      </c>
      <c r="M374" s="173">
        <v>2017</v>
      </c>
      <c r="N374" s="173">
        <v>2017</v>
      </c>
      <c r="O374" s="173" t="s">
        <v>24</v>
      </c>
      <c r="P374" s="173">
        <v>1456</v>
      </c>
      <c r="Q374" s="173" t="s">
        <v>131</v>
      </c>
      <c r="R374" s="173" t="s">
        <v>132</v>
      </c>
    </row>
    <row r="375" spans="5:18" ht="13.5" customHeight="1" x14ac:dyDescent="0.35">
      <c r="E375" s="173" t="s">
        <v>128</v>
      </c>
      <c r="F375" s="173" t="s">
        <v>129</v>
      </c>
      <c r="G375" s="173">
        <v>384</v>
      </c>
      <c r="H375" s="173" t="s">
        <v>164</v>
      </c>
      <c r="I375" s="173">
        <v>5312</v>
      </c>
      <c r="J375" s="173" t="s">
        <v>130</v>
      </c>
      <c r="K375" s="173" t="s">
        <v>197</v>
      </c>
      <c r="L375" s="173" t="s">
        <v>198</v>
      </c>
      <c r="M375" s="173">
        <v>2018</v>
      </c>
      <c r="N375" s="173">
        <v>2018</v>
      </c>
      <c r="O375" s="173" t="s">
        <v>24</v>
      </c>
      <c r="P375" s="173">
        <v>1485</v>
      </c>
      <c r="Q375" s="173" t="s">
        <v>131</v>
      </c>
      <c r="R375" s="173" t="s">
        <v>132</v>
      </c>
    </row>
    <row r="376" spans="5:18" ht="13.5" customHeight="1" x14ac:dyDescent="0.35">
      <c r="E376" s="173" t="s">
        <v>128</v>
      </c>
      <c r="F376" s="173" t="s">
        <v>129</v>
      </c>
      <c r="G376" s="173">
        <v>384</v>
      </c>
      <c r="H376" s="173" t="s">
        <v>164</v>
      </c>
      <c r="I376" s="173">
        <v>5312</v>
      </c>
      <c r="J376" s="173" t="s">
        <v>130</v>
      </c>
      <c r="K376" s="173" t="s">
        <v>197</v>
      </c>
      <c r="L376" s="173" t="s">
        <v>198</v>
      </c>
      <c r="M376" s="173">
        <v>2019</v>
      </c>
      <c r="N376" s="173">
        <v>2019</v>
      </c>
      <c r="O376" s="173" t="s">
        <v>24</v>
      </c>
      <c r="P376" s="173">
        <v>1487</v>
      </c>
      <c r="Q376" s="173" t="s">
        <v>131</v>
      </c>
      <c r="R376" s="173" t="s">
        <v>132</v>
      </c>
    </row>
    <row r="377" spans="5:18" ht="13.5" customHeight="1" x14ac:dyDescent="0.35">
      <c r="E377" s="173" t="s">
        <v>128</v>
      </c>
      <c r="F377" s="173" t="s">
        <v>129</v>
      </c>
      <c r="G377" s="173">
        <v>384</v>
      </c>
      <c r="H377" s="173" t="s">
        <v>164</v>
      </c>
      <c r="I377" s="173">
        <v>5312</v>
      </c>
      <c r="J377" s="173" t="s">
        <v>130</v>
      </c>
      <c r="K377" s="173" t="s">
        <v>197</v>
      </c>
      <c r="L377" s="173" t="s">
        <v>198</v>
      </c>
      <c r="M377" s="173">
        <v>2020</v>
      </c>
      <c r="N377" s="173">
        <v>2020</v>
      </c>
      <c r="O377" s="173" t="s">
        <v>24</v>
      </c>
      <c r="P377" s="173">
        <v>1501</v>
      </c>
      <c r="Q377" s="173" t="s">
        <v>131</v>
      </c>
      <c r="R377" s="173" t="s">
        <v>132</v>
      </c>
    </row>
    <row r="378" spans="5:18" ht="13.5" customHeight="1" x14ac:dyDescent="0.35">
      <c r="E378" s="173" t="s">
        <v>128</v>
      </c>
      <c r="F378" s="173" t="s">
        <v>129</v>
      </c>
      <c r="G378" s="173">
        <v>384</v>
      </c>
      <c r="H378" s="173" t="s">
        <v>164</v>
      </c>
      <c r="I378" s="173">
        <v>5312</v>
      </c>
      <c r="J378" s="173" t="s">
        <v>130</v>
      </c>
      <c r="K378" s="173" t="s">
        <v>197</v>
      </c>
      <c r="L378" s="173" t="s">
        <v>198</v>
      </c>
      <c r="M378" s="173">
        <v>2021</v>
      </c>
      <c r="N378" s="173">
        <v>2021</v>
      </c>
      <c r="O378" s="173" t="s">
        <v>24</v>
      </c>
      <c r="P378" s="173">
        <v>1514</v>
      </c>
      <c r="Q378" s="173" t="s">
        <v>131</v>
      </c>
      <c r="R378" s="173" t="s">
        <v>132</v>
      </c>
    </row>
    <row r="379" spans="5:18" ht="13.5" customHeight="1" x14ac:dyDescent="0.35">
      <c r="E379" s="173" t="s">
        <v>128</v>
      </c>
      <c r="F379" s="173" t="s">
        <v>129</v>
      </c>
      <c r="G379" s="173">
        <v>384</v>
      </c>
      <c r="H379" s="173" t="s">
        <v>164</v>
      </c>
      <c r="I379" s="173">
        <v>5312</v>
      </c>
      <c r="J379" s="173" t="s">
        <v>130</v>
      </c>
      <c r="K379" s="173">
        <v>1802</v>
      </c>
      <c r="L379" s="173" t="s">
        <v>119</v>
      </c>
      <c r="M379" s="173">
        <v>2015</v>
      </c>
      <c r="N379" s="173">
        <v>2015</v>
      </c>
      <c r="O379" s="173" t="s">
        <v>24</v>
      </c>
      <c r="P379" s="173">
        <v>25804</v>
      </c>
      <c r="Q379" s="173" t="s">
        <v>131</v>
      </c>
      <c r="R379" s="173" t="s">
        <v>132</v>
      </c>
    </row>
    <row r="380" spans="5:18" ht="13.5" customHeight="1" x14ac:dyDescent="0.35">
      <c r="E380" s="173" t="s">
        <v>128</v>
      </c>
      <c r="F380" s="173" t="s">
        <v>129</v>
      </c>
      <c r="G380" s="173">
        <v>384</v>
      </c>
      <c r="H380" s="173" t="s">
        <v>164</v>
      </c>
      <c r="I380" s="173">
        <v>5312</v>
      </c>
      <c r="J380" s="173" t="s">
        <v>130</v>
      </c>
      <c r="K380" s="173">
        <v>1802</v>
      </c>
      <c r="L380" s="173" t="s">
        <v>119</v>
      </c>
      <c r="M380" s="173">
        <v>2016</v>
      </c>
      <c r="N380" s="173">
        <v>2016</v>
      </c>
      <c r="O380" s="173" t="s">
        <v>24</v>
      </c>
      <c r="P380" s="173">
        <v>23542</v>
      </c>
      <c r="Q380" s="173" t="s">
        <v>131</v>
      </c>
      <c r="R380" s="173" t="s">
        <v>132</v>
      </c>
    </row>
    <row r="381" spans="5:18" ht="13.5" customHeight="1" x14ac:dyDescent="0.35">
      <c r="E381" s="173" t="s">
        <v>128</v>
      </c>
      <c r="F381" s="173" t="s">
        <v>129</v>
      </c>
      <c r="G381" s="173">
        <v>384</v>
      </c>
      <c r="H381" s="173" t="s">
        <v>164</v>
      </c>
      <c r="I381" s="173">
        <v>5312</v>
      </c>
      <c r="J381" s="173" t="s">
        <v>130</v>
      </c>
      <c r="K381" s="173">
        <v>1802</v>
      </c>
      <c r="L381" s="173" t="s">
        <v>119</v>
      </c>
      <c r="M381" s="173">
        <v>2017</v>
      </c>
      <c r="N381" s="173">
        <v>2017</v>
      </c>
      <c r="O381" s="173" t="s">
        <v>24</v>
      </c>
      <c r="P381" s="173">
        <v>24198</v>
      </c>
      <c r="Q381" s="173" t="s">
        <v>131</v>
      </c>
      <c r="R381" s="173" t="s">
        <v>132</v>
      </c>
    </row>
    <row r="382" spans="5:18" ht="13.5" customHeight="1" x14ac:dyDescent="0.35">
      <c r="E382" s="173" t="s">
        <v>128</v>
      </c>
      <c r="F382" s="173" t="s">
        <v>129</v>
      </c>
      <c r="G382" s="173">
        <v>384</v>
      </c>
      <c r="H382" s="173" t="s">
        <v>164</v>
      </c>
      <c r="I382" s="173">
        <v>5312</v>
      </c>
      <c r="J382" s="173" t="s">
        <v>130</v>
      </c>
      <c r="K382" s="173">
        <v>1802</v>
      </c>
      <c r="L382" s="173" t="s">
        <v>119</v>
      </c>
      <c r="M382" s="173">
        <v>2018</v>
      </c>
      <c r="N382" s="173">
        <v>2018</v>
      </c>
      <c r="O382" s="173" t="s">
        <v>24</v>
      </c>
      <c r="P382" s="173">
        <v>25388</v>
      </c>
      <c r="Q382" s="173" t="s">
        <v>131</v>
      </c>
      <c r="R382" s="173" t="s">
        <v>132</v>
      </c>
    </row>
    <row r="383" spans="5:18" ht="13.5" customHeight="1" x14ac:dyDescent="0.35">
      <c r="E383" s="173" t="s">
        <v>128</v>
      </c>
      <c r="F383" s="173" t="s">
        <v>129</v>
      </c>
      <c r="G383" s="173">
        <v>384</v>
      </c>
      <c r="H383" s="173" t="s">
        <v>164</v>
      </c>
      <c r="I383" s="173">
        <v>5312</v>
      </c>
      <c r="J383" s="173" t="s">
        <v>130</v>
      </c>
      <c r="K383" s="173">
        <v>1802</v>
      </c>
      <c r="L383" s="173" t="s">
        <v>119</v>
      </c>
      <c r="M383" s="173">
        <v>2019</v>
      </c>
      <c r="N383" s="173">
        <v>2019</v>
      </c>
      <c r="O383" s="173" t="s">
        <v>24</v>
      </c>
      <c r="P383" s="173">
        <v>25906</v>
      </c>
      <c r="Q383" s="173" t="s">
        <v>131</v>
      </c>
      <c r="R383" s="173" t="s">
        <v>132</v>
      </c>
    </row>
    <row r="384" spans="5:18" ht="13.5" customHeight="1" x14ac:dyDescent="0.35">
      <c r="E384" s="173" t="s">
        <v>128</v>
      </c>
      <c r="F384" s="173" t="s">
        <v>129</v>
      </c>
      <c r="G384" s="173">
        <v>384</v>
      </c>
      <c r="H384" s="173" t="s">
        <v>164</v>
      </c>
      <c r="I384" s="173">
        <v>5312</v>
      </c>
      <c r="J384" s="173" t="s">
        <v>130</v>
      </c>
      <c r="K384" s="173">
        <v>1802</v>
      </c>
      <c r="L384" s="173" t="s">
        <v>119</v>
      </c>
      <c r="M384" s="173">
        <v>2020</v>
      </c>
      <c r="N384" s="173">
        <v>2020</v>
      </c>
      <c r="O384" s="173" t="s">
        <v>24</v>
      </c>
      <c r="P384" s="173">
        <v>25621</v>
      </c>
      <c r="Q384" s="173" t="s">
        <v>131</v>
      </c>
      <c r="R384" s="173" t="s">
        <v>132</v>
      </c>
    </row>
    <row r="385" spans="5:18" ht="13.5" customHeight="1" x14ac:dyDescent="0.35">
      <c r="E385" s="173" t="s">
        <v>128</v>
      </c>
      <c r="F385" s="173" t="s">
        <v>129</v>
      </c>
      <c r="G385" s="173">
        <v>384</v>
      </c>
      <c r="H385" s="173" t="s">
        <v>164</v>
      </c>
      <c r="I385" s="173">
        <v>5312</v>
      </c>
      <c r="J385" s="173" t="s">
        <v>130</v>
      </c>
      <c r="K385" s="173">
        <v>1802</v>
      </c>
      <c r="L385" s="173" t="s">
        <v>119</v>
      </c>
      <c r="M385" s="173">
        <v>2021</v>
      </c>
      <c r="N385" s="173">
        <v>2021</v>
      </c>
      <c r="O385" s="173" t="s">
        <v>24</v>
      </c>
      <c r="P385" s="173">
        <v>25370</v>
      </c>
      <c r="Q385" s="173" t="s">
        <v>131</v>
      </c>
      <c r="R385" s="173" t="s">
        <v>132</v>
      </c>
    </row>
    <row r="386" spans="5:18" ht="13.5" customHeight="1" x14ac:dyDescent="0.35">
      <c r="E386" s="173" t="s">
        <v>128</v>
      </c>
      <c r="F386" s="173" t="s">
        <v>129</v>
      </c>
      <c r="G386" s="173">
        <v>384</v>
      </c>
      <c r="H386" s="173" t="s">
        <v>164</v>
      </c>
      <c r="I386" s="173">
        <v>5312</v>
      </c>
      <c r="J386" s="173" t="s">
        <v>130</v>
      </c>
      <c r="K386" s="173">
        <v>1530</v>
      </c>
      <c r="L386" s="173" t="s">
        <v>123</v>
      </c>
      <c r="M386" s="173">
        <v>2015</v>
      </c>
      <c r="N386" s="173">
        <v>2015</v>
      </c>
      <c r="O386" s="173" t="s">
        <v>24</v>
      </c>
      <c r="P386" s="173">
        <v>27022</v>
      </c>
      <c r="Q386" s="173" t="s">
        <v>131</v>
      </c>
      <c r="R386" s="173" t="s">
        <v>132</v>
      </c>
    </row>
    <row r="387" spans="5:18" ht="13.5" customHeight="1" x14ac:dyDescent="0.35">
      <c r="E387" s="173" t="s">
        <v>128</v>
      </c>
      <c r="F387" s="173" t="s">
        <v>129</v>
      </c>
      <c r="G387" s="173">
        <v>384</v>
      </c>
      <c r="H387" s="173" t="s">
        <v>164</v>
      </c>
      <c r="I387" s="173">
        <v>5312</v>
      </c>
      <c r="J387" s="173" t="s">
        <v>130</v>
      </c>
      <c r="K387" s="173">
        <v>1530</v>
      </c>
      <c r="L387" s="173" t="s">
        <v>123</v>
      </c>
      <c r="M387" s="173">
        <v>2016</v>
      </c>
      <c r="N387" s="173">
        <v>2016</v>
      </c>
      <c r="O387" s="173" t="s">
        <v>24</v>
      </c>
      <c r="P387" s="173">
        <v>28164</v>
      </c>
      <c r="Q387" s="173" t="s">
        <v>131</v>
      </c>
      <c r="R387" s="173" t="s">
        <v>132</v>
      </c>
    </row>
    <row r="388" spans="5:18" ht="13.5" customHeight="1" x14ac:dyDescent="0.35">
      <c r="E388" s="173" t="s">
        <v>128</v>
      </c>
      <c r="F388" s="173" t="s">
        <v>129</v>
      </c>
      <c r="G388" s="173">
        <v>384</v>
      </c>
      <c r="H388" s="173" t="s">
        <v>164</v>
      </c>
      <c r="I388" s="173">
        <v>5312</v>
      </c>
      <c r="J388" s="173" t="s">
        <v>130</v>
      </c>
      <c r="K388" s="173">
        <v>1530</v>
      </c>
      <c r="L388" s="173" t="s">
        <v>123</v>
      </c>
      <c r="M388" s="173">
        <v>2017</v>
      </c>
      <c r="N388" s="173">
        <v>2017</v>
      </c>
      <c r="O388" s="173" t="s">
        <v>24</v>
      </c>
      <c r="P388" s="173">
        <v>29466</v>
      </c>
      <c r="Q388" s="173" t="s">
        <v>131</v>
      </c>
      <c r="R388" s="173" t="s">
        <v>132</v>
      </c>
    </row>
    <row r="389" spans="5:18" ht="13.5" customHeight="1" x14ac:dyDescent="0.35">
      <c r="E389" s="173" t="s">
        <v>128</v>
      </c>
      <c r="F389" s="173" t="s">
        <v>129</v>
      </c>
      <c r="G389" s="173">
        <v>384</v>
      </c>
      <c r="H389" s="173" t="s">
        <v>164</v>
      </c>
      <c r="I389" s="173">
        <v>5312</v>
      </c>
      <c r="J389" s="173" t="s">
        <v>130</v>
      </c>
      <c r="K389" s="173">
        <v>1530</v>
      </c>
      <c r="L389" s="173" t="s">
        <v>123</v>
      </c>
      <c r="M389" s="173">
        <v>2018</v>
      </c>
      <c r="N389" s="173">
        <v>2018</v>
      </c>
      <c r="O389" s="173" t="s">
        <v>24</v>
      </c>
      <c r="P389" s="173">
        <v>30382</v>
      </c>
      <c r="Q389" s="173" t="s">
        <v>131</v>
      </c>
      <c r="R389" s="173" t="s">
        <v>132</v>
      </c>
    </row>
    <row r="390" spans="5:18" ht="13.5" customHeight="1" x14ac:dyDescent="0.35">
      <c r="E390" s="173" t="s">
        <v>128</v>
      </c>
      <c r="F390" s="173" t="s">
        <v>129</v>
      </c>
      <c r="G390" s="173">
        <v>384</v>
      </c>
      <c r="H390" s="173" t="s">
        <v>164</v>
      </c>
      <c r="I390" s="173">
        <v>5312</v>
      </c>
      <c r="J390" s="173" t="s">
        <v>130</v>
      </c>
      <c r="K390" s="173">
        <v>1530</v>
      </c>
      <c r="L390" s="173" t="s">
        <v>123</v>
      </c>
      <c r="M390" s="173">
        <v>2019</v>
      </c>
      <c r="N390" s="173">
        <v>2019</v>
      </c>
      <c r="O390" s="173" t="s">
        <v>24</v>
      </c>
      <c r="P390" s="173">
        <v>31710</v>
      </c>
      <c r="Q390" s="173" t="s">
        <v>131</v>
      </c>
      <c r="R390" s="173" t="s">
        <v>132</v>
      </c>
    </row>
    <row r="391" spans="5:18" ht="13.5" customHeight="1" x14ac:dyDescent="0.35">
      <c r="E391" s="173" t="s">
        <v>128</v>
      </c>
      <c r="F391" s="173" t="s">
        <v>129</v>
      </c>
      <c r="G391" s="173">
        <v>384</v>
      </c>
      <c r="H391" s="173" t="s">
        <v>164</v>
      </c>
      <c r="I391" s="173">
        <v>5312</v>
      </c>
      <c r="J391" s="173" t="s">
        <v>130</v>
      </c>
      <c r="K391" s="173">
        <v>1530</v>
      </c>
      <c r="L391" s="173" t="s">
        <v>123</v>
      </c>
      <c r="M391" s="173">
        <v>2020</v>
      </c>
      <c r="N391" s="173">
        <v>2020</v>
      </c>
      <c r="O391" s="173" t="s">
        <v>24</v>
      </c>
      <c r="P391" s="173">
        <v>32427</v>
      </c>
      <c r="Q391" s="173" t="s">
        <v>131</v>
      </c>
      <c r="R391" s="173" t="s">
        <v>132</v>
      </c>
    </row>
    <row r="392" spans="5:18" ht="13.5" customHeight="1" x14ac:dyDescent="0.35">
      <c r="E392" s="173" t="s">
        <v>128</v>
      </c>
      <c r="F392" s="173" t="s">
        <v>129</v>
      </c>
      <c r="G392" s="173">
        <v>384</v>
      </c>
      <c r="H392" s="173" t="s">
        <v>164</v>
      </c>
      <c r="I392" s="173">
        <v>5312</v>
      </c>
      <c r="J392" s="173" t="s">
        <v>130</v>
      </c>
      <c r="K392" s="173">
        <v>1530</v>
      </c>
      <c r="L392" s="173" t="s">
        <v>123</v>
      </c>
      <c r="M392" s="173">
        <v>2021</v>
      </c>
      <c r="N392" s="173">
        <v>2021</v>
      </c>
      <c r="O392" s="173" t="s">
        <v>24</v>
      </c>
      <c r="P392" s="173">
        <v>33040</v>
      </c>
      <c r="Q392" s="173" t="s">
        <v>131</v>
      </c>
      <c r="R392" s="173" t="s">
        <v>132</v>
      </c>
    </row>
    <row r="393" spans="5:18" ht="13.5" customHeight="1" x14ac:dyDescent="0.35">
      <c r="E393" s="173" t="s">
        <v>128</v>
      </c>
      <c r="F393" s="173" t="s">
        <v>129</v>
      </c>
      <c r="G393" s="173">
        <v>384</v>
      </c>
      <c r="H393" s="173" t="s">
        <v>164</v>
      </c>
      <c r="I393" s="173">
        <v>5312</v>
      </c>
      <c r="J393" s="173" t="s">
        <v>130</v>
      </c>
      <c r="K393" s="173">
        <v>1550</v>
      </c>
      <c r="L393" s="173" t="s">
        <v>199</v>
      </c>
      <c r="M393" s="173">
        <v>2015</v>
      </c>
      <c r="N393" s="173">
        <v>2015</v>
      </c>
      <c r="O393" s="173" t="s">
        <v>24</v>
      </c>
      <c r="P393" s="173">
        <v>64221</v>
      </c>
      <c r="Q393" s="173" t="s">
        <v>131</v>
      </c>
      <c r="R393" s="173" t="s">
        <v>132</v>
      </c>
    </row>
    <row r="394" spans="5:18" ht="13.5" customHeight="1" x14ac:dyDescent="0.35">
      <c r="E394" s="173" t="s">
        <v>128</v>
      </c>
      <c r="F394" s="173" t="s">
        <v>129</v>
      </c>
      <c r="G394" s="173">
        <v>384</v>
      </c>
      <c r="H394" s="173" t="s">
        <v>164</v>
      </c>
      <c r="I394" s="173">
        <v>5312</v>
      </c>
      <c r="J394" s="173" t="s">
        <v>130</v>
      </c>
      <c r="K394" s="173">
        <v>1550</v>
      </c>
      <c r="L394" s="173" t="s">
        <v>199</v>
      </c>
      <c r="M394" s="173">
        <v>2016</v>
      </c>
      <c r="N394" s="173">
        <v>2016</v>
      </c>
      <c r="O394" s="173" t="s">
        <v>24</v>
      </c>
      <c r="P394" s="173">
        <v>67821</v>
      </c>
      <c r="Q394" s="173" t="s">
        <v>131</v>
      </c>
      <c r="R394" s="173" t="s">
        <v>132</v>
      </c>
    </row>
    <row r="395" spans="5:18" ht="13.5" customHeight="1" x14ac:dyDescent="0.35">
      <c r="E395" s="173" t="s">
        <v>128</v>
      </c>
      <c r="F395" s="173" t="s">
        <v>129</v>
      </c>
      <c r="G395" s="173">
        <v>384</v>
      </c>
      <c r="H395" s="173" t="s">
        <v>164</v>
      </c>
      <c r="I395" s="173">
        <v>5312</v>
      </c>
      <c r="J395" s="173" t="s">
        <v>130</v>
      </c>
      <c r="K395" s="173">
        <v>1550</v>
      </c>
      <c r="L395" s="173" t="s">
        <v>199</v>
      </c>
      <c r="M395" s="173">
        <v>2017</v>
      </c>
      <c r="N395" s="173">
        <v>2017</v>
      </c>
      <c r="O395" s="173" t="s">
        <v>24</v>
      </c>
      <c r="P395" s="173">
        <v>71044</v>
      </c>
      <c r="Q395" s="173" t="s">
        <v>131</v>
      </c>
      <c r="R395" s="173" t="s">
        <v>132</v>
      </c>
    </row>
    <row r="396" spans="5:18" ht="13.5" customHeight="1" x14ac:dyDescent="0.35">
      <c r="E396" s="173" t="s">
        <v>128</v>
      </c>
      <c r="F396" s="173" t="s">
        <v>129</v>
      </c>
      <c r="G396" s="173">
        <v>384</v>
      </c>
      <c r="H396" s="173" t="s">
        <v>164</v>
      </c>
      <c r="I396" s="173">
        <v>5312</v>
      </c>
      <c r="J396" s="173" t="s">
        <v>130</v>
      </c>
      <c r="K396" s="173">
        <v>1550</v>
      </c>
      <c r="L396" s="173" t="s">
        <v>199</v>
      </c>
      <c r="M396" s="173">
        <v>2018</v>
      </c>
      <c r="N396" s="173">
        <v>2018</v>
      </c>
      <c r="O396" s="173" t="s">
        <v>24</v>
      </c>
      <c r="P396" s="173">
        <v>68892</v>
      </c>
      <c r="Q396" s="173" t="s">
        <v>131</v>
      </c>
      <c r="R396" s="173" t="s">
        <v>132</v>
      </c>
    </row>
    <row r="397" spans="5:18" ht="13.5" customHeight="1" x14ac:dyDescent="0.35">
      <c r="E397" s="173" t="s">
        <v>128</v>
      </c>
      <c r="F397" s="173" t="s">
        <v>129</v>
      </c>
      <c r="G397" s="173">
        <v>384</v>
      </c>
      <c r="H397" s="173" t="s">
        <v>164</v>
      </c>
      <c r="I397" s="173">
        <v>5312</v>
      </c>
      <c r="J397" s="173" t="s">
        <v>130</v>
      </c>
      <c r="K397" s="173">
        <v>1550</v>
      </c>
      <c r="L397" s="173" t="s">
        <v>199</v>
      </c>
      <c r="M397" s="173">
        <v>2019</v>
      </c>
      <c r="N397" s="173">
        <v>2019</v>
      </c>
      <c r="O397" s="173" t="s">
        <v>24</v>
      </c>
      <c r="P397" s="173">
        <v>71797</v>
      </c>
      <c r="Q397" s="173" t="s">
        <v>131</v>
      </c>
      <c r="R397" s="173" t="s">
        <v>132</v>
      </c>
    </row>
    <row r="398" spans="5:18" ht="13.5" customHeight="1" x14ac:dyDescent="0.35">
      <c r="E398" s="173" t="s">
        <v>128</v>
      </c>
      <c r="F398" s="173" t="s">
        <v>129</v>
      </c>
      <c r="G398" s="173">
        <v>384</v>
      </c>
      <c r="H398" s="173" t="s">
        <v>164</v>
      </c>
      <c r="I398" s="173">
        <v>5312</v>
      </c>
      <c r="J398" s="173" t="s">
        <v>130</v>
      </c>
      <c r="K398" s="173">
        <v>1550</v>
      </c>
      <c r="L398" s="173" t="s">
        <v>199</v>
      </c>
      <c r="M398" s="173">
        <v>2020</v>
      </c>
      <c r="N398" s="173">
        <v>2020</v>
      </c>
      <c r="O398" s="173" t="s">
        <v>24</v>
      </c>
      <c r="P398" s="173">
        <v>72865</v>
      </c>
      <c r="Q398" s="173" t="s">
        <v>131</v>
      </c>
      <c r="R398" s="173" t="s">
        <v>132</v>
      </c>
    </row>
    <row r="399" spans="5:18" ht="13.5" customHeight="1" x14ac:dyDescent="0.35">
      <c r="E399" s="173" t="s">
        <v>128</v>
      </c>
      <c r="F399" s="173" t="s">
        <v>129</v>
      </c>
      <c r="G399" s="173">
        <v>384</v>
      </c>
      <c r="H399" s="173" t="s">
        <v>164</v>
      </c>
      <c r="I399" s="173">
        <v>5312</v>
      </c>
      <c r="J399" s="173" t="s">
        <v>130</v>
      </c>
      <c r="K399" s="173">
        <v>1550</v>
      </c>
      <c r="L399" s="173" t="s">
        <v>199</v>
      </c>
      <c r="M399" s="173">
        <v>2021</v>
      </c>
      <c r="N399" s="173">
        <v>2021</v>
      </c>
      <c r="O399" s="173" t="s">
        <v>24</v>
      </c>
      <c r="P399" s="173">
        <v>73146</v>
      </c>
      <c r="Q399" s="173" t="s">
        <v>131</v>
      </c>
      <c r="R399" s="173" t="s">
        <v>132</v>
      </c>
    </row>
    <row r="400" spans="5:18" ht="13.5" customHeight="1" x14ac:dyDescent="0.35">
      <c r="E400" s="173" t="s">
        <v>128</v>
      </c>
      <c r="F400" s="173" t="s">
        <v>129</v>
      </c>
      <c r="G400" s="173">
        <v>384</v>
      </c>
      <c r="H400" s="173" t="s">
        <v>164</v>
      </c>
      <c r="I400" s="173">
        <v>5312</v>
      </c>
      <c r="J400" s="173" t="s">
        <v>130</v>
      </c>
      <c r="K400" s="173">
        <v>1234</v>
      </c>
      <c r="L400" s="173" t="s">
        <v>161</v>
      </c>
      <c r="M400" s="173">
        <v>2015</v>
      </c>
      <c r="N400" s="173">
        <v>2015</v>
      </c>
      <c r="O400" s="173" t="s">
        <v>24</v>
      </c>
      <c r="P400" s="173">
        <v>3578</v>
      </c>
      <c r="Q400" s="173" t="s">
        <v>131</v>
      </c>
      <c r="R400" s="173" t="s">
        <v>132</v>
      </c>
    </row>
    <row r="401" spans="5:18" ht="13.5" customHeight="1" x14ac:dyDescent="0.35">
      <c r="E401" s="173" t="s">
        <v>128</v>
      </c>
      <c r="F401" s="173" t="s">
        <v>129</v>
      </c>
      <c r="G401" s="173">
        <v>384</v>
      </c>
      <c r="H401" s="173" t="s">
        <v>164</v>
      </c>
      <c r="I401" s="173">
        <v>5312</v>
      </c>
      <c r="J401" s="173" t="s">
        <v>130</v>
      </c>
      <c r="K401" s="173">
        <v>1234</v>
      </c>
      <c r="L401" s="173" t="s">
        <v>161</v>
      </c>
      <c r="M401" s="173">
        <v>2016</v>
      </c>
      <c r="N401" s="173">
        <v>2016</v>
      </c>
      <c r="O401" s="173" t="s">
        <v>24</v>
      </c>
      <c r="P401" s="173">
        <v>3708</v>
      </c>
      <c r="Q401" s="173" t="s">
        <v>131</v>
      </c>
      <c r="R401" s="173" t="s">
        <v>132</v>
      </c>
    </row>
    <row r="402" spans="5:18" ht="13.5" customHeight="1" x14ac:dyDescent="0.35">
      <c r="E402" s="173" t="s">
        <v>128</v>
      </c>
      <c r="F402" s="173" t="s">
        <v>129</v>
      </c>
      <c r="G402" s="173">
        <v>384</v>
      </c>
      <c r="H402" s="173" t="s">
        <v>164</v>
      </c>
      <c r="I402" s="173">
        <v>5312</v>
      </c>
      <c r="J402" s="173" t="s">
        <v>130</v>
      </c>
      <c r="K402" s="173">
        <v>1234</v>
      </c>
      <c r="L402" s="173" t="s">
        <v>161</v>
      </c>
      <c r="M402" s="173">
        <v>2017</v>
      </c>
      <c r="N402" s="173">
        <v>2017</v>
      </c>
      <c r="O402" s="173" t="s">
        <v>24</v>
      </c>
      <c r="P402" s="173">
        <v>3827</v>
      </c>
      <c r="Q402" s="173" t="s">
        <v>131</v>
      </c>
      <c r="R402" s="173" t="s">
        <v>132</v>
      </c>
    </row>
    <row r="403" spans="5:18" ht="13.5" customHeight="1" x14ac:dyDescent="0.35">
      <c r="E403" s="173" t="s">
        <v>128</v>
      </c>
      <c r="F403" s="173" t="s">
        <v>129</v>
      </c>
      <c r="G403" s="173">
        <v>384</v>
      </c>
      <c r="H403" s="173" t="s">
        <v>164</v>
      </c>
      <c r="I403" s="173">
        <v>5312</v>
      </c>
      <c r="J403" s="173" t="s">
        <v>130</v>
      </c>
      <c r="K403" s="173">
        <v>1234</v>
      </c>
      <c r="L403" s="173" t="s">
        <v>161</v>
      </c>
      <c r="M403" s="173">
        <v>2018</v>
      </c>
      <c r="N403" s="173">
        <v>2018</v>
      </c>
      <c r="O403" s="173" t="s">
        <v>24</v>
      </c>
      <c r="P403" s="173">
        <v>4264</v>
      </c>
      <c r="Q403" s="173" t="s">
        <v>131</v>
      </c>
      <c r="R403" s="173" t="s">
        <v>132</v>
      </c>
    </row>
    <row r="404" spans="5:18" ht="13.5" customHeight="1" x14ac:dyDescent="0.35">
      <c r="E404" s="173" t="s">
        <v>128</v>
      </c>
      <c r="F404" s="173" t="s">
        <v>129</v>
      </c>
      <c r="G404" s="173">
        <v>384</v>
      </c>
      <c r="H404" s="173" t="s">
        <v>164</v>
      </c>
      <c r="I404" s="173">
        <v>5312</v>
      </c>
      <c r="J404" s="173" t="s">
        <v>130</v>
      </c>
      <c r="K404" s="173">
        <v>1234</v>
      </c>
      <c r="L404" s="173" t="s">
        <v>161</v>
      </c>
      <c r="M404" s="173">
        <v>2019</v>
      </c>
      <c r="N404" s="173">
        <v>2019</v>
      </c>
      <c r="O404" s="173" t="s">
        <v>24</v>
      </c>
      <c r="P404" s="173">
        <v>4382</v>
      </c>
      <c r="Q404" s="173" t="s">
        <v>131</v>
      </c>
      <c r="R404" s="173" t="s">
        <v>132</v>
      </c>
    </row>
    <row r="405" spans="5:18" ht="13.5" customHeight="1" x14ac:dyDescent="0.35">
      <c r="E405" s="173" t="s">
        <v>128</v>
      </c>
      <c r="F405" s="173" t="s">
        <v>129</v>
      </c>
      <c r="G405" s="173">
        <v>384</v>
      </c>
      <c r="H405" s="173" t="s">
        <v>164</v>
      </c>
      <c r="I405" s="173">
        <v>5312</v>
      </c>
      <c r="J405" s="173" t="s">
        <v>130</v>
      </c>
      <c r="K405" s="173">
        <v>1234</v>
      </c>
      <c r="L405" s="173" t="s">
        <v>161</v>
      </c>
      <c r="M405" s="173">
        <v>2020</v>
      </c>
      <c r="N405" s="173">
        <v>2020</v>
      </c>
      <c r="O405" s="173" t="s">
        <v>24</v>
      </c>
      <c r="P405" s="173">
        <v>4555</v>
      </c>
      <c r="Q405" s="173" t="s">
        <v>131</v>
      </c>
      <c r="R405" s="173" t="s">
        <v>132</v>
      </c>
    </row>
    <row r="406" spans="5:18" ht="13.5" customHeight="1" x14ac:dyDescent="0.35">
      <c r="E406" s="173" t="s">
        <v>128</v>
      </c>
      <c r="F406" s="173" t="s">
        <v>129</v>
      </c>
      <c r="G406" s="173">
        <v>384</v>
      </c>
      <c r="H406" s="173" t="s">
        <v>164</v>
      </c>
      <c r="I406" s="173">
        <v>5312</v>
      </c>
      <c r="J406" s="173" t="s">
        <v>130</v>
      </c>
      <c r="K406" s="173">
        <v>1234</v>
      </c>
      <c r="L406" s="173" t="s">
        <v>161</v>
      </c>
      <c r="M406" s="173">
        <v>2021</v>
      </c>
      <c r="N406" s="173">
        <v>2021</v>
      </c>
      <c r="O406" s="173" t="s">
        <v>24</v>
      </c>
      <c r="P406" s="173">
        <v>4692</v>
      </c>
      <c r="Q406" s="173" t="s">
        <v>131</v>
      </c>
      <c r="R406" s="173" t="s">
        <v>132</v>
      </c>
    </row>
    <row r="407" spans="5:18" ht="13.5" customHeight="1" x14ac:dyDescent="0.35">
      <c r="E407" s="173" t="s">
        <v>128</v>
      </c>
      <c r="F407" s="173" t="s">
        <v>129</v>
      </c>
      <c r="G407" s="173">
        <v>384</v>
      </c>
      <c r="H407" s="173" t="s">
        <v>164</v>
      </c>
      <c r="I407" s="173">
        <v>5312</v>
      </c>
      <c r="J407" s="173" t="s">
        <v>130</v>
      </c>
      <c r="K407" s="173">
        <v>1970</v>
      </c>
      <c r="L407" s="173" t="s">
        <v>162</v>
      </c>
      <c r="M407" s="173">
        <v>2015</v>
      </c>
      <c r="N407" s="173">
        <v>2015</v>
      </c>
      <c r="O407" s="173" t="s">
        <v>24</v>
      </c>
      <c r="P407" s="173">
        <v>14042</v>
      </c>
      <c r="Q407" s="173" t="s">
        <v>131</v>
      </c>
      <c r="R407" s="173" t="s">
        <v>132</v>
      </c>
    </row>
    <row r="408" spans="5:18" ht="13.5" customHeight="1" x14ac:dyDescent="0.35">
      <c r="E408" s="173" t="s">
        <v>128</v>
      </c>
      <c r="F408" s="173" t="s">
        <v>129</v>
      </c>
      <c r="G408" s="173">
        <v>384</v>
      </c>
      <c r="H408" s="173" t="s">
        <v>164</v>
      </c>
      <c r="I408" s="173">
        <v>5312</v>
      </c>
      <c r="J408" s="173" t="s">
        <v>130</v>
      </c>
      <c r="K408" s="173">
        <v>1970</v>
      </c>
      <c r="L408" s="173" t="s">
        <v>162</v>
      </c>
      <c r="M408" s="173">
        <v>2016</v>
      </c>
      <c r="N408" s="173">
        <v>2016</v>
      </c>
      <c r="O408" s="173" t="s">
        <v>24</v>
      </c>
      <c r="P408" s="173">
        <v>16360</v>
      </c>
      <c r="Q408" s="173" t="s">
        <v>109</v>
      </c>
      <c r="R408" s="173" t="s">
        <v>110</v>
      </c>
    </row>
    <row r="409" spans="5:18" ht="13.5" customHeight="1" x14ac:dyDescent="0.35">
      <c r="E409" s="173" t="s">
        <v>128</v>
      </c>
      <c r="F409" s="173" t="s">
        <v>129</v>
      </c>
      <c r="G409" s="173">
        <v>384</v>
      </c>
      <c r="H409" s="173" t="s">
        <v>164</v>
      </c>
      <c r="I409" s="173">
        <v>5312</v>
      </c>
      <c r="J409" s="173" t="s">
        <v>130</v>
      </c>
      <c r="K409" s="173">
        <v>1970</v>
      </c>
      <c r="L409" s="173" t="s">
        <v>162</v>
      </c>
      <c r="M409" s="173">
        <v>2017</v>
      </c>
      <c r="N409" s="173">
        <v>2017</v>
      </c>
      <c r="O409" s="173" t="s">
        <v>24</v>
      </c>
      <c r="P409" s="173">
        <v>16528</v>
      </c>
      <c r="Q409" s="173" t="s">
        <v>131</v>
      </c>
      <c r="R409" s="173" t="s">
        <v>132</v>
      </c>
    </row>
    <row r="410" spans="5:18" ht="13.5" customHeight="1" x14ac:dyDescent="0.35">
      <c r="E410" s="173" t="s">
        <v>128</v>
      </c>
      <c r="F410" s="173" t="s">
        <v>129</v>
      </c>
      <c r="G410" s="173">
        <v>384</v>
      </c>
      <c r="H410" s="173" t="s">
        <v>164</v>
      </c>
      <c r="I410" s="173">
        <v>5312</v>
      </c>
      <c r="J410" s="173" t="s">
        <v>130</v>
      </c>
      <c r="K410" s="173">
        <v>1970</v>
      </c>
      <c r="L410" s="173" t="s">
        <v>162</v>
      </c>
      <c r="M410" s="173">
        <v>2018</v>
      </c>
      <c r="N410" s="173">
        <v>2018</v>
      </c>
      <c r="O410" s="173" t="s">
        <v>24</v>
      </c>
      <c r="P410" s="173">
        <v>15643</v>
      </c>
      <c r="Q410" s="173" t="s">
        <v>109</v>
      </c>
      <c r="R410" s="173" t="s">
        <v>110</v>
      </c>
    </row>
    <row r="411" spans="5:18" ht="13.5" customHeight="1" x14ac:dyDescent="0.35">
      <c r="E411" s="173" t="s">
        <v>128</v>
      </c>
      <c r="F411" s="173" t="s">
        <v>129</v>
      </c>
      <c r="G411" s="173">
        <v>384</v>
      </c>
      <c r="H411" s="173" t="s">
        <v>164</v>
      </c>
      <c r="I411" s="173">
        <v>5312</v>
      </c>
      <c r="J411" s="173" t="s">
        <v>130</v>
      </c>
      <c r="K411" s="173">
        <v>1970</v>
      </c>
      <c r="L411" s="173" t="s">
        <v>162</v>
      </c>
      <c r="M411" s="173">
        <v>2019</v>
      </c>
      <c r="N411" s="173">
        <v>2019</v>
      </c>
      <c r="O411" s="173" t="s">
        <v>24</v>
      </c>
      <c r="P411" s="173">
        <v>16177</v>
      </c>
      <c r="Q411" s="173" t="s">
        <v>109</v>
      </c>
      <c r="R411" s="173" t="s">
        <v>110</v>
      </c>
    </row>
    <row r="412" spans="5:18" ht="13.5" customHeight="1" x14ac:dyDescent="0.35">
      <c r="E412" s="173" t="s">
        <v>128</v>
      </c>
      <c r="F412" s="173" t="s">
        <v>129</v>
      </c>
      <c r="G412" s="173">
        <v>384</v>
      </c>
      <c r="H412" s="173" t="s">
        <v>164</v>
      </c>
      <c r="I412" s="173">
        <v>5312</v>
      </c>
      <c r="J412" s="173" t="s">
        <v>130</v>
      </c>
      <c r="K412" s="173">
        <v>1970</v>
      </c>
      <c r="L412" s="173" t="s">
        <v>162</v>
      </c>
      <c r="M412" s="173">
        <v>2020</v>
      </c>
      <c r="N412" s="173">
        <v>2020</v>
      </c>
      <c r="O412" s="173" t="s">
        <v>24</v>
      </c>
      <c r="P412" s="173">
        <v>16116</v>
      </c>
      <c r="Q412" s="173" t="s">
        <v>109</v>
      </c>
      <c r="R412" s="173" t="s">
        <v>110</v>
      </c>
    </row>
    <row r="413" spans="5:18" ht="13.5" customHeight="1" x14ac:dyDescent="0.35">
      <c r="E413" s="173" t="s">
        <v>128</v>
      </c>
      <c r="F413" s="173" t="s">
        <v>129</v>
      </c>
      <c r="G413" s="173">
        <v>384</v>
      </c>
      <c r="H413" s="173" t="s">
        <v>164</v>
      </c>
      <c r="I413" s="173">
        <v>5312</v>
      </c>
      <c r="J413" s="173" t="s">
        <v>130</v>
      </c>
      <c r="K413" s="173">
        <v>1970</v>
      </c>
      <c r="L413" s="173" t="s">
        <v>162</v>
      </c>
      <c r="M413" s="173">
        <v>2021</v>
      </c>
      <c r="N413" s="173">
        <v>2021</v>
      </c>
      <c r="O413" s="173" t="s">
        <v>24</v>
      </c>
      <c r="P413" s="173">
        <v>15979</v>
      </c>
      <c r="Q413" s="173" t="s">
        <v>109</v>
      </c>
      <c r="R413" s="173" t="s">
        <v>110</v>
      </c>
    </row>
    <row r="414" spans="5:18" ht="13.5" customHeight="1" x14ac:dyDescent="0.35">
      <c r="E414" s="173" t="s">
        <v>128</v>
      </c>
      <c r="F414" s="173" t="s">
        <v>129</v>
      </c>
      <c r="G414" s="173">
        <v>384</v>
      </c>
      <c r="H414" s="173" t="s">
        <v>164</v>
      </c>
      <c r="I414" s="173">
        <v>5312</v>
      </c>
      <c r="J414" s="173" t="s">
        <v>130</v>
      </c>
      <c r="K414" s="173">
        <v>1540</v>
      </c>
      <c r="L414" s="173" t="s">
        <v>163</v>
      </c>
      <c r="M414" s="173">
        <v>2015</v>
      </c>
      <c r="N414" s="173">
        <v>2015</v>
      </c>
      <c r="O414" s="173" t="s">
        <v>24</v>
      </c>
      <c r="P414" s="173">
        <v>1072438</v>
      </c>
      <c r="Q414" s="173" t="s">
        <v>131</v>
      </c>
      <c r="R414" s="173" t="s">
        <v>132</v>
      </c>
    </row>
    <row r="415" spans="5:18" ht="13.5" customHeight="1" x14ac:dyDescent="0.35">
      <c r="E415" s="173" t="s">
        <v>128</v>
      </c>
      <c r="F415" s="173" t="s">
        <v>129</v>
      </c>
      <c r="G415" s="173">
        <v>384</v>
      </c>
      <c r="H415" s="173" t="s">
        <v>164</v>
      </c>
      <c r="I415" s="173">
        <v>5312</v>
      </c>
      <c r="J415" s="173" t="s">
        <v>130</v>
      </c>
      <c r="K415" s="173">
        <v>1540</v>
      </c>
      <c r="L415" s="173" t="s">
        <v>163</v>
      </c>
      <c r="M415" s="173">
        <v>2016</v>
      </c>
      <c r="N415" s="173">
        <v>2016</v>
      </c>
      <c r="O415" s="173" t="s">
        <v>24</v>
      </c>
      <c r="P415" s="173">
        <v>1154820</v>
      </c>
      <c r="Q415" s="173" t="s">
        <v>131</v>
      </c>
      <c r="R415" s="173" t="s">
        <v>132</v>
      </c>
    </row>
    <row r="416" spans="5:18" ht="13.5" customHeight="1" x14ac:dyDescent="0.35">
      <c r="E416" s="173" t="s">
        <v>128</v>
      </c>
      <c r="F416" s="173" t="s">
        <v>129</v>
      </c>
      <c r="G416" s="173">
        <v>384</v>
      </c>
      <c r="H416" s="173" t="s">
        <v>164</v>
      </c>
      <c r="I416" s="173">
        <v>5312</v>
      </c>
      <c r="J416" s="173" t="s">
        <v>130</v>
      </c>
      <c r="K416" s="173">
        <v>1540</v>
      </c>
      <c r="L416" s="173" t="s">
        <v>163</v>
      </c>
      <c r="M416" s="173">
        <v>2017</v>
      </c>
      <c r="N416" s="173">
        <v>2017</v>
      </c>
      <c r="O416" s="173" t="s">
        <v>24</v>
      </c>
      <c r="P416" s="173">
        <v>1237151</v>
      </c>
      <c r="Q416" s="173" t="s">
        <v>131</v>
      </c>
      <c r="R416" s="173" t="s">
        <v>132</v>
      </c>
    </row>
    <row r="417" spans="5:18" ht="13.5" customHeight="1" x14ac:dyDescent="0.35">
      <c r="E417" s="173" t="s">
        <v>128</v>
      </c>
      <c r="F417" s="173" t="s">
        <v>129</v>
      </c>
      <c r="G417" s="173">
        <v>384</v>
      </c>
      <c r="H417" s="173" t="s">
        <v>164</v>
      </c>
      <c r="I417" s="173">
        <v>5312</v>
      </c>
      <c r="J417" s="173" t="s">
        <v>130</v>
      </c>
      <c r="K417" s="173">
        <v>1540</v>
      </c>
      <c r="L417" s="173" t="s">
        <v>163</v>
      </c>
      <c r="M417" s="173">
        <v>2018</v>
      </c>
      <c r="N417" s="173">
        <v>2018</v>
      </c>
      <c r="O417" s="173" t="s">
        <v>24</v>
      </c>
      <c r="P417" s="173">
        <v>1274515</v>
      </c>
      <c r="Q417" s="173" t="s">
        <v>131</v>
      </c>
      <c r="R417" s="173" t="s">
        <v>132</v>
      </c>
    </row>
    <row r="418" spans="5:18" ht="13.5" customHeight="1" x14ac:dyDescent="0.35">
      <c r="E418" s="173" t="s">
        <v>128</v>
      </c>
      <c r="F418" s="173" t="s">
        <v>129</v>
      </c>
      <c r="G418" s="173">
        <v>384</v>
      </c>
      <c r="H418" s="173" t="s">
        <v>164</v>
      </c>
      <c r="I418" s="173">
        <v>5312</v>
      </c>
      <c r="J418" s="173" t="s">
        <v>130</v>
      </c>
      <c r="K418" s="173">
        <v>1540</v>
      </c>
      <c r="L418" s="173" t="s">
        <v>163</v>
      </c>
      <c r="M418" s="173">
        <v>2019</v>
      </c>
      <c r="N418" s="173">
        <v>2019</v>
      </c>
      <c r="O418" s="173" t="s">
        <v>24</v>
      </c>
      <c r="P418" s="173">
        <v>1312029</v>
      </c>
      <c r="Q418" s="173" t="s">
        <v>131</v>
      </c>
      <c r="R418" s="173" t="s">
        <v>132</v>
      </c>
    </row>
    <row r="419" spans="5:18" ht="13.5" customHeight="1" x14ac:dyDescent="0.35">
      <c r="E419" s="173" t="s">
        <v>128</v>
      </c>
      <c r="F419" s="173" t="s">
        <v>129</v>
      </c>
      <c r="G419" s="173">
        <v>384</v>
      </c>
      <c r="H419" s="173" t="s">
        <v>164</v>
      </c>
      <c r="I419" s="173">
        <v>5312</v>
      </c>
      <c r="J419" s="173" t="s">
        <v>130</v>
      </c>
      <c r="K419" s="173">
        <v>1540</v>
      </c>
      <c r="L419" s="173" t="s">
        <v>163</v>
      </c>
      <c r="M419" s="173">
        <v>2020</v>
      </c>
      <c r="N419" s="173">
        <v>2020</v>
      </c>
      <c r="O419" s="173" t="s">
        <v>24</v>
      </c>
      <c r="P419" s="173">
        <v>1374367</v>
      </c>
      <c r="Q419" s="173" t="s">
        <v>131</v>
      </c>
      <c r="R419" s="173" t="s">
        <v>132</v>
      </c>
    </row>
    <row r="420" spans="5:18" ht="13.5" customHeight="1" x14ac:dyDescent="0.35">
      <c r="E420" s="173" t="s">
        <v>128</v>
      </c>
      <c r="F420" s="173" t="s">
        <v>129</v>
      </c>
      <c r="G420" s="173">
        <v>384</v>
      </c>
      <c r="H420" s="173" t="s">
        <v>164</v>
      </c>
      <c r="I420" s="173">
        <v>5312</v>
      </c>
      <c r="J420" s="173" t="s">
        <v>130</v>
      </c>
      <c r="K420" s="173">
        <v>1540</v>
      </c>
      <c r="L420" s="173" t="s">
        <v>163</v>
      </c>
      <c r="M420" s="173">
        <v>2021</v>
      </c>
      <c r="N420" s="173">
        <v>2021</v>
      </c>
      <c r="O420" s="173" t="s">
        <v>24</v>
      </c>
      <c r="P420" s="173">
        <v>1438153</v>
      </c>
      <c r="Q420" s="173" t="s">
        <v>131</v>
      </c>
      <c r="R420" s="173" t="s">
        <v>132</v>
      </c>
    </row>
    <row r="421" spans="5:18" ht="13.5" customHeight="1" x14ac:dyDescent="0.35">
      <c r="E421" s="173"/>
      <c r="F421" s="173"/>
      <c r="G421" s="173"/>
      <c r="H421" s="173"/>
      <c r="I421" s="173"/>
      <c r="J421" s="173"/>
      <c r="K421" s="173"/>
      <c r="L421" s="173"/>
      <c r="M421" s="173"/>
      <c r="N421" s="173"/>
      <c r="O421" s="173"/>
      <c r="P421" s="173"/>
      <c r="Q421" s="173"/>
      <c r="R421" s="173"/>
    </row>
    <row r="422" spans="5:18" ht="13.5" customHeight="1" x14ac:dyDescent="0.35">
      <c r="E422" s="173"/>
      <c r="F422" s="173"/>
      <c r="G422" s="173"/>
      <c r="H422" s="173"/>
      <c r="I422" s="173"/>
      <c r="J422" s="173"/>
      <c r="K422" s="173"/>
      <c r="L422" s="173"/>
      <c r="M422" s="173"/>
      <c r="N422" s="173"/>
      <c r="O422" s="173"/>
      <c r="P422" s="173"/>
      <c r="Q422" s="173"/>
      <c r="R422" s="173"/>
    </row>
    <row r="423" spans="5:18" ht="13.5" customHeight="1" x14ac:dyDescent="0.35">
      <c r="E423" s="173"/>
      <c r="F423" s="173"/>
      <c r="G423" s="173"/>
      <c r="H423" s="173"/>
      <c r="I423" s="173"/>
      <c r="J423" s="173"/>
      <c r="K423" s="173"/>
      <c r="L423" s="173"/>
      <c r="M423" s="173"/>
      <c r="N423" s="173"/>
      <c r="O423" s="173"/>
      <c r="P423" s="173"/>
      <c r="Q423" s="173"/>
      <c r="R423" s="173"/>
    </row>
    <row r="424" spans="5:18" ht="13.5" customHeight="1" x14ac:dyDescent="0.35">
      <c r="E424" s="173"/>
      <c r="F424" s="173"/>
      <c r="G424" s="173"/>
      <c r="H424" s="173"/>
      <c r="I424" s="173"/>
      <c r="J424" s="173"/>
      <c r="K424" s="173"/>
      <c r="L424" s="173"/>
      <c r="M424" s="173"/>
      <c r="N424" s="173"/>
      <c r="O424" s="173"/>
      <c r="P424" s="173"/>
      <c r="Q424" s="173"/>
      <c r="R424" s="173"/>
    </row>
    <row r="425" spans="5:18" ht="13.5" customHeight="1" x14ac:dyDescent="0.35">
      <c r="E425" s="173"/>
      <c r="F425" s="173"/>
      <c r="G425" s="173"/>
      <c r="H425" s="173"/>
      <c r="I425" s="173"/>
      <c r="J425" s="173"/>
      <c r="K425" s="173"/>
      <c r="L425" s="173"/>
      <c r="M425" s="173"/>
      <c r="N425" s="173"/>
      <c r="O425" s="173"/>
      <c r="P425" s="173"/>
      <c r="Q425" s="173"/>
      <c r="R425" s="173"/>
    </row>
    <row r="426" spans="5:18" ht="13.5" customHeight="1" x14ac:dyDescent="0.35">
      <c r="E426" s="173"/>
      <c r="F426" s="173"/>
      <c r="G426" s="173"/>
      <c r="H426" s="173"/>
      <c r="I426" s="173"/>
      <c r="J426" s="173"/>
      <c r="K426" s="173"/>
      <c r="L426" s="173"/>
      <c r="M426" s="173"/>
      <c r="N426" s="173"/>
      <c r="O426" s="173"/>
      <c r="P426" s="173"/>
      <c r="Q426" s="173"/>
      <c r="R426" s="173"/>
    </row>
    <row r="427" spans="5:18" ht="13.5" customHeight="1" x14ac:dyDescent="0.35">
      <c r="E427" s="173"/>
      <c r="F427" s="173"/>
      <c r="G427" s="173"/>
      <c r="H427" s="173"/>
      <c r="I427" s="173"/>
      <c r="J427" s="173"/>
      <c r="K427" s="173"/>
      <c r="L427" s="173"/>
      <c r="M427" s="173"/>
      <c r="N427" s="173"/>
      <c r="O427" s="173"/>
      <c r="P427" s="173"/>
      <c r="Q427" s="173"/>
      <c r="R427" s="173"/>
    </row>
  </sheetData>
  <pageMargins left="0.75" right="0.75" top="1" bottom="1" header="0.5" footer="0.5"/>
  <pageSetup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2CEF-39B3-4EE4-A054-63CDB374DE39}">
  <dimension ref="A1:S79"/>
  <sheetViews>
    <sheetView topLeftCell="D1" zoomScale="130" zoomScaleNormal="130" workbookViewId="0">
      <selection activeCell="R17" sqref="R17"/>
    </sheetView>
  </sheetViews>
  <sheetFormatPr defaultColWidth="9.81640625" defaultRowHeight="14.5" x14ac:dyDescent="0.35"/>
  <cols>
    <col min="1" max="1" width="10.1796875" style="380" bestFit="1" customWidth="1"/>
    <col min="2" max="2" width="22.81640625" style="380" bestFit="1" customWidth="1"/>
    <col min="3" max="3" width="38.7265625" style="380" bestFit="1" customWidth="1"/>
    <col min="4" max="4" width="12.81640625" style="380" bestFit="1" customWidth="1"/>
    <col min="5" max="5" width="41.81640625" style="380" bestFit="1" customWidth="1"/>
    <col min="6" max="6" width="28" style="380" bestFit="1" customWidth="1"/>
    <col min="7" max="7" width="36.453125" style="380" bestFit="1" customWidth="1"/>
    <col min="8" max="8" width="22.54296875" style="380" bestFit="1" customWidth="1"/>
    <col min="9" max="15" width="9.81640625" style="380"/>
    <col min="16" max="16" width="14.7265625" style="380" bestFit="1" customWidth="1"/>
    <col min="17" max="17" width="40.26953125" style="380" bestFit="1" customWidth="1"/>
    <col min="18" max="18" width="40.90625" style="380" bestFit="1" customWidth="1"/>
    <col min="19" max="16384" width="9.81640625" style="380"/>
  </cols>
  <sheetData>
    <row r="1" spans="1:19" x14ac:dyDescent="0.35">
      <c r="A1" s="377" t="s">
        <v>564</v>
      </c>
      <c r="B1" s="377" t="s">
        <v>565</v>
      </c>
      <c r="C1" s="377" t="s">
        <v>566</v>
      </c>
      <c r="D1" s="377" t="s">
        <v>567</v>
      </c>
      <c r="E1" s="377" t="s">
        <v>0</v>
      </c>
      <c r="F1" s="377" t="s">
        <v>568</v>
      </c>
      <c r="G1" s="378" t="s">
        <v>569</v>
      </c>
      <c r="H1" s="379" t="s">
        <v>570</v>
      </c>
    </row>
    <row r="2" spans="1:19" x14ac:dyDescent="0.35">
      <c r="A2" s="381" t="s">
        <v>571</v>
      </c>
      <c r="B2" s="382" t="s">
        <v>572</v>
      </c>
      <c r="C2" s="383" t="s">
        <v>573</v>
      </c>
      <c r="D2" s="382" t="s">
        <v>574</v>
      </c>
      <c r="E2" s="383" t="s">
        <v>575</v>
      </c>
      <c r="F2" s="383" t="s">
        <v>576</v>
      </c>
      <c r="G2" s="384">
        <v>100</v>
      </c>
      <c r="H2" s="385">
        <v>25000000</v>
      </c>
    </row>
    <row r="3" spans="1:19" x14ac:dyDescent="0.35">
      <c r="A3" s="381"/>
      <c r="B3" s="382"/>
      <c r="C3" s="383" t="s">
        <v>577</v>
      </c>
      <c r="D3" s="386" t="s">
        <v>574</v>
      </c>
      <c r="E3" s="383" t="s">
        <v>400</v>
      </c>
      <c r="F3" s="383" t="s">
        <v>578</v>
      </c>
      <c r="G3" s="384">
        <v>210</v>
      </c>
      <c r="H3" s="385">
        <v>64575000</v>
      </c>
    </row>
    <row r="4" spans="1:19" x14ac:dyDescent="0.35">
      <c r="A4" s="381"/>
      <c r="B4" s="382"/>
      <c r="C4" s="383"/>
      <c r="D4" s="386"/>
      <c r="E4" s="383"/>
      <c r="F4" s="383" t="s">
        <v>576</v>
      </c>
      <c r="G4" s="384">
        <v>209.7</v>
      </c>
      <c r="H4" s="385">
        <v>51450000</v>
      </c>
    </row>
    <row r="5" spans="1:19" x14ac:dyDescent="0.35">
      <c r="A5" s="381"/>
      <c r="B5" s="382"/>
      <c r="C5" s="383" t="s">
        <v>579</v>
      </c>
      <c r="D5" s="386" t="s">
        <v>574</v>
      </c>
      <c r="E5" s="387" t="s">
        <v>400</v>
      </c>
      <c r="F5" s="383" t="s">
        <v>578</v>
      </c>
      <c r="G5" s="384">
        <v>160</v>
      </c>
      <c r="H5" s="385">
        <v>55400000</v>
      </c>
    </row>
    <row r="6" spans="1:19" x14ac:dyDescent="0.35">
      <c r="A6" s="381"/>
      <c r="B6" s="382"/>
      <c r="C6" s="383" t="s">
        <v>580</v>
      </c>
      <c r="D6" s="386" t="s">
        <v>574</v>
      </c>
      <c r="E6" s="387" t="s">
        <v>400</v>
      </c>
      <c r="F6" s="383" t="s">
        <v>578</v>
      </c>
      <c r="G6" s="384">
        <v>100</v>
      </c>
      <c r="H6" s="385">
        <v>37000000</v>
      </c>
      <c r="P6" s="380" t="s">
        <v>649</v>
      </c>
      <c r="Q6" s="61" t="s">
        <v>94</v>
      </c>
      <c r="R6" t="s">
        <v>648</v>
      </c>
      <c r="S6"/>
    </row>
    <row r="7" spans="1:19" x14ac:dyDescent="0.35">
      <c r="A7" s="381"/>
      <c r="B7" s="382"/>
      <c r="C7" s="383" t="s">
        <v>581</v>
      </c>
      <c r="D7" s="382" t="s">
        <v>582</v>
      </c>
      <c r="E7" s="383" t="s">
        <v>583</v>
      </c>
      <c r="F7" s="383" t="s">
        <v>576</v>
      </c>
      <c r="G7" s="384">
        <v>100</v>
      </c>
      <c r="H7" s="385">
        <v>38200000</v>
      </c>
      <c r="P7" s="380" t="s">
        <v>658</v>
      </c>
      <c r="Q7" s="46" t="s">
        <v>575</v>
      </c>
      <c r="R7" s="397">
        <v>241</v>
      </c>
      <c r="S7"/>
    </row>
    <row r="8" spans="1:19" x14ac:dyDescent="0.35">
      <c r="A8" s="381"/>
      <c r="B8" s="382"/>
      <c r="C8" s="383" t="s">
        <v>584</v>
      </c>
      <c r="D8" s="386" t="s">
        <v>582</v>
      </c>
      <c r="E8" s="383" t="s">
        <v>575</v>
      </c>
      <c r="F8" s="383" t="s">
        <v>576</v>
      </c>
      <c r="G8" s="384">
        <v>1</v>
      </c>
      <c r="H8" s="385">
        <v>255000</v>
      </c>
      <c r="P8" s="380" t="s">
        <v>658</v>
      </c>
      <c r="Q8" s="46" t="s">
        <v>626</v>
      </c>
      <c r="R8" s="397">
        <v>1208.75</v>
      </c>
      <c r="S8"/>
    </row>
    <row r="9" spans="1:19" x14ac:dyDescent="0.35">
      <c r="A9" s="381"/>
      <c r="B9" s="382"/>
      <c r="C9" s="383"/>
      <c r="D9" s="386"/>
      <c r="E9" s="383" t="s">
        <v>402</v>
      </c>
      <c r="F9" s="383" t="s">
        <v>576</v>
      </c>
      <c r="G9" s="384">
        <v>4.05</v>
      </c>
      <c r="H9" s="385">
        <v>1064027.6000000001</v>
      </c>
      <c r="P9" s="380" t="s">
        <v>231</v>
      </c>
      <c r="Q9" s="46" t="s">
        <v>583</v>
      </c>
      <c r="R9" s="397">
        <v>100</v>
      </c>
      <c r="S9"/>
    </row>
    <row r="10" spans="1:19" x14ac:dyDescent="0.35">
      <c r="A10" s="381"/>
      <c r="B10" s="382"/>
      <c r="C10" s="383"/>
      <c r="D10" s="386"/>
      <c r="E10" s="383" t="s">
        <v>585</v>
      </c>
      <c r="F10" s="383" t="s">
        <v>576</v>
      </c>
      <c r="G10" s="384">
        <v>1</v>
      </c>
      <c r="H10" s="385">
        <v>305000</v>
      </c>
      <c r="P10" s="380" t="s">
        <v>260</v>
      </c>
      <c r="Q10" s="46" t="s">
        <v>627</v>
      </c>
      <c r="R10" s="397">
        <v>1716</v>
      </c>
      <c r="S10"/>
    </row>
    <row r="11" spans="1:19" x14ac:dyDescent="0.35">
      <c r="A11" s="381"/>
      <c r="B11" s="382"/>
      <c r="C11" s="383" t="s">
        <v>586</v>
      </c>
      <c r="D11" s="386" t="s">
        <v>582</v>
      </c>
      <c r="E11" s="383" t="s">
        <v>400</v>
      </c>
      <c r="F11" s="383" t="s">
        <v>576</v>
      </c>
      <c r="G11" s="384">
        <v>400</v>
      </c>
      <c r="H11" s="385">
        <v>95430000</v>
      </c>
      <c r="P11" s="380" t="s">
        <v>406</v>
      </c>
      <c r="Q11" s="46" t="s">
        <v>400</v>
      </c>
      <c r="R11" s="397">
        <v>4876.55</v>
      </c>
      <c r="S11"/>
    </row>
    <row r="12" spans="1:19" x14ac:dyDescent="0.35">
      <c r="A12" s="381"/>
      <c r="B12" s="382"/>
      <c r="C12" s="383" t="s">
        <v>587</v>
      </c>
      <c r="D12" s="382" t="s">
        <v>588</v>
      </c>
      <c r="E12" s="387" t="s">
        <v>400</v>
      </c>
      <c r="F12" s="383" t="s">
        <v>576</v>
      </c>
      <c r="G12" s="384">
        <v>50</v>
      </c>
      <c r="H12" s="385">
        <v>17050000</v>
      </c>
      <c r="P12" s="380" t="s">
        <v>454</v>
      </c>
      <c r="Q12" s="46" t="s">
        <v>631</v>
      </c>
      <c r="R12" s="397">
        <v>50.9</v>
      </c>
      <c r="S12"/>
    </row>
    <row r="13" spans="1:19" x14ac:dyDescent="0.35">
      <c r="A13" s="381"/>
      <c r="B13" s="382"/>
      <c r="C13" s="383"/>
      <c r="D13" s="382"/>
      <c r="E13" s="383" t="s">
        <v>585</v>
      </c>
      <c r="F13" s="383" t="s">
        <v>576</v>
      </c>
      <c r="G13" s="384">
        <v>10</v>
      </c>
      <c r="H13" s="385">
        <v>2800000</v>
      </c>
      <c r="P13" s="380" t="s">
        <v>407</v>
      </c>
      <c r="Q13" s="46" t="s">
        <v>634</v>
      </c>
      <c r="R13" s="397">
        <v>20506.02</v>
      </c>
      <c r="S13"/>
    </row>
    <row r="14" spans="1:19" x14ac:dyDescent="0.35">
      <c r="A14" s="381"/>
      <c r="B14" s="382"/>
      <c r="C14" s="383" t="s">
        <v>589</v>
      </c>
      <c r="D14" s="382" t="s">
        <v>574</v>
      </c>
      <c r="E14" s="383" t="s">
        <v>400</v>
      </c>
      <c r="F14" s="383" t="s">
        <v>578</v>
      </c>
      <c r="G14" s="384">
        <v>150</v>
      </c>
      <c r="H14" s="385">
        <v>47150000</v>
      </c>
      <c r="P14" s="380" t="s">
        <v>408</v>
      </c>
      <c r="Q14" s="46" t="s">
        <v>402</v>
      </c>
      <c r="R14" s="397">
        <v>2580.1</v>
      </c>
      <c r="S14"/>
    </row>
    <row r="15" spans="1:19" x14ac:dyDescent="0.35">
      <c r="A15" s="381"/>
      <c r="B15" s="382"/>
      <c r="C15" s="383" t="s">
        <v>590</v>
      </c>
      <c r="D15" s="382" t="s">
        <v>582</v>
      </c>
      <c r="E15" s="383" t="s">
        <v>575</v>
      </c>
      <c r="F15" s="383" t="s">
        <v>576</v>
      </c>
      <c r="G15" s="384">
        <v>140</v>
      </c>
      <c r="H15" s="385">
        <v>34500000</v>
      </c>
      <c r="P15" s="380" t="s">
        <v>408</v>
      </c>
      <c r="Q15" s="46" t="s">
        <v>403</v>
      </c>
      <c r="R15" s="397">
        <v>6517.4</v>
      </c>
      <c r="S15"/>
    </row>
    <row r="16" spans="1:19" x14ac:dyDescent="0.35">
      <c r="A16" s="381"/>
      <c r="B16" s="382"/>
      <c r="C16" s="383"/>
      <c r="D16" s="382"/>
      <c r="E16" s="383" t="s">
        <v>400</v>
      </c>
      <c r="F16" s="383" t="s">
        <v>576</v>
      </c>
      <c r="G16" s="384">
        <v>8</v>
      </c>
      <c r="H16" s="385">
        <v>2400000</v>
      </c>
      <c r="P16" s="380" t="s">
        <v>409</v>
      </c>
      <c r="Q16" s="46" t="s">
        <v>404</v>
      </c>
      <c r="R16" s="397">
        <v>2114.9499999999998</v>
      </c>
      <c r="S16"/>
    </row>
    <row r="17" spans="1:19" x14ac:dyDescent="0.35">
      <c r="A17" s="381"/>
      <c r="B17" s="382"/>
      <c r="C17" s="383"/>
      <c r="D17" s="382"/>
      <c r="E17" s="383" t="s">
        <v>402</v>
      </c>
      <c r="F17" s="383" t="s">
        <v>576</v>
      </c>
      <c r="G17" s="384">
        <v>245.55</v>
      </c>
      <c r="H17" s="385">
        <v>65865000</v>
      </c>
      <c r="P17" s="380" t="s">
        <v>220</v>
      </c>
      <c r="Q17" s="46" t="s">
        <v>405</v>
      </c>
      <c r="R17" s="397">
        <v>3001.7</v>
      </c>
      <c r="S17"/>
    </row>
    <row r="18" spans="1:19" x14ac:dyDescent="0.35">
      <c r="A18" s="381"/>
      <c r="B18" s="382"/>
      <c r="C18" s="383"/>
      <c r="D18" s="382"/>
      <c r="E18" s="383" t="s">
        <v>404</v>
      </c>
      <c r="F18" s="383" t="s">
        <v>576</v>
      </c>
      <c r="G18" s="384">
        <v>10</v>
      </c>
      <c r="H18" s="385">
        <v>1040000</v>
      </c>
      <c r="P18" s="380" t="s">
        <v>214</v>
      </c>
      <c r="Q18" s="46" t="s">
        <v>585</v>
      </c>
      <c r="R18" s="397">
        <v>3483</v>
      </c>
      <c r="S18"/>
    </row>
    <row r="19" spans="1:19" x14ac:dyDescent="0.35">
      <c r="A19" s="381"/>
      <c r="B19" s="382"/>
      <c r="C19" s="383" t="s">
        <v>591</v>
      </c>
      <c r="D19" s="386" t="s">
        <v>582</v>
      </c>
      <c r="E19" s="383" t="s">
        <v>402</v>
      </c>
      <c r="F19" s="383" t="s">
        <v>576</v>
      </c>
      <c r="G19" s="384">
        <v>15</v>
      </c>
      <c r="H19" s="385">
        <v>4625000</v>
      </c>
      <c r="Q19" s="46" t="s">
        <v>647</v>
      </c>
      <c r="R19" s="397">
        <v>96519.700000000012</v>
      </c>
      <c r="S19"/>
    </row>
    <row r="20" spans="1:19" x14ac:dyDescent="0.35">
      <c r="A20" s="381"/>
      <c r="B20" s="382"/>
      <c r="C20" s="383" t="s">
        <v>592</v>
      </c>
      <c r="D20" s="386" t="s">
        <v>582</v>
      </c>
      <c r="E20" s="383" t="s">
        <v>400</v>
      </c>
      <c r="F20" s="383" t="s">
        <v>576</v>
      </c>
      <c r="G20" s="384">
        <v>180</v>
      </c>
      <c r="H20" s="385">
        <v>50900000</v>
      </c>
      <c r="Q20" s="46" t="s">
        <v>95</v>
      </c>
      <c r="R20" s="397">
        <v>142916.07</v>
      </c>
      <c r="S20"/>
    </row>
    <row r="21" spans="1:19" x14ac:dyDescent="0.35">
      <c r="A21" s="381"/>
      <c r="B21" s="382"/>
      <c r="C21" s="383" t="s">
        <v>593</v>
      </c>
      <c r="D21" s="386" t="s">
        <v>582</v>
      </c>
      <c r="E21" s="383" t="s">
        <v>402</v>
      </c>
      <c r="F21" s="383" t="s">
        <v>576</v>
      </c>
      <c r="G21" s="384">
        <v>15</v>
      </c>
      <c r="H21" s="385">
        <v>4575000</v>
      </c>
      <c r="Q21"/>
      <c r="R21"/>
      <c r="S21"/>
    </row>
    <row r="22" spans="1:19" x14ac:dyDescent="0.35">
      <c r="A22" s="381"/>
      <c r="B22" s="382"/>
      <c r="C22" s="383" t="s">
        <v>594</v>
      </c>
      <c r="D22" s="382" t="s">
        <v>595</v>
      </c>
      <c r="E22" s="383" t="s">
        <v>400</v>
      </c>
      <c r="F22" s="383" t="s">
        <v>596</v>
      </c>
      <c r="G22" s="384">
        <v>35</v>
      </c>
      <c r="H22" s="385">
        <v>9625000</v>
      </c>
      <c r="Q22"/>
      <c r="R22"/>
      <c r="S22"/>
    </row>
    <row r="23" spans="1:19" x14ac:dyDescent="0.35">
      <c r="A23" s="381"/>
      <c r="B23" s="382"/>
      <c r="C23" s="383" t="s">
        <v>597</v>
      </c>
      <c r="D23" s="382" t="s">
        <v>582</v>
      </c>
      <c r="E23" s="387" t="s">
        <v>400</v>
      </c>
      <c r="F23" s="383" t="s">
        <v>578</v>
      </c>
      <c r="G23" s="384">
        <v>232.15</v>
      </c>
      <c r="H23" s="385">
        <v>62426750</v>
      </c>
      <c r="Q23"/>
      <c r="R23"/>
      <c r="S23"/>
    </row>
    <row r="24" spans="1:19" x14ac:dyDescent="0.35">
      <c r="A24" s="381"/>
      <c r="B24" s="382"/>
      <c r="C24" s="383" t="s">
        <v>598</v>
      </c>
      <c r="D24" s="382" t="s">
        <v>599</v>
      </c>
      <c r="E24" s="387" t="s">
        <v>400</v>
      </c>
      <c r="F24" s="383" t="s">
        <v>578</v>
      </c>
      <c r="G24" s="384">
        <v>145</v>
      </c>
      <c r="H24" s="385">
        <v>36725000</v>
      </c>
      <c r="Q24" s="46"/>
    </row>
    <row r="25" spans="1:19" x14ac:dyDescent="0.35">
      <c r="A25" s="381"/>
      <c r="B25" s="382"/>
      <c r="C25" s="383"/>
      <c r="D25" s="382"/>
      <c r="E25" s="387"/>
      <c r="F25" s="383" t="s">
        <v>576</v>
      </c>
      <c r="G25" s="384">
        <v>105</v>
      </c>
      <c r="H25" s="385">
        <v>25725000</v>
      </c>
      <c r="Q25" s="46"/>
    </row>
    <row r="26" spans="1:19" x14ac:dyDescent="0.35">
      <c r="A26" s="381"/>
      <c r="B26" s="382"/>
      <c r="C26" s="383"/>
      <c r="D26" s="382"/>
      <c r="E26" s="383" t="s">
        <v>402</v>
      </c>
      <c r="F26" s="383" t="s">
        <v>576</v>
      </c>
      <c r="G26" s="384">
        <v>40</v>
      </c>
      <c r="H26" s="385">
        <v>12200000</v>
      </c>
      <c r="Q26" s="46"/>
    </row>
    <row r="27" spans="1:19" x14ac:dyDescent="0.35">
      <c r="A27" s="381"/>
      <c r="B27" s="382"/>
      <c r="C27" s="383" t="s">
        <v>600</v>
      </c>
      <c r="D27" s="382" t="s">
        <v>601</v>
      </c>
      <c r="E27" s="387" t="s">
        <v>402</v>
      </c>
      <c r="F27" s="383" t="s">
        <v>576</v>
      </c>
      <c r="G27" s="384">
        <v>10</v>
      </c>
      <c r="H27" s="385">
        <v>3075000</v>
      </c>
      <c r="Q27" s="46"/>
    </row>
    <row r="28" spans="1:19" x14ac:dyDescent="0.35">
      <c r="A28" s="381"/>
      <c r="B28" s="382"/>
      <c r="C28" s="383"/>
      <c r="D28" s="382"/>
      <c r="E28" s="383" t="s">
        <v>585</v>
      </c>
      <c r="F28" s="383" t="s">
        <v>576</v>
      </c>
      <c r="G28" s="384">
        <v>5</v>
      </c>
      <c r="H28" s="385">
        <v>1225000</v>
      </c>
      <c r="Q28" s="46"/>
    </row>
    <row r="29" spans="1:19" x14ac:dyDescent="0.35">
      <c r="A29" s="381"/>
      <c r="B29" s="382"/>
      <c r="C29" s="383" t="s">
        <v>602</v>
      </c>
      <c r="D29" s="382" t="s">
        <v>599</v>
      </c>
      <c r="E29" s="383" t="s">
        <v>400</v>
      </c>
      <c r="F29" s="383" t="s">
        <v>578</v>
      </c>
      <c r="G29" s="384">
        <v>35</v>
      </c>
      <c r="H29" s="385">
        <v>13125000</v>
      </c>
      <c r="Q29" s="46"/>
    </row>
    <row r="30" spans="1:19" x14ac:dyDescent="0.35">
      <c r="A30" s="381"/>
      <c r="B30" s="382"/>
      <c r="C30" s="383" t="s">
        <v>603</v>
      </c>
      <c r="D30" s="382" t="s">
        <v>595</v>
      </c>
      <c r="E30" s="387" t="s">
        <v>400</v>
      </c>
      <c r="F30" s="383" t="s">
        <v>578</v>
      </c>
      <c r="G30" s="384">
        <v>305</v>
      </c>
      <c r="H30" s="385">
        <v>95925000</v>
      </c>
      <c r="Q30" s="46"/>
    </row>
    <row r="31" spans="1:19" x14ac:dyDescent="0.35">
      <c r="A31" s="381"/>
      <c r="B31" s="382"/>
      <c r="C31" s="383"/>
      <c r="D31" s="382"/>
      <c r="E31" s="387"/>
      <c r="F31" s="383" t="s">
        <v>576</v>
      </c>
      <c r="G31" s="384">
        <v>194.98</v>
      </c>
      <c r="H31" s="385">
        <v>47820100</v>
      </c>
      <c r="Q31" s="46"/>
    </row>
    <row r="32" spans="1:19" x14ac:dyDescent="0.35">
      <c r="A32" s="381"/>
      <c r="B32" s="382"/>
      <c r="C32" s="383" t="s">
        <v>604</v>
      </c>
      <c r="D32" s="382" t="s">
        <v>582</v>
      </c>
      <c r="E32" s="387" t="s">
        <v>400</v>
      </c>
      <c r="F32" s="383" t="s">
        <v>578</v>
      </c>
      <c r="G32" s="384">
        <v>170</v>
      </c>
      <c r="H32" s="385">
        <v>52900000</v>
      </c>
      <c r="Q32" s="46"/>
    </row>
    <row r="33" spans="1:17" x14ac:dyDescent="0.35">
      <c r="A33" s="381"/>
      <c r="B33" s="382"/>
      <c r="C33" s="383"/>
      <c r="D33" s="382"/>
      <c r="E33" s="387"/>
      <c r="F33" s="383" t="s">
        <v>576</v>
      </c>
      <c r="G33" s="384">
        <v>257.89999999999998</v>
      </c>
      <c r="H33" s="385">
        <v>62696000</v>
      </c>
      <c r="Q33" s="46"/>
    </row>
    <row r="34" spans="1:17" x14ac:dyDescent="0.35">
      <c r="A34" s="381"/>
      <c r="B34" s="382"/>
      <c r="C34" s="383"/>
      <c r="D34" s="382"/>
      <c r="E34" s="383" t="s">
        <v>585</v>
      </c>
      <c r="F34" s="383" t="s">
        <v>576</v>
      </c>
      <c r="G34" s="384">
        <v>160</v>
      </c>
      <c r="H34" s="385">
        <v>36800000</v>
      </c>
      <c r="Q34" s="46"/>
    </row>
    <row r="35" spans="1:17" x14ac:dyDescent="0.35">
      <c r="A35" s="381"/>
      <c r="B35" s="382"/>
      <c r="C35" s="383" t="s">
        <v>605</v>
      </c>
      <c r="D35" s="382" t="s">
        <v>606</v>
      </c>
      <c r="E35" s="383" t="s">
        <v>400</v>
      </c>
      <c r="F35" s="383" t="s">
        <v>578</v>
      </c>
      <c r="G35" s="384">
        <v>105</v>
      </c>
      <c r="H35" s="385">
        <v>26775000</v>
      </c>
      <c r="Q35" s="46"/>
    </row>
    <row r="36" spans="1:17" x14ac:dyDescent="0.35">
      <c r="A36" s="381"/>
      <c r="B36" s="382"/>
      <c r="C36" s="383"/>
      <c r="D36" s="382"/>
      <c r="E36" s="383"/>
      <c r="F36" s="383" t="s">
        <v>576</v>
      </c>
      <c r="G36" s="384">
        <v>179.84</v>
      </c>
      <c r="H36" s="385">
        <v>44185000</v>
      </c>
    </row>
    <row r="37" spans="1:17" x14ac:dyDescent="0.35">
      <c r="A37" s="381"/>
      <c r="B37" s="382"/>
      <c r="C37" s="383" t="s">
        <v>607</v>
      </c>
      <c r="D37" s="382" t="s">
        <v>608</v>
      </c>
      <c r="E37" s="383" t="s">
        <v>402</v>
      </c>
      <c r="F37" s="383" t="s">
        <v>576</v>
      </c>
      <c r="G37" s="384">
        <v>20</v>
      </c>
      <c r="H37" s="385">
        <v>5900000</v>
      </c>
    </row>
    <row r="38" spans="1:17" x14ac:dyDescent="0.35">
      <c r="A38" s="381"/>
      <c r="B38" s="382"/>
      <c r="C38" s="383"/>
      <c r="D38" s="382"/>
      <c r="E38" s="383" t="s">
        <v>585</v>
      </c>
      <c r="F38" s="383" t="s">
        <v>596</v>
      </c>
      <c r="G38" s="384">
        <v>140</v>
      </c>
      <c r="H38" s="385">
        <v>38500000</v>
      </c>
    </row>
    <row r="39" spans="1:17" x14ac:dyDescent="0.35">
      <c r="A39" s="381"/>
      <c r="B39" s="382"/>
      <c r="C39" s="383"/>
      <c r="D39" s="382"/>
      <c r="E39" s="383"/>
      <c r="F39" s="383" t="s">
        <v>576</v>
      </c>
      <c r="G39" s="384">
        <v>170</v>
      </c>
      <c r="H39" s="385">
        <v>51500000</v>
      </c>
    </row>
    <row r="40" spans="1:17" x14ac:dyDescent="0.35">
      <c r="A40" s="381"/>
      <c r="B40" s="382"/>
      <c r="C40" s="383" t="s">
        <v>609</v>
      </c>
      <c r="D40" s="382" t="s">
        <v>606</v>
      </c>
      <c r="E40" s="383" t="s">
        <v>400</v>
      </c>
      <c r="F40" s="383" t="s">
        <v>576</v>
      </c>
      <c r="G40" s="384">
        <v>40</v>
      </c>
      <c r="H40" s="385">
        <v>9800000</v>
      </c>
    </row>
    <row r="41" spans="1:17" x14ac:dyDescent="0.35">
      <c r="A41" s="381"/>
      <c r="B41" s="382"/>
      <c r="C41" s="383" t="s">
        <v>610</v>
      </c>
      <c r="D41" s="386" t="s">
        <v>606</v>
      </c>
      <c r="E41" s="387" t="s">
        <v>400</v>
      </c>
      <c r="F41" s="383" t="s">
        <v>578</v>
      </c>
      <c r="G41" s="384">
        <v>35</v>
      </c>
      <c r="H41" s="385">
        <v>9625000</v>
      </c>
    </row>
    <row r="42" spans="1:17" x14ac:dyDescent="0.35">
      <c r="A42" s="381"/>
      <c r="B42" s="382"/>
      <c r="C42" s="383" t="s">
        <v>611</v>
      </c>
      <c r="D42" s="382" t="s">
        <v>582</v>
      </c>
      <c r="E42" s="383" t="s">
        <v>402</v>
      </c>
      <c r="F42" s="383" t="s">
        <v>576</v>
      </c>
      <c r="G42" s="384">
        <v>5</v>
      </c>
      <c r="H42" s="385">
        <v>1550000</v>
      </c>
    </row>
    <row r="43" spans="1:17" x14ac:dyDescent="0.35">
      <c r="A43" s="381"/>
      <c r="B43" s="382"/>
      <c r="C43" s="383" t="s">
        <v>612</v>
      </c>
      <c r="D43" s="382" t="s">
        <v>599</v>
      </c>
      <c r="E43" s="383" t="s">
        <v>400</v>
      </c>
      <c r="F43" s="383" t="s">
        <v>578</v>
      </c>
      <c r="G43" s="384">
        <v>155</v>
      </c>
      <c r="H43" s="385">
        <v>52975000</v>
      </c>
    </row>
    <row r="44" spans="1:17" x14ac:dyDescent="0.35">
      <c r="A44" s="381"/>
      <c r="B44" s="382"/>
      <c r="C44" s="383"/>
      <c r="D44" s="382"/>
      <c r="E44" s="383"/>
      <c r="F44" s="383" t="s">
        <v>576</v>
      </c>
      <c r="G44" s="384">
        <v>124.9</v>
      </c>
      <c r="H44" s="385">
        <v>30625000</v>
      </c>
    </row>
    <row r="45" spans="1:17" x14ac:dyDescent="0.35">
      <c r="A45" s="381"/>
      <c r="B45" s="388" t="s">
        <v>613</v>
      </c>
      <c r="C45" s="388"/>
      <c r="D45" s="388"/>
      <c r="E45" s="388"/>
      <c r="F45" s="388"/>
      <c r="G45" s="389">
        <v>4779.07</v>
      </c>
      <c r="H45" s="390">
        <v>1331286877.5999999</v>
      </c>
    </row>
    <row r="46" spans="1:17" x14ac:dyDescent="0.35">
      <c r="A46" s="381"/>
      <c r="B46" s="382" t="s">
        <v>614</v>
      </c>
      <c r="C46" s="383" t="s">
        <v>615</v>
      </c>
      <c r="D46" s="382" t="s">
        <v>582</v>
      </c>
      <c r="E46" s="383" t="s">
        <v>400</v>
      </c>
      <c r="F46" s="383" t="s">
        <v>616</v>
      </c>
      <c r="G46" s="384">
        <v>1204.4000000000001</v>
      </c>
      <c r="H46" s="385">
        <v>286647200</v>
      </c>
    </row>
    <row r="47" spans="1:17" x14ac:dyDescent="0.35">
      <c r="A47" s="381"/>
      <c r="B47" s="382"/>
      <c r="C47" s="383" t="s">
        <v>617</v>
      </c>
      <c r="D47" s="386" t="s">
        <v>582</v>
      </c>
      <c r="E47" s="383" t="s">
        <v>585</v>
      </c>
      <c r="F47" s="383" t="s">
        <v>576</v>
      </c>
      <c r="G47" s="384">
        <v>80</v>
      </c>
      <c r="H47" s="385">
        <v>24400000</v>
      </c>
    </row>
    <row r="48" spans="1:17" x14ac:dyDescent="0.35">
      <c r="A48" s="381"/>
      <c r="B48" s="382"/>
      <c r="C48" s="383" t="s">
        <v>618</v>
      </c>
      <c r="D48" s="386" t="s">
        <v>582</v>
      </c>
      <c r="E48" s="383" t="s">
        <v>400</v>
      </c>
      <c r="F48" s="383" t="s">
        <v>576</v>
      </c>
      <c r="G48" s="384">
        <v>51</v>
      </c>
      <c r="H48" s="385">
        <v>17680000</v>
      </c>
    </row>
    <row r="49" spans="1:8" x14ac:dyDescent="0.35">
      <c r="A49" s="381"/>
      <c r="B49" s="382"/>
      <c r="C49" s="383"/>
      <c r="D49" s="386"/>
      <c r="E49" s="383" t="s">
        <v>402</v>
      </c>
      <c r="F49" s="383" t="s">
        <v>576</v>
      </c>
      <c r="G49" s="384">
        <v>3.5</v>
      </c>
      <c r="H49" s="385">
        <v>1050000</v>
      </c>
    </row>
    <row r="50" spans="1:8" x14ac:dyDescent="0.35">
      <c r="A50" s="381"/>
      <c r="B50" s="382"/>
      <c r="C50" s="383"/>
      <c r="D50" s="386"/>
      <c r="E50" s="383" t="s">
        <v>404</v>
      </c>
      <c r="F50" s="383" t="s">
        <v>576</v>
      </c>
      <c r="G50" s="384">
        <v>20</v>
      </c>
      <c r="H50" s="385">
        <v>2100000</v>
      </c>
    </row>
    <row r="51" spans="1:8" x14ac:dyDescent="0.35">
      <c r="A51" s="381"/>
      <c r="B51" s="382"/>
      <c r="C51" s="383" t="s">
        <v>619</v>
      </c>
      <c r="D51" s="382" t="s">
        <v>620</v>
      </c>
      <c r="E51" s="383" t="s">
        <v>400</v>
      </c>
      <c r="F51" s="383" t="s">
        <v>576</v>
      </c>
      <c r="G51" s="384">
        <v>420</v>
      </c>
      <c r="H51" s="385">
        <v>100800000</v>
      </c>
    </row>
    <row r="52" spans="1:8" x14ac:dyDescent="0.35">
      <c r="A52" s="381"/>
      <c r="B52" s="382"/>
      <c r="C52" s="383" t="s">
        <v>621</v>
      </c>
      <c r="D52" s="382" t="s">
        <v>622</v>
      </c>
      <c r="E52" s="387" t="s">
        <v>400</v>
      </c>
      <c r="F52" s="383" t="s">
        <v>576</v>
      </c>
      <c r="G52" s="384">
        <v>386.4</v>
      </c>
      <c r="H52" s="385">
        <v>94688000</v>
      </c>
    </row>
    <row r="53" spans="1:8" x14ac:dyDescent="0.35">
      <c r="A53" s="381"/>
      <c r="B53" s="388" t="s">
        <v>623</v>
      </c>
      <c r="C53" s="388"/>
      <c r="D53" s="388"/>
      <c r="E53" s="388"/>
      <c r="F53" s="388"/>
      <c r="G53" s="389">
        <v>2165.3000000000002</v>
      </c>
      <c r="H53" s="390">
        <v>527365200</v>
      </c>
    </row>
    <row r="54" spans="1:8" x14ac:dyDescent="0.35">
      <c r="A54" s="381"/>
      <c r="B54" s="382" t="s">
        <v>624</v>
      </c>
      <c r="C54" s="383" t="s">
        <v>625</v>
      </c>
      <c r="D54" s="382" t="s">
        <v>582</v>
      </c>
      <c r="E54" s="383" t="s">
        <v>626</v>
      </c>
      <c r="F54" s="383" t="s">
        <v>576</v>
      </c>
      <c r="G54" s="384">
        <v>1208.75</v>
      </c>
      <c r="H54" s="385">
        <v>283236800</v>
      </c>
    </row>
    <row r="55" spans="1:8" x14ac:dyDescent="0.35">
      <c r="A55" s="381"/>
      <c r="B55" s="382"/>
      <c r="C55" s="383"/>
      <c r="D55" s="382"/>
      <c r="E55" s="383" t="s">
        <v>627</v>
      </c>
      <c r="F55" s="383" t="s">
        <v>576</v>
      </c>
      <c r="G55" s="384">
        <v>250</v>
      </c>
      <c r="H55" s="385">
        <v>41250000</v>
      </c>
    </row>
    <row r="56" spans="1:8" x14ac:dyDescent="0.35">
      <c r="A56" s="381"/>
      <c r="B56" s="382"/>
      <c r="C56" s="383"/>
      <c r="D56" s="382"/>
      <c r="E56" s="383" t="s">
        <v>402</v>
      </c>
      <c r="F56" s="383" t="s">
        <v>576</v>
      </c>
      <c r="G56" s="384">
        <v>1622</v>
      </c>
      <c r="H56" s="385">
        <v>403380000</v>
      </c>
    </row>
    <row r="57" spans="1:8" x14ac:dyDescent="0.35">
      <c r="A57" s="381"/>
      <c r="B57" s="382"/>
      <c r="C57" s="383"/>
      <c r="D57" s="382"/>
      <c r="E57" s="383" t="s">
        <v>404</v>
      </c>
      <c r="F57" s="383" t="s">
        <v>576</v>
      </c>
      <c r="G57" s="384">
        <v>1999.95</v>
      </c>
      <c r="H57" s="385">
        <v>195995160</v>
      </c>
    </row>
    <row r="58" spans="1:8" x14ac:dyDescent="0.35">
      <c r="A58" s="381"/>
      <c r="B58" s="382"/>
      <c r="C58" s="383"/>
      <c r="D58" s="382"/>
      <c r="E58" s="383" t="s">
        <v>405</v>
      </c>
      <c r="F58" s="383" t="s">
        <v>576</v>
      </c>
      <c r="G58" s="384">
        <v>3001.7</v>
      </c>
      <c r="H58" s="385">
        <v>885450000</v>
      </c>
    </row>
    <row r="59" spans="1:8" x14ac:dyDescent="0.35">
      <c r="A59" s="381"/>
      <c r="B59" s="382"/>
      <c r="C59" s="383"/>
      <c r="D59" s="382"/>
      <c r="E59" s="383" t="s">
        <v>585</v>
      </c>
      <c r="F59" s="383" t="s">
        <v>576</v>
      </c>
      <c r="G59" s="384">
        <v>191</v>
      </c>
      <c r="H59" s="385">
        <v>39919000</v>
      </c>
    </row>
    <row r="60" spans="1:8" x14ac:dyDescent="0.35">
      <c r="A60" s="381"/>
      <c r="B60" s="382"/>
      <c r="C60" s="383" t="s">
        <v>628</v>
      </c>
      <c r="D60" s="386" t="s">
        <v>582</v>
      </c>
      <c r="E60" s="383" t="s">
        <v>404</v>
      </c>
      <c r="F60" s="383" t="s">
        <v>576</v>
      </c>
      <c r="G60" s="384">
        <v>30</v>
      </c>
      <c r="H60" s="385">
        <v>3120000</v>
      </c>
    </row>
    <row r="61" spans="1:8" x14ac:dyDescent="0.35">
      <c r="A61" s="381"/>
      <c r="B61" s="382"/>
      <c r="C61" s="383" t="s">
        <v>629</v>
      </c>
      <c r="D61" s="386" t="s">
        <v>582</v>
      </c>
      <c r="E61" s="387" t="s">
        <v>404</v>
      </c>
      <c r="F61" s="383" t="s">
        <v>576</v>
      </c>
      <c r="G61" s="384">
        <v>5</v>
      </c>
      <c r="H61" s="385">
        <v>520000</v>
      </c>
    </row>
    <row r="62" spans="1:8" x14ac:dyDescent="0.35">
      <c r="A62" s="381"/>
      <c r="B62" s="382"/>
      <c r="C62" s="383"/>
      <c r="D62" s="386"/>
      <c r="E62" s="383" t="s">
        <v>585</v>
      </c>
      <c r="F62" s="383" t="s">
        <v>576</v>
      </c>
      <c r="G62" s="384">
        <v>2.5</v>
      </c>
      <c r="H62" s="385">
        <v>700000</v>
      </c>
    </row>
    <row r="63" spans="1:8" x14ac:dyDescent="0.35">
      <c r="A63" s="381"/>
      <c r="B63" s="382"/>
      <c r="C63" s="383" t="s">
        <v>630</v>
      </c>
      <c r="D63" s="386" t="s">
        <v>582</v>
      </c>
      <c r="E63" s="383" t="s">
        <v>400</v>
      </c>
      <c r="F63" s="383" t="s">
        <v>576</v>
      </c>
      <c r="G63" s="384">
        <v>299.60000000000002</v>
      </c>
      <c r="H63" s="385">
        <v>86088000</v>
      </c>
    </row>
    <row r="64" spans="1:8" x14ac:dyDescent="0.35">
      <c r="A64" s="381"/>
      <c r="B64" s="382"/>
      <c r="C64" s="383"/>
      <c r="D64" s="386"/>
      <c r="E64" s="383" t="s">
        <v>631</v>
      </c>
      <c r="F64" s="383" t="s">
        <v>576</v>
      </c>
      <c r="G64" s="384">
        <v>50.9</v>
      </c>
      <c r="H64" s="385">
        <v>14252000</v>
      </c>
    </row>
    <row r="65" spans="1:8" x14ac:dyDescent="0.35">
      <c r="A65" s="381"/>
      <c r="B65" s="382"/>
      <c r="C65" s="383"/>
      <c r="D65" s="386"/>
      <c r="E65" s="383" t="s">
        <v>402</v>
      </c>
      <c r="F65" s="383" t="s">
        <v>576</v>
      </c>
      <c r="G65" s="384">
        <v>240</v>
      </c>
      <c r="H65" s="385">
        <v>69000000</v>
      </c>
    </row>
    <row r="66" spans="1:8" x14ac:dyDescent="0.35">
      <c r="A66" s="381"/>
      <c r="B66" s="382"/>
      <c r="C66" s="383" t="s">
        <v>632</v>
      </c>
      <c r="D66" s="382" t="s">
        <v>633</v>
      </c>
      <c r="E66" s="383" t="s">
        <v>634</v>
      </c>
      <c r="F66" s="383"/>
      <c r="G66" s="384">
        <v>20506.02</v>
      </c>
      <c r="H66" s="385">
        <v>3127168050</v>
      </c>
    </row>
    <row r="67" spans="1:8" x14ac:dyDescent="0.35">
      <c r="A67" s="381"/>
      <c r="B67" s="382"/>
      <c r="C67" s="383"/>
      <c r="D67" s="382"/>
      <c r="E67" s="383" t="s">
        <v>403</v>
      </c>
      <c r="F67" s="383"/>
      <c r="G67" s="384">
        <v>6517.4</v>
      </c>
      <c r="H67" s="385">
        <v>1085147100</v>
      </c>
    </row>
    <row r="68" spans="1:8" x14ac:dyDescent="0.35">
      <c r="A68" s="381"/>
      <c r="B68" s="382"/>
      <c r="C68" s="383" t="s">
        <v>635</v>
      </c>
      <c r="D68" s="382" t="s">
        <v>582</v>
      </c>
      <c r="E68" s="383" t="s">
        <v>585</v>
      </c>
      <c r="F68" s="383" t="s">
        <v>576</v>
      </c>
      <c r="G68" s="384">
        <v>2500</v>
      </c>
      <c r="H68" s="385">
        <v>640000000</v>
      </c>
    </row>
    <row r="69" spans="1:8" x14ac:dyDescent="0.35">
      <c r="A69" s="381"/>
      <c r="B69" s="388" t="s">
        <v>636</v>
      </c>
      <c r="C69" s="388"/>
      <c r="D69" s="388"/>
      <c r="E69" s="388"/>
      <c r="F69" s="388"/>
      <c r="G69" s="389">
        <v>38424.82</v>
      </c>
      <c r="H69" s="390">
        <v>6875226110</v>
      </c>
    </row>
    <row r="70" spans="1:8" x14ac:dyDescent="0.35">
      <c r="A70" s="381"/>
      <c r="B70" s="382" t="s">
        <v>637</v>
      </c>
      <c r="C70" s="383" t="s">
        <v>638</v>
      </c>
      <c r="D70" s="382" t="s">
        <v>582</v>
      </c>
      <c r="E70" s="383" t="s">
        <v>627</v>
      </c>
      <c r="F70" s="383" t="s">
        <v>639</v>
      </c>
      <c r="G70" s="384">
        <v>1466</v>
      </c>
      <c r="H70" s="385">
        <v>349256600</v>
      </c>
    </row>
    <row r="71" spans="1:8" x14ac:dyDescent="0.35">
      <c r="A71" s="381"/>
      <c r="B71" s="382"/>
      <c r="C71" s="383" t="s">
        <v>640</v>
      </c>
      <c r="D71" s="386" t="s">
        <v>582</v>
      </c>
      <c r="E71" s="383" t="s">
        <v>404</v>
      </c>
      <c r="F71" s="383" t="s">
        <v>639</v>
      </c>
      <c r="G71" s="384">
        <v>50</v>
      </c>
      <c r="H71" s="385">
        <v>4525000</v>
      </c>
    </row>
    <row r="72" spans="1:8" x14ac:dyDescent="0.35">
      <c r="A72" s="381"/>
      <c r="B72" s="382"/>
      <c r="C72" s="383"/>
      <c r="D72" s="386"/>
      <c r="E72" s="383" t="s">
        <v>585</v>
      </c>
      <c r="F72" s="383" t="s">
        <v>639</v>
      </c>
      <c r="G72" s="384">
        <v>193.5</v>
      </c>
      <c r="H72" s="385">
        <v>39909375</v>
      </c>
    </row>
    <row r="73" spans="1:8" x14ac:dyDescent="0.35">
      <c r="A73" s="381"/>
      <c r="B73" s="388" t="s">
        <v>641</v>
      </c>
      <c r="C73" s="388"/>
      <c r="D73" s="388"/>
      <c r="E73" s="388"/>
      <c r="F73" s="388"/>
      <c r="G73" s="389">
        <v>1709.5</v>
      </c>
      <c r="H73" s="390">
        <v>393690975</v>
      </c>
    </row>
    <row r="74" spans="1:8" x14ac:dyDescent="0.35">
      <c r="A74" s="381"/>
      <c r="B74" s="382" t="s">
        <v>642</v>
      </c>
      <c r="C74" s="383" t="s">
        <v>643</v>
      </c>
      <c r="D74" s="382" t="s">
        <v>582</v>
      </c>
      <c r="E74" s="383" t="s">
        <v>402</v>
      </c>
      <c r="F74" s="383" t="s">
        <v>576</v>
      </c>
      <c r="G74" s="384">
        <v>285</v>
      </c>
      <c r="H74" s="385">
        <v>69825000</v>
      </c>
    </row>
    <row r="75" spans="1:8" x14ac:dyDescent="0.35">
      <c r="A75" s="381"/>
      <c r="B75" s="382"/>
      <c r="C75" s="383"/>
      <c r="D75" s="382"/>
      <c r="E75" s="383" t="s">
        <v>585</v>
      </c>
      <c r="F75" s="383" t="s">
        <v>576</v>
      </c>
      <c r="G75" s="384">
        <v>150</v>
      </c>
      <c r="H75" s="385">
        <v>32250000</v>
      </c>
    </row>
    <row r="76" spans="1:8" x14ac:dyDescent="0.35">
      <c r="A76" s="381"/>
      <c r="B76" s="382"/>
      <c r="C76" s="383" t="s">
        <v>644</v>
      </c>
      <c r="D76" s="386" t="s">
        <v>582</v>
      </c>
      <c r="E76" s="383" t="s">
        <v>402</v>
      </c>
      <c r="F76" s="383" t="s">
        <v>645</v>
      </c>
      <c r="G76" s="384">
        <v>75</v>
      </c>
      <c r="H76" s="385">
        <v>22500000</v>
      </c>
    </row>
    <row r="77" spans="1:8" x14ac:dyDescent="0.35">
      <c r="A77" s="381"/>
      <c r="B77" s="382"/>
      <c r="C77" s="383"/>
      <c r="D77" s="386"/>
      <c r="E77" s="383" t="s">
        <v>585</v>
      </c>
      <c r="F77" s="383" t="s">
        <v>645</v>
      </c>
      <c r="G77" s="384">
        <v>50</v>
      </c>
      <c r="H77" s="385">
        <v>17500000</v>
      </c>
    </row>
    <row r="78" spans="1:8" x14ac:dyDescent="0.35">
      <c r="A78" s="391"/>
      <c r="B78" s="388" t="s">
        <v>646</v>
      </c>
      <c r="C78" s="388"/>
      <c r="D78" s="388"/>
      <c r="E78" s="388"/>
      <c r="F78" s="388"/>
      <c r="G78" s="389">
        <v>560</v>
      </c>
      <c r="H78" s="390">
        <v>142075000</v>
      </c>
    </row>
    <row r="79" spans="1:8" x14ac:dyDescent="0.35">
      <c r="A79" s="392" t="s">
        <v>285</v>
      </c>
      <c r="B79" s="392"/>
      <c r="C79" s="392"/>
      <c r="D79" s="392"/>
      <c r="E79" s="392"/>
      <c r="F79" s="392"/>
      <c r="G79" s="393">
        <v>47638.69</v>
      </c>
      <c r="H79" s="394">
        <v>9269644162.6000004</v>
      </c>
    </row>
  </sheetData>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20DAF-54EE-4D37-8E72-98A83D88BF78}">
  <dimension ref="A1:AV5"/>
  <sheetViews>
    <sheetView topLeftCell="AG1" zoomScale="130" zoomScaleNormal="130" workbookViewId="0">
      <selection activeCell="AU3" sqref="AU3"/>
    </sheetView>
  </sheetViews>
  <sheetFormatPr defaultRowHeight="12.5" x14ac:dyDescent="0.25"/>
  <cols>
    <col min="2" max="2" width="19" customWidth="1"/>
    <col min="3" max="3" width="22.6328125" customWidth="1"/>
    <col min="4" max="4" width="16.26953125" customWidth="1"/>
    <col min="5" max="5" width="19" customWidth="1"/>
    <col min="11" max="11" width="10.81640625" customWidth="1"/>
    <col min="12" max="12" width="9.7265625" customWidth="1"/>
    <col min="13" max="13" width="20.08984375" customWidth="1"/>
    <col min="14" max="14" width="22.26953125" customWidth="1"/>
    <col min="15" max="15" width="15.7265625" customWidth="1"/>
    <col min="17" max="17" width="9.1796875" customWidth="1"/>
    <col min="18" max="18" width="18.81640625" customWidth="1"/>
    <col min="19" max="19" width="17.90625" customWidth="1"/>
    <col min="20" max="20" width="15" customWidth="1"/>
    <col min="21" max="21" width="10.6328125" customWidth="1"/>
    <col min="22" max="22" width="17.90625" customWidth="1"/>
    <col min="23" max="23" width="26.453125" customWidth="1"/>
    <col min="24" max="24" width="17.6328125" customWidth="1"/>
    <col min="25" max="25" width="20.36328125" customWidth="1"/>
    <col min="26" max="26" width="14.08984375" customWidth="1"/>
    <col min="27" max="27" width="13.6328125" customWidth="1"/>
    <col min="28" max="28" width="14.90625" customWidth="1"/>
    <col min="29" max="29" width="27.81640625" customWidth="1"/>
    <col min="30" max="30" width="24.453125" customWidth="1"/>
    <col min="31" max="31" width="31.81640625" customWidth="1"/>
    <col min="32" max="32" width="29.90625" customWidth="1"/>
    <col min="33" max="33" width="29.08984375" customWidth="1"/>
    <col min="34" max="34" width="13.54296875" customWidth="1"/>
    <col min="35" max="35" width="12.26953125" customWidth="1"/>
    <col min="36" max="36" width="13.08984375" customWidth="1"/>
    <col min="37" max="37" width="15" customWidth="1"/>
    <col min="38" max="38" width="17.90625" customWidth="1"/>
    <col min="39" max="39" width="19.26953125" customWidth="1"/>
    <col min="40" max="40" width="11.36328125" customWidth="1"/>
    <col min="41" max="41" width="33.7265625" customWidth="1"/>
    <col min="42" max="42" width="27.453125" customWidth="1"/>
    <col min="43" max="43" width="24.7265625" customWidth="1"/>
    <col min="44" max="44" width="32.36328125" customWidth="1"/>
    <col min="45" max="45" width="18.81640625" customWidth="1"/>
    <col min="46" max="46" width="24.81640625" customWidth="1"/>
    <col min="47" max="47" width="16.36328125" customWidth="1"/>
    <col min="48" max="48" width="21.453125" customWidth="1"/>
  </cols>
  <sheetData>
    <row r="1" spans="1:48" x14ac:dyDescent="0.25">
      <c r="A1" t="s">
        <v>657</v>
      </c>
      <c r="B1" t="s">
        <v>659</v>
      </c>
      <c r="C1" t="s">
        <v>660</v>
      </c>
      <c r="D1" t="s">
        <v>661</v>
      </c>
      <c r="E1" t="s">
        <v>662</v>
      </c>
      <c r="F1" t="s">
        <v>663</v>
      </c>
      <c r="G1" t="s">
        <v>664</v>
      </c>
      <c r="H1" t="s">
        <v>665</v>
      </c>
      <c r="I1" t="s">
        <v>392</v>
      </c>
      <c r="J1" t="s">
        <v>666</v>
      </c>
      <c r="K1" t="s">
        <v>667</v>
      </c>
      <c r="L1" t="s">
        <v>652</v>
      </c>
      <c r="M1" t="s">
        <v>668</v>
      </c>
      <c r="N1" t="s">
        <v>669</v>
      </c>
      <c r="O1" t="s">
        <v>670</v>
      </c>
      <c r="P1" t="s">
        <v>653</v>
      </c>
      <c r="Q1" t="s">
        <v>671</v>
      </c>
      <c r="R1" t="s">
        <v>672</v>
      </c>
      <c r="S1" t="s">
        <v>673</v>
      </c>
      <c r="T1" t="s">
        <v>674</v>
      </c>
      <c r="U1" t="s">
        <v>675</v>
      </c>
      <c r="V1" t="s">
        <v>676</v>
      </c>
      <c r="W1" t="s">
        <v>677</v>
      </c>
      <c r="X1" t="s">
        <v>678</v>
      </c>
      <c r="Y1" t="s">
        <v>679</v>
      </c>
      <c r="Z1" t="s">
        <v>680</v>
      </c>
      <c r="AA1" t="s">
        <v>681</v>
      </c>
      <c r="AB1" t="s">
        <v>682</v>
      </c>
      <c r="AC1" t="s">
        <v>683</v>
      </c>
      <c r="AD1" t="s">
        <v>684</v>
      </c>
      <c r="AE1" t="s">
        <v>685</v>
      </c>
      <c r="AF1" t="s">
        <v>686</v>
      </c>
      <c r="AG1" t="s">
        <v>687</v>
      </c>
      <c r="AH1" t="s">
        <v>688</v>
      </c>
      <c r="AI1" t="s">
        <v>689</v>
      </c>
      <c r="AJ1" t="s">
        <v>690</v>
      </c>
      <c r="AK1" t="s">
        <v>654</v>
      </c>
      <c r="AL1" t="s">
        <v>691</v>
      </c>
      <c r="AM1" t="s">
        <v>692</v>
      </c>
      <c r="AN1" t="s">
        <v>693</v>
      </c>
      <c r="AO1" t="s">
        <v>694</v>
      </c>
      <c r="AP1" t="s">
        <v>695</v>
      </c>
      <c r="AQ1" t="s">
        <v>696</v>
      </c>
      <c r="AR1" t="s">
        <v>697</v>
      </c>
      <c r="AS1" t="s">
        <v>698</v>
      </c>
      <c r="AT1" t="s">
        <v>699</v>
      </c>
      <c r="AU1" t="s">
        <v>700</v>
      </c>
      <c r="AV1" t="s">
        <v>701</v>
      </c>
    </row>
    <row r="2" spans="1:48" x14ac:dyDescent="0.25">
      <c r="A2" t="s">
        <v>719</v>
      </c>
      <c r="B2">
        <v>34082</v>
      </c>
      <c r="C2">
        <v>38311</v>
      </c>
      <c r="D2" t="s">
        <v>720</v>
      </c>
      <c r="E2" t="s">
        <v>704</v>
      </c>
      <c r="F2" t="s">
        <v>721</v>
      </c>
      <c r="G2" t="s">
        <v>706</v>
      </c>
      <c r="H2" t="s">
        <v>707</v>
      </c>
      <c r="I2" t="s">
        <v>708</v>
      </c>
      <c r="J2" t="s">
        <v>722</v>
      </c>
      <c r="L2" s="406">
        <v>44545</v>
      </c>
      <c r="M2" t="s">
        <v>710</v>
      </c>
      <c r="N2" t="s">
        <v>723</v>
      </c>
      <c r="O2" t="s">
        <v>712</v>
      </c>
      <c r="P2" t="s">
        <v>651</v>
      </c>
      <c r="Q2" t="s">
        <v>395</v>
      </c>
      <c r="R2" t="s">
        <v>713</v>
      </c>
      <c r="S2">
        <v>11000</v>
      </c>
      <c r="V2">
        <v>11000</v>
      </c>
      <c r="W2">
        <v>11000</v>
      </c>
      <c r="X2">
        <v>5931750</v>
      </c>
      <c r="Y2">
        <v>0</v>
      </c>
      <c r="Z2">
        <v>5931750</v>
      </c>
      <c r="AB2">
        <v>668250</v>
      </c>
      <c r="AE2">
        <v>0</v>
      </c>
      <c r="AF2">
        <v>0</v>
      </c>
      <c r="AG2">
        <v>0</v>
      </c>
      <c r="AH2">
        <v>5931750</v>
      </c>
      <c r="AI2">
        <v>6600000</v>
      </c>
      <c r="AJ2" t="s">
        <v>714</v>
      </c>
      <c r="AK2" t="s">
        <v>164</v>
      </c>
      <c r="AL2" t="s">
        <v>715</v>
      </c>
      <c r="AM2" t="s">
        <v>724</v>
      </c>
      <c r="AN2" s="406">
        <v>44575</v>
      </c>
      <c r="AO2" s="406">
        <v>44546</v>
      </c>
      <c r="AP2" s="406">
        <v>44538</v>
      </c>
      <c r="AQ2" s="406">
        <v>44540</v>
      </c>
      <c r="AR2" s="406">
        <v>44545</v>
      </c>
      <c r="AS2" t="s">
        <v>717</v>
      </c>
      <c r="AT2" t="s">
        <v>718</v>
      </c>
      <c r="AU2" t="s">
        <v>719</v>
      </c>
      <c r="AV2">
        <v>14346</v>
      </c>
    </row>
    <row r="3" spans="1:48" x14ac:dyDescent="0.25">
      <c r="A3" t="s">
        <v>726</v>
      </c>
      <c r="B3">
        <v>33220</v>
      </c>
      <c r="C3">
        <v>37859</v>
      </c>
      <c r="D3" t="s">
        <v>727</v>
      </c>
      <c r="E3" t="s">
        <v>704</v>
      </c>
      <c r="F3">
        <v>5764</v>
      </c>
      <c r="G3" t="s">
        <v>728</v>
      </c>
      <c r="H3" t="s">
        <v>707</v>
      </c>
      <c r="I3" t="s">
        <v>708</v>
      </c>
      <c r="J3" t="s">
        <v>729</v>
      </c>
      <c r="L3" s="406">
        <v>44504</v>
      </c>
      <c r="M3" t="s">
        <v>710</v>
      </c>
      <c r="N3" t="s">
        <v>730</v>
      </c>
      <c r="O3" t="s">
        <v>731</v>
      </c>
      <c r="P3" t="s">
        <v>651</v>
      </c>
      <c r="Q3" t="s">
        <v>395</v>
      </c>
      <c r="R3" t="s">
        <v>713</v>
      </c>
      <c r="S3">
        <v>11020</v>
      </c>
      <c r="V3">
        <v>11020</v>
      </c>
      <c r="W3">
        <v>11020</v>
      </c>
      <c r="X3">
        <v>4919257.47</v>
      </c>
      <c r="Y3">
        <v>0</v>
      </c>
      <c r="Z3">
        <v>4919257.47</v>
      </c>
      <c r="AB3">
        <v>606210.19999999995</v>
      </c>
      <c r="AC3">
        <v>6572.33</v>
      </c>
      <c r="AE3">
        <v>0</v>
      </c>
      <c r="AF3">
        <v>0</v>
      </c>
      <c r="AG3">
        <v>0</v>
      </c>
      <c r="AH3">
        <v>4919257.47</v>
      </c>
      <c r="AI3">
        <v>5532040</v>
      </c>
      <c r="AJ3" t="s">
        <v>714</v>
      </c>
      <c r="AK3" t="s">
        <v>164</v>
      </c>
      <c r="AL3" t="s">
        <v>715</v>
      </c>
      <c r="AM3" t="s">
        <v>732</v>
      </c>
      <c r="AN3" s="406">
        <v>44654</v>
      </c>
      <c r="AO3" s="406">
        <v>44509</v>
      </c>
      <c r="AP3" s="406">
        <v>44494</v>
      </c>
      <c r="AQ3" s="406">
        <v>44496</v>
      </c>
      <c r="AR3" s="406">
        <v>44487</v>
      </c>
      <c r="AS3" t="s">
        <v>717</v>
      </c>
      <c r="AT3" t="s">
        <v>733</v>
      </c>
      <c r="AU3" t="s">
        <v>726</v>
      </c>
      <c r="AV3">
        <v>9022</v>
      </c>
    </row>
    <row r="4" spans="1:48" x14ac:dyDescent="0.25">
      <c r="A4" t="s">
        <v>726</v>
      </c>
      <c r="B4">
        <v>30516</v>
      </c>
      <c r="C4">
        <v>36547</v>
      </c>
      <c r="D4" t="s">
        <v>734</v>
      </c>
      <c r="E4" t="s">
        <v>704</v>
      </c>
      <c r="F4">
        <v>4978</v>
      </c>
      <c r="G4" t="s">
        <v>728</v>
      </c>
      <c r="H4" t="s">
        <v>707</v>
      </c>
      <c r="I4" t="s">
        <v>708</v>
      </c>
      <c r="J4" t="s">
        <v>735</v>
      </c>
      <c r="L4" s="406">
        <v>44365</v>
      </c>
      <c r="M4" t="s">
        <v>710</v>
      </c>
      <c r="N4" t="s">
        <v>730</v>
      </c>
      <c r="O4" t="s">
        <v>731</v>
      </c>
      <c r="P4" t="s">
        <v>651</v>
      </c>
      <c r="Q4" t="s">
        <v>395</v>
      </c>
      <c r="R4" t="s">
        <v>713</v>
      </c>
      <c r="S4">
        <v>117</v>
      </c>
      <c r="V4">
        <v>117</v>
      </c>
      <c r="W4">
        <v>117</v>
      </c>
      <c r="X4">
        <v>36086.31</v>
      </c>
      <c r="Y4">
        <v>0</v>
      </c>
      <c r="Z4">
        <v>36086.31</v>
      </c>
      <c r="AB4">
        <v>4230.72</v>
      </c>
      <c r="AC4">
        <v>47.97</v>
      </c>
      <c r="AE4">
        <v>0</v>
      </c>
      <c r="AF4">
        <v>0</v>
      </c>
      <c r="AG4">
        <v>0</v>
      </c>
      <c r="AH4">
        <v>36086.31</v>
      </c>
      <c r="AI4">
        <v>40365</v>
      </c>
      <c r="AJ4" t="s">
        <v>714</v>
      </c>
      <c r="AK4" t="s">
        <v>164</v>
      </c>
      <c r="AL4" t="s">
        <v>715</v>
      </c>
      <c r="AM4" t="s">
        <v>716</v>
      </c>
      <c r="AN4" s="406">
        <v>44515</v>
      </c>
      <c r="AO4" s="406">
        <v>44368</v>
      </c>
      <c r="AP4" s="406">
        <v>44353</v>
      </c>
      <c r="AQ4" s="406">
        <v>44355</v>
      </c>
      <c r="AR4" s="406">
        <v>44365</v>
      </c>
      <c r="AS4" t="s">
        <v>717</v>
      </c>
      <c r="AT4" t="s">
        <v>733</v>
      </c>
      <c r="AU4" t="s">
        <v>726</v>
      </c>
      <c r="AV4">
        <v>9022</v>
      </c>
    </row>
    <row r="5" spans="1:48" x14ac:dyDescent="0.25">
      <c r="A5" t="s">
        <v>726</v>
      </c>
      <c r="B5">
        <v>30515</v>
      </c>
      <c r="C5">
        <v>36348</v>
      </c>
      <c r="D5" t="s">
        <v>734</v>
      </c>
      <c r="E5" t="s">
        <v>704</v>
      </c>
      <c r="F5">
        <v>3800</v>
      </c>
      <c r="G5" t="s">
        <v>728</v>
      </c>
      <c r="H5" t="s">
        <v>707</v>
      </c>
      <c r="I5" t="s">
        <v>708</v>
      </c>
      <c r="J5" t="s">
        <v>735</v>
      </c>
      <c r="L5" s="406">
        <v>44365</v>
      </c>
      <c r="M5" t="s">
        <v>710</v>
      </c>
      <c r="N5" t="s">
        <v>730</v>
      </c>
      <c r="O5" t="s">
        <v>731</v>
      </c>
      <c r="P5" t="s">
        <v>651</v>
      </c>
      <c r="Q5" t="s">
        <v>395</v>
      </c>
      <c r="R5" t="s">
        <v>713</v>
      </c>
      <c r="S5">
        <v>16500</v>
      </c>
      <c r="V5">
        <v>16500</v>
      </c>
      <c r="W5">
        <v>16500</v>
      </c>
      <c r="X5">
        <v>5089095</v>
      </c>
      <c r="Y5">
        <v>0</v>
      </c>
      <c r="Z5">
        <v>5089095</v>
      </c>
      <c r="AB5">
        <v>596640</v>
      </c>
      <c r="AC5">
        <v>6765</v>
      </c>
      <c r="AE5">
        <v>0</v>
      </c>
      <c r="AF5">
        <v>0</v>
      </c>
      <c r="AG5">
        <v>0</v>
      </c>
      <c r="AH5">
        <v>5089095</v>
      </c>
      <c r="AI5">
        <v>5692500</v>
      </c>
      <c r="AJ5" t="s">
        <v>714</v>
      </c>
      <c r="AK5" t="s">
        <v>164</v>
      </c>
      <c r="AL5" t="s">
        <v>715</v>
      </c>
      <c r="AM5" t="s">
        <v>732</v>
      </c>
      <c r="AN5" s="406">
        <v>44515</v>
      </c>
      <c r="AO5" s="406">
        <v>44368</v>
      </c>
      <c r="AP5" s="406">
        <v>44353</v>
      </c>
      <c r="AQ5" s="406">
        <v>44355</v>
      </c>
      <c r="AR5" s="406">
        <v>44349</v>
      </c>
      <c r="AS5" t="s">
        <v>717</v>
      </c>
      <c r="AT5" t="s">
        <v>733</v>
      </c>
      <c r="AU5" t="s">
        <v>726</v>
      </c>
      <c r="AV5">
        <v>9022</v>
      </c>
    </row>
  </sheetData>
  <pageMargins left="0.7" right="0.7" top="0.75" bottom="0.75" header="0.3" footer="0.3"/>
  <pageSetup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F2C5-27FC-420F-A58A-A55114FF5183}">
  <dimension ref="A1:AV9"/>
  <sheetViews>
    <sheetView topLeftCell="AF1" workbookViewId="0">
      <selection activeCell="AV3" sqref="A1:AV9"/>
    </sheetView>
  </sheetViews>
  <sheetFormatPr defaultRowHeight="12.5" x14ac:dyDescent="0.25"/>
  <cols>
    <col min="2" max="2" width="19" customWidth="1"/>
    <col min="3" max="3" width="22.6328125" customWidth="1"/>
    <col min="4" max="4" width="16.26953125" customWidth="1"/>
    <col min="5" max="5" width="19" customWidth="1"/>
    <col min="11" max="11" width="10.81640625" customWidth="1"/>
    <col min="12" max="12" width="9.7265625" customWidth="1"/>
    <col min="13" max="13" width="20.08984375" customWidth="1"/>
    <col min="14" max="14" width="22.26953125" customWidth="1"/>
    <col min="15" max="15" width="15.7265625" customWidth="1"/>
    <col min="17" max="17" width="9.1796875" customWidth="1"/>
    <col min="18" max="18" width="18.81640625" customWidth="1"/>
    <col min="19" max="19" width="17.90625" customWidth="1"/>
    <col min="20" max="20" width="15" customWidth="1"/>
    <col min="21" max="21" width="10.6328125" customWidth="1"/>
    <col min="22" max="22" width="17.90625" customWidth="1"/>
    <col min="23" max="23" width="26.453125" customWidth="1"/>
    <col min="24" max="24" width="17.6328125" customWidth="1"/>
    <col min="25" max="25" width="20.36328125" customWidth="1"/>
    <col min="26" max="26" width="14.08984375" customWidth="1"/>
    <col min="27" max="27" width="13.6328125" customWidth="1"/>
    <col min="28" max="28" width="14.90625" customWidth="1"/>
    <col min="29" max="29" width="27.81640625" customWidth="1"/>
    <col min="30" max="30" width="24.453125" customWidth="1"/>
    <col min="31" max="31" width="31.81640625" customWidth="1"/>
    <col min="32" max="32" width="29.90625" customWidth="1"/>
    <col min="33" max="33" width="29.08984375" customWidth="1"/>
    <col min="34" max="34" width="13.54296875" customWidth="1"/>
    <col min="35" max="35" width="12.26953125" customWidth="1"/>
    <col min="36" max="36" width="13.08984375" customWidth="1"/>
    <col min="37" max="37" width="15" customWidth="1"/>
    <col min="38" max="38" width="17.90625" customWidth="1"/>
    <col min="39" max="39" width="19.26953125" customWidth="1"/>
    <col min="40" max="40" width="11.36328125" customWidth="1"/>
    <col min="41" max="41" width="33.7265625" customWidth="1"/>
    <col min="42" max="42" width="27.453125" customWidth="1"/>
    <col min="43" max="43" width="24.7265625" customWidth="1"/>
    <col min="44" max="44" width="32.36328125" customWidth="1"/>
    <col min="45" max="45" width="18.81640625" customWidth="1"/>
    <col min="46" max="46" width="24.81640625" customWidth="1"/>
    <col min="47" max="47" width="38.26953125" bestFit="1" customWidth="1"/>
    <col min="48" max="48" width="21.453125" customWidth="1"/>
  </cols>
  <sheetData>
    <row r="1" spans="1:48" x14ac:dyDescent="0.25">
      <c r="A1" t="s">
        <v>657</v>
      </c>
      <c r="B1" t="s">
        <v>659</v>
      </c>
      <c r="C1" t="s">
        <v>660</v>
      </c>
      <c r="D1" t="s">
        <v>661</v>
      </c>
      <c r="E1" t="s">
        <v>662</v>
      </c>
      <c r="F1" t="s">
        <v>663</v>
      </c>
      <c r="G1" t="s">
        <v>664</v>
      </c>
      <c r="H1" t="s">
        <v>665</v>
      </c>
      <c r="I1" t="s">
        <v>392</v>
      </c>
      <c r="J1" t="s">
        <v>666</v>
      </c>
      <c r="K1" t="s">
        <v>667</v>
      </c>
      <c r="L1" t="s">
        <v>652</v>
      </c>
      <c r="M1" t="s">
        <v>668</v>
      </c>
      <c r="N1" t="s">
        <v>669</v>
      </c>
      <c r="O1" t="s">
        <v>670</v>
      </c>
      <c r="P1" t="s">
        <v>653</v>
      </c>
      <c r="Q1" t="s">
        <v>671</v>
      </c>
      <c r="R1" t="s">
        <v>672</v>
      </c>
      <c r="S1" t="s">
        <v>673</v>
      </c>
      <c r="T1" t="s">
        <v>674</v>
      </c>
      <c r="U1" t="s">
        <v>675</v>
      </c>
      <c r="V1" t="s">
        <v>676</v>
      </c>
      <c r="W1" t="s">
        <v>677</v>
      </c>
      <c r="X1" t="s">
        <v>678</v>
      </c>
      <c r="Y1" t="s">
        <v>679</v>
      </c>
      <c r="Z1" t="s">
        <v>680</v>
      </c>
      <c r="AA1" t="s">
        <v>681</v>
      </c>
      <c r="AB1" t="s">
        <v>682</v>
      </c>
      <c r="AC1" t="s">
        <v>683</v>
      </c>
      <c r="AD1" t="s">
        <v>684</v>
      </c>
      <c r="AE1" t="s">
        <v>685</v>
      </c>
      <c r="AF1" t="s">
        <v>686</v>
      </c>
      <c r="AG1" t="s">
        <v>687</v>
      </c>
      <c r="AH1" t="s">
        <v>688</v>
      </c>
      <c r="AI1" t="s">
        <v>689</v>
      </c>
      <c r="AJ1" t="s">
        <v>690</v>
      </c>
      <c r="AK1" t="s">
        <v>654</v>
      </c>
      <c r="AL1" t="s">
        <v>691</v>
      </c>
      <c r="AM1" t="s">
        <v>692</v>
      </c>
      <c r="AN1" t="s">
        <v>693</v>
      </c>
      <c r="AO1" t="s">
        <v>694</v>
      </c>
      <c r="AP1" t="s">
        <v>695</v>
      </c>
      <c r="AQ1" t="s">
        <v>696</v>
      </c>
      <c r="AR1" t="s">
        <v>697</v>
      </c>
      <c r="AS1" t="s">
        <v>698</v>
      </c>
      <c r="AT1" t="s">
        <v>699</v>
      </c>
      <c r="AU1" t="s">
        <v>700</v>
      </c>
      <c r="AV1" t="s">
        <v>701</v>
      </c>
    </row>
    <row r="2" spans="1:48" x14ac:dyDescent="0.25">
      <c r="A2" t="s">
        <v>702</v>
      </c>
      <c r="B2">
        <v>34208</v>
      </c>
      <c r="C2">
        <v>38334</v>
      </c>
      <c r="D2" t="s">
        <v>703</v>
      </c>
      <c r="E2" t="s">
        <v>704</v>
      </c>
      <c r="F2" t="s">
        <v>705</v>
      </c>
      <c r="G2" t="s">
        <v>706</v>
      </c>
      <c r="H2" t="s">
        <v>707</v>
      </c>
      <c r="I2" t="s">
        <v>708</v>
      </c>
      <c r="J2" t="s">
        <v>709</v>
      </c>
      <c r="L2" s="406">
        <v>44550</v>
      </c>
      <c r="M2" t="s">
        <v>710</v>
      </c>
      <c r="N2" t="s">
        <v>711</v>
      </c>
      <c r="O2" t="s">
        <v>712</v>
      </c>
      <c r="P2" t="s">
        <v>651</v>
      </c>
      <c r="Q2" t="s">
        <v>394</v>
      </c>
      <c r="R2" t="s">
        <v>713</v>
      </c>
      <c r="S2">
        <v>22015</v>
      </c>
      <c r="V2">
        <v>22015</v>
      </c>
      <c r="W2">
        <v>22015</v>
      </c>
      <c r="X2">
        <v>11189123.75</v>
      </c>
      <c r="Y2">
        <v>0</v>
      </c>
      <c r="Z2">
        <v>11189123.75</v>
      </c>
      <c r="AB2">
        <v>1403456.25</v>
      </c>
      <c r="AE2">
        <v>0</v>
      </c>
      <c r="AF2">
        <v>0</v>
      </c>
      <c r="AG2">
        <v>0</v>
      </c>
      <c r="AH2">
        <v>11189123.75</v>
      </c>
      <c r="AI2">
        <v>12592580</v>
      </c>
      <c r="AJ2" t="s">
        <v>714</v>
      </c>
      <c r="AK2" t="s">
        <v>164</v>
      </c>
      <c r="AL2" t="s">
        <v>715</v>
      </c>
      <c r="AM2" t="s">
        <v>716</v>
      </c>
      <c r="AN2" s="406">
        <v>44670</v>
      </c>
      <c r="AO2" s="406">
        <v>44550</v>
      </c>
      <c r="AP2" s="406">
        <v>44543</v>
      </c>
      <c r="AQ2" s="406">
        <v>44546</v>
      </c>
      <c r="AR2" s="406">
        <v>44550</v>
      </c>
      <c r="AS2" t="s">
        <v>717</v>
      </c>
      <c r="AT2" t="s">
        <v>718</v>
      </c>
      <c r="AU2" t="s">
        <v>702</v>
      </c>
      <c r="AV2">
        <v>5824</v>
      </c>
    </row>
    <row r="3" spans="1:48" x14ac:dyDescent="0.25">
      <c r="A3" t="s">
        <v>719</v>
      </c>
      <c r="B3">
        <v>34081</v>
      </c>
      <c r="C3">
        <v>38308</v>
      </c>
      <c r="D3" t="s">
        <v>720</v>
      </c>
      <c r="E3" t="s">
        <v>704</v>
      </c>
      <c r="F3" t="s">
        <v>725</v>
      </c>
      <c r="G3" t="s">
        <v>706</v>
      </c>
      <c r="H3" t="s">
        <v>707</v>
      </c>
      <c r="I3" t="s">
        <v>708</v>
      </c>
      <c r="J3" t="s">
        <v>722</v>
      </c>
      <c r="L3" s="406">
        <v>44545</v>
      </c>
      <c r="M3" t="s">
        <v>710</v>
      </c>
      <c r="N3" t="s">
        <v>723</v>
      </c>
      <c r="O3" t="s">
        <v>712</v>
      </c>
      <c r="P3" t="s">
        <v>651</v>
      </c>
      <c r="Q3" t="s">
        <v>394</v>
      </c>
      <c r="R3" t="s">
        <v>713</v>
      </c>
      <c r="S3">
        <v>11000</v>
      </c>
      <c r="V3">
        <v>11000</v>
      </c>
      <c r="W3">
        <v>11000</v>
      </c>
      <c r="X3">
        <v>5601750</v>
      </c>
      <c r="Y3">
        <v>0</v>
      </c>
      <c r="Z3">
        <v>5601750</v>
      </c>
      <c r="AB3">
        <v>668250</v>
      </c>
      <c r="AE3">
        <v>0</v>
      </c>
      <c r="AF3">
        <v>0</v>
      </c>
      <c r="AG3">
        <v>0</v>
      </c>
      <c r="AH3">
        <v>5601750</v>
      </c>
      <c r="AI3">
        <v>6270000</v>
      </c>
      <c r="AJ3" t="s">
        <v>714</v>
      </c>
      <c r="AK3" t="s">
        <v>164</v>
      </c>
      <c r="AL3" t="s">
        <v>715</v>
      </c>
      <c r="AM3" t="s">
        <v>724</v>
      </c>
      <c r="AN3" s="406">
        <v>44575</v>
      </c>
      <c r="AO3" s="406">
        <v>44546</v>
      </c>
      <c r="AP3" s="406">
        <v>44538</v>
      </c>
      <c r="AQ3" s="406">
        <v>44540</v>
      </c>
      <c r="AR3" s="406">
        <v>44545</v>
      </c>
      <c r="AS3" t="s">
        <v>717</v>
      </c>
      <c r="AT3" t="s">
        <v>718</v>
      </c>
      <c r="AU3" t="s">
        <v>719</v>
      </c>
      <c r="AV3">
        <v>14346</v>
      </c>
    </row>
    <row r="4" spans="1:48" x14ac:dyDescent="0.25">
      <c r="A4" t="s">
        <v>726</v>
      </c>
      <c r="B4">
        <v>33219</v>
      </c>
      <c r="C4">
        <v>37860</v>
      </c>
      <c r="D4" t="s">
        <v>727</v>
      </c>
      <c r="E4" t="s">
        <v>704</v>
      </c>
      <c r="F4">
        <v>5765</v>
      </c>
      <c r="G4" t="s">
        <v>728</v>
      </c>
      <c r="H4" t="s">
        <v>707</v>
      </c>
      <c r="I4" t="s">
        <v>708</v>
      </c>
      <c r="J4" t="s">
        <v>729</v>
      </c>
      <c r="L4" s="406">
        <v>44504</v>
      </c>
      <c r="M4" t="s">
        <v>710</v>
      </c>
      <c r="N4" t="s">
        <v>730</v>
      </c>
      <c r="O4" t="s">
        <v>731</v>
      </c>
      <c r="P4" t="s">
        <v>651</v>
      </c>
      <c r="Q4" t="s">
        <v>394</v>
      </c>
      <c r="R4" t="s">
        <v>713</v>
      </c>
      <c r="S4">
        <v>13919</v>
      </c>
      <c r="V4">
        <v>13919</v>
      </c>
      <c r="W4">
        <v>13919</v>
      </c>
      <c r="X4">
        <v>5921400.0999999996</v>
      </c>
      <c r="Y4">
        <v>0</v>
      </c>
      <c r="Z4">
        <v>5921400.0999999996</v>
      </c>
      <c r="AB4">
        <v>765684.19</v>
      </c>
      <c r="AC4">
        <v>7954.71</v>
      </c>
      <c r="AE4">
        <v>0</v>
      </c>
      <c r="AF4">
        <v>0</v>
      </c>
      <c r="AG4">
        <v>0</v>
      </c>
      <c r="AH4">
        <v>5921400.0999999996</v>
      </c>
      <c r="AI4">
        <v>6695039</v>
      </c>
      <c r="AJ4" t="s">
        <v>714</v>
      </c>
      <c r="AK4" t="s">
        <v>164</v>
      </c>
      <c r="AL4" t="s">
        <v>715</v>
      </c>
      <c r="AM4" t="s">
        <v>732</v>
      </c>
      <c r="AN4" s="406">
        <v>44654</v>
      </c>
      <c r="AO4" s="406">
        <v>44509</v>
      </c>
      <c r="AP4" s="406">
        <v>44494</v>
      </c>
      <c r="AQ4" s="406">
        <v>44496</v>
      </c>
      <c r="AR4" s="406">
        <v>44487</v>
      </c>
      <c r="AS4" t="s">
        <v>717</v>
      </c>
      <c r="AT4" t="s">
        <v>733</v>
      </c>
      <c r="AU4" t="s">
        <v>726</v>
      </c>
      <c r="AV4">
        <v>9022</v>
      </c>
    </row>
    <row r="5" spans="1:48" x14ac:dyDescent="0.25">
      <c r="A5" t="s">
        <v>726</v>
      </c>
      <c r="B5">
        <v>30514</v>
      </c>
      <c r="C5">
        <v>36349</v>
      </c>
      <c r="D5" t="s">
        <v>734</v>
      </c>
      <c r="E5" t="s">
        <v>704</v>
      </c>
      <c r="F5">
        <v>3799</v>
      </c>
      <c r="G5" t="s">
        <v>728</v>
      </c>
      <c r="H5" t="s">
        <v>707</v>
      </c>
      <c r="I5" t="s">
        <v>708</v>
      </c>
      <c r="J5" t="s">
        <v>735</v>
      </c>
      <c r="L5" s="406">
        <v>44365</v>
      </c>
      <c r="M5" t="s">
        <v>710</v>
      </c>
      <c r="N5" t="s">
        <v>730</v>
      </c>
      <c r="O5" t="s">
        <v>731</v>
      </c>
      <c r="P5" t="s">
        <v>651</v>
      </c>
      <c r="Q5" t="s">
        <v>394</v>
      </c>
      <c r="R5" t="s">
        <v>713</v>
      </c>
      <c r="S5">
        <v>11000</v>
      </c>
      <c r="V5">
        <v>11000</v>
      </c>
      <c r="W5">
        <v>11000</v>
      </c>
      <c r="X5">
        <v>3074060</v>
      </c>
      <c r="Y5">
        <v>0</v>
      </c>
      <c r="Z5">
        <v>3074060</v>
      </c>
      <c r="AB5">
        <v>397760</v>
      </c>
      <c r="AC5">
        <v>4180</v>
      </c>
      <c r="AE5">
        <v>0</v>
      </c>
      <c r="AF5">
        <v>0</v>
      </c>
      <c r="AG5">
        <v>0</v>
      </c>
      <c r="AH5">
        <v>3074060</v>
      </c>
      <c r="AI5">
        <v>3476000</v>
      </c>
      <c r="AJ5" t="s">
        <v>714</v>
      </c>
      <c r="AK5" t="s">
        <v>164</v>
      </c>
      <c r="AL5" t="s">
        <v>715</v>
      </c>
      <c r="AM5" t="s">
        <v>732</v>
      </c>
      <c r="AN5" s="406">
        <v>44515</v>
      </c>
      <c r="AO5" s="406">
        <v>44368</v>
      </c>
      <c r="AP5" s="406">
        <v>44353</v>
      </c>
      <c r="AQ5" s="406">
        <v>44355</v>
      </c>
      <c r="AR5" s="406">
        <v>44349</v>
      </c>
      <c r="AS5" t="s">
        <v>717</v>
      </c>
      <c r="AT5" t="s">
        <v>733</v>
      </c>
      <c r="AU5" t="s">
        <v>726</v>
      </c>
      <c r="AV5">
        <v>9022</v>
      </c>
    </row>
    <row r="6" spans="1:48" x14ac:dyDescent="0.25">
      <c r="A6" t="s">
        <v>736</v>
      </c>
      <c r="B6">
        <v>29880</v>
      </c>
      <c r="C6">
        <v>36229</v>
      </c>
      <c r="D6" t="s">
        <v>734</v>
      </c>
      <c r="E6" t="s">
        <v>704</v>
      </c>
      <c r="F6">
        <v>4467</v>
      </c>
      <c r="G6" t="s">
        <v>706</v>
      </c>
      <c r="H6" t="s">
        <v>707</v>
      </c>
      <c r="I6" t="s">
        <v>708</v>
      </c>
      <c r="J6" t="s">
        <v>737</v>
      </c>
      <c r="L6" s="406">
        <v>44334</v>
      </c>
      <c r="M6" t="s">
        <v>710</v>
      </c>
      <c r="N6" t="s">
        <v>738</v>
      </c>
      <c r="O6" t="s">
        <v>712</v>
      </c>
      <c r="P6" t="s">
        <v>651</v>
      </c>
      <c r="Q6" t="s">
        <v>394</v>
      </c>
      <c r="R6" t="s">
        <v>713</v>
      </c>
      <c r="S6">
        <v>30</v>
      </c>
      <c r="V6">
        <v>30</v>
      </c>
      <c r="W6">
        <v>30</v>
      </c>
      <c r="X6">
        <v>10605</v>
      </c>
      <c r="Y6">
        <v>0</v>
      </c>
      <c r="Z6">
        <v>10605</v>
      </c>
      <c r="AB6">
        <v>1455</v>
      </c>
      <c r="AE6">
        <v>0</v>
      </c>
      <c r="AF6">
        <v>0</v>
      </c>
      <c r="AG6">
        <v>0</v>
      </c>
      <c r="AH6">
        <v>10605</v>
      </c>
      <c r="AI6">
        <v>12060</v>
      </c>
      <c r="AJ6" t="s">
        <v>714</v>
      </c>
      <c r="AK6" t="s">
        <v>164</v>
      </c>
      <c r="AL6" t="s">
        <v>715</v>
      </c>
      <c r="AM6" t="s">
        <v>716</v>
      </c>
      <c r="AN6" s="406">
        <v>44484</v>
      </c>
      <c r="AO6" s="406">
        <v>44335</v>
      </c>
      <c r="AP6" s="406">
        <v>44328</v>
      </c>
      <c r="AQ6" s="406">
        <v>44330</v>
      </c>
      <c r="AR6" s="406">
        <v>44335</v>
      </c>
      <c r="AS6" t="s">
        <v>717</v>
      </c>
      <c r="AT6" t="s">
        <v>718</v>
      </c>
      <c r="AU6" t="s">
        <v>736</v>
      </c>
      <c r="AV6">
        <v>13867</v>
      </c>
    </row>
    <row r="7" spans="1:48" x14ac:dyDescent="0.25">
      <c r="A7" t="s">
        <v>736</v>
      </c>
      <c r="B7">
        <v>29881</v>
      </c>
      <c r="C7">
        <v>36111</v>
      </c>
      <c r="D7" t="s">
        <v>734</v>
      </c>
      <c r="E7" t="s">
        <v>704</v>
      </c>
      <c r="F7">
        <v>4345</v>
      </c>
      <c r="G7" t="s">
        <v>706</v>
      </c>
      <c r="H7" t="s">
        <v>707</v>
      </c>
      <c r="I7" t="s">
        <v>708</v>
      </c>
      <c r="J7" t="s">
        <v>737</v>
      </c>
      <c r="L7" s="406">
        <v>44334</v>
      </c>
      <c r="M7" t="s">
        <v>710</v>
      </c>
      <c r="N7" t="s">
        <v>738</v>
      </c>
      <c r="O7" t="s">
        <v>712</v>
      </c>
      <c r="P7" t="s">
        <v>651</v>
      </c>
      <c r="Q7" t="s">
        <v>394</v>
      </c>
      <c r="R7" t="s">
        <v>713</v>
      </c>
      <c r="S7">
        <v>11000</v>
      </c>
      <c r="V7">
        <v>11000</v>
      </c>
      <c r="W7">
        <v>11000</v>
      </c>
      <c r="X7">
        <v>3888500</v>
      </c>
      <c r="Y7">
        <v>0</v>
      </c>
      <c r="Z7">
        <v>3888500</v>
      </c>
      <c r="AB7">
        <v>533500</v>
      </c>
      <c r="AE7">
        <v>0</v>
      </c>
      <c r="AF7">
        <v>0</v>
      </c>
      <c r="AG7">
        <v>0</v>
      </c>
      <c r="AH7">
        <v>3888500</v>
      </c>
      <c r="AI7">
        <v>4422000</v>
      </c>
      <c r="AJ7" t="s">
        <v>714</v>
      </c>
      <c r="AK7" t="s">
        <v>164</v>
      </c>
      <c r="AL7" t="s">
        <v>715</v>
      </c>
      <c r="AM7" t="s">
        <v>739</v>
      </c>
      <c r="AN7" s="406">
        <v>44484</v>
      </c>
      <c r="AO7" s="406">
        <v>44335</v>
      </c>
      <c r="AP7" s="406">
        <v>44328</v>
      </c>
      <c r="AQ7" s="406">
        <v>44330</v>
      </c>
      <c r="AR7" s="406">
        <v>44321</v>
      </c>
      <c r="AS7" t="s">
        <v>717</v>
      </c>
      <c r="AT7" t="s">
        <v>718</v>
      </c>
      <c r="AU7" t="s">
        <v>736</v>
      </c>
      <c r="AV7">
        <v>13867</v>
      </c>
    </row>
    <row r="8" spans="1:48" x14ac:dyDescent="0.25">
      <c r="A8" t="s">
        <v>736</v>
      </c>
      <c r="B8">
        <v>29121</v>
      </c>
      <c r="C8">
        <v>35825</v>
      </c>
      <c r="D8" t="s">
        <v>734</v>
      </c>
      <c r="E8" t="s">
        <v>704</v>
      </c>
      <c r="F8" t="s">
        <v>740</v>
      </c>
      <c r="G8" t="s">
        <v>706</v>
      </c>
      <c r="H8" t="s">
        <v>707</v>
      </c>
      <c r="I8" t="s">
        <v>708</v>
      </c>
      <c r="J8" t="s">
        <v>741</v>
      </c>
      <c r="L8" s="406">
        <v>44289</v>
      </c>
      <c r="M8" t="s">
        <v>710</v>
      </c>
      <c r="N8" t="s">
        <v>738</v>
      </c>
      <c r="O8" t="s">
        <v>712</v>
      </c>
      <c r="P8" t="s">
        <v>651</v>
      </c>
      <c r="Q8" t="s">
        <v>394</v>
      </c>
      <c r="R8" t="s">
        <v>713</v>
      </c>
      <c r="S8">
        <v>21156</v>
      </c>
      <c r="V8">
        <v>21156</v>
      </c>
      <c r="W8">
        <v>21156</v>
      </c>
      <c r="X8">
        <v>4643742</v>
      </c>
      <c r="Y8">
        <v>0</v>
      </c>
      <c r="Z8">
        <v>4643742</v>
      </c>
      <c r="AB8">
        <v>1174158</v>
      </c>
      <c r="AE8">
        <v>0</v>
      </c>
      <c r="AF8">
        <v>0</v>
      </c>
      <c r="AG8">
        <v>0</v>
      </c>
      <c r="AH8">
        <v>4643742</v>
      </c>
      <c r="AI8">
        <v>5817900</v>
      </c>
      <c r="AJ8" t="s">
        <v>714</v>
      </c>
      <c r="AK8" t="s">
        <v>164</v>
      </c>
      <c r="AL8" t="s">
        <v>715</v>
      </c>
      <c r="AM8" t="s">
        <v>739</v>
      </c>
      <c r="AN8" s="406">
        <v>44439</v>
      </c>
      <c r="AO8" s="406">
        <v>44291</v>
      </c>
      <c r="AP8" s="406">
        <v>44284</v>
      </c>
      <c r="AQ8" s="406">
        <v>44287</v>
      </c>
      <c r="AR8" s="406">
        <v>44291</v>
      </c>
      <c r="AS8" t="s">
        <v>717</v>
      </c>
      <c r="AT8" t="s">
        <v>718</v>
      </c>
      <c r="AU8" t="s">
        <v>736</v>
      </c>
      <c r="AV8">
        <v>13867</v>
      </c>
    </row>
    <row r="9" spans="1:48" x14ac:dyDescent="0.25">
      <c r="A9" t="s">
        <v>742</v>
      </c>
      <c r="B9">
        <v>28750</v>
      </c>
      <c r="C9">
        <v>35505</v>
      </c>
      <c r="D9" t="s">
        <v>734</v>
      </c>
      <c r="E9" t="s">
        <v>704</v>
      </c>
      <c r="F9" t="s">
        <v>743</v>
      </c>
      <c r="G9" t="s">
        <v>706</v>
      </c>
      <c r="H9" t="s">
        <v>707</v>
      </c>
      <c r="I9" t="s">
        <v>708</v>
      </c>
      <c r="J9" t="s">
        <v>744</v>
      </c>
      <c r="L9" s="406">
        <v>44266</v>
      </c>
      <c r="M9" t="s">
        <v>710</v>
      </c>
      <c r="N9" t="s">
        <v>738</v>
      </c>
      <c r="O9" t="s">
        <v>712</v>
      </c>
      <c r="P9" t="s">
        <v>651</v>
      </c>
      <c r="Q9" t="s">
        <v>394</v>
      </c>
      <c r="R9" t="s">
        <v>713</v>
      </c>
      <c r="S9">
        <v>15440</v>
      </c>
      <c r="V9">
        <v>15440</v>
      </c>
      <c r="W9">
        <v>15440</v>
      </c>
      <c r="X9">
        <v>3574360</v>
      </c>
      <c r="Y9">
        <v>0</v>
      </c>
      <c r="Z9">
        <v>3574360</v>
      </c>
      <c r="AB9">
        <v>640760</v>
      </c>
      <c r="AE9">
        <v>0</v>
      </c>
      <c r="AF9">
        <v>0</v>
      </c>
      <c r="AG9">
        <v>0</v>
      </c>
      <c r="AH9">
        <v>3574360</v>
      </c>
      <c r="AI9">
        <v>4215120</v>
      </c>
      <c r="AJ9" t="s">
        <v>714</v>
      </c>
      <c r="AK9" t="s">
        <v>164</v>
      </c>
      <c r="AL9" t="s">
        <v>715</v>
      </c>
      <c r="AM9" t="s">
        <v>716</v>
      </c>
      <c r="AN9" s="406">
        <v>44356</v>
      </c>
      <c r="AO9" s="406">
        <v>44270</v>
      </c>
      <c r="AP9" s="406">
        <v>44246</v>
      </c>
      <c r="AQ9" s="406">
        <v>44248</v>
      </c>
      <c r="AR9" s="406">
        <v>44251</v>
      </c>
      <c r="AS9" t="s">
        <v>717</v>
      </c>
      <c r="AT9" t="s">
        <v>718</v>
      </c>
      <c r="AU9" t="s">
        <v>742</v>
      </c>
      <c r="AV9">
        <v>11332</v>
      </c>
    </row>
  </sheetData>
  <pageMargins left="0.7" right="0.7" top="0.75" bottom="0.75" header="0.3" footer="0.3"/>
  <pageSetup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D01F-52AD-4782-A7EA-E1D306A53A42}">
  <dimension ref="A1:C11"/>
  <sheetViews>
    <sheetView zoomScale="400" zoomScaleNormal="400" workbookViewId="0">
      <selection activeCell="C10" sqref="C10"/>
    </sheetView>
  </sheetViews>
  <sheetFormatPr defaultRowHeight="12.5" x14ac:dyDescent="0.25"/>
  <cols>
    <col min="1" max="1" width="13.36328125" bestFit="1" customWidth="1"/>
    <col min="2" max="2" width="28" bestFit="1" customWidth="1"/>
    <col min="3" max="4" width="29.08984375" bestFit="1" customWidth="1"/>
  </cols>
  <sheetData>
    <row r="1" spans="1:3" x14ac:dyDescent="0.25">
      <c r="B1" s="400" t="s">
        <v>652</v>
      </c>
      <c r="C1" s="399" t="s">
        <v>656</v>
      </c>
    </row>
    <row r="2" spans="1:3" x14ac:dyDescent="0.25">
      <c r="B2" s="400" t="s">
        <v>654</v>
      </c>
      <c r="C2" s="399" t="s">
        <v>164</v>
      </c>
    </row>
    <row r="3" spans="1:3" x14ac:dyDescent="0.25">
      <c r="B3" s="400" t="s">
        <v>657</v>
      </c>
      <c r="C3" s="399" t="s">
        <v>656</v>
      </c>
    </row>
    <row r="5" spans="1:3" x14ac:dyDescent="0.25">
      <c r="A5" t="s">
        <v>745</v>
      </c>
      <c r="B5" s="401" t="s">
        <v>671</v>
      </c>
      <c r="C5" s="398" t="s">
        <v>655</v>
      </c>
    </row>
    <row r="6" spans="1:3" x14ac:dyDescent="0.25">
      <c r="A6" t="s">
        <v>409</v>
      </c>
      <c r="B6" s="395" t="s">
        <v>650</v>
      </c>
      <c r="C6" s="403">
        <v>3300</v>
      </c>
    </row>
    <row r="7" spans="1:3" x14ac:dyDescent="0.25">
      <c r="A7" t="s">
        <v>231</v>
      </c>
      <c r="B7" s="396" t="s">
        <v>393</v>
      </c>
      <c r="C7" s="404">
        <v>16392</v>
      </c>
    </row>
    <row r="8" spans="1:3" x14ac:dyDescent="0.25">
      <c r="A8" t="s">
        <v>408</v>
      </c>
      <c r="B8" s="396" t="s">
        <v>395</v>
      </c>
      <c r="C8" s="404">
        <v>38637</v>
      </c>
    </row>
    <row r="9" spans="1:3" x14ac:dyDescent="0.25">
      <c r="A9" t="s">
        <v>407</v>
      </c>
      <c r="B9" s="396" t="s">
        <v>394</v>
      </c>
      <c r="C9" s="404">
        <v>105560</v>
      </c>
    </row>
    <row r="10" spans="1:3" x14ac:dyDescent="0.25">
      <c r="A10" t="s">
        <v>220</v>
      </c>
      <c r="B10" s="396" t="s">
        <v>220</v>
      </c>
      <c r="C10" s="404">
        <v>28821</v>
      </c>
    </row>
    <row r="11" spans="1:3" x14ac:dyDescent="0.25">
      <c r="B11" s="402" t="s">
        <v>95</v>
      </c>
      <c r="C11" s="405">
        <v>192710</v>
      </c>
    </row>
  </sheetData>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188C3E66AB75547B18654CB199B37BE" ma:contentTypeVersion="11" ma:contentTypeDescription="Create a new document." ma:contentTypeScope="" ma:versionID="7f1abdd97311c1744583c626b9c5f5c9">
  <xsd:schema xmlns:xsd="http://www.w3.org/2001/XMLSchema" xmlns:xs="http://www.w3.org/2001/XMLSchema" xmlns:p="http://schemas.microsoft.com/office/2006/metadata/properties" xmlns:ns2="92e85fc9-c59d-4a6e-83f4-fc53e441d8c6" xmlns:ns3="3330e3f4-ca0a-4364-8b24-1b45af06b0ec" targetNamespace="http://schemas.microsoft.com/office/2006/metadata/properties" ma:root="true" ma:fieldsID="588be940771b406d9e0a693962564aa1" ns2:_="" ns3:_="">
    <xsd:import namespace="92e85fc9-c59d-4a6e-83f4-fc53e441d8c6"/>
    <xsd:import namespace="3330e3f4-ca0a-4364-8b24-1b45af06b0e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85fc9-c59d-4a6e-83f4-fc53e441d8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30e3f4-ca0a-4364-8b24-1b45af06b0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6f47a410-6c15-4369-b8a8-064dc59b1aa6}" ma:internalName="TaxCatchAll" ma:showField="CatchAllData" ma:web="3330e3f4-ca0a-4364-8b24-1b45af06b0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TaxCatchAll xmlns="3330e3f4-ca0a-4364-8b24-1b45af06b0ec" xsi:nil="true"/>
    <lcf76f155ced4ddcb4097134ff3c332f xmlns="92e85fc9-c59d-4a6e-83f4-fc53e441d8c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C00506-6214-4FDB-97CA-B0E33E8C3A2B}">
  <ds:schemaRefs>
    <ds:schemaRef ds:uri="http://schemas.microsoft.com/sharepoint/v3/contenttype/forms"/>
  </ds:schemaRefs>
</ds:datastoreItem>
</file>

<file path=customXml/itemProps2.xml><?xml version="1.0" encoding="utf-8"?>
<ds:datastoreItem xmlns:ds="http://schemas.openxmlformats.org/officeDocument/2006/customXml" ds:itemID="{7DA874D9-1A39-4A69-8FFB-94671D1985A2}"/>
</file>

<file path=customXml/itemProps3.xml><?xml version="1.0" encoding="utf-8"?>
<ds:datastoreItem xmlns:ds="http://schemas.openxmlformats.org/officeDocument/2006/customXml" ds:itemID="{AB868C1E-7569-4632-B6B9-2BE0DFA4FAC3}">
  <ds:schemaRefs>
    <ds:schemaRef ds:uri="http://schemas.microsoft.com/office/2006/metadata/properties"/>
    <ds:schemaRef ds:uri="3330e3f4-ca0a-4364-8b24-1b45af06b0ec"/>
    <ds:schemaRef ds:uri="dcd07e8d-b5f9-4871-be7a-b103cd58b31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OCPLevers &amp; MS- P2O5</vt:lpstr>
      <vt:lpstr>Proejction Market product mix</vt:lpstr>
      <vt:lpstr>Couverture</vt:lpstr>
      <vt:lpstr>Sheet2</vt:lpstr>
      <vt:lpstr>ProjectedP205_Consumption</vt:lpstr>
      <vt:lpstr>Synthesis - Market &amp; OCP CIV</vt:lpstr>
      <vt:lpstr>OCP Levers</vt:lpstr>
      <vt:lpstr>Projection Mkt product mix</vt:lpstr>
      <vt:lpstr>OCPLevers &amp; MS- P2O5 (2)</vt:lpstr>
      <vt:lpstr> Product Mix Hypotheses</vt:lpstr>
      <vt:lpstr>Investments &amp; capabilities</vt:lpstr>
      <vt:lpstr>Inputs &gt;</vt:lpstr>
      <vt:lpstr>OCP Sales in CIV - synthesis </vt:lpstr>
      <vt:lpstr>RAR_OCP</vt:lpstr>
      <vt:lpstr>Argus - Consumption per crop</vt:lpstr>
      <vt:lpstr>VIFAA - Consumption per product</vt:lpstr>
      <vt:lpstr>HarvestedAreas_TCD</vt:lpstr>
      <vt:lpstr>HarvestedAreas</vt:lpstr>
      <vt:lpstr>Vente 2021 OCP CIV</vt:lpstr>
      <vt:lpstr>Sheet5</vt:lpstr>
      <vt:lpstr>Sheet6</vt:lpstr>
      <vt:lpstr>OCPA sales in CIV 2021</vt:lpstr>
      <vt:lpstr>' Product Mix Hypotheses'!_FilterDatabase</vt:lpstr>
      <vt:lpstr>Title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Decombe.Timothee@bcg.com</dc:creator>
  <cp:keywords/>
  <dc:description/>
  <cp:lastModifiedBy>Latnine, Hicham</cp:lastModifiedBy>
  <cp:revision/>
  <dcterms:created xsi:type="dcterms:W3CDTF">2009-10-20T07:07:16Z</dcterms:created>
  <dcterms:modified xsi:type="dcterms:W3CDTF">2023-07-24T21:00:42Z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0x010100D3F270B43B0E1547BA757A34774E8227</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MediaServiceImageTags">
    <vt:lpwstr/>
  </property>
  <property fmtid="{D5CDD505-2E9C-101B-9397-08002B2CF9AE}" pid="8" name="MSIP_Label_b0d5c4f4-7a29-4385-b7a5-afbe2154ae6f_Enabled">
    <vt:lpwstr>true</vt:lpwstr>
  </property>
  <property fmtid="{D5CDD505-2E9C-101B-9397-08002B2CF9AE}" pid="9" name="MSIP_Label_b0d5c4f4-7a29-4385-b7a5-afbe2154ae6f_SetDate">
    <vt:lpwstr>2023-07-10T10:35:27Z</vt:lpwstr>
  </property>
  <property fmtid="{D5CDD505-2E9C-101B-9397-08002B2CF9AE}" pid="10" name="MSIP_Label_b0d5c4f4-7a29-4385-b7a5-afbe2154ae6f_Method">
    <vt:lpwstr>Standard</vt:lpwstr>
  </property>
  <property fmtid="{D5CDD505-2E9C-101B-9397-08002B2CF9AE}" pid="11" name="MSIP_Label_b0d5c4f4-7a29-4385-b7a5-afbe2154ae6f_Name">
    <vt:lpwstr>Confidential</vt:lpwstr>
  </property>
  <property fmtid="{D5CDD505-2E9C-101B-9397-08002B2CF9AE}" pid="12" name="MSIP_Label_b0d5c4f4-7a29-4385-b7a5-afbe2154ae6f_SiteId">
    <vt:lpwstr>2dfb2f0b-4d21-4268-9559-72926144c918</vt:lpwstr>
  </property>
  <property fmtid="{D5CDD505-2E9C-101B-9397-08002B2CF9AE}" pid="13" name="MSIP_Label_b0d5c4f4-7a29-4385-b7a5-afbe2154ae6f_ActionId">
    <vt:lpwstr>629c1fa7-8e53-4924-822b-7c1fd823fb60</vt:lpwstr>
  </property>
  <property fmtid="{D5CDD505-2E9C-101B-9397-08002B2CF9AE}" pid="14" name="MSIP_Label_b0d5c4f4-7a29-4385-b7a5-afbe2154ae6f_ContentBits">
    <vt:lpwstr>0</vt:lpwstr>
  </property>
  <property fmtid="{D5CDD505-2E9C-101B-9397-08002B2CF9AE}" pid="15" name="bcgClassification">
    <vt:lpwstr>bcgConfidential</vt:lpwstr>
  </property>
</Properties>
</file>