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bcgcloudeur.sharepoint.com/sites/265453-45/Shared Documents/07. FRP - Working Folders/04. Deliverables/04. Country excels/"/>
    </mc:Choice>
  </mc:AlternateContent>
  <xr:revisionPtr revIDLastSave="0" documentId="8_{E5F21C36-D396-417E-99BC-C60CC46E350A}" xr6:coauthVersionLast="47" xr6:coauthVersionMax="47" xr10:uidLastSave="{00000000-0000-0000-0000-000000000000}"/>
  <bookViews>
    <workbookView xWindow="-10785" yWindow="-21720" windowWidth="51840" windowHeight="21240" tabRatio="961" activeTab="4" xr2:uid="{00000000-000D-0000-FFFF-FFFF00000000}"/>
  </bookViews>
  <sheets>
    <sheet name="Couverture" sheetId="14" r:id="rId1"/>
    <sheet name="ProjectedP205_Consumption" sheetId="49" r:id="rId2"/>
    <sheet name="OCPMarketShares" sheetId="54" r:id="rId3"/>
    <sheet name="OCP_SalesProduct" sheetId="67" r:id="rId4"/>
    <sheet name="OCP_Crop mix" sheetId="68" r:id="rId5"/>
    <sheet name="Inputs &gt;" sheetId="42" r:id="rId6"/>
    <sheet name="RAR_OCP" sheetId="64" r:id="rId7"/>
    <sheet name="P2O5Consumption" sheetId="55" r:id="rId8"/>
    <sheet name="HarvestedAreas_TCD_Sudan" sheetId="66" r:id="rId9"/>
    <sheet name="HarvestedAreas" sheetId="57" r:id="rId10"/>
  </sheets>
  <externalReferences>
    <externalReference r:id="rId11"/>
    <externalReference r:id="rId12"/>
    <externalReference r:id="rId13"/>
  </externalReferences>
  <definedNames>
    <definedName name="AS2DocOpenMode" hidden="1">"AS2DocumentEdit"</definedName>
    <definedName name="DATA">#REF!</definedName>
    <definedName name="Exports" localSheetId="4">_xlfn.IFS('[1]Data Dashboard'!#REF!=1,-'[1]Data Dashboard'!$D$20:$Q$20,'[1]Data Dashboard'!#REF!=2,0,'[1]Data Dashboard'!#REF!=3,'[1]Data Dashboard'!$D$20:$Q$20)</definedName>
    <definedName name="Exports" localSheetId="3">_xlfn.IFS('[1]Data Dashboard'!#REF!=1,-'[1]Data Dashboard'!$D$20:$Q$20,'[1]Data Dashboard'!#REF!=2,0,'[1]Data Dashboard'!#REF!=3,'[1]Data Dashboard'!$D$20:$Q$20)</definedName>
    <definedName name="Exports">_xlfn.IFS('[1]Data Dashboard'!#REF!=1,-'[1]Data Dashboard'!$D$20:$Q$20,'[1]Data Dashboard'!#REF!=2,0,'[1]Data Dashboard'!#REF!=3,'[1]Data Dashboard'!$D$20:$Q$20)</definedName>
    <definedName name="icité">#REF!</definedName>
    <definedName name="Imports" localSheetId="4">IF('[1]Data Dashboard'!#REF!&lt;3,'[1]Data Dashboard'!$D$19:$Q$19,0)</definedName>
    <definedName name="Imports" localSheetId="3">IF('[1]Data Dashboard'!#REF!&lt;3,'[1]Data Dashboard'!$D$19:$Q$19,0)</definedName>
    <definedName name="Imports">IF('[1]Data Dashboard'!#REF!&lt;3,'[1]Data Dashboard'!$D$19:$Q$19,0)</definedName>
    <definedName name="Sub_Region">[2]CONTROL!$J$3:$J$25</definedName>
    <definedName name="Title" localSheetId="4">[3]Couverture!$C$2</definedName>
    <definedName name="Title" localSheetId="3">[3]Couverture!$C$2</definedName>
    <definedName name="Title">Couverture!$C$2</definedName>
  </definedNames>
  <calcPr calcId="191028"/>
  <pivotCaches>
    <pivotCache cacheId="1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3" i="68" l="1"/>
  <c r="P203" i="49"/>
  <c r="G111" i="68"/>
  <c r="G110" i="68"/>
  <c r="G109" i="68"/>
  <c r="G108" i="68"/>
  <c r="G107" i="68"/>
  <c r="G105" i="68"/>
  <c r="G104" i="68"/>
  <c r="G103" i="68"/>
  <c r="G102" i="68"/>
  <c r="G101" i="68"/>
  <c r="G100" i="68"/>
  <c r="G99" i="68"/>
  <c r="G98" i="68"/>
  <c r="G97" i="68"/>
  <c r="G96" i="68"/>
  <c r="G95" i="68"/>
  <c r="G94" i="68"/>
  <c r="G93" i="68"/>
  <c r="G92" i="68"/>
  <c r="G91" i="68"/>
  <c r="G90" i="68"/>
  <c r="G89" i="68"/>
  <c r="G88" i="68"/>
  <c r="G87" i="68"/>
  <c r="G86" i="68"/>
  <c r="G85" i="68"/>
  <c r="G84" i="68"/>
  <c r="G83" i="68"/>
  <c r="G82" i="68"/>
  <c r="G81" i="68"/>
  <c r="F111" i="68"/>
  <c r="E111" i="68"/>
  <c r="F110" i="68"/>
  <c r="E110" i="68"/>
  <c r="F109" i="68"/>
  <c r="E109" i="68"/>
  <c r="F108" i="68"/>
  <c r="E108" i="68"/>
  <c r="F107" i="68"/>
  <c r="E107" i="68"/>
  <c r="F105" i="68"/>
  <c r="E105" i="68"/>
  <c r="F104" i="68"/>
  <c r="E104" i="68"/>
  <c r="F103" i="68"/>
  <c r="E103" i="68"/>
  <c r="F102" i="68"/>
  <c r="E102" i="68"/>
  <c r="F101" i="68"/>
  <c r="E101" i="68"/>
  <c r="F100" i="68"/>
  <c r="E100" i="68"/>
  <c r="F99" i="68"/>
  <c r="E99" i="68"/>
  <c r="F98" i="68"/>
  <c r="E98" i="68"/>
  <c r="F97" i="68"/>
  <c r="E97" i="68"/>
  <c r="F96" i="68"/>
  <c r="E96" i="68"/>
  <c r="F95" i="68"/>
  <c r="E95" i="68"/>
  <c r="F94" i="68"/>
  <c r="E94" i="68"/>
  <c r="F93" i="68"/>
  <c r="E93" i="68"/>
  <c r="F92" i="68"/>
  <c r="E92" i="68"/>
  <c r="F91" i="68"/>
  <c r="E91" i="68"/>
  <c r="F90" i="68"/>
  <c r="E90" i="68"/>
  <c r="F89" i="68"/>
  <c r="E89" i="68"/>
  <c r="F88" i="68"/>
  <c r="E88" i="68"/>
  <c r="F87" i="68"/>
  <c r="E87" i="68"/>
  <c r="F86" i="68"/>
  <c r="E86" i="68"/>
  <c r="F85" i="68"/>
  <c r="E85" i="68"/>
  <c r="F84" i="68"/>
  <c r="E84" i="68"/>
  <c r="F83" i="68"/>
  <c r="E83" i="68"/>
  <c r="F82" i="68"/>
  <c r="E82" i="68"/>
  <c r="F81" i="68"/>
  <c r="E81" i="68"/>
  <c r="D111" i="68"/>
  <c r="D110" i="68"/>
  <c r="D109" i="68"/>
  <c r="D108" i="68"/>
  <c r="D107" i="68"/>
  <c r="D106" i="68"/>
  <c r="D105" i="68"/>
  <c r="D104" i="68"/>
  <c r="D103" i="68"/>
  <c r="D102" i="68"/>
  <c r="D101" i="68"/>
  <c r="D100" i="68"/>
  <c r="D99" i="68"/>
  <c r="D98" i="68"/>
  <c r="D97" i="68"/>
  <c r="D96" i="68"/>
  <c r="D95" i="68"/>
  <c r="D94" i="68"/>
  <c r="D93" i="68"/>
  <c r="D92" i="68"/>
  <c r="D91" i="68"/>
  <c r="D90" i="68"/>
  <c r="D89" i="68"/>
  <c r="D88" i="68"/>
  <c r="D87" i="68"/>
  <c r="D86" i="68"/>
  <c r="D85" i="68"/>
  <c r="D84" i="68"/>
  <c r="D83" i="68"/>
  <c r="D82" i="68"/>
  <c r="D81" i="68"/>
  <c r="N251" i="54"/>
  <c r="G77" i="68"/>
  <c r="F77" i="68"/>
  <c r="E77" i="68"/>
  <c r="J77" i="68" s="1"/>
  <c r="G76" i="68"/>
  <c r="F76" i="68"/>
  <c r="K76" i="68" s="1"/>
  <c r="E76" i="68"/>
  <c r="G75" i="68"/>
  <c r="F75" i="68"/>
  <c r="K75" i="68" s="1"/>
  <c r="E75" i="68"/>
  <c r="G74" i="68"/>
  <c r="F74" i="68"/>
  <c r="E74" i="68"/>
  <c r="G73" i="68"/>
  <c r="F73" i="68"/>
  <c r="E73" i="68"/>
  <c r="G71" i="68"/>
  <c r="F71" i="68"/>
  <c r="E71" i="68"/>
  <c r="G70" i="68"/>
  <c r="F70" i="68"/>
  <c r="E70" i="68"/>
  <c r="G69" i="68"/>
  <c r="F69" i="68"/>
  <c r="E69" i="68"/>
  <c r="G68" i="68"/>
  <c r="F68" i="68"/>
  <c r="E68" i="68"/>
  <c r="G67" i="68"/>
  <c r="F67" i="68"/>
  <c r="E67" i="68"/>
  <c r="G66" i="68"/>
  <c r="F66" i="68"/>
  <c r="E66" i="68"/>
  <c r="G65" i="68"/>
  <c r="F65" i="68"/>
  <c r="E65" i="68"/>
  <c r="G64" i="68"/>
  <c r="F64" i="68"/>
  <c r="E64" i="68"/>
  <c r="G63" i="68"/>
  <c r="F63" i="68"/>
  <c r="E63" i="68"/>
  <c r="G62" i="68"/>
  <c r="F62" i="68"/>
  <c r="E62" i="68"/>
  <c r="G61" i="68"/>
  <c r="F61" i="68"/>
  <c r="E61" i="68"/>
  <c r="G60" i="68"/>
  <c r="F60" i="68"/>
  <c r="E60" i="68"/>
  <c r="G59" i="68"/>
  <c r="F59" i="68"/>
  <c r="I59" i="68" s="1"/>
  <c r="E59" i="68"/>
  <c r="G58" i="68"/>
  <c r="F58" i="68"/>
  <c r="E58" i="68"/>
  <c r="G57" i="68"/>
  <c r="F57" i="68"/>
  <c r="E57" i="68"/>
  <c r="G56" i="68"/>
  <c r="F56" i="68"/>
  <c r="E56" i="68"/>
  <c r="G55" i="68"/>
  <c r="F55" i="68"/>
  <c r="E55" i="68"/>
  <c r="G54" i="68"/>
  <c r="F54" i="68"/>
  <c r="E54" i="68"/>
  <c r="G53" i="68"/>
  <c r="F53" i="68"/>
  <c r="E53" i="68"/>
  <c r="G52" i="68"/>
  <c r="F52" i="68"/>
  <c r="E52" i="68"/>
  <c r="G51" i="68"/>
  <c r="F51" i="68"/>
  <c r="E51" i="68"/>
  <c r="G50" i="68"/>
  <c r="F50" i="68"/>
  <c r="E50" i="68"/>
  <c r="G49" i="68"/>
  <c r="F49" i="68"/>
  <c r="E49" i="68"/>
  <c r="G48" i="68"/>
  <c r="F48" i="68"/>
  <c r="E48" i="68"/>
  <c r="K77" i="68"/>
  <c r="I77" i="68"/>
  <c r="I76" i="68"/>
  <c r="I75" i="68"/>
  <c r="K74" i="68"/>
  <c r="J74" i="68"/>
  <c r="I74" i="68"/>
  <c r="K73" i="68"/>
  <c r="J73" i="68"/>
  <c r="I73" i="68"/>
  <c r="K71" i="68"/>
  <c r="J71" i="68"/>
  <c r="I71" i="68"/>
  <c r="K70" i="68"/>
  <c r="J70" i="68"/>
  <c r="I70" i="68"/>
  <c r="K69" i="68"/>
  <c r="J69" i="68"/>
  <c r="I69" i="68"/>
  <c r="K68" i="68"/>
  <c r="J68" i="68"/>
  <c r="I68" i="68"/>
  <c r="K67" i="68"/>
  <c r="J67" i="68"/>
  <c r="I67" i="68"/>
  <c r="K66" i="68"/>
  <c r="J66" i="68"/>
  <c r="I66" i="68"/>
  <c r="K65" i="68"/>
  <c r="J65" i="68"/>
  <c r="I65" i="68"/>
  <c r="K64" i="68"/>
  <c r="J64" i="68"/>
  <c r="I64" i="68"/>
  <c r="K63" i="68"/>
  <c r="J63" i="68"/>
  <c r="I63" i="68"/>
  <c r="K62" i="68"/>
  <c r="J62" i="68"/>
  <c r="I62" i="68"/>
  <c r="K61" i="68"/>
  <c r="J61" i="68"/>
  <c r="I61" i="68"/>
  <c r="K60" i="68"/>
  <c r="J60" i="68"/>
  <c r="I60" i="68"/>
  <c r="K59" i="68"/>
  <c r="J59" i="68"/>
  <c r="K58" i="68"/>
  <c r="J58" i="68"/>
  <c r="I58" i="68"/>
  <c r="K57" i="68"/>
  <c r="J57" i="68"/>
  <c r="I57" i="68"/>
  <c r="K56" i="68"/>
  <c r="J56" i="68"/>
  <c r="I56" i="68"/>
  <c r="K55" i="68"/>
  <c r="J55" i="68"/>
  <c r="I55" i="68"/>
  <c r="K54" i="68"/>
  <c r="J54" i="68"/>
  <c r="I54" i="68"/>
  <c r="K53" i="68"/>
  <c r="J53" i="68"/>
  <c r="I53" i="68"/>
  <c r="K52" i="68"/>
  <c r="J52" i="68"/>
  <c r="I52" i="68"/>
  <c r="K51" i="68"/>
  <c r="J51" i="68"/>
  <c r="I51" i="68"/>
  <c r="K50" i="68"/>
  <c r="J50" i="68"/>
  <c r="I50" i="68"/>
  <c r="K49" i="68"/>
  <c r="J49" i="68"/>
  <c r="I49" i="68"/>
  <c r="K48" i="68"/>
  <c r="J48" i="68"/>
  <c r="I48" i="68"/>
  <c r="G47" i="68"/>
  <c r="F47" i="68"/>
  <c r="E47" i="68"/>
  <c r="J47" i="68" s="1"/>
  <c r="D77" i="68"/>
  <c r="D76" i="68"/>
  <c r="D75" i="68"/>
  <c r="D74" i="68"/>
  <c r="D73" i="68"/>
  <c r="D72" i="68"/>
  <c r="D71" i="68"/>
  <c r="D70" i="68"/>
  <c r="D69" i="68"/>
  <c r="D68" i="68"/>
  <c r="D67" i="68"/>
  <c r="D66" i="68"/>
  <c r="D65" i="68"/>
  <c r="D64" i="68"/>
  <c r="D63" i="68"/>
  <c r="D62" i="68"/>
  <c r="D61" i="68"/>
  <c r="D60" i="68"/>
  <c r="D59" i="68"/>
  <c r="D58" i="68"/>
  <c r="D57" i="68"/>
  <c r="D56" i="68"/>
  <c r="D55" i="68"/>
  <c r="D54" i="68"/>
  <c r="D53" i="68"/>
  <c r="D52" i="68"/>
  <c r="D51" i="68"/>
  <c r="D50" i="68"/>
  <c r="D49" i="68"/>
  <c r="D48" i="68"/>
  <c r="D47" i="68"/>
  <c r="K42" i="68"/>
  <c r="J42" i="68"/>
  <c r="I42" i="68"/>
  <c r="K41" i="68"/>
  <c r="J41" i="68"/>
  <c r="I41" i="68"/>
  <c r="K40" i="68"/>
  <c r="J40" i="68"/>
  <c r="I40" i="68"/>
  <c r="K39" i="68"/>
  <c r="J39" i="68"/>
  <c r="I39" i="68"/>
  <c r="K38" i="68"/>
  <c r="J38" i="68"/>
  <c r="I38" i="68"/>
  <c r="K36" i="68"/>
  <c r="J36" i="68"/>
  <c r="I36" i="68"/>
  <c r="K35" i="68"/>
  <c r="J35" i="68"/>
  <c r="I35" i="68"/>
  <c r="K34" i="68"/>
  <c r="J34" i="68"/>
  <c r="I34" i="68"/>
  <c r="K33" i="68"/>
  <c r="J33" i="68"/>
  <c r="I33" i="68"/>
  <c r="K32" i="68"/>
  <c r="J32" i="68"/>
  <c r="I32" i="68"/>
  <c r="K31" i="68"/>
  <c r="J31" i="68"/>
  <c r="I31" i="68"/>
  <c r="K30" i="68"/>
  <c r="J30" i="68"/>
  <c r="I30" i="68"/>
  <c r="K29" i="68"/>
  <c r="J29" i="68"/>
  <c r="I29" i="68"/>
  <c r="K28" i="68"/>
  <c r="J28" i="68"/>
  <c r="I28" i="68"/>
  <c r="K27" i="68"/>
  <c r="J27" i="68"/>
  <c r="I27" i="68"/>
  <c r="K26" i="68"/>
  <c r="J26" i="68"/>
  <c r="I26" i="68"/>
  <c r="K25" i="68"/>
  <c r="J25" i="68"/>
  <c r="I25" i="68"/>
  <c r="K24" i="68"/>
  <c r="J24" i="68"/>
  <c r="I24" i="68"/>
  <c r="K23" i="68"/>
  <c r="J23" i="68"/>
  <c r="I23" i="68"/>
  <c r="K22" i="68"/>
  <c r="J22" i="68"/>
  <c r="I22" i="68"/>
  <c r="K21" i="68"/>
  <c r="J21" i="68"/>
  <c r="I21" i="68"/>
  <c r="K20" i="68"/>
  <c r="J20" i="68"/>
  <c r="I20" i="68"/>
  <c r="K19" i="68"/>
  <c r="J19" i="68"/>
  <c r="I19" i="68"/>
  <c r="K18" i="68"/>
  <c r="J18" i="68"/>
  <c r="I18" i="68"/>
  <c r="K17" i="68"/>
  <c r="J17" i="68"/>
  <c r="I17" i="68"/>
  <c r="K16" i="68"/>
  <c r="J16" i="68"/>
  <c r="I16" i="68"/>
  <c r="K15" i="68"/>
  <c r="J15" i="68"/>
  <c r="I15" i="68"/>
  <c r="K14" i="68"/>
  <c r="J14" i="68"/>
  <c r="I14" i="68"/>
  <c r="K13" i="68"/>
  <c r="J13" i="68"/>
  <c r="I13" i="68"/>
  <c r="K12" i="68"/>
  <c r="J12" i="68"/>
  <c r="I12" i="68"/>
  <c r="G42" i="68"/>
  <c r="F42" i="68"/>
  <c r="E42" i="68"/>
  <c r="G41" i="68"/>
  <c r="F41" i="68"/>
  <c r="E41" i="68"/>
  <c r="G40" i="68"/>
  <c r="F40" i="68"/>
  <c r="E40" i="68"/>
  <c r="G39" i="68"/>
  <c r="F39" i="68"/>
  <c r="E39" i="68"/>
  <c r="G38" i="68"/>
  <c r="F38" i="68"/>
  <c r="E38" i="68"/>
  <c r="G36" i="68"/>
  <c r="F36" i="68"/>
  <c r="E36" i="68"/>
  <c r="G35" i="68"/>
  <c r="F35" i="68"/>
  <c r="E35" i="68"/>
  <c r="G34" i="68"/>
  <c r="F34" i="68"/>
  <c r="E34" i="68"/>
  <c r="G33" i="68"/>
  <c r="F33" i="68"/>
  <c r="E33" i="68"/>
  <c r="G32" i="68"/>
  <c r="F32" i="68"/>
  <c r="E32" i="68"/>
  <c r="G31" i="68"/>
  <c r="F31" i="68"/>
  <c r="E31" i="68"/>
  <c r="G30" i="68"/>
  <c r="F30" i="68"/>
  <c r="E30" i="68"/>
  <c r="G29" i="68"/>
  <c r="F29" i="68"/>
  <c r="E29" i="68"/>
  <c r="G28" i="68"/>
  <c r="F28" i="68"/>
  <c r="E28" i="68"/>
  <c r="G27" i="68"/>
  <c r="F27" i="68"/>
  <c r="E27" i="68"/>
  <c r="G26" i="68"/>
  <c r="F26" i="68"/>
  <c r="E26" i="68"/>
  <c r="G25" i="68"/>
  <c r="F25" i="68"/>
  <c r="E25" i="68"/>
  <c r="G24" i="68"/>
  <c r="F24" i="68"/>
  <c r="E24" i="68"/>
  <c r="G23" i="68"/>
  <c r="F23" i="68"/>
  <c r="E23" i="68"/>
  <c r="G22" i="68"/>
  <c r="F22" i="68"/>
  <c r="E22" i="68"/>
  <c r="G21" i="68"/>
  <c r="F21" i="68"/>
  <c r="E21" i="68"/>
  <c r="G20" i="68"/>
  <c r="F20" i="68"/>
  <c r="E20" i="68"/>
  <c r="G19" i="68"/>
  <c r="F19" i="68"/>
  <c r="E19" i="68"/>
  <c r="G18" i="68"/>
  <c r="F18" i="68"/>
  <c r="E18" i="68"/>
  <c r="G17" i="68"/>
  <c r="F17" i="68"/>
  <c r="E17" i="68"/>
  <c r="G16" i="68"/>
  <c r="F16" i="68"/>
  <c r="E16" i="68"/>
  <c r="G15" i="68"/>
  <c r="F15" i="68"/>
  <c r="E15" i="68"/>
  <c r="G14" i="68"/>
  <c r="F14" i="68"/>
  <c r="E14" i="68"/>
  <c r="G13" i="68"/>
  <c r="F13" i="68"/>
  <c r="E13" i="68"/>
  <c r="G12" i="68"/>
  <c r="F12" i="68"/>
  <c r="E12" i="68"/>
  <c r="D42" i="68"/>
  <c r="D41" i="68"/>
  <c r="D40" i="68"/>
  <c r="D39" i="68"/>
  <c r="D38" i="68"/>
  <c r="D37" i="68"/>
  <c r="D36" i="68"/>
  <c r="D35" i="68"/>
  <c r="D34" i="68"/>
  <c r="D33" i="68"/>
  <c r="D32" i="68"/>
  <c r="D31" i="68"/>
  <c r="D30" i="68"/>
  <c r="D29" i="68"/>
  <c r="D28" i="68"/>
  <c r="D27" i="68"/>
  <c r="D26" i="68"/>
  <c r="D25" i="68"/>
  <c r="D24" i="68"/>
  <c r="D23" i="68"/>
  <c r="D22" i="68"/>
  <c r="D21" i="68"/>
  <c r="D20" i="68"/>
  <c r="D19" i="68"/>
  <c r="D18" i="68"/>
  <c r="D17" i="68"/>
  <c r="D16" i="68"/>
  <c r="D15" i="68"/>
  <c r="D14" i="68"/>
  <c r="D13" i="68"/>
  <c r="D12" i="68"/>
  <c r="E3" i="68"/>
  <c r="J76" i="68" l="1"/>
  <c r="J75" i="68"/>
  <c r="I47" i="68"/>
  <c r="K47" i="68"/>
  <c r="J124" i="49" l="1"/>
  <c r="X81" i="49"/>
  <c r="X80" i="49"/>
  <c r="X79" i="49"/>
  <c r="X78" i="49"/>
  <c r="X77" i="49"/>
  <c r="X75" i="49"/>
  <c r="X74" i="49"/>
  <c r="X73" i="49"/>
  <c r="X72" i="49"/>
  <c r="X71" i="49"/>
  <c r="X70" i="49"/>
  <c r="X69" i="49"/>
  <c r="X68" i="49"/>
  <c r="X67" i="49"/>
  <c r="X66" i="49"/>
  <c r="X65" i="49"/>
  <c r="X64" i="49"/>
  <c r="X63" i="49"/>
  <c r="X62" i="49"/>
  <c r="X61" i="49"/>
  <c r="X60" i="49"/>
  <c r="X59" i="49"/>
  <c r="X58" i="49"/>
  <c r="X57" i="49"/>
  <c r="X56" i="49"/>
  <c r="X55" i="49"/>
  <c r="X54" i="49"/>
  <c r="X53" i="49"/>
  <c r="X52" i="49"/>
  <c r="X51" i="49"/>
  <c r="AR21" i="67" l="1"/>
  <c r="AR32" i="67" s="1"/>
  <c r="AQ21" i="67"/>
  <c r="AQ32" i="67" s="1"/>
  <c r="AP21" i="67"/>
  <c r="AP32" i="67" s="1"/>
  <c r="AB34" i="67"/>
  <c r="AB33" i="67"/>
  <c r="AB32" i="67"/>
  <c r="AB23" i="67"/>
  <c r="AB22" i="67"/>
  <c r="AB21" i="67"/>
  <c r="D244" i="49"/>
  <c r="L244" i="49"/>
  <c r="J235" i="49"/>
  <c r="J243" i="49" s="1"/>
  <c r="J234" i="49"/>
  <c r="J242" i="49" s="1"/>
  <c r="J233" i="49"/>
  <c r="J241" i="49" s="1"/>
  <c r="D235" i="49"/>
  <c r="D243" i="49" s="1"/>
  <c r="D234" i="49"/>
  <c r="D242" i="49" s="1"/>
  <c r="D233" i="49"/>
  <c r="D241" i="49" s="1"/>
  <c r="L234" i="49" l="1"/>
  <c r="L242" i="49" s="1"/>
  <c r="L235" i="49"/>
  <c r="L243" i="49" s="1"/>
  <c r="L233" i="49"/>
  <c r="L241" i="49" s="1"/>
  <c r="R448" i="67"/>
  <c r="Q448" i="67"/>
  <c r="P448" i="67"/>
  <c r="O448" i="67"/>
  <c r="N448" i="67"/>
  <c r="M448" i="67"/>
  <c r="L448" i="67"/>
  <c r="K448" i="67"/>
  <c r="J448" i="67"/>
  <c r="R447" i="67"/>
  <c r="Q447" i="67"/>
  <c r="P447" i="67"/>
  <c r="O447" i="67"/>
  <c r="N447" i="67"/>
  <c r="M447" i="67"/>
  <c r="L447" i="67"/>
  <c r="K447" i="67"/>
  <c r="J447" i="67"/>
  <c r="R446" i="67"/>
  <c r="Q446" i="67"/>
  <c r="P446" i="67"/>
  <c r="O446" i="67"/>
  <c r="N446" i="67"/>
  <c r="M446" i="67"/>
  <c r="L446" i="67"/>
  <c r="K446" i="67"/>
  <c r="J446" i="67"/>
  <c r="R445" i="67"/>
  <c r="Q445" i="67"/>
  <c r="P445" i="67"/>
  <c r="O445" i="67"/>
  <c r="N445" i="67"/>
  <c r="M445" i="67"/>
  <c r="L445" i="67"/>
  <c r="K445" i="67"/>
  <c r="J445" i="67"/>
  <c r="R444" i="67"/>
  <c r="Q444" i="67"/>
  <c r="P444" i="67"/>
  <c r="O444" i="67"/>
  <c r="N444" i="67"/>
  <c r="M444" i="67"/>
  <c r="L444" i="67"/>
  <c r="K444" i="67"/>
  <c r="J444" i="67"/>
  <c r="R443" i="67"/>
  <c r="Q443" i="67"/>
  <c r="P443" i="67"/>
  <c r="O443" i="67"/>
  <c r="N443" i="67"/>
  <c r="M443" i="67"/>
  <c r="L443" i="67"/>
  <c r="K443" i="67"/>
  <c r="J443" i="67"/>
  <c r="R442" i="67"/>
  <c r="Q442" i="67"/>
  <c r="P442" i="67"/>
  <c r="O442" i="67"/>
  <c r="N442" i="67"/>
  <c r="M442" i="67"/>
  <c r="L442" i="67"/>
  <c r="K442" i="67"/>
  <c r="J442" i="67"/>
  <c r="R441" i="67"/>
  <c r="Q441" i="67"/>
  <c r="P441" i="67"/>
  <c r="O441" i="67"/>
  <c r="N441" i="67"/>
  <c r="M441" i="67"/>
  <c r="L441" i="67"/>
  <c r="K441" i="67"/>
  <c r="J441" i="67"/>
  <c r="R440" i="67"/>
  <c r="Q440" i="67"/>
  <c r="P440" i="67"/>
  <c r="O440" i="67"/>
  <c r="N440" i="67"/>
  <c r="M440" i="67"/>
  <c r="L440" i="67"/>
  <c r="K440" i="67"/>
  <c r="J440" i="67"/>
  <c r="R439" i="67"/>
  <c r="Q439" i="67"/>
  <c r="P439" i="67"/>
  <c r="O439" i="67"/>
  <c r="N439" i="67"/>
  <c r="M439" i="67"/>
  <c r="L439" i="67"/>
  <c r="K439" i="67"/>
  <c r="J439" i="67"/>
  <c r="R438" i="67"/>
  <c r="Q438" i="67"/>
  <c r="P438" i="67"/>
  <c r="O438" i="67"/>
  <c r="N438" i="67"/>
  <c r="M438" i="67"/>
  <c r="L438" i="67"/>
  <c r="K438" i="67"/>
  <c r="J438" i="67"/>
  <c r="R437" i="67"/>
  <c r="Q437" i="67"/>
  <c r="P437" i="67"/>
  <c r="O437" i="67"/>
  <c r="N437" i="67"/>
  <c r="M437" i="67"/>
  <c r="L437" i="67"/>
  <c r="K437" i="67"/>
  <c r="J437" i="67"/>
  <c r="R436" i="67"/>
  <c r="Q436" i="67"/>
  <c r="P436" i="67"/>
  <c r="O436" i="67"/>
  <c r="N436" i="67"/>
  <c r="M436" i="67"/>
  <c r="L436" i="67"/>
  <c r="K436" i="67"/>
  <c r="J436" i="67"/>
  <c r="R410" i="67"/>
  <c r="Q410" i="67"/>
  <c r="P410" i="67"/>
  <c r="O410" i="67"/>
  <c r="N410" i="67"/>
  <c r="M410" i="67"/>
  <c r="L410" i="67"/>
  <c r="K410" i="67"/>
  <c r="J410" i="67"/>
  <c r="R409" i="67"/>
  <c r="Q409" i="67"/>
  <c r="P409" i="67"/>
  <c r="O409" i="67"/>
  <c r="N409" i="67"/>
  <c r="M409" i="67"/>
  <c r="L409" i="67"/>
  <c r="K409" i="67"/>
  <c r="J409" i="67"/>
  <c r="R408" i="67"/>
  <c r="Q408" i="67"/>
  <c r="P408" i="67"/>
  <c r="O408" i="67"/>
  <c r="N408" i="67"/>
  <c r="M408" i="67"/>
  <c r="L408" i="67"/>
  <c r="K408" i="67"/>
  <c r="J408" i="67"/>
  <c r="R407" i="67"/>
  <c r="Q407" i="67"/>
  <c r="P407" i="67"/>
  <c r="O407" i="67"/>
  <c r="N407" i="67"/>
  <c r="M407" i="67"/>
  <c r="L407" i="67"/>
  <c r="K407" i="67"/>
  <c r="J407" i="67"/>
  <c r="R406" i="67"/>
  <c r="Q406" i="67"/>
  <c r="P406" i="67"/>
  <c r="O406" i="67"/>
  <c r="N406" i="67"/>
  <c r="M406" i="67"/>
  <c r="L406" i="67"/>
  <c r="K406" i="67"/>
  <c r="J406" i="67"/>
  <c r="R405" i="67"/>
  <c r="Q405" i="67"/>
  <c r="P405" i="67"/>
  <c r="O405" i="67"/>
  <c r="N405" i="67"/>
  <c r="M405" i="67"/>
  <c r="L405" i="67"/>
  <c r="K405" i="67"/>
  <c r="J405" i="67"/>
  <c r="R404" i="67"/>
  <c r="Q404" i="67"/>
  <c r="P404" i="67"/>
  <c r="O404" i="67"/>
  <c r="N404" i="67"/>
  <c r="M404" i="67"/>
  <c r="L404" i="67"/>
  <c r="K404" i="67"/>
  <c r="J404" i="67"/>
  <c r="R403" i="67"/>
  <c r="Q403" i="67"/>
  <c r="P403" i="67"/>
  <c r="O403" i="67"/>
  <c r="N403" i="67"/>
  <c r="M403" i="67"/>
  <c r="L403" i="67"/>
  <c r="K403" i="67"/>
  <c r="J403" i="67"/>
  <c r="R402" i="67"/>
  <c r="Q402" i="67"/>
  <c r="P402" i="67"/>
  <c r="O402" i="67"/>
  <c r="N402" i="67"/>
  <c r="M402" i="67"/>
  <c r="L402" i="67"/>
  <c r="K402" i="67"/>
  <c r="J402" i="67"/>
  <c r="R401" i="67"/>
  <c r="Q401" i="67"/>
  <c r="P401" i="67"/>
  <c r="O401" i="67"/>
  <c r="N401" i="67"/>
  <c r="M401" i="67"/>
  <c r="L401" i="67"/>
  <c r="K401" i="67"/>
  <c r="J401" i="67"/>
  <c r="R400" i="67"/>
  <c r="Q400" i="67"/>
  <c r="P400" i="67"/>
  <c r="O400" i="67"/>
  <c r="N400" i="67"/>
  <c r="M400" i="67"/>
  <c r="L400" i="67"/>
  <c r="K400" i="67"/>
  <c r="J400" i="67"/>
  <c r="R399" i="67"/>
  <c r="Q399" i="67"/>
  <c r="P399" i="67"/>
  <c r="O399" i="67"/>
  <c r="N399" i="67"/>
  <c r="M399" i="67"/>
  <c r="L399" i="67"/>
  <c r="K399" i="67"/>
  <c r="J399" i="67"/>
  <c r="K383" i="67"/>
  <c r="R369" i="67"/>
  <c r="Q369" i="67"/>
  <c r="P369" i="67"/>
  <c r="O369" i="67"/>
  <c r="N369" i="67"/>
  <c r="M369" i="67"/>
  <c r="L369" i="67"/>
  <c r="K369" i="67"/>
  <c r="J369" i="67"/>
  <c r="R368" i="67"/>
  <c r="Q368" i="67"/>
  <c r="P368" i="67"/>
  <c r="O368" i="67"/>
  <c r="N368" i="67"/>
  <c r="M368" i="67"/>
  <c r="L368" i="67"/>
  <c r="K368" i="67"/>
  <c r="J368" i="67"/>
  <c r="R367" i="67"/>
  <c r="Q367" i="67"/>
  <c r="P367" i="67"/>
  <c r="O367" i="67"/>
  <c r="N367" i="67"/>
  <c r="M367" i="67"/>
  <c r="L367" i="67"/>
  <c r="K367" i="67"/>
  <c r="J367" i="67"/>
  <c r="R366" i="67"/>
  <c r="Q366" i="67"/>
  <c r="P366" i="67"/>
  <c r="O366" i="67"/>
  <c r="N366" i="67"/>
  <c r="M366" i="67"/>
  <c r="L366" i="67"/>
  <c r="K366" i="67"/>
  <c r="J366" i="67"/>
  <c r="R365" i="67"/>
  <c r="Q365" i="67"/>
  <c r="P365" i="67"/>
  <c r="O365" i="67"/>
  <c r="N365" i="67"/>
  <c r="M365" i="67"/>
  <c r="L365" i="67"/>
  <c r="K365" i="67"/>
  <c r="J365" i="67"/>
  <c r="R364" i="67"/>
  <c r="Q364" i="67"/>
  <c r="P364" i="67"/>
  <c r="O364" i="67"/>
  <c r="N364" i="67"/>
  <c r="M364" i="67"/>
  <c r="L364" i="67"/>
  <c r="K364" i="67"/>
  <c r="J364" i="67"/>
  <c r="R363" i="67"/>
  <c r="Q363" i="67"/>
  <c r="P363" i="67"/>
  <c r="O363" i="67"/>
  <c r="N363" i="67"/>
  <c r="M363" i="67"/>
  <c r="L363" i="67"/>
  <c r="K363" i="67"/>
  <c r="J363" i="67"/>
  <c r="R362" i="67"/>
  <c r="Q362" i="67"/>
  <c r="P362" i="67"/>
  <c r="O362" i="67"/>
  <c r="N362" i="67"/>
  <c r="M362" i="67"/>
  <c r="L362" i="67"/>
  <c r="K362" i="67"/>
  <c r="J362" i="67"/>
  <c r="R361" i="67"/>
  <c r="Q361" i="67"/>
  <c r="P361" i="67"/>
  <c r="O361" i="67"/>
  <c r="N361" i="67"/>
  <c r="M361" i="67"/>
  <c r="L361" i="67"/>
  <c r="K361" i="67"/>
  <c r="J361" i="67"/>
  <c r="R360" i="67"/>
  <c r="Q360" i="67"/>
  <c r="P360" i="67"/>
  <c r="O360" i="67"/>
  <c r="N360" i="67"/>
  <c r="M360" i="67"/>
  <c r="L360" i="67"/>
  <c r="K360" i="67"/>
  <c r="J360" i="67"/>
  <c r="R359" i="67"/>
  <c r="Q359" i="67"/>
  <c r="P359" i="67"/>
  <c r="O359" i="67"/>
  <c r="N359" i="67"/>
  <c r="M359" i="67"/>
  <c r="L359" i="67"/>
  <c r="K359" i="67"/>
  <c r="J359" i="67"/>
  <c r="R358" i="67"/>
  <c r="Q358" i="67"/>
  <c r="P358" i="67"/>
  <c r="O358" i="67"/>
  <c r="N358" i="67"/>
  <c r="M358" i="67"/>
  <c r="L358" i="67"/>
  <c r="K358" i="67"/>
  <c r="J358" i="67"/>
  <c r="R334" i="67"/>
  <c r="Q334" i="67"/>
  <c r="P334" i="67"/>
  <c r="O334" i="67"/>
  <c r="N334" i="67"/>
  <c r="M334" i="67"/>
  <c r="L334" i="67"/>
  <c r="K334" i="67"/>
  <c r="J334" i="67"/>
  <c r="R333" i="67"/>
  <c r="Q333" i="67"/>
  <c r="P333" i="67"/>
  <c r="O333" i="67"/>
  <c r="N333" i="67"/>
  <c r="M333" i="67"/>
  <c r="L333" i="67"/>
  <c r="K333" i="67"/>
  <c r="J333" i="67"/>
  <c r="R332" i="67"/>
  <c r="Q332" i="67"/>
  <c r="P332" i="67"/>
  <c r="O332" i="67"/>
  <c r="N332" i="67"/>
  <c r="M332" i="67"/>
  <c r="L332" i="67"/>
  <c r="K332" i="67"/>
  <c r="J332" i="67"/>
  <c r="R331" i="67"/>
  <c r="Q331" i="67"/>
  <c r="P331" i="67"/>
  <c r="O331" i="67"/>
  <c r="N331" i="67"/>
  <c r="M331" i="67"/>
  <c r="L331" i="67"/>
  <c r="K331" i="67"/>
  <c r="J331" i="67"/>
  <c r="R330" i="67"/>
  <c r="Q330" i="67"/>
  <c r="P330" i="67"/>
  <c r="O330" i="67"/>
  <c r="N330" i="67"/>
  <c r="M330" i="67"/>
  <c r="L330" i="67"/>
  <c r="K330" i="67"/>
  <c r="J330" i="67"/>
  <c r="R329" i="67"/>
  <c r="Q329" i="67"/>
  <c r="P329" i="67"/>
  <c r="O329" i="67"/>
  <c r="N329" i="67"/>
  <c r="M329" i="67"/>
  <c r="L329" i="67"/>
  <c r="K329" i="67"/>
  <c r="J329" i="67"/>
  <c r="R328" i="67"/>
  <c r="Q328" i="67"/>
  <c r="P328" i="67"/>
  <c r="O328" i="67"/>
  <c r="N328" i="67"/>
  <c r="M328" i="67"/>
  <c r="L328" i="67"/>
  <c r="K328" i="67"/>
  <c r="J328" i="67"/>
  <c r="R327" i="67"/>
  <c r="Q327" i="67"/>
  <c r="P327" i="67"/>
  <c r="O327" i="67"/>
  <c r="N327" i="67"/>
  <c r="M327" i="67"/>
  <c r="L327" i="67"/>
  <c r="K327" i="67"/>
  <c r="J327" i="67"/>
  <c r="R326" i="67"/>
  <c r="Q326" i="67"/>
  <c r="P326" i="67"/>
  <c r="O326" i="67"/>
  <c r="N326" i="67"/>
  <c r="M326" i="67"/>
  <c r="L326" i="67"/>
  <c r="K326" i="67"/>
  <c r="J326" i="67"/>
  <c r="R325" i="67"/>
  <c r="Q325" i="67"/>
  <c r="P325" i="67"/>
  <c r="O325" i="67"/>
  <c r="N325" i="67"/>
  <c r="M325" i="67"/>
  <c r="L325" i="67"/>
  <c r="K325" i="67"/>
  <c r="J325" i="67"/>
  <c r="R324" i="67"/>
  <c r="Q324" i="67"/>
  <c r="P324" i="67"/>
  <c r="O324" i="67"/>
  <c r="N324" i="67"/>
  <c r="M324" i="67"/>
  <c r="L324" i="67"/>
  <c r="K324" i="67"/>
  <c r="J324" i="67"/>
  <c r="R323" i="67"/>
  <c r="Q323" i="67"/>
  <c r="P323" i="67"/>
  <c r="O323" i="67"/>
  <c r="N323" i="67"/>
  <c r="M323" i="67"/>
  <c r="L323" i="67"/>
  <c r="K323" i="67"/>
  <c r="J323" i="67"/>
  <c r="K252" i="54"/>
  <c r="K253" i="54" s="1"/>
  <c r="K217" i="54"/>
  <c r="K218" i="54" s="1"/>
  <c r="R293" i="67"/>
  <c r="Q293" i="67"/>
  <c r="P293" i="67"/>
  <c r="O293" i="67"/>
  <c r="N293" i="67"/>
  <c r="M293" i="67"/>
  <c r="L293" i="67"/>
  <c r="K293" i="67"/>
  <c r="J293" i="67"/>
  <c r="R292" i="67"/>
  <c r="Q292" i="67"/>
  <c r="P292" i="67"/>
  <c r="O292" i="67"/>
  <c r="N292" i="67"/>
  <c r="M292" i="67"/>
  <c r="L292" i="67"/>
  <c r="K292" i="67"/>
  <c r="J292" i="67"/>
  <c r="R291" i="67"/>
  <c r="Q291" i="67"/>
  <c r="P291" i="67"/>
  <c r="O291" i="67"/>
  <c r="N291" i="67"/>
  <c r="M291" i="67"/>
  <c r="L291" i="67"/>
  <c r="K291" i="67"/>
  <c r="J291" i="67"/>
  <c r="R290" i="67"/>
  <c r="Q290" i="67"/>
  <c r="P290" i="67"/>
  <c r="O290" i="67"/>
  <c r="N290" i="67"/>
  <c r="M290" i="67"/>
  <c r="L290" i="67"/>
  <c r="K290" i="67"/>
  <c r="J290" i="67"/>
  <c r="R289" i="67"/>
  <c r="Q289" i="67"/>
  <c r="P289" i="67"/>
  <c r="O289" i="67"/>
  <c r="N289" i="67"/>
  <c r="M289" i="67"/>
  <c r="L289" i="67"/>
  <c r="K289" i="67"/>
  <c r="J289" i="67"/>
  <c r="R288" i="67"/>
  <c r="Q288" i="67"/>
  <c r="P288" i="67"/>
  <c r="O288" i="67"/>
  <c r="N288" i="67"/>
  <c r="M288" i="67"/>
  <c r="L288" i="67"/>
  <c r="K288" i="67"/>
  <c r="J288" i="67"/>
  <c r="R287" i="67"/>
  <c r="Q287" i="67"/>
  <c r="P287" i="67"/>
  <c r="O287" i="67"/>
  <c r="N287" i="67"/>
  <c r="M287" i="67"/>
  <c r="L287" i="67"/>
  <c r="K287" i="67"/>
  <c r="J287" i="67"/>
  <c r="R286" i="67"/>
  <c r="Q286" i="67"/>
  <c r="P286" i="67"/>
  <c r="O286" i="67"/>
  <c r="N286" i="67"/>
  <c r="M286" i="67"/>
  <c r="L286" i="67"/>
  <c r="K286" i="67"/>
  <c r="J286" i="67"/>
  <c r="R285" i="67"/>
  <c r="Q285" i="67"/>
  <c r="P285" i="67"/>
  <c r="O285" i="67"/>
  <c r="N285" i="67"/>
  <c r="M285" i="67"/>
  <c r="L285" i="67"/>
  <c r="K285" i="67"/>
  <c r="J285" i="67"/>
  <c r="R284" i="67"/>
  <c r="Q284" i="67"/>
  <c r="P284" i="67"/>
  <c r="O284" i="67"/>
  <c r="N284" i="67"/>
  <c r="M284" i="67"/>
  <c r="L284" i="67"/>
  <c r="K284" i="67"/>
  <c r="J284" i="67"/>
  <c r="R283" i="67"/>
  <c r="Q283" i="67"/>
  <c r="P283" i="67"/>
  <c r="O283" i="67"/>
  <c r="N283" i="67"/>
  <c r="M283" i="67"/>
  <c r="L283" i="67"/>
  <c r="K283" i="67"/>
  <c r="J283" i="67"/>
  <c r="R282" i="67"/>
  <c r="Q282" i="67"/>
  <c r="P282" i="67"/>
  <c r="O282" i="67"/>
  <c r="N282" i="67"/>
  <c r="M282" i="67"/>
  <c r="L282" i="67"/>
  <c r="K282" i="67"/>
  <c r="J282" i="67"/>
  <c r="R281" i="67"/>
  <c r="Q281" i="67"/>
  <c r="P281" i="67"/>
  <c r="O281" i="67"/>
  <c r="N281" i="67"/>
  <c r="M281" i="67"/>
  <c r="L281" i="67"/>
  <c r="K281" i="67"/>
  <c r="J281" i="67"/>
  <c r="R280" i="67"/>
  <c r="Q280" i="67"/>
  <c r="P280" i="67"/>
  <c r="O280" i="67"/>
  <c r="N280" i="67"/>
  <c r="M280" i="67"/>
  <c r="L280" i="67"/>
  <c r="K280" i="67"/>
  <c r="J280" i="67"/>
  <c r="R279" i="67"/>
  <c r="Q279" i="67"/>
  <c r="P279" i="67"/>
  <c r="O279" i="67"/>
  <c r="N279" i="67"/>
  <c r="M279" i="67"/>
  <c r="L279" i="67"/>
  <c r="K279" i="67"/>
  <c r="J279" i="67"/>
  <c r="R278" i="67"/>
  <c r="Q278" i="67"/>
  <c r="P278" i="67"/>
  <c r="O278" i="67"/>
  <c r="N278" i="67"/>
  <c r="M278" i="67"/>
  <c r="L278" i="67"/>
  <c r="K278" i="67"/>
  <c r="J278" i="67"/>
  <c r="R277" i="67"/>
  <c r="Q277" i="67"/>
  <c r="P277" i="67"/>
  <c r="O277" i="67"/>
  <c r="N277" i="67"/>
  <c r="M277" i="67"/>
  <c r="L277" i="67"/>
  <c r="K277" i="67"/>
  <c r="J277" i="67"/>
  <c r="R276" i="67"/>
  <c r="Q276" i="67"/>
  <c r="P276" i="67"/>
  <c r="O276" i="67"/>
  <c r="N276" i="67"/>
  <c r="M276" i="67"/>
  <c r="L276" i="67"/>
  <c r="K276" i="67"/>
  <c r="J276" i="67"/>
  <c r="R275" i="67"/>
  <c r="Q275" i="67"/>
  <c r="P275" i="67"/>
  <c r="O275" i="67"/>
  <c r="N275" i="67"/>
  <c r="M275" i="67"/>
  <c r="L275" i="67"/>
  <c r="K275" i="67"/>
  <c r="J275" i="67"/>
  <c r="R274" i="67"/>
  <c r="Q274" i="67"/>
  <c r="P274" i="67"/>
  <c r="O274" i="67"/>
  <c r="N274" i="67"/>
  <c r="M274" i="67"/>
  <c r="L274" i="67"/>
  <c r="K274" i="67"/>
  <c r="J274" i="67"/>
  <c r="R273" i="67"/>
  <c r="Q273" i="67"/>
  <c r="P273" i="67"/>
  <c r="O273" i="67"/>
  <c r="N273" i="67"/>
  <c r="M273" i="67"/>
  <c r="L273" i="67"/>
  <c r="K273" i="67"/>
  <c r="J273" i="67"/>
  <c r="R272" i="67"/>
  <c r="Q272" i="67"/>
  <c r="P272" i="67"/>
  <c r="O272" i="67"/>
  <c r="N272" i="67"/>
  <c r="M272" i="67"/>
  <c r="L272" i="67"/>
  <c r="K272" i="67"/>
  <c r="J272" i="67"/>
  <c r="R271" i="67"/>
  <c r="Q271" i="67"/>
  <c r="P271" i="67"/>
  <c r="O271" i="67"/>
  <c r="N271" i="67"/>
  <c r="M271" i="67"/>
  <c r="L271" i="67"/>
  <c r="K271" i="67"/>
  <c r="J271" i="67"/>
  <c r="R270" i="67"/>
  <c r="Q270" i="67"/>
  <c r="P270" i="67"/>
  <c r="O270" i="67"/>
  <c r="N270" i="67"/>
  <c r="M270" i="67"/>
  <c r="L270" i="67"/>
  <c r="K270" i="67"/>
  <c r="J270" i="67"/>
  <c r="R269" i="67"/>
  <c r="Q269" i="67"/>
  <c r="P269" i="67"/>
  <c r="O269" i="67"/>
  <c r="N269" i="67"/>
  <c r="M269" i="67"/>
  <c r="L269" i="67"/>
  <c r="K269" i="67"/>
  <c r="J269" i="67"/>
  <c r="R268" i="67"/>
  <c r="Q268" i="67"/>
  <c r="P268" i="67"/>
  <c r="O268" i="67"/>
  <c r="N268" i="67"/>
  <c r="M268" i="67"/>
  <c r="L268" i="67"/>
  <c r="K268" i="67"/>
  <c r="J268" i="67"/>
  <c r="R267" i="67"/>
  <c r="Q267" i="67"/>
  <c r="P267" i="67"/>
  <c r="O267" i="67"/>
  <c r="N267" i="67"/>
  <c r="M267" i="67"/>
  <c r="L267" i="67"/>
  <c r="K267" i="67"/>
  <c r="J267" i="67"/>
  <c r="R266" i="67"/>
  <c r="Q266" i="67"/>
  <c r="P266" i="67"/>
  <c r="O266" i="67"/>
  <c r="N266" i="67"/>
  <c r="M266" i="67"/>
  <c r="L266" i="67"/>
  <c r="K266" i="67"/>
  <c r="J266" i="67"/>
  <c r="R265" i="67"/>
  <c r="Q265" i="67"/>
  <c r="P265" i="67"/>
  <c r="O265" i="67"/>
  <c r="N265" i="67"/>
  <c r="M265" i="67"/>
  <c r="L265" i="67"/>
  <c r="K265" i="67"/>
  <c r="J265" i="67"/>
  <c r="R264" i="67"/>
  <c r="Q264" i="67"/>
  <c r="P264" i="67"/>
  <c r="O264" i="67"/>
  <c r="N264" i="67"/>
  <c r="M264" i="67"/>
  <c r="L264" i="67"/>
  <c r="K264" i="67"/>
  <c r="J264" i="67"/>
  <c r="R258" i="67"/>
  <c r="Q258" i="67"/>
  <c r="P258" i="67"/>
  <c r="O258" i="67"/>
  <c r="N258" i="67"/>
  <c r="M258" i="67"/>
  <c r="L258" i="67"/>
  <c r="K258" i="67"/>
  <c r="J258" i="67"/>
  <c r="R257" i="67"/>
  <c r="Q257" i="67"/>
  <c r="P257" i="67"/>
  <c r="O257" i="67"/>
  <c r="N257" i="67"/>
  <c r="M257" i="67"/>
  <c r="L257" i="67"/>
  <c r="K257" i="67"/>
  <c r="J257" i="67"/>
  <c r="R256" i="67"/>
  <c r="Q256" i="67"/>
  <c r="P256" i="67"/>
  <c r="O256" i="67"/>
  <c r="N256" i="67"/>
  <c r="M256" i="67"/>
  <c r="L256" i="67"/>
  <c r="K256" i="67"/>
  <c r="J256" i="67"/>
  <c r="R255" i="67"/>
  <c r="Q255" i="67"/>
  <c r="P255" i="67"/>
  <c r="O255" i="67"/>
  <c r="N255" i="67"/>
  <c r="M255" i="67"/>
  <c r="L255" i="67"/>
  <c r="K255" i="67"/>
  <c r="J255" i="67"/>
  <c r="R254" i="67"/>
  <c r="Q254" i="67"/>
  <c r="P254" i="67"/>
  <c r="O254" i="67"/>
  <c r="N254" i="67"/>
  <c r="M254" i="67"/>
  <c r="L254" i="67"/>
  <c r="K254" i="67"/>
  <c r="J254" i="67"/>
  <c r="R253" i="67"/>
  <c r="Q253" i="67"/>
  <c r="P253" i="67"/>
  <c r="O253" i="67"/>
  <c r="N253" i="67"/>
  <c r="M253" i="67"/>
  <c r="L253" i="67"/>
  <c r="K253" i="67"/>
  <c r="J253" i="67"/>
  <c r="R252" i="67"/>
  <c r="Q252" i="67"/>
  <c r="P252" i="67"/>
  <c r="O252" i="67"/>
  <c r="N252" i="67"/>
  <c r="M252" i="67"/>
  <c r="L252" i="67"/>
  <c r="K252" i="67"/>
  <c r="J252" i="67"/>
  <c r="R251" i="67"/>
  <c r="Q251" i="67"/>
  <c r="P251" i="67"/>
  <c r="O251" i="67"/>
  <c r="N251" i="67"/>
  <c r="M251" i="67"/>
  <c r="L251" i="67"/>
  <c r="K251" i="67"/>
  <c r="J251" i="67"/>
  <c r="R250" i="67"/>
  <c r="Q250" i="67"/>
  <c r="P250" i="67"/>
  <c r="O250" i="67"/>
  <c r="N250" i="67"/>
  <c r="M250" i="67"/>
  <c r="L250" i="67"/>
  <c r="K250" i="67"/>
  <c r="J250" i="67"/>
  <c r="R249" i="67"/>
  <c r="Q249" i="67"/>
  <c r="P249" i="67"/>
  <c r="O249" i="67"/>
  <c r="N249" i="67"/>
  <c r="M249" i="67"/>
  <c r="L249" i="67"/>
  <c r="K249" i="67"/>
  <c r="J249" i="67"/>
  <c r="R248" i="67"/>
  <c r="Q248" i="67"/>
  <c r="P248" i="67"/>
  <c r="O248" i="67"/>
  <c r="N248" i="67"/>
  <c r="M248" i="67"/>
  <c r="L248" i="67"/>
  <c r="K248" i="67"/>
  <c r="J248" i="67"/>
  <c r="R215" i="67"/>
  <c r="Q215" i="67"/>
  <c r="P215" i="67"/>
  <c r="O215" i="67"/>
  <c r="N215" i="67"/>
  <c r="M215" i="67"/>
  <c r="L215" i="67"/>
  <c r="K215" i="67"/>
  <c r="J215" i="67"/>
  <c r="R214" i="67"/>
  <c r="Q214" i="67"/>
  <c r="P214" i="67"/>
  <c r="O214" i="67"/>
  <c r="N214" i="67"/>
  <c r="M214" i="67"/>
  <c r="L214" i="67"/>
  <c r="K214" i="67"/>
  <c r="J214" i="67"/>
  <c r="R213" i="67"/>
  <c r="Q213" i="67"/>
  <c r="P213" i="67"/>
  <c r="O213" i="67"/>
  <c r="N213" i="67"/>
  <c r="M213" i="67"/>
  <c r="L213" i="67"/>
  <c r="K213" i="67"/>
  <c r="J213" i="67"/>
  <c r="R212" i="67"/>
  <c r="Q212" i="67"/>
  <c r="P212" i="67"/>
  <c r="O212" i="67"/>
  <c r="N212" i="67"/>
  <c r="M212" i="67"/>
  <c r="L212" i="67"/>
  <c r="K212" i="67"/>
  <c r="J212" i="67"/>
  <c r="R211" i="67"/>
  <c r="Q211" i="67"/>
  <c r="P211" i="67"/>
  <c r="O211" i="67"/>
  <c r="N211" i="67"/>
  <c r="M211" i="67"/>
  <c r="L211" i="67"/>
  <c r="K211" i="67"/>
  <c r="J211" i="67"/>
  <c r="R210" i="67"/>
  <c r="Q210" i="67"/>
  <c r="P210" i="67"/>
  <c r="O210" i="67"/>
  <c r="N210" i="67"/>
  <c r="M210" i="67"/>
  <c r="L210" i="67"/>
  <c r="K210" i="67"/>
  <c r="J210" i="67"/>
  <c r="R209" i="67"/>
  <c r="Q209" i="67"/>
  <c r="P209" i="67"/>
  <c r="O209" i="67"/>
  <c r="N209" i="67"/>
  <c r="M209" i="67"/>
  <c r="L209" i="67"/>
  <c r="K209" i="67"/>
  <c r="J209" i="67"/>
  <c r="R208" i="67"/>
  <c r="Q208" i="67"/>
  <c r="P208" i="67"/>
  <c r="O208" i="67"/>
  <c r="N208" i="67"/>
  <c r="M208" i="67"/>
  <c r="L208" i="67"/>
  <c r="K208" i="67"/>
  <c r="J208" i="67"/>
  <c r="R207" i="67"/>
  <c r="Q207" i="67"/>
  <c r="P207" i="67"/>
  <c r="O207" i="67"/>
  <c r="N207" i="67"/>
  <c r="M207" i="67"/>
  <c r="L207" i="67"/>
  <c r="K207" i="67"/>
  <c r="J207" i="67"/>
  <c r="R206" i="67"/>
  <c r="Q206" i="67"/>
  <c r="P206" i="67"/>
  <c r="O206" i="67"/>
  <c r="N206" i="67"/>
  <c r="M206" i="67"/>
  <c r="L206" i="67"/>
  <c r="K206" i="67"/>
  <c r="J206" i="67"/>
  <c r="R205" i="67"/>
  <c r="Q205" i="67"/>
  <c r="P205" i="67"/>
  <c r="O205" i="67"/>
  <c r="N205" i="67"/>
  <c r="M205" i="67"/>
  <c r="L205" i="67"/>
  <c r="K205" i="67"/>
  <c r="J205" i="67"/>
  <c r="R204" i="67"/>
  <c r="Q204" i="67"/>
  <c r="P204" i="67"/>
  <c r="O204" i="67"/>
  <c r="N204" i="67"/>
  <c r="M204" i="67"/>
  <c r="L204" i="67"/>
  <c r="K204" i="67"/>
  <c r="J204" i="67"/>
  <c r="R180" i="67"/>
  <c r="Q180" i="67"/>
  <c r="P180" i="67"/>
  <c r="O180" i="67"/>
  <c r="N180" i="67"/>
  <c r="M180" i="67"/>
  <c r="L180" i="67"/>
  <c r="K180" i="67"/>
  <c r="J180" i="67"/>
  <c r="R179" i="67"/>
  <c r="Q179" i="67"/>
  <c r="P179" i="67"/>
  <c r="O179" i="67"/>
  <c r="N179" i="67"/>
  <c r="M179" i="67"/>
  <c r="L179" i="67"/>
  <c r="K179" i="67"/>
  <c r="J179" i="67"/>
  <c r="R178" i="67"/>
  <c r="Q178" i="67"/>
  <c r="P178" i="67"/>
  <c r="O178" i="67"/>
  <c r="N178" i="67"/>
  <c r="M178" i="67"/>
  <c r="L178" i="67"/>
  <c r="K178" i="67"/>
  <c r="J178" i="67"/>
  <c r="R177" i="67"/>
  <c r="Q177" i="67"/>
  <c r="P177" i="67"/>
  <c r="O177" i="67"/>
  <c r="N177" i="67"/>
  <c r="M177" i="67"/>
  <c r="L177" i="67"/>
  <c r="K177" i="67"/>
  <c r="J177" i="67"/>
  <c r="R176" i="67"/>
  <c r="Q176" i="67"/>
  <c r="P176" i="67"/>
  <c r="O176" i="67"/>
  <c r="N176" i="67"/>
  <c r="M176" i="67"/>
  <c r="L176" i="67"/>
  <c r="K176" i="67"/>
  <c r="J176" i="67"/>
  <c r="R175" i="67"/>
  <c r="Q175" i="67"/>
  <c r="P175" i="67"/>
  <c r="O175" i="67"/>
  <c r="N175" i="67"/>
  <c r="M175" i="67"/>
  <c r="L175" i="67"/>
  <c r="K175" i="67"/>
  <c r="J175" i="67"/>
  <c r="R174" i="67"/>
  <c r="Q174" i="67"/>
  <c r="P174" i="67"/>
  <c r="O174" i="67"/>
  <c r="N174" i="67"/>
  <c r="M174" i="67"/>
  <c r="L174" i="67"/>
  <c r="K174" i="67"/>
  <c r="J174" i="67"/>
  <c r="R173" i="67"/>
  <c r="Q173" i="67"/>
  <c r="P173" i="67"/>
  <c r="O173" i="67"/>
  <c r="N173" i="67"/>
  <c r="M173" i="67"/>
  <c r="L173" i="67"/>
  <c r="K173" i="67"/>
  <c r="J173" i="67"/>
  <c r="R172" i="67"/>
  <c r="Q172" i="67"/>
  <c r="P172" i="67"/>
  <c r="O172" i="67"/>
  <c r="N172" i="67"/>
  <c r="M172" i="67"/>
  <c r="L172" i="67"/>
  <c r="K172" i="67"/>
  <c r="J172" i="67"/>
  <c r="R171" i="67"/>
  <c r="Q171" i="67"/>
  <c r="P171" i="67"/>
  <c r="O171" i="67"/>
  <c r="N171" i="67"/>
  <c r="M171" i="67"/>
  <c r="L171" i="67"/>
  <c r="K171" i="67"/>
  <c r="J171" i="67"/>
  <c r="R170" i="67"/>
  <c r="Q170" i="67"/>
  <c r="P170" i="67"/>
  <c r="O170" i="67"/>
  <c r="N170" i="67"/>
  <c r="M170" i="67"/>
  <c r="L170" i="67"/>
  <c r="K170" i="67"/>
  <c r="J170" i="67"/>
  <c r="R169" i="67"/>
  <c r="Q169" i="67"/>
  <c r="P169" i="67"/>
  <c r="O169" i="67"/>
  <c r="N169" i="67"/>
  <c r="M169" i="67"/>
  <c r="L169" i="67"/>
  <c r="K169" i="67"/>
  <c r="J169" i="67"/>
  <c r="L194" i="67" l="1"/>
  <c r="P142" i="67"/>
  <c r="O142" i="67"/>
  <c r="N142" i="67"/>
  <c r="P141" i="67"/>
  <c r="O141" i="67"/>
  <c r="N141" i="67"/>
  <c r="P140" i="67"/>
  <c r="O140" i="67"/>
  <c r="N140" i="67"/>
  <c r="P139" i="67"/>
  <c r="O139" i="67"/>
  <c r="N139" i="67"/>
  <c r="P138" i="67"/>
  <c r="O138" i="67"/>
  <c r="N138" i="67"/>
  <c r="P137" i="67"/>
  <c r="O137" i="67"/>
  <c r="N137" i="67"/>
  <c r="P136" i="67"/>
  <c r="O136" i="67"/>
  <c r="N136" i="67"/>
  <c r="P135" i="67"/>
  <c r="O135" i="67"/>
  <c r="N135" i="67"/>
  <c r="P134" i="67"/>
  <c r="O134" i="67"/>
  <c r="N134" i="67"/>
  <c r="P133" i="67"/>
  <c r="O133" i="67"/>
  <c r="N133" i="67"/>
  <c r="P132" i="67"/>
  <c r="O132" i="67"/>
  <c r="N132" i="67"/>
  <c r="P131" i="67"/>
  <c r="O131" i="67"/>
  <c r="N131" i="67"/>
  <c r="P130" i="67"/>
  <c r="O130" i="67"/>
  <c r="N130" i="67"/>
  <c r="P129" i="67"/>
  <c r="O129" i="67"/>
  <c r="N129" i="67"/>
  <c r="P128" i="67"/>
  <c r="O128" i="67"/>
  <c r="N128" i="67"/>
  <c r="P127" i="67"/>
  <c r="O127" i="67"/>
  <c r="N127" i="67"/>
  <c r="P126" i="67"/>
  <c r="O126" i="67"/>
  <c r="N126" i="67"/>
  <c r="P125" i="67"/>
  <c r="O125" i="67"/>
  <c r="N125" i="67"/>
  <c r="P124" i="67"/>
  <c r="O124" i="67"/>
  <c r="N124" i="67"/>
  <c r="P123" i="67"/>
  <c r="O123" i="67"/>
  <c r="N123" i="67"/>
  <c r="P122" i="67"/>
  <c r="O122" i="67"/>
  <c r="N122" i="67"/>
  <c r="P121" i="67"/>
  <c r="O121" i="67"/>
  <c r="N121" i="67"/>
  <c r="P120" i="67"/>
  <c r="O120" i="67"/>
  <c r="N120" i="67"/>
  <c r="P119" i="67"/>
  <c r="O119" i="67"/>
  <c r="N119" i="67"/>
  <c r="P118" i="67"/>
  <c r="O118" i="67"/>
  <c r="N118" i="67"/>
  <c r="P117" i="67"/>
  <c r="O117" i="67"/>
  <c r="N117" i="67"/>
  <c r="P116" i="67"/>
  <c r="O116" i="67"/>
  <c r="N116" i="67"/>
  <c r="P115" i="67"/>
  <c r="O115" i="67"/>
  <c r="N115" i="67"/>
  <c r="P114" i="67"/>
  <c r="O114" i="67"/>
  <c r="N114" i="67"/>
  <c r="P113" i="67"/>
  <c r="O113" i="67"/>
  <c r="N113" i="67"/>
  <c r="P112" i="67"/>
  <c r="O112" i="67"/>
  <c r="N112" i="67"/>
  <c r="O435" i="67"/>
  <c r="N435" i="67"/>
  <c r="M435" i="67"/>
  <c r="O434" i="67"/>
  <c r="N434" i="67"/>
  <c r="M434" i="67"/>
  <c r="O433" i="67"/>
  <c r="N433" i="67"/>
  <c r="M433" i="67"/>
  <c r="O432" i="67"/>
  <c r="N432" i="67"/>
  <c r="M432" i="67"/>
  <c r="O431" i="67"/>
  <c r="N431" i="67"/>
  <c r="M431" i="67"/>
  <c r="O430" i="67"/>
  <c r="N430" i="67"/>
  <c r="M430" i="67"/>
  <c r="O429" i="67"/>
  <c r="N429" i="67"/>
  <c r="M429" i="67"/>
  <c r="O428" i="67"/>
  <c r="N428" i="67"/>
  <c r="M428" i="67"/>
  <c r="O427" i="67"/>
  <c r="N427" i="67"/>
  <c r="M427" i="67"/>
  <c r="O426" i="67"/>
  <c r="N426" i="67"/>
  <c r="M426" i="67"/>
  <c r="O425" i="67"/>
  <c r="N425" i="67"/>
  <c r="M425" i="67"/>
  <c r="O424" i="67"/>
  <c r="N424" i="67"/>
  <c r="M424" i="67"/>
  <c r="O423" i="67"/>
  <c r="N423" i="67"/>
  <c r="M423" i="67"/>
  <c r="O422" i="67"/>
  <c r="N422" i="67"/>
  <c r="M422" i="67"/>
  <c r="O421" i="67"/>
  <c r="N421" i="67"/>
  <c r="M421" i="67"/>
  <c r="O420" i="67"/>
  <c r="N420" i="67"/>
  <c r="M420" i="67"/>
  <c r="O419" i="67"/>
  <c r="N419" i="67"/>
  <c r="M419" i="67"/>
  <c r="O418" i="67"/>
  <c r="N418" i="67"/>
  <c r="M418" i="67"/>
  <c r="O398" i="67"/>
  <c r="N398" i="67"/>
  <c r="M398" i="67"/>
  <c r="O397" i="67"/>
  <c r="N397" i="67"/>
  <c r="M397" i="67"/>
  <c r="O396" i="67"/>
  <c r="N396" i="67"/>
  <c r="M396" i="67"/>
  <c r="O395" i="67"/>
  <c r="N395" i="67"/>
  <c r="M395" i="67"/>
  <c r="O394" i="67"/>
  <c r="N394" i="67"/>
  <c r="M394" i="67"/>
  <c r="O393" i="67"/>
  <c r="N393" i="67"/>
  <c r="M393" i="67"/>
  <c r="O392" i="67"/>
  <c r="N392" i="67"/>
  <c r="M392" i="67"/>
  <c r="O391" i="67"/>
  <c r="N391" i="67"/>
  <c r="M391" i="67"/>
  <c r="O390" i="67"/>
  <c r="N390" i="67"/>
  <c r="M390" i="67"/>
  <c r="O389" i="67"/>
  <c r="N389" i="67"/>
  <c r="M389" i="67"/>
  <c r="O388" i="67"/>
  <c r="N388" i="67"/>
  <c r="M388" i="67"/>
  <c r="O387" i="67"/>
  <c r="N387" i="67"/>
  <c r="M387" i="67"/>
  <c r="O386" i="67"/>
  <c r="N386" i="67"/>
  <c r="M386" i="67"/>
  <c r="O385" i="67"/>
  <c r="N385" i="67"/>
  <c r="M385" i="67"/>
  <c r="O384" i="67"/>
  <c r="N384" i="67"/>
  <c r="M384" i="67"/>
  <c r="O383" i="67"/>
  <c r="N383" i="67"/>
  <c r="M383" i="67"/>
  <c r="O382" i="67"/>
  <c r="N382" i="67"/>
  <c r="M382" i="67"/>
  <c r="O381" i="67"/>
  <c r="N381" i="67"/>
  <c r="M381" i="67"/>
  <c r="O380" i="67"/>
  <c r="N380" i="67"/>
  <c r="M380" i="67"/>
  <c r="O357" i="67"/>
  <c r="N357" i="67"/>
  <c r="M357" i="67"/>
  <c r="O356" i="67"/>
  <c r="N356" i="67"/>
  <c r="M356" i="67"/>
  <c r="O355" i="67"/>
  <c r="N355" i="67"/>
  <c r="M355" i="67"/>
  <c r="O354" i="67"/>
  <c r="N354" i="67"/>
  <c r="M354" i="67"/>
  <c r="O353" i="67"/>
  <c r="N353" i="67"/>
  <c r="M353" i="67"/>
  <c r="O352" i="67"/>
  <c r="N352" i="67"/>
  <c r="M352" i="67"/>
  <c r="O351" i="67"/>
  <c r="N351" i="67"/>
  <c r="M351" i="67"/>
  <c r="O350" i="67"/>
  <c r="N350" i="67"/>
  <c r="M350" i="67"/>
  <c r="O349" i="67"/>
  <c r="N349" i="67"/>
  <c r="M349" i="67"/>
  <c r="R348" i="67"/>
  <c r="Q348" i="67"/>
  <c r="O348" i="67"/>
  <c r="N348" i="67"/>
  <c r="M348" i="67"/>
  <c r="O347" i="67"/>
  <c r="N347" i="67"/>
  <c r="M347" i="67"/>
  <c r="O346" i="67"/>
  <c r="N346" i="67"/>
  <c r="M346" i="67"/>
  <c r="O345" i="67"/>
  <c r="N345" i="67"/>
  <c r="M345" i="67"/>
  <c r="O344" i="67"/>
  <c r="N344" i="67"/>
  <c r="M344" i="67"/>
  <c r="O343" i="67"/>
  <c r="N343" i="67"/>
  <c r="M343" i="67"/>
  <c r="O342" i="67"/>
  <c r="N342" i="67"/>
  <c r="M342" i="67"/>
  <c r="O341" i="67"/>
  <c r="N341" i="67"/>
  <c r="M341" i="67"/>
  <c r="R340" i="67"/>
  <c r="Q340" i="67"/>
  <c r="O340" i="67"/>
  <c r="N340" i="67"/>
  <c r="M340" i="67"/>
  <c r="L340" i="67"/>
  <c r="K340" i="67"/>
  <c r="O339" i="67"/>
  <c r="N339" i="67"/>
  <c r="M339" i="67"/>
  <c r="O322" i="67"/>
  <c r="N322" i="67"/>
  <c r="M322" i="67"/>
  <c r="O321" i="67"/>
  <c r="N321" i="67"/>
  <c r="M321" i="67"/>
  <c r="O320" i="67"/>
  <c r="N320" i="67"/>
  <c r="M320" i="67"/>
  <c r="O319" i="67"/>
  <c r="N319" i="67"/>
  <c r="M319" i="67"/>
  <c r="O318" i="67"/>
  <c r="N318" i="67"/>
  <c r="M318" i="67"/>
  <c r="O317" i="67"/>
  <c r="N317" i="67"/>
  <c r="M317" i="67"/>
  <c r="O316" i="67"/>
  <c r="N316" i="67"/>
  <c r="M316" i="67"/>
  <c r="O315" i="67"/>
  <c r="N315" i="67"/>
  <c r="M315" i="67"/>
  <c r="O314" i="67"/>
  <c r="N314" i="67"/>
  <c r="M314" i="67"/>
  <c r="R313" i="67"/>
  <c r="Q313" i="67"/>
  <c r="O313" i="67"/>
  <c r="N313" i="67"/>
  <c r="M313" i="67"/>
  <c r="O312" i="67"/>
  <c r="N312" i="67"/>
  <c r="M312" i="67"/>
  <c r="O311" i="67"/>
  <c r="N311" i="67"/>
  <c r="M311" i="67"/>
  <c r="O310" i="67"/>
  <c r="N310" i="67"/>
  <c r="M310" i="67"/>
  <c r="O309" i="67"/>
  <c r="N309" i="67"/>
  <c r="M309" i="67"/>
  <c r="O308" i="67"/>
  <c r="N308" i="67"/>
  <c r="M308" i="67"/>
  <c r="O307" i="67"/>
  <c r="N307" i="67"/>
  <c r="M307" i="67"/>
  <c r="O306" i="67"/>
  <c r="N306" i="67"/>
  <c r="M306" i="67"/>
  <c r="R305" i="67"/>
  <c r="Q305" i="67"/>
  <c r="O305" i="67"/>
  <c r="N305" i="67"/>
  <c r="M305" i="67"/>
  <c r="L305" i="67"/>
  <c r="K305" i="67"/>
  <c r="O304" i="67"/>
  <c r="N304" i="67"/>
  <c r="M304" i="67"/>
  <c r="O263" i="67"/>
  <c r="N263" i="67"/>
  <c r="M263" i="67"/>
  <c r="O247" i="67"/>
  <c r="N247" i="67"/>
  <c r="M247" i="67"/>
  <c r="O246" i="67"/>
  <c r="N246" i="67"/>
  <c r="M246" i="67"/>
  <c r="O245" i="67"/>
  <c r="N245" i="67"/>
  <c r="M245" i="67"/>
  <c r="O244" i="67"/>
  <c r="N244" i="67"/>
  <c r="M244" i="67"/>
  <c r="O243" i="67"/>
  <c r="N243" i="67"/>
  <c r="M243" i="67"/>
  <c r="O242" i="67"/>
  <c r="N242" i="67"/>
  <c r="M242" i="67"/>
  <c r="O241" i="67"/>
  <c r="N241" i="67"/>
  <c r="M241" i="67"/>
  <c r="O240" i="67"/>
  <c r="N240" i="67"/>
  <c r="M240" i="67"/>
  <c r="O239" i="67"/>
  <c r="N239" i="67"/>
  <c r="M239" i="67"/>
  <c r="O238" i="67"/>
  <c r="N238" i="67"/>
  <c r="M238" i="67"/>
  <c r="R237" i="67"/>
  <c r="Q237" i="67"/>
  <c r="O237" i="67"/>
  <c r="N237" i="67"/>
  <c r="M237" i="67"/>
  <c r="O236" i="67"/>
  <c r="N236" i="67"/>
  <c r="M236" i="67"/>
  <c r="O235" i="67"/>
  <c r="N235" i="67"/>
  <c r="M235" i="67"/>
  <c r="O234" i="67"/>
  <c r="N234" i="67"/>
  <c r="M234" i="67"/>
  <c r="O233" i="67"/>
  <c r="N233" i="67"/>
  <c r="M233" i="67"/>
  <c r="O232" i="67"/>
  <c r="N232" i="67"/>
  <c r="M232" i="67"/>
  <c r="O231" i="67"/>
  <c r="N231" i="67"/>
  <c r="M231" i="67"/>
  <c r="O230" i="67"/>
  <c r="N230" i="67"/>
  <c r="M230" i="67"/>
  <c r="R229" i="67"/>
  <c r="Q229" i="67"/>
  <c r="O229" i="67"/>
  <c r="N229" i="67"/>
  <c r="M229" i="67"/>
  <c r="L229" i="67"/>
  <c r="K229" i="67"/>
  <c r="O228" i="67"/>
  <c r="N228" i="67"/>
  <c r="M228" i="67"/>
  <c r="O203" i="67"/>
  <c r="N203" i="67"/>
  <c r="M203" i="67"/>
  <c r="O202" i="67"/>
  <c r="N202" i="67"/>
  <c r="M202" i="67"/>
  <c r="O201" i="67"/>
  <c r="N201" i="67"/>
  <c r="M201" i="67"/>
  <c r="O200" i="67"/>
  <c r="N200" i="67"/>
  <c r="M200" i="67"/>
  <c r="O199" i="67"/>
  <c r="N199" i="67"/>
  <c r="M199" i="67"/>
  <c r="O198" i="67"/>
  <c r="N198" i="67"/>
  <c r="M198" i="67"/>
  <c r="O197" i="67"/>
  <c r="N197" i="67"/>
  <c r="M197" i="67"/>
  <c r="O196" i="67"/>
  <c r="N196" i="67"/>
  <c r="M196" i="67"/>
  <c r="O195" i="67"/>
  <c r="N195" i="67"/>
  <c r="M195" i="67"/>
  <c r="R194" i="67"/>
  <c r="Q194" i="67"/>
  <c r="O194" i="67"/>
  <c r="N194" i="67"/>
  <c r="M194" i="67"/>
  <c r="O193" i="67"/>
  <c r="N193" i="67"/>
  <c r="M193" i="67"/>
  <c r="O192" i="67"/>
  <c r="N192" i="67"/>
  <c r="M192" i="67"/>
  <c r="O191" i="67"/>
  <c r="N191" i="67"/>
  <c r="M191" i="67"/>
  <c r="O190" i="67"/>
  <c r="N190" i="67"/>
  <c r="M190" i="67"/>
  <c r="O189" i="67"/>
  <c r="N189" i="67"/>
  <c r="M189" i="67"/>
  <c r="O188" i="67"/>
  <c r="N188" i="67"/>
  <c r="M188" i="67"/>
  <c r="O187" i="67"/>
  <c r="N187" i="67"/>
  <c r="M187" i="67"/>
  <c r="R186" i="67"/>
  <c r="Q186" i="67"/>
  <c r="O186" i="67"/>
  <c r="N186" i="67"/>
  <c r="M186" i="67"/>
  <c r="L186" i="67"/>
  <c r="K186" i="67"/>
  <c r="O185" i="67"/>
  <c r="N185" i="67"/>
  <c r="M185" i="67"/>
  <c r="O168" i="67"/>
  <c r="N168" i="67"/>
  <c r="M168" i="67"/>
  <c r="O167" i="67"/>
  <c r="N167" i="67"/>
  <c r="M167" i="67"/>
  <c r="O166" i="67"/>
  <c r="N166" i="67"/>
  <c r="M166" i="67"/>
  <c r="O165" i="67"/>
  <c r="N165" i="67"/>
  <c r="M165" i="67"/>
  <c r="O164" i="67"/>
  <c r="N164" i="67"/>
  <c r="M164" i="67"/>
  <c r="O163" i="67"/>
  <c r="N163" i="67"/>
  <c r="M163" i="67"/>
  <c r="O162" i="67"/>
  <c r="N162" i="67"/>
  <c r="M162" i="67"/>
  <c r="O161" i="67"/>
  <c r="N161" i="67"/>
  <c r="M161" i="67"/>
  <c r="O160" i="67"/>
  <c r="N160" i="67"/>
  <c r="M160" i="67"/>
  <c r="R159" i="67"/>
  <c r="Q159" i="67"/>
  <c r="O159" i="67"/>
  <c r="N159" i="67"/>
  <c r="M159" i="67"/>
  <c r="O158" i="67"/>
  <c r="N158" i="67"/>
  <c r="M158" i="67"/>
  <c r="O157" i="67"/>
  <c r="N157" i="67"/>
  <c r="M157" i="67"/>
  <c r="O156" i="67"/>
  <c r="N156" i="67"/>
  <c r="M156" i="67"/>
  <c r="O155" i="67"/>
  <c r="N155" i="67"/>
  <c r="M155" i="67"/>
  <c r="O154" i="67"/>
  <c r="N154" i="67"/>
  <c r="M154" i="67"/>
  <c r="O153" i="67"/>
  <c r="N153" i="67"/>
  <c r="M153" i="67"/>
  <c r="O152" i="67"/>
  <c r="N152" i="67"/>
  <c r="M152" i="67"/>
  <c r="R151" i="67"/>
  <c r="Q151" i="67"/>
  <c r="O151" i="67"/>
  <c r="N151" i="67"/>
  <c r="M151" i="67"/>
  <c r="L151" i="67"/>
  <c r="K151" i="67"/>
  <c r="O150" i="67"/>
  <c r="N150" i="67"/>
  <c r="M150" i="67"/>
  <c r="E3" i="67"/>
  <c r="M175" i="49"/>
  <c r="L175" i="49"/>
  <c r="G371" i="67" l="1"/>
  <c r="H371" i="67"/>
  <c r="I371" i="67"/>
  <c r="J371" i="67"/>
  <c r="E371" i="67"/>
  <c r="F371" i="67"/>
  <c r="R357" i="67" l="1"/>
  <c r="R322" i="67"/>
  <c r="R246" i="67"/>
  <c r="R203" i="67"/>
  <c r="R168" i="67"/>
  <c r="P247" i="67"/>
  <c r="P397" i="67"/>
  <c r="P435" i="67"/>
  <c r="L348" i="67"/>
  <c r="L313" i="67"/>
  <c r="L237" i="67"/>
  <c r="L159" i="67"/>
  <c r="K348" i="67"/>
  <c r="K313" i="67"/>
  <c r="K237" i="67"/>
  <c r="K194" i="67"/>
  <c r="K159" i="67"/>
  <c r="Q393" i="67"/>
  <c r="Q431" i="67"/>
  <c r="Q422" i="67"/>
  <c r="Q384" i="67"/>
  <c r="Q321" i="67"/>
  <c r="Q356" i="67"/>
  <c r="Q202" i="67"/>
  <c r="Q245" i="67"/>
  <c r="Q167" i="67"/>
  <c r="Q357" i="67"/>
  <c r="Q322" i="67"/>
  <c r="Q203" i="67"/>
  <c r="Q246" i="67"/>
  <c r="Q168" i="67"/>
  <c r="L352" i="67"/>
  <c r="L317" i="67"/>
  <c r="L198" i="67"/>
  <c r="L241" i="67"/>
  <c r="L163" i="67"/>
  <c r="K395" i="67"/>
  <c r="K433" i="67"/>
  <c r="P420" i="67"/>
  <c r="P382" i="67"/>
  <c r="R394" i="67"/>
  <c r="R432" i="67"/>
  <c r="P321" i="67"/>
  <c r="P356" i="67"/>
  <c r="P202" i="67"/>
  <c r="P245" i="67"/>
  <c r="P167" i="67"/>
  <c r="R398" i="67"/>
  <c r="Q349" i="67"/>
  <c r="Q314" i="67"/>
  <c r="Q238" i="67"/>
  <c r="Q195" i="67"/>
  <c r="Q160" i="67"/>
  <c r="P353" i="67"/>
  <c r="P318" i="67"/>
  <c r="P199" i="67"/>
  <c r="P242" i="67"/>
  <c r="P164" i="67"/>
  <c r="Q345" i="67"/>
  <c r="Q310" i="67"/>
  <c r="Q234" i="67"/>
  <c r="Q191" i="67"/>
  <c r="Q156" i="67"/>
  <c r="R347" i="67"/>
  <c r="R312" i="67"/>
  <c r="R236" i="67"/>
  <c r="R193" i="67"/>
  <c r="R158" i="67"/>
  <c r="P422" i="67"/>
  <c r="P384" i="67"/>
  <c r="Q317" i="67"/>
  <c r="Q352" i="67"/>
  <c r="Q198" i="67"/>
  <c r="Q241" i="67"/>
  <c r="Q163" i="67"/>
  <c r="P398" i="67"/>
  <c r="R425" i="67"/>
  <c r="R387" i="67"/>
  <c r="Q398" i="67"/>
  <c r="P350" i="67"/>
  <c r="P315" i="67"/>
  <c r="P239" i="67"/>
  <c r="P196" i="67"/>
  <c r="P161" i="67"/>
  <c r="L420" i="67"/>
  <c r="L382" i="67"/>
  <c r="K421" i="67"/>
  <c r="K418" i="67"/>
  <c r="K380" i="67"/>
  <c r="J313" i="67"/>
  <c r="J348" i="67"/>
  <c r="J237" i="67"/>
  <c r="J194" i="67"/>
  <c r="J159" i="67"/>
  <c r="L418" i="67"/>
  <c r="L380" i="67"/>
  <c r="J353" i="67"/>
  <c r="J318" i="67"/>
  <c r="J242" i="67"/>
  <c r="J199" i="67"/>
  <c r="J164" i="67"/>
  <c r="J424" i="67"/>
  <c r="J386" i="67"/>
  <c r="K247" i="67"/>
  <c r="K388" i="67"/>
  <c r="K426" i="67"/>
  <c r="J419" i="67"/>
  <c r="J381" i="67"/>
  <c r="L389" i="67"/>
  <c r="L427" i="67"/>
  <c r="K353" i="67"/>
  <c r="K318" i="67"/>
  <c r="K199" i="67"/>
  <c r="K242" i="67"/>
  <c r="K164" i="67"/>
  <c r="K350" i="67"/>
  <c r="K315" i="67"/>
  <c r="K239" i="67"/>
  <c r="K161" i="67"/>
  <c r="K196" i="67"/>
  <c r="L345" i="67"/>
  <c r="L310" i="67"/>
  <c r="L234" i="67"/>
  <c r="L191" i="67"/>
  <c r="L156" i="67"/>
  <c r="L320" i="67"/>
  <c r="L355" i="67"/>
  <c r="L201" i="67"/>
  <c r="L244" i="67"/>
  <c r="L166" i="67"/>
  <c r="R343" i="67"/>
  <c r="R308" i="67"/>
  <c r="R232" i="67"/>
  <c r="R189" i="67"/>
  <c r="R154" i="67"/>
  <c r="R309" i="67"/>
  <c r="R344" i="67"/>
  <c r="R233" i="67"/>
  <c r="R190" i="67"/>
  <c r="R155" i="67"/>
  <c r="L322" i="67"/>
  <c r="L357" i="67"/>
  <c r="L203" i="67"/>
  <c r="L246" i="67"/>
  <c r="L168" i="67"/>
  <c r="P421" i="67"/>
  <c r="P383" i="67"/>
  <c r="P346" i="67"/>
  <c r="P311" i="67"/>
  <c r="P235" i="67"/>
  <c r="P192" i="67"/>
  <c r="P157" i="67"/>
  <c r="L394" i="67"/>
  <c r="L432" i="67"/>
  <c r="K339" i="67"/>
  <c r="K263" i="67"/>
  <c r="K304" i="67"/>
  <c r="K228" i="67"/>
  <c r="K150" i="67"/>
  <c r="K185" i="67"/>
  <c r="P343" i="67"/>
  <c r="P308" i="67"/>
  <c r="P189" i="67"/>
  <c r="P232" i="67"/>
  <c r="P154" i="67"/>
  <c r="R433" i="67"/>
  <c r="R395" i="67"/>
  <c r="Q342" i="67"/>
  <c r="Q307" i="67"/>
  <c r="Q231" i="67"/>
  <c r="Q188" i="67"/>
  <c r="Q153" i="67"/>
  <c r="Q315" i="67"/>
  <c r="Q350" i="67"/>
  <c r="Q196" i="67"/>
  <c r="Q239" i="67"/>
  <c r="Q161" i="67"/>
  <c r="P319" i="67"/>
  <c r="P354" i="67"/>
  <c r="P200" i="67"/>
  <c r="P243" i="67"/>
  <c r="P165" i="67"/>
  <c r="Q347" i="67"/>
  <c r="Q312" i="67"/>
  <c r="Q193" i="67"/>
  <c r="Q236" i="67"/>
  <c r="Q158" i="67"/>
  <c r="R317" i="67"/>
  <c r="R352" i="67"/>
  <c r="R241" i="67"/>
  <c r="R198" i="67"/>
  <c r="R163" i="67"/>
  <c r="Q423" i="67"/>
  <c r="Q385" i="67"/>
  <c r="Q395" i="67"/>
  <c r="Q433" i="67"/>
  <c r="Q247" i="67"/>
  <c r="R427" i="67"/>
  <c r="R389" i="67"/>
  <c r="R247" i="67"/>
  <c r="R429" i="67"/>
  <c r="R391" i="67"/>
  <c r="L343" i="67"/>
  <c r="L308" i="67"/>
  <c r="L232" i="67"/>
  <c r="L154" i="67"/>
  <c r="L189" i="67"/>
  <c r="J309" i="67"/>
  <c r="J344" i="67"/>
  <c r="J233" i="67"/>
  <c r="J155" i="67"/>
  <c r="J190" i="67"/>
  <c r="K419" i="67"/>
  <c r="K381" i="67"/>
  <c r="L349" i="67"/>
  <c r="L314" i="67"/>
  <c r="L238" i="67"/>
  <c r="L195" i="67"/>
  <c r="L160" i="67"/>
  <c r="L419" i="67"/>
  <c r="L381" i="67"/>
  <c r="K354" i="67"/>
  <c r="K319" i="67"/>
  <c r="K243" i="67"/>
  <c r="K200" i="67"/>
  <c r="K165" i="67"/>
  <c r="J425" i="67"/>
  <c r="J387" i="67"/>
  <c r="L339" i="67"/>
  <c r="L304" i="67"/>
  <c r="L228" i="67"/>
  <c r="L263" i="67"/>
  <c r="L185" i="67"/>
  <c r="L150" i="67"/>
  <c r="L391" i="67"/>
  <c r="L429" i="67"/>
  <c r="K420" i="67"/>
  <c r="K382" i="67"/>
  <c r="J429" i="67"/>
  <c r="J391" i="67"/>
  <c r="L434" i="67"/>
  <c r="L396" i="67"/>
  <c r="K393" i="67"/>
  <c r="K431" i="67"/>
  <c r="J347" i="67"/>
  <c r="J312" i="67"/>
  <c r="J236" i="67"/>
  <c r="J193" i="67"/>
  <c r="J158" i="67"/>
  <c r="K397" i="67"/>
  <c r="K435" i="67"/>
  <c r="R350" i="67"/>
  <c r="R315" i="67"/>
  <c r="R239" i="67"/>
  <c r="R196" i="67"/>
  <c r="R161" i="67"/>
  <c r="Q319" i="67"/>
  <c r="Q354" i="67"/>
  <c r="Q200" i="67"/>
  <c r="Q243" i="67"/>
  <c r="Q165" i="67"/>
  <c r="L393" i="67"/>
  <c r="L431" i="67"/>
  <c r="J433" i="67"/>
  <c r="J395" i="67"/>
  <c r="K352" i="67"/>
  <c r="K317" i="67"/>
  <c r="K241" i="67"/>
  <c r="K198" i="67"/>
  <c r="K163" i="67"/>
  <c r="Q339" i="67"/>
  <c r="Q304" i="67"/>
  <c r="Q228" i="67"/>
  <c r="Q263" i="67"/>
  <c r="Q185" i="67"/>
  <c r="Q150" i="67"/>
  <c r="R351" i="67"/>
  <c r="R316" i="67"/>
  <c r="R240" i="67"/>
  <c r="R197" i="67"/>
  <c r="R162" i="67"/>
  <c r="P418" i="67"/>
  <c r="P380" i="67"/>
  <c r="R321" i="67"/>
  <c r="R356" i="67"/>
  <c r="R245" i="67"/>
  <c r="R202" i="67"/>
  <c r="R167" i="67"/>
  <c r="K347" i="67"/>
  <c r="K312" i="67"/>
  <c r="K236" i="67"/>
  <c r="K193" i="67"/>
  <c r="K158" i="67"/>
  <c r="K396" i="67"/>
  <c r="K434" i="67"/>
  <c r="J390" i="67"/>
  <c r="J428" i="67"/>
  <c r="R423" i="67"/>
  <c r="R385" i="67"/>
  <c r="P339" i="67"/>
  <c r="P304" i="67"/>
  <c r="P263" i="67"/>
  <c r="P228" i="67"/>
  <c r="P185" i="67"/>
  <c r="P150" i="67"/>
  <c r="P423" i="67"/>
  <c r="P385" i="67"/>
  <c r="P351" i="67"/>
  <c r="P316" i="67"/>
  <c r="P197" i="67"/>
  <c r="P240" i="67"/>
  <c r="P162" i="67"/>
  <c r="Q355" i="67"/>
  <c r="Q320" i="67"/>
  <c r="Q201" i="67"/>
  <c r="Q244" i="67"/>
  <c r="Q166" i="67"/>
  <c r="R349" i="67"/>
  <c r="R314" i="67"/>
  <c r="R238" i="67"/>
  <c r="R195" i="67"/>
  <c r="R160" i="67"/>
  <c r="R353" i="67"/>
  <c r="R318" i="67"/>
  <c r="R242" i="67"/>
  <c r="R164" i="67"/>
  <c r="R199" i="67"/>
  <c r="R345" i="67"/>
  <c r="R310" i="67"/>
  <c r="R234" i="67"/>
  <c r="R191" i="67"/>
  <c r="R156" i="67"/>
  <c r="R355" i="67"/>
  <c r="R320" i="67"/>
  <c r="R244" i="67"/>
  <c r="R201" i="67"/>
  <c r="R166" i="67"/>
  <c r="Q420" i="67"/>
  <c r="Q382" i="67"/>
  <c r="P391" i="67"/>
  <c r="P429" i="67"/>
  <c r="R419" i="67"/>
  <c r="R381" i="67"/>
  <c r="P393" i="67"/>
  <c r="P431" i="67"/>
  <c r="K349" i="67"/>
  <c r="K314" i="67"/>
  <c r="K238" i="67"/>
  <c r="K195" i="67"/>
  <c r="K160" i="67"/>
  <c r="K341" i="67"/>
  <c r="K306" i="67"/>
  <c r="K230" i="67"/>
  <c r="K152" i="67"/>
  <c r="K187" i="67"/>
  <c r="L350" i="67"/>
  <c r="L315" i="67"/>
  <c r="L239" i="67"/>
  <c r="L196" i="67"/>
  <c r="L161" i="67"/>
  <c r="L341" i="67"/>
  <c r="L306" i="67"/>
  <c r="L230" i="67"/>
  <c r="L152" i="67"/>
  <c r="L187" i="67"/>
  <c r="L397" i="67"/>
  <c r="L435" i="67"/>
  <c r="K389" i="67"/>
  <c r="K427" i="67"/>
  <c r="J420" i="67"/>
  <c r="J382" i="67"/>
  <c r="L430" i="67"/>
  <c r="L392" i="67"/>
  <c r="J342" i="67"/>
  <c r="J307" i="67"/>
  <c r="J231" i="67"/>
  <c r="J188" i="67"/>
  <c r="J153" i="67"/>
  <c r="K351" i="67"/>
  <c r="K316" i="67"/>
  <c r="K197" i="67"/>
  <c r="K240" i="67"/>
  <c r="K162" i="67"/>
  <c r="J357" i="67"/>
  <c r="J322" i="67"/>
  <c r="J246" i="67"/>
  <c r="J203" i="67"/>
  <c r="J168" i="67"/>
  <c r="L318" i="67"/>
  <c r="L353" i="67"/>
  <c r="L242" i="67"/>
  <c r="L199" i="67"/>
  <c r="L164" i="67"/>
  <c r="L426" i="67"/>
  <c r="L388" i="67"/>
  <c r="P341" i="67"/>
  <c r="P306" i="67"/>
  <c r="P230" i="67"/>
  <c r="P187" i="67"/>
  <c r="P152" i="67"/>
  <c r="P396" i="67"/>
  <c r="P434" i="67"/>
  <c r="K355" i="67"/>
  <c r="K320" i="67"/>
  <c r="K201" i="67"/>
  <c r="K244" i="67"/>
  <c r="K166" i="67"/>
  <c r="J311" i="67"/>
  <c r="J346" i="67"/>
  <c r="J235" i="67"/>
  <c r="J192" i="67"/>
  <c r="J157" i="67"/>
  <c r="L247" i="67"/>
  <c r="R424" i="67"/>
  <c r="R386" i="67"/>
  <c r="R339" i="67"/>
  <c r="R263" i="67"/>
  <c r="R304" i="67"/>
  <c r="R228" i="67"/>
  <c r="R185" i="67"/>
  <c r="R150" i="67"/>
  <c r="P425" i="67"/>
  <c r="P387" i="67"/>
  <c r="P426" i="67"/>
  <c r="P388" i="67"/>
  <c r="P355" i="67"/>
  <c r="P320" i="67"/>
  <c r="P201" i="67"/>
  <c r="P244" i="67"/>
  <c r="P166" i="67"/>
  <c r="Q397" i="67"/>
  <c r="Q435" i="67"/>
  <c r="P317" i="67"/>
  <c r="P352" i="67"/>
  <c r="P241" i="67"/>
  <c r="P198" i="67"/>
  <c r="P163" i="67"/>
  <c r="P389" i="67"/>
  <c r="P427" i="67"/>
  <c r="P347" i="67"/>
  <c r="P312" i="67"/>
  <c r="P193" i="67"/>
  <c r="P158" i="67"/>
  <c r="P236" i="67"/>
  <c r="R397" i="67"/>
  <c r="R435" i="67"/>
  <c r="P342" i="67"/>
  <c r="P307" i="67"/>
  <c r="P231" i="67"/>
  <c r="P188" i="67"/>
  <c r="P153" i="67"/>
  <c r="Q351" i="67"/>
  <c r="Q316" i="67"/>
  <c r="Q197" i="67"/>
  <c r="Q240" i="67"/>
  <c r="Q162" i="67"/>
  <c r="Q341" i="67"/>
  <c r="Q306" i="67"/>
  <c r="Q230" i="67"/>
  <c r="Q187" i="67"/>
  <c r="Q152" i="67"/>
  <c r="Q353" i="67"/>
  <c r="Q318" i="67"/>
  <c r="Q199" i="67"/>
  <c r="Q242" i="67"/>
  <c r="Q164" i="67"/>
  <c r="J305" i="67"/>
  <c r="J340" i="67"/>
  <c r="J229" i="67"/>
  <c r="J186" i="67"/>
  <c r="J151" i="67"/>
  <c r="J350" i="67"/>
  <c r="J315" i="67"/>
  <c r="J239" i="67"/>
  <c r="J161" i="67"/>
  <c r="J196" i="67"/>
  <c r="K422" i="67"/>
  <c r="K384" i="67"/>
  <c r="L351" i="67"/>
  <c r="L316" i="67"/>
  <c r="L240" i="67"/>
  <c r="L197" i="67"/>
  <c r="L162" i="67"/>
  <c r="L422" i="67"/>
  <c r="L384" i="67"/>
  <c r="J427" i="67"/>
  <c r="J389" i="67"/>
  <c r="K390" i="67"/>
  <c r="K428" i="67"/>
  <c r="L342" i="67"/>
  <c r="L307" i="67"/>
  <c r="L231" i="67"/>
  <c r="L188" i="67"/>
  <c r="L153" i="67"/>
  <c r="J393" i="67"/>
  <c r="J431" i="67"/>
  <c r="L421" i="67"/>
  <c r="L383" i="67"/>
  <c r="K394" i="67"/>
  <c r="K432" i="67"/>
  <c r="J345" i="67"/>
  <c r="J310" i="67"/>
  <c r="J234" i="67"/>
  <c r="J191" i="67"/>
  <c r="J156" i="67"/>
  <c r="J355" i="67"/>
  <c r="J320" i="67"/>
  <c r="J244" i="67"/>
  <c r="J166" i="67"/>
  <c r="J201" i="67"/>
  <c r="J349" i="67"/>
  <c r="J314" i="67"/>
  <c r="J238" i="67"/>
  <c r="J195" i="67"/>
  <c r="J160" i="67"/>
  <c r="J396" i="67"/>
  <c r="J434" i="67"/>
  <c r="Q391" i="67"/>
  <c r="Q429" i="67"/>
  <c r="P344" i="67"/>
  <c r="P309" i="67"/>
  <c r="P233" i="67"/>
  <c r="P190" i="67"/>
  <c r="P155" i="67"/>
  <c r="R390" i="67"/>
  <c r="R428" i="67"/>
  <c r="J398" i="67"/>
  <c r="K386" i="67"/>
  <c r="K424" i="67"/>
  <c r="J422" i="67"/>
  <c r="J384" i="67"/>
  <c r="P345" i="67"/>
  <c r="P310" i="67"/>
  <c r="P234" i="67"/>
  <c r="P191" i="67"/>
  <c r="P156" i="67"/>
  <c r="P392" i="67"/>
  <c r="P430" i="67"/>
  <c r="P348" i="67"/>
  <c r="P313" i="67"/>
  <c r="P237" i="67"/>
  <c r="P194" i="67"/>
  <c r="P159" i="67"/>
  <c r="J397" i="67"/>
  <c r="J435" i="67"/>
  <c r="K387" i="67"/>
  <c r="K425" i="67"/>
  <c r="L425" i="67"/>
  <c r="L387" i="67"/>
  <c r="P424" i="67"/>
  <c r="P386" i="67"/>
  <c r="Q387" i="67"/>
  <c r="Q425" i="67"/>
  <c r="P340" i="67"/>
  <c r="P305" i="67"/>
  <c r="P229" i="67"/>
  <c r="P186" i="67"/>
  <c r="P151" i="67"/>
  <c r="Q390" i="67"/>
  <c r="Q428" i="67"/>
  <c r="Q392" i="67"/>
  <c r="Q430" i="67"/>
  <c r="Q344" i="67"/>
  <c r="Q309" i="67"/>
  <c r="Q233" i="67"/>
  <c r="Q190" i="67"/>
  <c r="Q155" i="67"/>
  <c r="Q418" i="67"/>
  <c r="Q380" i="67"/>
  <c r="R418" i="67"/>
  <c r="R380" i="67"/>
  <c r="P428" i="67"/>
  <c r="P390" i="67"/>
  <c r="R426" i="67"/>
  <c r="R388" i="67"/>
  <c r="R421" i="67"/>
  <c r="R383" i="67"/>
  <c r="Q394" i="67"/>
  <c r="Q432" i="67"/>
  <c r="R307" i="67"/>
  <c r="R342" i="67"/>
  <c r="R231" i="67"/>
  <c r="R188" i="67"/>
  <c r="R153" i="67"/>
  <c r="R396" i="67"/>
  <c r="R434" i="67"/>
  <c r="J421" i="67"/>
  <c r="J383" i="67"/>
  <c r="J351" i="67"/>
  <c r="J316" i="67"/>
  <c r="J240" i="67"/>
  <c r="J197" i="67"/>
  <c r="J162" i="67"/>
  <c r="K344" i="67"/>
  <c r="K309" i="67"/>
  <c r="K233" i="67"/>
  <c r="K155" i="67"/>
  <c r="K190" i="67"/>
  <c r="J317" i="67"/>
  <c r="J352" i="67"/>
  <c r="J241" i="67"/>
  <c r="J163" i="67"/>
  <c r="J198" i="67"/>
  <c r="L346" i="67"/>
  <c r="L311" i="67"/>
  <c r="L235" i="67"/>
  <c r="L192" i="67"/>
  <c r="L157" i="67"/>
  <c r="J247" i="67"/>
  <c r="K391" i="67"/>
  <c r="K429" i="67"/>
  <c r="J343" i="67"/>
  <c r="J308" i="67"/>
  <c r="J232" i="67"/>
  <c r="J189" i="67"/>
  <c r="J154" i="67"/>
  <c r="J394" i="67"/>
  <c r="J432" i="67"/>
  <c r="K343" i="67"/>
  <c r="K308" i="67"/>
  <c r="K232" i="67"/>
  <c r="K154" i="67"/>
  <c r="K189" i="67"/>
  <c r="L354" i="67"/>
  <c r="L319" i="67"/>
  <c r="L200" i="67"/>
  <c r="L243" i="67"/>
  <c r="L165" i="67"/>
  <c r="L424" i="67"/>
  <c r="L386" i="67"/>
  <c r="K357" i="67"/>
  <c r="K322" i="67"/>
  <c r="K203" i="67"/>
  <c r="K246" i="67"/>
  <c r="K168" i="67"/>
  <c r="L428" i="67"/>
  <c r="L390" i="67"/>
  <c r="K356" i="67"/>
  <c r="K321" i="67"/>
  <c r="K245" i="67"/>
  <c r="K202" i="67"/>
  <c r="K167" i="67"/>
  <c r="R392" i="67"/>
  <c r="R430" i="67"/>
  <c r="R341" i="67"/>
  <c r="R306" i="67"/>
  <c r="R230" i="67"/>
  <c r="R187" i="67"/>
  <c r="R152" i="67"/>
  <c r="R346" i="67"/>
  <c r="R311" i="67"/>
  <c r="R235" i="67"/>
  <c r="R192" i="67"/>
  <c r="R157" i="67"/>
  <c r="K346" i="67"/>
  <c r="K311" i="67"/>
  <c r="K235" i="67"/>
  <c r="K157" i="67"/>
  <c r="K192" i="67"/>
  <c r="K342" i="67"/>
  <c r="K307" i="67"/>
  <c r="K231" i="67"/>
  <c r="K188" i="67"/>
  <c r="K153" i="67"/>
  <c r="K398" i="67"/>
  <c r="R393" i="67"/>
  <c r="R431" i="67"/>
  <c r="R422" i="67"/>
  <c r="R384" i="67"/>
  <c r="J341" i="67"/>
  <c r="J306" i="67"/>
  <c r="J230" i="67"/>
  <c r="J187" i="67"/>
  <c r="J152" i="67"/>
  <c r="J423" i="67"/>
  <c r="J385" i="67"/>
  <c r="K423" i="67"/>
  <c r="K385" i="67"/>
  <c r="Q389" i="67"/>
  <c r="Q427" i="67"/>
  <c r="Q388" i="67"/>
  <c r="Q426" i="67"/>
  <c r="R420" i="67"/>
  <c r="R382" i="67"/>
  <c r="P395" i="67"/>
  <c r="P433" i="67"/>
  <c r="Q421" i="67"/>
  <c r="Q383" i="67"/>
  <c r="Q346" i="67"/>
  <c r="Q311" i="67"/>
  <c r="Q235" i="67"/>
  <c r="Q192" i="67"/>
  <c r="Q157" i="67"/>
  <c r="P419" i="67"/>
  <c r="P381" i="67"/>
  <c r="Q419" i="67"/>
  <c r="Q381" i="67"/>
  <c r="Q396" i="67"/>
  <c r="Q434" i="67"/>
  <c r="P349" i="67"/>
  <c r="P314" i="67"/>
  <c r="P238" i="67"/>
  <c r="P195" i="67"/>
  <c r="P160" i="67"/>
  <c r="P432" i="67"/>
  <c r="P394" i="67"/>
  <c r="Q343" i="67"/>
  <c r="Q308" i="67"/>
  <c r="Q189" i="67"/>
  <c r="Q154" i="67"/>
  <c r="Q232" i="67"/>
  <c r="R319" i="67"/>
  <c r="R354" i="67"/>
  <c r="R243" i="67"/>
  <c r="R200" i="67"/>
  <c r="R165" i="67"/>
  <c r="Q386" i="67"/>
  <c r="Q424" i="67"/>
  <c r="P357" i="67"/>
  <c r="P322" i="67"/>
  <c r="P203" i="67"/>
  <c r="P246" i="67"/>
  <c r="P168" i="67"/>
  <c r="J321" i="67"/>
  <c r="J356" i="67"/>
  <c r="J245" i="67"/>
  <c r="J202" i="67"/>
  <c r="J167" i="67"/>
  <c r="L398" i="67"/>
  <c r="K345" i="67"/>
  <c r="K310" i="67"/>
  <c r="K234" i="67"/>
  <c r="K191" i="67"/>
  <c r="K156" i="67"/>
  <c r="J319" i="67"/>
  <c r="J354" i="67"/>
  <c r="J243" i="67"/>
  <c r="J200" i="67"/>
  <c r="J165" i="67"/>
  <c r="L347" i="67"/>
  <c r="L312" i="67"/>
  <c r="L236" i="67"/>
  <c r="L193" i="67"/>
  <c r="L158" i="67"/>
  <c r="J339" i="67"/>
  <c r="J263" i="67"/>
  <c r="J304" i="67"/>
  <c r="J228" i="67"/>
  <c r="J185" i="67"/>
  <c r="J150" i="67"/>
  <c r="K392" i="67"/>
  <c r="K430" i="67"/>
  <c r="L423" i="67"/>
  <c r="L385" i="67"/>
  <c r="L395" i="67"/>
  <c r="L433" i="67"/>
  <c r="L344" i="67"/>
  <c r="L309" i="67"/>
  <c r="L233" i="67"/>
  <c r="L190" i="67"/>
  <c r="L155" i="67"/>
  <c r="L356" i="67"/>
  <c r="L321" i="67"/>
  <c r="L202" i="67"/>
  <c r="L245" i="67"/>
  <c r="L167" i="67"/>
  <c r="J426" i="67"/>
  <c r="J388" i="67"/>
  <c r="J418" i="67"/>
  <c r="J380" i="67"/>
  <c r="J392" i="67"/>
  <c r="J430" i="67"/>
  <c r="R162" i="49" l="1"/>
  <c r="T117" i="54" l="1"/>
  <c r="T153" i="54" s="1"/>
  <c r="W63" i="54" l="1"/>
  <c r="U70" i="54"/>
  <c r="Y70" i="54"/>
  <c r="Y97" i="54" s="1"/>
  <c r="X70" i="54"/>
  <c r="X71" i="54" s="1"/>
  <c r="X72" i="54" s="1"/>
  <c r="X73" i="54" s="1"/>
  <c r="X74" i="54" s="1"/>
  <c r="X75" i="54" s="1"/>
  <c r="X76" i="54" s="1"/>
  <c r="X77" i="54" s="1"/>
  <c r="X78" i="54" s="1"/>
  <c r="X79" i="54" s="1"/>
  <c r="X80" i="54" s="1"/>
  <c r="X81" i="54" s="1"/>
  <c r="X82" i="54" s="1"/>
  <c r="X83" i="54" s="1"/>
  <c r="X84" i="54" s="1"/>
  <c r="X85" i="54" s="1"/>
  <c r="X86" i="54" s="1"/>
  <c r="X87" i="54" s="1"/>
  <c r="X88" i="54" s="1"/>
  <c r="X89" i="54" s="1"/>
  <c r="X90" i="54" s="1"/>
  <c r="X91" i="54" s="1"/>
  <c r="X92" i="54" s="1"/>
  <c r="X93" i="54" s="1"/>
  <c r="X94" i="54" s="1"/>
  <c r="X95" i="54" s="1"/>
  <c r="X96" i="54" s="1"/>
  <c r="X97" i="54" s="1"/>
  <c r="X98" i="54" s="1"/>
  <c r="X99" i="54" s="1"/>
  <c r="X100" i="54" s="1"/>
  <c r="V70" i="54"/>
  <c r="T70" i="54"/>
  <c r="T83" i="54" s="1"/>
  <c r="S70" i="54"/>
  <c r="T251" i="54"/>
  <c r="T250" i="54"/>
  <c r="T249" i="54"/>
  <c r="T248" i="54"/>
  <c r="T247" i="54"/>
  <c r="T246" i="54"/>
  <c r="T245" i="54"/>
  <c r="T244" i="54"/>
  <c r="T243" i="54"/>
  <c r="T242" i="54"/>
  <c r="T241" i="54"/>
  <c r="T240" i="54"/>
  <c r="T239" i="54"/>
  <c r="T238" i="54"/>
  <c r="T237" i="54"/>
  <c r="T236" i="54"/>
  <c r="T235" i="54"/>
  <c r="T234" i="54"/>
  <c r="T233" i="54"/>
  <c r="T232" i="54"/>
  <c r="T231" i="54"/>
  <c r="T230" i="54"/>
  <c r="T229" i="54"/>
  <c r="T228" i="54"/>
  <c r="T227" i="54"/>
  <c r="T226" i="54"/>
  <c r="T225" i="54"/>
  <c r="T224" i="54"/>
  <c r="T223" i="54"/>
  <c r="T222" i="54"/>
  <c r="T221" i="54"/>
  <c r="R251" i="54"/>
  <c r="L251" i="54" s="1"/>
  <c r="R250" i="54"/>
  <c r="M250" i="54" s="1"/>
  <c r="R249" i="54"/>
  <c r="M249" i="54" s="1"/>
  <c r="R248" i="54"/>
  <c r="M248" i="54" s="1"/>
  <c r="R247" i="54"/>
  <c r="L247" i="54" s="1"/>
  <c r="R246" i="54"/>
  <c r="R245" i="54"/>
  <c r="M245" i="54" s="1"/>
  <c r="R244" i="54"/>
  <c r="M244" i="54" s="1"/>
  <c r="R243" i="54"/>
  <c r="M243" i="54" s="1"/>
  <c r="R242" i="54"/>
  <c r="L242" i="54" s="1"/>
  <c r="R241" i="54"/>
  <c r="M241" i="54" s="1"/>
  <c r="R240" i="54"/>
  <c r="M240" i="54" s="1"/>
  <c r="R239" i="54"/>
  <c r="L239" i="54" s="1"/>
  <c r="R238" i="54"/>
  <c r="L238" i="54" s="1"/>
  <c r="R237" i="54"/>
  <c r="M237" i="54" s="1"/>
  <c r="R236" i="54"/>
  <c r="M236" i="54" s="1"/>
  <c r="R235" i="54"/>
  <c r="R234" i="54"/>
  <c r="M234" i="54" s="1"/>
  <c r="R233" i="54"/>
  <c r="L233" i="54" s="1"/>
  <c r="R232" i="54"/>
  <c r="M232" i="54" s="1"/>
  <c r="R231" i="54"/>
  <c r="M231" i="54" s="1"/>
  <c r="R230" i="54"/>
  <c r="M230" i="54" s="1"/>
  <c r="R229" i="54"/>
  <c r="L229" i="54" s="1"/>
  <c r="R228" i="54"/>
  <c r="M228" i="54" s="1"/>
  <c r="R227" i="54"/>
  <c r="R226" i="54"/>
  <c r="R225" i="54"/>
  <c r="R224" i="54"/>
  <c r="M224" i="54" s="1"/>
  <c r="R223" i="54"/>
  <c r="R222" i="54"/>
  <c r="R221" i="54"/>
  <c r="M221" i="54" s="1"/>
  <c r="M216" i="54"/>
  <c r="L216" i="54"/>
  <c r="M215" i="54"/>
  <c r="L215" i="54"/>
  <c r="M214" i="54"/>
  <c r="L214" i="54"/>
  <c r="M213" i="54"/>
  <c r="L213" i="54"/>
  <c r="M212" i="54"/>
  <c r="L212" i="54"/>
  <c r="M210" i="54"/>
  <c r="L210" i="54"/>
  <c r="M209" i="54"/>
  <c r="L209" i="54"/>
  <c r="M208" i="54"/>
  <c r="L208" i="54"/>
  <c r="M207" i="54"/>
  <c r="L207" i="54"/>
  <c r="M206" i="54"/>
  <c r="L206" i="54"/>
  <c r="M205" i="54"/>
  <c r="L205" i="54"/>
  <c r="M204" i="54"/>
  <c r="L204" i="54"/>
  <c r="M203" i="54"/>
  <c r="L203" i="54"/>
  <c r="M202" i="54"/>
  <c r="L202" i="54"/>
  <c r="M201" i="54"/>
  <c r="L201" i="54"/>
  <c r="M199" i="54"/>
  <c r="L199" i="54"/>
  <c r="M198" i="54"/>
  <c r="L198" i="54"/>
  <c r="M197" i="54"/>
  <c r="L197" i="54"/>
  <c r="M196" i="54"/>
  <c r="L196" i="54"/>
  <c r="M195" i="54"/>
  <c r="L195" i="54"/>
  <c r="M194" i="54"/>
  <c r="L194" i="54"/>
  <c r="M193" i="54"/>
  <c r="L193" i="54"/>
  <c r="M189" i="54"/>
  <c r="L189" i="54"/>
  <c r="M186" i="54"/>
  <c r="L186" i="54"/>
  <c r="T176" i="54"/>
  <c r="T175" i="54"/>
  <c r="T174" i="54"/>
  <c r="T173" i="54"/>
  <c r="T172" i="54"/>
  <c r="T171" i="54"/>
  <c r="T170" i="54"/>
  <c r="T169" i="54"/>
  <c r="T168" i="54"/>
  <c r="T167" i="54"/>
  <c r="T166" i="54"/>
  <c r="T165" i="54"/>
  <c r="T164" i="54"/>
  <c r="T163" i="54"/>
  <c r="T162" i="54"/>
  <c r="T161" i="54"/>
  <c r="T160" i="54"/>
  <c r="T159" i="54"/>
  <c r="T158" i="54"/>
  <c r="T157" i="54"/>
  <c r="T156" i="54"/>
  <c r="T155" i="54"/>
  <c r="T154" i="54"/>
  <c r="T152" i="54"/>
  <c r="T151" i="54"/>
  <c r="T150" i="54"/>
  <c r="T148" i="54"/>
  <c r="T147" i="54"/>
  <c r="R176" i="54"/>
  <c r="M176" i="54" s="1"/>
  <c r="R175" i="54"/>
  <c r="M175" i="54" s="1"/>
  <c r="R174" i="54"/>
  <c r="K174" i="54" s="1"/>
  <c r="R173" i="54"/>
  <c r="M173" i="54" s="1"/>
  <c r="R172" i="54"/>
  <c r="M172" i="54" s="1"/>
  <c r="R171" i="54"/>
  <c r="L171" i="54" s="1"/>
  <c r="R170" i="54"/>
  <c r="M170" i="54" s="1"/>
  <c r="R169" i="54"/>
  <c r="M169" i="54" s="1"/>
  <c r="R168" i="54"/>
  <c r="M168" i="54" s="1"/>
  <c r="R167" i="54"/>
  <c r="M167" i="54" s="1"/>
  <c r="R166" i="54"/>
  <c r="K166" i="54" s="1"/>
  <c r="R165" i="54"/>
  <c r="M165" i="54" s="1"/>
  <c r="R164" i="54"/>
  <c r="M164" i="54" s="1"/>
  <c r="R163" i="54"/>
  <c r="L163" i="54" s="1"/>
  <c r="R162" i="54"/>
  <c r="M162" i="54" s="1"/>
  <c r="R161" i="54"/>
  <c r="M161" i="54" s="1"/>
  <c r="R160" i="54"/>
  <c r="M160" i="54" s="1"/>
  <c r="R159" i="54"/>
  <c r="M159" i="54" s="1"/>
  <c r="R158" i="54"/>
  <c r="K158" i="54" s="1"/>
  <c r="R157" i="54"/>
  <c r="M157" i="54" s="1"/>
  <c r="R156" i="54"/>
  <c r="M156" i="54" s="1"/>
  <c r="R155" i="54"/>
  <c r="L155" i="54" s="1"/>
  <c r="R154" i="54"/>
  <c r="M154" i="54" s="1"/>
  <c r="R153" i="54"/>
  <c r="R152" i="54"/>
  <c r="M152" i="54" s="1"/>
  <c r="R151" i="54"/>
  <c r="M151" i="54" s="1"/>
  <c r="R150" i="54"/>
  <c r="K150" i="54" s="1"/>
  <c r="R149" i="54"/>
  <c r="R148" i="54"/>
  <c r="M148" i="54" s="1"/>
  <c r="R147" i="54"/>
  <c r="L147" i="54" s="1"/>
  <c r="R146" i="54"/>
  <c r="M140" i="54"/>
  <c r="L140" i="54"/>
  <c r="K140" i="54"/>
  <c r="M139" i="54"/>
  <c r="L139" i="54"/>
  <c r="K139" i="54"/>
  <c r="M138" i="54"/>
  <c r="L138" i="54"/>
  <c r="K138" i="54"/>
  <c r="M137" i="54"/>
  <c r="L137" i="54"/>
  <c r="K137" i="54"/>
  <c r="M136" i="54"/>
  <c r="L136" i="54"/>
  <c r="K136" i="54"/>
  <c r="M135" i="54"/>
  <c r="L135" i="54"/>
  <c r="K135" i="54"/>
  <c r="M134" i="54"/>
  <c r="L134" i="54"/>
  <c r="K134" i="54"/>
  <c r="M133" i="54"/>
  <c r="L133" i="54"/>
  <c r="K133" i="54"/>
  <c r="M132" i="54"/>
  <c r="L132" i="54"/>
  <c r="K132" i="54"/>
  <c r="M131" i="54"/>
  <c r="L131" i="54"/>
  <c r="K131" i="54"/>
  <c r="M130" i="54"/>
  <c r="L130" i="54"/>
  <c r="K130" i="54"/>
  <c r="M129" i="54"/>
  <c r="L129" i="54"/>
  <c r="K129" i="54"/>
  <c r="M128" i="54"/>
  <c r="L128" i="54"/>
  <c r="K128" i="54"/>
  <c r="M127" i="54"/>
  <c r="L127" i="54"/>
  <c r="K127" i="54"/>
  <c r="M126" i="54"/>
  <c r="L126" i="54"/>
  <c r="K126" i="54"/>
  <c r="M125" i="54"/>
  <c r="L125" i="54"/>
  <c r="K125" i="54"/>
  <c r="M124" i="54"/>
  <c r="L124" i="54"/>
  <c r="K124" i="54"/>
  <c r="M123" i="54"/>
  <c r="L123" i="54"/>
  <c r="K123" i="54"/>
  <c r="M122" i="54"/>
  <c r="L122" i="54"/>
  <c r="K122" i="54"/>
  <c r="M121" i="54"/>
  <c r="L121" i="54"/>
  <c r="K121" i="54"/>
  <c r="M120" i="54"/>
  <c r="L120" i="54"/>
  <c r="K120" i="54"/>
  <c r="M119" i="54"/>
  <c r="L119" i="54"/>
  <c r="K119" i="54"/>
  <c r="M118" i="54"/>
  <c r="L118" i="54"/>
  <c r="K118" i="54"/>
  <c r="M116" i="54"/>
  <c r="L116" i="54"/>
  <c r="K116" i="54"/>
  <c r="M115" i="54"/>
  <c r="L115" i="54"/>
  <c r="K115" i="54"/>
  <c r="M114" i="54"/>
  <c r="L114" i="54"/>
  <c r="K114" i="54"/>
  <c r="M112" i="54"/>
  <c r="L112" i="54"/>
  <c r="K112" i="54"/>
  <c r="M111" i="54"/>
  <c r="L111" i="54"/>
  <c r="K111" i="54"/>
  <c r="T149" i="54"/>
  <c r="T146" i="54"/>
  <c r="V100" i="54"/>
  <c r="T100" i="54"/>
  <c r="V99" i="54"/>
  <c r="V98" i="54"/>
  <c r="V97" i="54"/>
  <c r="Y96" i="54"/>
  <c r="V96" i="54"/>
  <c r="V95" i="54"/>
  <c r="V94" i="54"/>
  <c r="V93" i="54"/>
  <c r="V92" i="54"/>
  <c r="V91" i="54"/>
  <c r="T91" i="54"/>
  <c r="V90" i="54"/>
  <c r="V89" i="54"/>
  <c r="T89" i="54"/>
  <c r="V88" i="54"/>
  <c r="V87" i="54"/>
  <c r="T87" i="54"/>
  <c r="V86" i="54"/>
  <c r="V85" i="54"/>
  <c r="T85" i="54"/>
  <c r="V84" i="54"/>
  <c r="V83" i="54"/>
  <c r="V82" i="54"/>
  <c r="V81" i="54"/>
  <c r="V80" i="54"/>
  <c r="V79" i="54"/>
  <c r="V78" i="54"/>
  <c r="V77" i="54"/>
  <c r="V76" i="54"/>
  <c r="V75" i="54"/>
  <c r="T75" i="54"/>
  <c r="V74" i="54"/>
  <c r="T74" i="54"/>
  <c r="V73" i="54"/>
  <c r="T73" i="54"/>
  <c r="V72" i="54"/>
  <c r="T72" i="54"/>
  <c r="V71" i="54"/>
  <c r="S65" i="54"/>
  <c r="S64" i="54"/>
  <c r="S63" i="54"/>
  <c r="S62" i="54"/>
  <c r="S61" i="54"/>
  <c r="S60" i="54"/>
  <c r="S59" i="54"/>
  <c r="S58" i="54"/>
  <c r="S57" i="54"/>
  <c r="S56" i="54"/>
  <c r="S55" i="54"/>
  <c r="S54" i="54"/>
  <c r="S53" i="54"/>
  <c r="S52" i="54"/>
  <c r="S51" i="54"/>
  <c r="S50" i="54"/>
  <c r="S49" i="54"/>
  <c r="S48" i="54"/>
  <c r="S47" i="54"/>
  <c r="S46" i="54"/>
  <c r="S45" i="54"/>
  <c r="S44" i="54"/>
  <c r="S43" i="54"/>
  <c r="S42" i="54"/>
  <c r="S41" i="54"/>
  <c r="S40" i="54"/>
  <c r="S39" i="54"/>
  <c r="S38" i="54"/>
  <c r="S37" i="54"/>
  <c r="S36" i="54"/>
  <c r="Y65" i="54"/>
  <c r="Y64" i="54"/>
  <c r="Y63" i="54"/>
  <c r="Y62" i="54"/>
  <c r="Y61" i="54"/>
  <c r="Y60" i="54"/>
  <c r="Y59" i="54"/>
  <c r="Y58" i="54"/>
  <c r="Y57" i="54"/>
  <c r="Y56" i="54"/>
  <c r="Y55" i="54"/>
  <c r="Y54" i="54"/>
  <c r="Y53" i="54"/>
  <c r="Y52" i="54"/>
  <c r="Y51" i="54"/>
  <c r="Y50" i="54"/>
  <c r="Y49" i="54"/>
  <c r="Y48" i="54"/>
  <c r="Y47" i="54"/>
  <c r="Y46" i="54"/>
  <c r="Y45" i="54"/>
  <c r="Y44" i="54"/>
  <c r="Y43" i="54"/>
  <c r="Y42" i="54"/>
  <c r="Y41" i="54"/>
  <c r="Y40" i="54"/>
  <c r="Y39" i="54"/>
  <c r="Y38" i="54"/>
  <c r="Y37" i="54"/>
  <c r="Y36" i="54"/>
  <c r="U61" i="54"/>
  <c r="X65" i="54"/>
  <c r="X64" i="54"/>
  <c r="X63" i="54"/>
  <c r="X62" i="54"/>
  <c r="X61" i="54"/>
  <c r="X60" i="54"/>
  <c r="X59" i="54"/>
  <c r="X58" i="54"/>
  <c r="X57" i="54"/>
  <c r="X56" i="54"/>
  <c r="X55" i="54"/>
  <c r="X54" i="54"/>
  <c r="X53" i="54"/>
  <c r="X52" i="54"/>
  <c r="X51" i="54"/>
  <c r="X50" i="54"/>
  <c r="X49" i="54"/>
  <c r="X48" i="54"/>
  <c r="X47" i="54"/>
  <c r="X46" i="54"/>
  <c r="X45" i="54"/>
  <c r="X44" i="54"/>
  <c r="X43" i="54"/>
  <c r="X42" i="54"/>
  <c r="X41" i="54"/>
  <c r="X40" i="54"/>
  <c r="X39" i="54"/>
  <c r="X38" i="54"/>
  <c r="X37" i="54"/>
  <c r="X36" i="54"/>
  <c r="V65" i="54"/>
  <c r="V64" i="54"/>
  <c r="V63" i="54"/>
  <c r="V62" i="54"/>
  <c r="V61" i="54"/>
  <c r="V60" i="54"/>
  <c r="V59" i="54"/>
  <c r="V58" i="54"/>
  <c r="V57" i="54"/>
  <c r="V56" i="54"/>
  <c r="V55" i="54"/>
  <c r="V54" i="54"/>
  <c r="V53" i="54"/>
  <c r="V52" i="54"/>
  <c r="V51" i="54"/>
  <c r="V50" i="54"/>
  <c r="V49" i="54"/>
  <c r="V48" i="54"/>
  <c r="V47" i="54"/>
  <c r="V46" i="54"/>
  <c r="V45" i="54"/>
  <c r="V44" i="54"/>
  <c r="V43" i="54"/>
  <c r="V42" i="54"/>
  <c r="V41" i="54"/>
  <c r="V40" i="54"/>
  <c r="V39" i="54"/>
  <c r="V38" i="54"/>
  <c r="V37" i="54"/>
  <c r="V36" i="54"/>
  <c r="T65" i="54"/>
  <c r="T64" i="54"/>
  <c r="T63" i="54"/>
  <c r="T62" i="54"/>
  <c r="T61" i="54"/>
  <c r="T60" i="54"/>
  <c r="T59" i="54"/>
  <c r="T58" i="54"/>
  <c r="T57" i="54"/>
  <c r="T56" i="54"/>
  <c r="T55" i="54"/>
  <c r="T54" i="54"/>
  <c r="T53" i="54"/>
  <c r="T52" i="54"/>
  <c r="T51" i="54"/>
  <c r="T50" i="54"/>
  <c r="T49" i="54"/>
  <c r="T48" i="54"/>
  <c r="T47" i="54"/>
  <c r="T46" i="54"/>
  <c r="T45" i="54"/>
  <c r="T44" i="54"/>
  <c r="T43" i="54"/>
  <c r="T42" i="54"/>
  <c r="T41" i="54"/>
  <c r="T40" i="54"/>
  <c r="T39" i="54"/>
  <c r="T38" i="54"/>
  <c r="T37" i="54"/>
  <c r="T36" i="54"/>
  <c r="S84" i="54" l="1"/>
  <c r="Y92" i="54"/>
  <c r="S92" i="54"/>
  <c r="S76" i="54"/>
  <c r="S100" i="54"/>
  <c r="M239" i="54"/>
  <c r="M247" i="54"/>
  <c r="Y77" i="54"/>
  <c r="Y87" i="54"/>
  <c r="W70" i="54"/>
  <c r="W71" i="54" s="1"/>
  <c r="W72" i="54" s="1"/>
  <c r="W73" i="54" s="1"/>
  <c r="W74" i="54" s="1"/>
  <c r="W75" i="54" s="1"/>
  <c r="W76" i="54" s="1"/>
  <c r="Y71" i="54"/>
  <c r="Y74" i="54"/>
  <c r="Y84" i="54"/>
  <c r="Y99" i="54"/>
  <c r="Y80" i="54"/>
  <c r="Y72" i="54"/>
  <c r="L221" i="54"/>
  <c r="M229" i="54"/>
  <c r="L230" i="54"/>
  <c r="M233" i="54"/>
  <c r="M238" i="54"/>
  <c r="U95" i="54"/>
  <c r="U78" i="54"/>
  <c r="U99" i="54"/>
  <c r="U74" i="54"/>
  <c r="U90" i="54"/>
  <c r="U77" i="54"/>
  <c r="U89" i="54"/>
  <c r="U92" i="54"/>
  <c r="M242" i="54"/>
  <c r="M251" i="54"/>
  <c r="L234" i="54"/>
  <c r="L243" i="54"/>
  <c r="L248" i="54"/>
  <c r="L224" i="54"/>
  <c r="L231" i="54"/>
  <c r="L236" i="54"/>
  <c r="L240" i="54"/>
  <c r="L244" i="54"/>
  <c r="L249" i="54"/>
  <c r="L228" i="54"/>
  <c r="L232" i="54"/>
  <c r="L237" i="54"/>
  <c r="L241" i="54"/>
  <c r="L245" i="54"/>
  <c r="L250" i="54"/>
  <c r="Y73" i="54"/>
  <c r="Y78" i="54"/>
  <c r="Y82" i="54"/>
  <c r="Y85" i="54"/>
  <c r="Y100" i="54"/>
  <c r="Y90" i="54"/>
  <c r="Y91" i="54"/>
  <c r="Y94" i="54"/>
  <c r="Y98" i="54"/>
  <c r="Y76" i="54"/>
  <c r="Y79" i="54"/>
  <c r="Y83" i="54"/>
  <c r="Y86" i="54"/>
  <c r="Y89" i="54"/>
  <c r="Y95" i="54"/>
  <c r="Y81" i="54"/>
  <c r="Y75" i="54"/>
  <c r="Y88" i="54"/>
  <c r="Y93" i="54"/>
  <c r="U72" i="54"/>
  <c r="U76" i="54"/>
  <c r="U86" i="54"/>
  <c r="U98" i="54"/>
  <c r="U100" i="54"/>
  <c r="U79" i="54"/>
  <c r="U84" i="54"/>
  <c r="U93" i="54"/>
  <c r="U71" i="54"/>
  <c r="U82" i="54"/>
  <c r="U91" i="54"/>
  <c r="U96" i="54"/>
  <c r="U73" i="54"/>
  <c r="U75" i="54"/>
  <c r="U80" i="54"/>
  <c r="U87" i="54"/>
  <c r="U94" i="54"/>
  <c r="U83" i="54"/>
  <c r="U85" i="54"/>
  <c r="U97" i="54"/>
  <c r="U81" i="54"/>
  <c r="U88" i="54"/>
  <c r="T93" i="54"/>
  <c r="T95" i="54"/>
  <c r="T97" i="54"/>
  <c r="T99" i="54"/>
  <c r="T76" i="54"/>
  <c r="T78" i="54"/>
  <c r="T80" i="54"/>
  <c r="T82" i="54"/>
  <c r="T71" i="54"/>
  <c r="T84" i="54"/>
  <c r="T86" i="54"/>
  <c r="T88" i="54"/>
  <c r="T90" i="54"/>
  <c r="T92" i="54"/>
  <c r="T94" i="54"/>
  <c r="T96" i="54"/>
  <c r="T98" i="54"/>
  <c r="T77" i="54"/>
  <c r="T79" i="54"/>
  <c r="T81" i="54"/>
  <c r="S73" i="54"/>
  <c r="S89" i="54"/>
  <c r="S97" i="54"/>
  <c r="S78" i="54"/>
  <c r="S86" i="54"/>
  <c r="S94" i="54"/>
  <c r="S81" i="54"/>
  <c r="S75" i="54"/>
  <c r="S83" i="54"/>
  <c r="S91" i="54"/>
  <c r="S99" i="54"/>
  <c r="S72" i="54"/>
  <c r="S80" i="54"/>
  <c r="S71" i="54"/>
  <c r="S77" i="54"/>
  <c r="S85" i="54"/>
  <c r="S93" i="54"/>
  <c r="S96" i="54"/>
  <c r="S74" i="54"/>
  <c r="S82" i="54"/>
  <c r="S90" i="54"/>
  <c r="S98" i="54"/>
  <c r="S88" i="54"/>
  <c r="S79" i="54"/>
  <c r="S87" i="54"/>
  <c r="S95" i="54"/>
  <c r="U55" i="54"/>
  <c r="K156" i="54"/>
  <c r="W41" i="54"/>
  <c r="L161" i="54"/>
  <c r="W49" i="54"/>
  <c r="K164" i="54"/>
  <c r="U47" i="54"/>
  <c r="K148" i="54"/>
  <c r="U63" i="54"/>
  <c r="M158" i="54"/>
  <c r="W57" i="54"/>
  <c r="M166" i="54"/>
  <c r="W65" i="54"/>
  <c r="L169" i="54"/>
  <c r="U39" i="54"/>
  <c r="K172" i="54"/>
  <c r="U38" i="54"/>
  <c r="U46" i="54"/>
  <c r="U54" i="54"/>
  <c r="U62" i="54"/>
  <c r="W40" i="54"/>
  <c r="W48" i="54"/>
  <c r="W56" i="54"/>
  <c r="W64" i="54"/>
  <c r="M147" i="54"/>
  <c r="L150" i="54"/>
  <c r="M155" i="54"/>
  <c r="L158" i="54"/>
  <c r="K161" i="54"/>
  <c r="M163" i="54"/>
  <c r="L166" i="54"/>
  <c r="K169" i="54"/>
  <c r="M171" i="54"/>
  <c r="L174" i="54"/>
  <c r="M150" i="54"/>
  <c r="M174" i="54"/>
  <c r="U40" i="54"/>
  <c r="U48" i="54"/>
  <c r="U56" i="54"/>
  <c r="U64" i="54"/>
  <c r="W42" i="54"/>
  <c r="W50" i="54"/>
  <c r="W58" i="54"/>
  <c r="L148" i="54"/>
  <c r="K151" i="54"/>
  <c r="L156" i="54"/>
  <c r="K159" i="54"/>
  <c r="L164" i="54"/>
  <c r="K167" i="54"/>
  <c r="L172" i="54"/>
  <c r="K175" i="54"/>
  <c r="U41" i="54"/>
  <c r="U49" i="54"/>
  <c r="U57" i="54"/>
  <c r="U65" i="54"/>
  <c r="W43" i="54"/>
  <c r="W51" i="54"/>
  <c r="W59" i="54"/>
  <c r="L151" i="54"/>
  <c r="K154" i="54"/>
  <c r="L159" i="54"/>
  <c r="K162" i="54"/>
  <c r="L167" i="54"/>
  <c r="K170" i="54"/>
  <c r="L175" i="54"/>
  <c r="U42" i="54"/>
  <c r="U50" i="54"/>
  <c r="U58" i="54"/>
  <c r="W36" i="54"/>
  <c r="W44" i="54"/>
  <c r="W52" i="54"/>
  <c r="W60" i="54"/>
  <c r="L154" i="54"/>
  <c r="K157" i="54"/>
  <c r="L162" i="54"/>
  <c r="K165" i="54"/>
  <c r="L170" i="54"/>
  <c r="K173" i="54"/>
  <c r="U43" i="54"/>
  <c r="U51" i="54"/>
  <c r="U59" i="54"/>
  <c r="W37" i="54"/>
  <c r="W45" i="54"/>
  <c r="W53" i="54"/>
  <c r="W61" i="54"/>
  <c r="K152" i="54"/>
  <c r="L157" i="54"/>
  <c r="K160" i="54"/>
  <c r="L165" i="54"/>
  <c r="K168" i="54"/>
  <c r="L173" i="54"/>
  <c r="K176" i="54"/>
  <c r="U36" i="54"/>
  <c r="U44" i="54"/>
  <c r="U52" i="54"/>
  <c r="U60" i="54"/>
  <c r="W38" i="54"/>
  <c r="W46" i="54"/>
  <c r="W54" i="54"/>
  <c r="W62" i="54"/>
  <c r="K147" i="54"/>
  <c r="L152" i="54"/>
  <c r="K155" i="54"/>
  <c r="L160" i="54"/>
  <c r="K163" i="54"/>
  <c r="L168" i="54"/>
  <c r="K171" i="54"/>
  <c r="L176" i="54"/>
  <c r="U37" i="54"/>
  <c r="U45" i="54"/>
  <c r="U53" i="54"/>
  <c r="W39" i="54"/>
  <c r="W47" i="54"/>
  <c r="W55" i="54"/>
  <c r="W77" i="54" l="1"/>
  <c r="W78" i="54" l="1"/>
  <c r="W79" i="54" l="1"/>
  <c r="W80" i="54" l="1"/>
  <c r="W81" i="54" l="1"/>
  <c r="W82" i="54" l="1"/>
  <c r="W83" i="54" l="1"/>
  <c r="W84" i="54" l="1"/>
  <c r="W85" i="54" l="1"/>
  <c r="W86" i="54" l="1"/>
  <c r="W87" i="54" l="1"/>
  <c r="W88" i="54" l="1"/>
  <c r="W89" i="54" l="1"/>
  <c r="W90" i="54" l="1"/>
  <c r="W91" i="54" l="1"/>
  <c r="D140" i="54"/>
  <c r="D176" i="54" s="1"/>
  <c r="D216" i="54" s="1"/>
  <c r="D251" i="54" s="1"/>
  <c r="D139" i="54"/>
  <c r="D175" i="54" s="1"/>
  <c r="D215" i="54" s="1"/>
  <c r="D250" i="54" s="1"/>
  <c r="D138" i="54"/>
  <c r="D174" i="54" s="1"/>
  <c r="D214" i="54" s="1"/>
  <c r="D249" i="54" s="1"/>
  <c r="D137" i="54"/>
  <c r="D173" i="54" s="1"/>
  <c r="D213" i="54" s="1"/>
  <c r="D248" i="54" s="1"/>
  <c r="D136" i="54"/>
  <c r="D172" i="54" s="1"/>
  <c r="D212" i="54" s="1"/>
  <c r="D247" i="54" s="1"/>
  <c r="D135" i="54"/>
  <c r="D171" i="54" s="1"/>
  <c r="D211" i="54" s="1"/>
  <c r="D246" i="54" s="1"/>
  <c r="D134" i="54"/>
  <c r="D170" i="54" s="1"/>
  <c r="D210" i="54" s="1"/>
  <c r="D245" i="54" s="1"/>
  <c r="D133" i="54"/>
  <c r="D169" i="54" s="1"/>
  <c r="D209" i="54" s="1"/>
  <c r="D244" i="54" s="1"/>
  <c r="D132" i="54"/>
  <c r="D168" i="54" s="1"/>
  <c r="D208" i="54" s="1"/>
  <c r="D243" i="54" s="1"/>
  <c r="D131" i="54"/>
  <c r="D167" i="54" s="1"/>
  <c r="D207" i="54" s="1"/>
  <c r="D242" i="54" s="1"/>
  <c r="D130" i="54"/>
  <c r="D166" i="54" s="1"/>
  <c r="D206" i="54" s="1"/>
  <c r="D241" i="54" s="1"/>
  <c r="D129" i="54"/>
  <c r="D165" i="54" s="1"/>
  <c r="D205" i="54" s="1"/>
  <c r="D240" i="54" s="1"/>
  <c r="D128" i="54"/>
  <c r="D164" i="54" s="1"/>
  <c r="D204" i="54" s="1"/>
  <c r="D239" i="54" s="1"/>
  <c r="D127" i="54"/>
  <c r="D163" i="54" s="1"/>
  <c r="D203" i="54" s="1"/>
  <c r="D238" i="54" s="1"/>
  <c r="D126" i="54"/>
  <c r="D162" i="54" s="1"/>
  <c r="D202" i="54" s="1"/>
  <c r="D237" i="54" s="1"/>
  <c r="D125" i="54"/>
  <c r="D161" i="54" s="1"/>
  <c r="D201" i="54" s="1"/>
  <c r="D236" i="54" s="1"/>
  <c r="D124" i="54"/>
  <c r="D160" i="54" s="1"/>
  <c r="D200" i="54" s="1"/>
  <c r="D235" i="54" s="1"/>
  <c r="D123" i="54"/>
  <c r="D159" i="54" s="1"/>
  <c r="D199" i="54" s="1"/>
  <c r="D234" i="54" s="1"/>
  <c r="D122" i="54"/>
  <c r="D158" i="54" s="1"/>
  <c r="D198" i="54" s="1"/>
  <c r="D233" i="54" s="1"/>
  <c r="D121" i="54"/>
  <c r="D157" i="54" s="1"/>
  <c r="D197" i="54" s="1"/>
  <c r="D232" i="54" s="1"/>
  <c r="D120" i="54"/>
  <c r="D156" i="54" s="1"/>
  <c r="D196" i="54" s="1"/>
  <c r="D231" i="54" s="1"/>
  <c r="D119" i="54"/>
  <c r="D155" i="54" s="1"/>
  <c r="D195" i="54" s="1"/>
  <c r="D230" i="54" s="1"/>
  <c r="D118" i="54"/>
  <c r="D154" i="54" s="1"/>
  <c r="D194" i="54" s="1"/>
  <c r="D229" i="54" s="1"/>
  <c r="D117" i="54"/>
  <c r="D153" i="54" s="1"/>
  <c r="D193" i="54" s="1"/>
  <c r="D228" i="54" s="1"/>
  <c r="D116" i="54"/>
  <c r="D152" i="54" s="1"/>
  <c r="D192" i="54" s="1"/>
  <c r="D227" i="54" s="1"/>
  <c r="D115" i="54"/>
  <c r="D151" i="54" s="1"/>
  <c r="D191" i="54" s="1"/>
  <c r="D226" i="54" s="1"/>
  <c r="D114" i="54"/>
  <c r="D150" i="54" s="1"/>
  <c r="D190" i="54" s="1"/>
  <c r="D225" i="54" s="1"/>
  <c r="D113" i="54"/>
  <c r="D149" i="54" s="1"/>
  <c r="D189" i="54" s="1"/>
  <c r="D224" i="54" s="1"/>
  <c r="D112" i="54"/>
  <c r="D148" i="54" s="1"/>
  <c r="D188" i="54" s="1"/>
  <c r="D223" i="54" s="1"/>
  <c r="D111" i="54"/>
  <c r="D147" i="54" s="1"/>
  <c r="D187" i="54" s="1"/>
  <c r="D222" i="54" s="1"/>
  <c r="D110" i="54"/>
  <c r="D146" i="54" s="1"/>
  <c r="D186" i="54" s="1"/>
  <c r="D221" i="54" s="1"/>
  <c r="K24" i="54" l="1"/>
  <c r="K14" i="54"/>
  <c r="W92" i="54"/>
  <c r="W93" i="54" l="1"/>
  <c r="W94" i="54" l="1"/>
  <c r="W95" i="54" l="1"/>
  <c r="W96" i="54" l="1"/>
  <c r="W97" i="54" l="1"/>
  <c r="W98" i="54" l="1"/>
  <c r="W99" i="54" l="1"/>
  <c r="W100" i="54" l="1"/>
  <c r="O208" i="49" l="1"/>
  <c r="O207" i="49"/>
  <c r="O206" i="49"/>
  <c r="O205" i="49"/>
  <c r="O204" i="49"/>
  <c r="O203" i="49"/>
  <c r="O201" i="49"/>
  <c r="O200" i="49"/>
  <c r="O199" i="49"/>
  <c r="O198" i="49"/>
  <c r="O197" i="49"/>
  <c r="O194" i="49"/>
  <c r="O193" i="49"/>
  <c r="O192" i="49"/>
  <c r="O191" i="49"/>
  <c r="O190" i="49"/>
  <c r="O189" i="49"/>
  <c r="O188" i="49"/>
  <c r="O187" i="49"/>
  <c r="O186" i="49"/>
  <c r="O184" i="49"/>
  <c r="O181" i="49"/>
  <c r="O180" i="49"/>
  <c r="O179" i="49"/>
  <c r="I122" i="49" l="1"/>
  <c r="H122" i="49"/>
  <c r="G122" i="49"/>
  <c r="F122" i="49"/>
  <c r="E122" i="49"/>
  <c r="I121" i="49"/>
  <c r="H121" i="49"/>
  <c r="G121" i="49"/>
  <c r="F121" i="49"/>
  <c r="E121" i="49"/>
  <c r="I120" i="49"/>
  <c r="H120" i="49"/>
  <c r="G120" i="49"/>
  <c r="F120" i="49"/>
  <c r="E120" i="49"/>
  <c r="I119" i="49"/>
  <c r="H119" i="49"/>
  <c r="G119" i="49"/>
  <c r="F119" i="49"/>
  <c r="E119" i="49"/>
  <c r="I118" i="49"/>
  <c r="H118" i="49"/>
  <c r="G118" i="49"/>
  <c r="F118" i="49"/>
  <c r="E118" i="49"/>
  <c r="I117" i="49"/>
  <c r="H117" i="49"/>
  <c r="G117" i="49"/>
  <c r="F117" i="49"/>
  <c r="E117" i="49"/>
  <c r="I116" i="49"/>
  <c r="H116" i="49"/>
  <c r="G116" i="49"/>
  <c r="F116" i="49"/>
  <c r="E116" i="49"/>
  <c r="I115" i="49"/>
  <c r="H115" i="49"/>
  <c r="G115" i="49"/>
  <c r="F115" i="49"/>
  <c r="E115" i="49"/>
  <c r="I114" i="49"/>
  <c r="H114" i="49"/>
  <c r="G114" i="49"/>
  <c r="F114" i="49"/>
  <c r="E114" i="49"/>
  <c r="I113" i="49"/>
  <c r="H113" i="49"/>
  <c r="G113" i="49"/>
  <c r="F113" i="49"/>
  <c r="E113" i="49"/>
  <c r="I112" i="49"/>
  <c r="H112" i="49"/>
  <c r="G112" i="49"/>
  <c r="F112" i="49"/>
  <c r="E112" i="49"/>
  <c r="I111" i="49"/>
  <c r="H111" i="49"/>
  <c r="G111" i="49"/>
  <c r="F111" i="49"/>
  <c r="E111" i="49"/>
  <c r="I110" i="49"/>
  <c r="H110" i="49"/>
  <c r="G110" i="49"/>
  <c r="F110" i="49"/>
  <c r="E110" i="49"/>
  <c r="I109" i="49"/>
  <c r="H109" i="49"/>
  <c r="G109" i="49"/>
  <c r="F109" i="49"/>
  <c r="E109" i="49"/>
  <c r="I108" i="49"/>
  <c r="H108" i="49"/>
  <c r="G108" i="49"/>
  <c r="F108" i="49"/>
  <c r="E108" i="49"/>
  <c r="I107" i="49"/>
  <c r="H107" i="49"/>
  <c r="G107" i="49"/>
  <c r="F107" i="49"/>
  <c r="E107" i="49"/>
  <c r="I106" i="49"/>
  <c r="H106" i="49"/>
  <c r="G106" i="49"/>
  <c r="F106" i="49"/>
  <c r="E106" i="49"/>
  <c r="I105" i="49"/>
  <c r="H105" i="49"/>
  <c r="G105" i="49"/>
  <c r="F105" i="49"/>
  <c r="E105" i="49"/>
  <c r="I104" i="49"/>
  <c r="H104" i="49"/>
  <c r="G104" i="49"/>
  <c r="F104" i="49"/>
  <c r="E104" i="49"/>
  <c r="I103" i="49"/>
  <c r="H103" i="49"/>
  <c r="G103" i="49"/>
  <c r="F103" i="49"/>
  <c r="E103" i="49"/>
  <c r="I102" i="49"/>
  <c r="H102" i="49"/>
  <c r="G102" i="49"/>
  <c r="F102" i="49"/>
  <c r="E102" i="49"/>
  <c r="I101" i="49"/>
  <c r="H101" i="49"/>
  <c r="G101" i="49"/>
  <c r="F101" i="49"/>
  <c r="E101" i="49"/>
  <c r="I100" i="49"/>
  <c r="H100" i="49"/>
  <c r="G100" i="49"/>
  <c r="F100" i="49"/>
  <c r="E100" i="49"/>
  <c r="I99" i="49"/>
  <c r="H99" i="49"/>
  <c r="G99" i="49"/>
  <c r="F99" i="49"/>
  <c r="E99" i="49"/>
  <c r="I98" i="49"/>
  <c r="H98" i="49"/>
  <c r="G98" i="49"/>
  <c r="F98" i="49"/>
  <c r="E98" i="49"/>
  <c r="I97" i="49"/>
  <c r="H97" i="49"/>
  <c r="G97" i="49"/>
  <c r="F97" i="49"/>
  <c r="E97" i="49"/>
  <c r="I96" i="49"/>
  <c r="H96" i="49"/>
  <c r="G96" i="49"/>
  <c r="F96" i="49"/>
  <c r="E96" i="49"/>
  <c r="I95" i="49"/>
  <c r="H95" i="49"/>
  <c r="G95" i="49"/>
  <c r="F95" i="49"/>
  <c r="E95" i="49"/>
  <c r="I94" i="49"/>
  <c r="H94" i="49"/>
  <c r="G94" i="49"/>
  <c r="F94" i="49"/>
  <c r="E94" i="49"/>
  <c r="I93" i="49"/>
  <c r="H93" i="49"/>
  <c r="G93" i="49"/>
  <c r="F93" i="49"/>
  <c r="E93" i="49"/>
  <c r="I92" i="49"/>
  <c r="H92" i="49"/>
  <c r="G92" i="49"/>
  <c r="F92" i="49"/>
  <c r="E92" i="49"/>
  <c r="D122" i="49"/>
  <c r="D161" i="49" s="1"/>
  <c r="D208" i="49" s="1"/>
  <c r="D121" i="49"/>
  <c r="D160" i="49" s="1"/>
  <c r="D207" i="49" s="1"/>
  <c r="D120" i="49"/>
  <c r="D159" i="49" s="1"/>
  <c r="D206" i="49" s="1"/>
  <c r="D119" i="49"/>
  <c r="D158" i="49" s="1"/>
  <c r="D205" i="49" s="1"/>
  <c r="D118" i="49"/>
  <c r="D157" i="49" s="1"/>
  <c r="D204" i="49" s="1"/>
  <c r="D117" i="49"/>
  <c r="D156" i="49" s="1"/>
  <c r="D203" i="49" s="1"/>
  <c r="D116" i="49"/>
  <c r="D155" i="49" s="1"/>
  <c r="D202" i="49" s="1"/>
  <c r="D115" i="49"/>
  <c r="D154" i="49" s="1"/>
  <c r="D201" i="49" s="1"/>
  <c r="D114" i="49"/>
  <c r="D153" i="49" s="1"/>
  <c r="D200" i="49" s="1"/>
  <c r="D113" i="49"/>
  <c r="D152" i="49" s="1"/>
  <c r="D199" i="49" s="1"/>
  <c r="D112" i="49"/>
  <c r="D151" i="49" s="1"/>
  <c r="D198" i="49" s="1"/>
  <c r="D111" i="49"/>
  <c r="D150" i="49" s="1"/>
  <c r="D197" i="49" s="1"/>
  <c r="D110" i="49"/>
  <c r="D149" i="49" s="1"/>
  <c r="D196" i="49" s="1"/>
  <c r="D109" i="49"/>
  <c r="D148" i="49" s="1"/>
  <c r="D195" i="49" s="1"/>
  <c r="D108" i="49"/>
  <c r="D147" i="49" s="1"/>
  <c r="D194" i="49" s="1"/>
  <c r="D107" i="49"/>
  <c r="D146" i="49" s="1"/>
  <c r="D193" i="49" s="1"/>
  <c r="D106" i="49"/>
  <c r="D145" i="49" s="1"/>
  <c r="D192" i="49" s="1"/>
  <c r="D105" i="49"/>
  <c r="D144" i="49" s="1"/>
  <c r="D191" i="49" s="1"/>
  <c r="D104" i="49"/>
  <c r="D143" i="49" s="1"/>
  <c r="D190" i="49" s="1"/>
  <c r="D103" i="49"/>
  <c r="D142" i="49" s="1"/>
  <c r="D189" i="49" s="1"/>
  <c r="D102" i="49"/>
  <c r="D141" i="49" s="1"/>
  <c r="D188" i="49" s="1"/>
  <c r="D101" i="49"/>
  <c r="D140" i="49" s="1"/>
  <c r="D187" i="49" s="1"/>
  <c r="D100" i="49"/>
  <c r="D139" i="49" s="1"/>
  <c r="D186" i="49" s="1"/>
  <c r="D99" i="49"/>
  <c r="D138" i="49" s="1"/>
  <c r="D185" i="49" s="1"/>
  <c r="D98" i="49"/>
  <c r="D137" i="49" s="1"/>
  <c r="D184" i="49" s="1"/>
  <c r="D97" i="49"/>
  <c r="D136" i="49" s="1"/>
  <c r="D183" i="49" s="1"/>
  <c r="D96" i="49"/>
  <c r="D135" i="49" s="1"/>
  <c r="D182" i="49" s="1"/>
  <c r="D95" i="49"/>
  <c r="D134" i="49" s="1"/>
  <c r="D181" i="49" s="1"/>
  <c r="D94" i="49"/>
  <c r="D133" i="49" s="1"/>
  <c r="D180" i="49" s="1"/>
  <c r="D93" i="49"/>
  <c r="D132" i="49" s="1"/>
  <c r="D179" i="49" s="1"/>
  <c r="D92" i="49"/>
  <c r="D131" i="49" s="1"/>
  <c r="D178" i="49" s="1"/>
  <c r="D73" i="49" l="1"/>
  <c r="D35" i="49" s="1"/>
  <c r="O96" i="49"/>
  <c r="O104" i="49"/>
  <c r="O112" i="49"/>
  <c r="D81" i="49"/>
  <c r="D43" i="49" s="1"/>
  <c r="D57" i="49"/>
  <c r="D19" i="49" s="1"/>
  <c r="D65" i="49"/>
  <c r="D27" i="49" s="1"/>
  <c r="D58" i="49"/>
  <c r="D20" i="49" s="1"/>
  <c r="D66" i="49"/>
  <c r="D28" i="49" s="1"/>
  <c r="D74" i="49"/>
  <c r="D36" i="49" s="1"/>
  <c r="D51" i="49"/>
  <c r="D13" i="49" s="1"/>
  <c r="D59" i="49"/>
  <c r="D21" i="49" s="1"/>
  <c r="D67" i="49"/>
  <c r="D29" i="49" s="1"/>
  <c r="D75" i="49"/>
  <c r="D37" i="49" s="1"/>
  <c r="D52" i="49"/>
  <c r="D14" i="49" s="1"/>
  <c r="D60" i="49"/>
  <c r="D22" i="49" s="1"/>
  <c r="D68" i="49"/>
  <c r="D30" i="49" s="1"/>
  <c r="D76" i="49"/>
  <c r="D38" i="49" s="1"/>
  <c r="D53" i="49"/>
  <c r="D15" i="49" s="1"/>
  <c r="D61" i="49"/>
  <c r="D23" i="49" s="1"/>
  <c r="D69" i="49"/>
  <c r="D31" i="49" s="1"/>
  <c r="D77" i="49"/>
  <c r="D39" i="49" s="1"/>
  <c r="D54" i="49"/>
  <c r="D16" i="49" s="1"/>
  <c r="D62" i="49"/>
  <c r="D24" i="49" s="1"/>
  <c r="D70" i="49"/>
  <c r="D32" i="49" s="1"/>
  <c r="D78" i="49"/>
  <c r="D40" i="49" s="1"/>
  <c r="D55" i="49"/>
  <c r="D17" i="49" s="1"/>
  <c r="D63" i="49"/>
  <c r="D25" i="49" s="1"/>
  <c r="D71" i="49"/>
  <c r="D33" i="49" s="1"/>
  <c r="D79" i="49"/>
  <c r="D41" i="49" s="1"/>
  <c r="D56" i="49"/>
  <c r="D18" i="49" s="1"/>
  <c r="D64" i="49"/>
  <c r="D26" i="49" s="1"/>
  <c r="D72" i="49"/>
  <c r="D34" i="49" s="1"/>
  <c r="D80" i="49"/>
  <c r="D42" i="49" s="1"/>
  <c r="P97" i="49"/>
  <c r="P96" i="49"/>
  <c r="P104" i="49"/>
  <c r="I123" i="49"/>
  <c r="I168" i="49" s="1"/>
  <c r="I169" i="49" s="1"/>
  <c r="H123" i="49"/>
  <c r="E123" i="49"/>
  <c r="F123" i="49"/>
  <c r="G123" i="49"/>
  <c r="O120" i="49"/>
  <c r="P112" i="49"/>
  <c r="O98" i="49"/>
  <c r="P99" i="49"/>
  <c r="O106" i="49"/>
  <c r="Q106" i="49" s="1"/>
  <c r="O114" i="49"/>
  <c r="P110" i="49"/>
  <c r="P118" i="49"/>
  <c r="O95" i="49"/>
  <c r="O103" i="49"/>
  <c r="O111" i="49"/>
  <c r="P92" i="49"/>
  <c r="P107" i="49"/>
  <c r="P120" i="49"/>
  <c r="P95" i="49"/>
  <c r="P103" i="49"/>
  <c r="P111" i="49"/>
  <c r="P119" i="49"/>
  <c r="P94" i="49"/>
  <c r="P102" i="49"/>
  <c r="P115" i="49"/>
  <c r="O97" i="49"/>
  <c r="O105" i="49"/>
  <c r="O113" i="49"/>
  <c r="O121" i="49"/>
  <c r="O94" i="49"/>
  <c r="O102" i="49"/>
  <c r="O110" i="49"/>
  <c r="O118" i="49"/>
  <c r="O122" i="49"/>
  <c r="O99" i="49"/>
  <c r="P100" i="49"/>
  <c r="O107" i="49"/>
  <c r="P108" i="49"/>
  <c r="O115" i="49"/>
  <c r="P116" i="49"/>
  <c r="P98" i="49"/>
  <c r="P106" i="49"/>
  <c r="J106" i="49" s="1"/>
  <c r="P114" i="49"/>
  <c r="P122" i="49"/>
  <c r="P105" i="49"/>
  <c r="P113" i="49"/>
  <c r="P121" i="49"/>
  <c r="O93" i="49"/>
  <c r="O101" i="49"/>
  <c r="O109" i="49"/>
  <c r="O117" i="49"/>
  <c r="O119" i="49"/>
  <c r="Q119" i="49" s="1"/>
  <c r="O92" i="49"/>
  <c r="P93" i="49"/>
  <c r="O100" i="49"/>
  <c r="P101" i="49"/>
  <c r="O108" i="49"/>
  <c r="Q108" i="49" s="1"/>
  <c r="P109" i="49"/>
  <c r="O116" i="49"/>
  <c r="Q116" i="49" s="1"/>
  <c r="P117" i="49"/>
  <c r="E3" i="66"/>
  <c r="E2" i="66"/>
  <c r="Q113" i="49" l="1"/>
  <c r="J113" i="49" s="1"/>
  <c r="K113" i="49" s="1"/>
  <c r="D139" i="67"/>
  <c r="D177" i="67" s="1"/>
  <c r="D62" i="54"/>
  <c r="J114" i="49"/>
  <c r="D131" i="67"/>
  <c r="D169" i="67" s="1"/>
  <c r="D54" i="54"/>
  <c r="D134" i="67"/>
  <c r="D172" i="67" s="1"/>
  <c r="D57" i="54"/>
  <c r="J109" i="49"/>
  <c r="Q109" i="49"/>
  <c r="Q114" i="49"/>
  <c r="D125" i="67"/>
  <c r="D163" i="67" s="1"/>
  <c r="D48" i="54"/>
  <c r="D119" i="67"/>
  <c r="D157" i="67" s="1"/>
  <c r="D42" i="54"/>
  <c r="Q101" i="49"/>
  <c r="J101" i="49" s="1"/>
  <c r="K101" i="49" s="1"/>
  <c r="D115" i="67"/>
  <c r="D153" i="67" s="1"/>
  <c r="D38" i="54"/>
  <c r="D126" i="67"/>
  <c r="D164" i="67" s="1"/>
  <c r="D49" i="54"/>
  <c r="Q93" i="49"/>
  <c r="J93" i="49" s="1"/>
  <c r="K93" i="49" s="1"/>
  <c r="J116" i="49"/>
  <c r="J110" i="49"/>
  <c r="Q110" i="49"/>
  <c r="D140" i="67"/>
  <c r="D178" i="67" s="1"/>
  <c r="D63" i="54"/>
  <c r="D138" i="67"/>
  <c r="D176" i="67" s="1"/>
  <c r="D61" i="54"/>
  <c r="D136" i="67"/>
  <c r="D174" i="67" s="1"/>
  <c r="D59" i="54"/>
  <c r="D118" i="67"/>
  <c r="D156" i="67" s="1"/>
  <c r="D41" i="54"/>
  <c r="Q103" i="49"/>
  <c r="J103" i="49" s="1"/>
  <c r="K103" i="49" s="1"/>
  <c r="D137" i="67"/>
  <c r="D175" i="67" s="1"/>
  <c r="D60" i="54"/>
  <c r="J99" i="49"/>
  <c r="K99" i="49" s="1"/>
  <c r="Q99" i="49"/>
  <c r="D127" i="67"/>
  <c r="D165" i="67" s="1"/>
  <c r="D50" i="54"/>
  <c r="Q97" i="49"/>
  <c r="J97" i="49" s="1"/>
  <c r="K97" i="49" s="1"/>
  <c r="D121" i="67"/>
  <c r="D159" i="67" s="1"/>
  <c r="D44" i="54"/>
  <c r="Q118" i="49"/>
  <c r="J118" i="49" s="1"/>
  <c r="Q107" i="49"/>
  <c r="J107" i="49" s="1"/>
  <c r="K107" i="49" s="1"/>
  <c r="D117" i="67"/>
  <c r="D155" i="67" s="1"/>
  <c r="D40" i="54"/>
  <c r="Q100" i="49"/>
  <c r="J100" i="49" s="1"/>
  <c r="K100" i="49" s="1"/>
  <c r="J115" i="49"/>
  <c r="Q115" i="49"/>
  <c r="J102" i="49"/>
  <c r="Q102" i="49"/>
  <c r="J111" i="49"/>
  <c r="K111" i="49" s="1"/>
  <c r="L111" i="49" s="1"/>
  <c r="M111" i="49" s="1"/>
  <c r="Q111" i="49"/>
  <c r="Q98" i="49"/>
  <c r="J98" i="49" s="1"/>
  <c r="K98" i="49" s="1"/>
  <c r="D132" i="67"/>
  <c r="D170" i="67" s="1"/>
  <c r="D55" i="54"/>
  <c r="D130" i="67"/>
  <c r="D168" i="67" s="1"/>
  <c r="D53" i="54"/>
  <c r="D128" i="67"/>
  <c r="D166" i="67" s="1"/>
  <c r="D51" i="54"/>
  <c r="D142" i="67"/>
  <c r="D180" i="67" s="1"/>
  <c r="D65" i="54"/>
  <c r="D141" i="67"/>
  <c r="D179" i="67" s="1"/>
  <c r="D64" i="54"/>
  <c r="D135" i="67"/>
  <c r="D173" i="67" s="1"/>
  <c r="D58" i="54"/>
  <c r="Q117" i="49"/>
  <c r="Q105" i="49"/>
  <c r="J105" i="49" s="1"/>
  <c r="K105" i="49" s="1"/>
  <c r="D133" i="67"/>
  <c r="D171" i="67" s="1"/>
  <c r="D56" i="54"/>
  <c r="D129" i="67"/>
  <c r="D167" i="67" s="1"/>
  <c r="D52" i="54"/>
  <c r="Q122" i="49"/>
  <c r="D123" i="67"/>
  <c r="D161" i="67" s="1"/>
  <c r="D46" i="54"/>
  <c r="D113" i="67"/>
  <c r="D151" i="67" s="1"/>
  <c r="D36" i="54"/>
  <c r="J108" i="49"/>
  <c r="J94" i="49"/>
  <c r="K94" i="49" s="1"/>
  <c r="Q94" i="49"/>
  <c r="J96" i="49"/>
  <c r="Q96" i="49"/>
  <c r="D124" i="67"/>
  <c r="D162" i="67" s="1"/>
  <c r="D47" i="54"/>
  <c r="D122" i="67"/>
  <c r="D160" i="67" s="1"/>
  <c r="D45" i="54"/>
  <c r="D120" i="67"/>
  <c r="D158" i="67" s="1"/>
  <c r="D43" i="54"/>
  <c r="J112" i="49"/>
  <c r="K112" i="49" s="1"/>
  <c r="Q112" i="49"/>
  <c r="Q92" i="49"/>
  <c r="J92" i="49" s="1"/>
  <c r="K92" i="49" s="1"/>
  <c r="Q121" i="49"/>
  <c r="J121" i="49" s="1"/>
  <c r="Q95" i="49"/>
  <c r="J95" i="49" s="1"/>
  <c r="K95" i="49" s="1"/>
  <c r="Q120" i="49"/>
  <c r="D116" i="67"/>
  <c r="D154" i="67" s="1"/>
  <c r="D39" i="54"/>
  <c r="D114" i="67"/>
  <c r="D152" i="67" s="1"/>
  <c r="D37" i="54"/>
  <c r="D112" i="67"/>
  <c r="D150" i="67" s="1"/>
  <c r="D35" i="54"/>
  <c r="J104" i="49"/>
  <c r="K104" i="49" s="1"/>
  <c r="Q104" i="49"/>
  <c r="K114" i="49"/>
  <c r="K116" i="49"/>
  <c r="K115" i="49"/>
  <c r="K109" i="49"/>
  <c r="K106" i="49"/>
  <c r="K110" i="49"/>
  <c r="K102" i="49"/>
  <c r="K108" i="49"/>
  <c r="K96" i="49"/>
  <c r="J119" i="49"/>
  <c r="J120" i="49"/>
  <c r="J117" i="49"/>
  <c r="J122" i="49"/>
  <c r="D203" i="67" l="1"/>
  <c r="D246" i="67"/>
  <c r="D281" i="67" s="1"/>
  <c r="D322" i="67" s="1"/>
  <c r="D357" i="67" s="1"/>
  <c r="D398" i="67" s="1"/>
  <c r="D436" i="67" s="1"/>
  <c r="D209" i="67"/>
  <c r="D252" i="67"/>
  <c r="D287" i="67" s="1"/>
  <c r="D328" i="67" s="1"/>
  <c r="D363" i="67" s="1"/>
  <c r="D404" i="67" s="1"/>
  <c r="D442" i="67" s="1"/>
  <c r="D207" i="67"/>
  <c r="D250" i="67"/>
  <c r="D285" i="67" s="1"/>
  <c r="D326" i="67" s="1"/>
  <c r="D361" i="67" s="1"/>
  <c r="D402" i="67" s="1"/>
  <c r="D440" i="67" s="1"/>
  <c r="D214" i="67"/>
  <c r="D257" i="67"/>
  <c r="D292" i="67" s="1"/>
  <c r="D333" i="67" s="1"/>
  <c r="D368" i="67" s="1"/>
  <c r="D409" i="67" s="1"/>
  <c r="D447" i="67" s="1"/>
  <c r="D192" i="67"/>
  <c r="D235" i="67"/>
  <c r="D270" i="67" s="1"/>
  <c r="D311" i="67" s="1"/>
  <c r="D346" i="67" s="1"/>
  <c r="D387" i="67" s="1"/>
  <c r="D425" i="67" s="1"/>
  <c r="D193" i="67"/>
  <c r="D236" i="67"/>
  <c r="D271" i="67" s="1"/>
  <c r="D312" i="67" s="1"/>
  <c r="D347" i="67" s="1"/>
  <c r="D388" i="67" s="1"/>
  <c r="D426" i="67" s="1"/>
  <c r="D254" i="67"/>
  <c r="D289" i="67" s="1"/>
  <c r="D330" i="67" s="1"/>
  <c r="D365" i="67" s="1"/>
  <c r="D406" i="67" s="1"/>
  <c r="D444" i="67" s="1"/>
  <c r="D211" i="67"/>
  <c r="D204" i="67"/>
  <c r="D247" i="67"/>
  <c r="D282" i="67" s="1"/>
  <c r="D323" i="67" s="1"/>
  <c r="D358" i="67" s="1"/>
  <c r="D399" i="67" s="1"/>
  <c r="D437" i="67" s="1"/>
  <c r="D198" i="67"/>
  <c r="D241" i="67"/>
  <c r="D276" i="67" s="1"/>
  <c r="D317" i="67" s="1"/>
  <c r="D352" i="67" s="1"/>
  <c r="D393" i="67" s="1"/>
  <c r="D431" i="67" s="1"/>
  <c r="D249" i="67"/>
  <c r="D284" i="67" s="1"/>
  <c r="D325" i="67" s="1"/>
  <c r="D360" i="67" s="1"/>
  <c r="D401" i="67" s="1"/>
  <c r="D439" i="67" s="1"/>
  <c r="D206" i="67"/>
  <c r="D194" i="67"/>
  <c r="D237" i="67"/>
  <c r="D272" i="67" s="1"/>
  <c r="D313" i="67" s="1"/>
  <c r="D348" i="67" s="1"/>
  <c r="D389" i="67" s="1"/>
  <c r="D427" i="67" s="1"/>
  <c r="D199" i="67"/>
  <c r="D242" i="67"/>
  <c r="D277" i="67" s="1"/>
  <c r="D318" i="67" s="1"/>
  <c r="D353" i="67" s="1"/>
  <c r="D394" i="67" s="1"/>
  <c r="D432" i="67" s="1"/>
  <c r="D187" i="67"/>
  <c r="D230" i="67"/>
  <c r="D265" i="67" s="1"/>
  <c r="D306" i="67" s="1"/>
  <c r="D341" i="67" s="1"/>
  <c r="D382" i="67" s="1"/>
  <c r="D420" i="67" s="1"/>
  <c r="D197" i="67"/>
  <c r="D240" i="67"/>
  <c r="D275" i="67" s="1"/>
  <c r="D316" i="67" s="1"/>
  <c r="D351" i="67" s="1"/>
  <c r="D392" i="67" s="1"/>
  <c r="D430" i="67" s="1"/>
  <c r="D258" i="67"/>
  <c r="D293" i="67" s="1"/>
  <c r="D334" i="67" s="1"/>
  <c r="D369" i="67" s="1"/>
  <c r="D410" i="67" s="1"/>
  <c r="D448" i="67" s="1"/>
  <c r="D215" i="67"/>
  <c r="D213" i="67"/>
  <c r="D256" i="67"/>
  <c r="D291" i="67" s="1"/>
  <c r="D332" i="67" s="1"/>
  <c r="D367" i="67" s="1"/>
  <c r="D408" i="67" s="1"/>
  <c r="D446" i="67" s="1"/>
  <c r="D185" i="67"/>
  <c r="D228" i="67"/>
  <c r="D263" i="67" s="1"/>
  <c r="D304" i="67" s="1"/>
  <c r="D339" i="67" s="1"/>
  <c r="D380" i="67" s="1"/>
  <c r="D418" i="67" s="1"/>
  <c r="D210" i="67"/>
  <c r="D253" i="67"/>
  <c r="D288" i="67" s="1"/>
  <c r="D329" i="67" s="1"/>
  <c r="D364" i="67" s="1"/>
  <c r="D405" i="67" s="1"/>
  <c r="D443" i="67" s="1"/>
  <c r="D229" i="67"/>
  <c r="D264" i="67" s="1"/>
  <c r="D305" i="67" s="1"/>
  <c r="D340" i="67" s="1"/>
  <c r="D381" i="67" s="1"/>
  <c r="D419" i="67" s="1"/>
  <c r="D186" i="67"/>
  <c r="D196" i="67"/>
  <c r="D239" i="67"/>
  <c r="D274" i="67" s="1"/>
  <c r="D315" i="67" s="1"/>
  <c r="D350" i="67" s="1"/>
  <c r="D391" i="67" s="1"/>
  <c r="D429" i="67" s="1"/>
  <c r="D190" i="67"/>
  <c r="D233" i="67"/>
  <c r="D268" i="67" s="1"/>
  <c r="D309" i="67" s="1"/>
  <c r="D344" i="67" s="1"/>
  <c r="D385" i="67" s="1"/>
  <c r="D423" i="67" s="1"/>
  <c r="D188" i="67"/>
  <c r="D231" i="67"/>
  <c r="D266" i="67" s="1"/>
  <c r="D307" i="67" s="1"/>
  <c r="D342" i="67" s="1"/>
  <c r="D383" i="67" s="1"/>
  <c r="D421" i="67" s="1"/>
  <c r="D255" i="67"/>
  <c r="D290" i="67" s="1"/>
  <c r="D331" i="67" s="1"/>
  <c r="D366" i="67" s="1"/>
  <c r="D407" i="67" s="1"/>
  <c r="D445" i="67" s="1"/>
  <c r="D212" i="67"/>
  <c r="D238" i="67"/>
  <c r="D273" i="67" s="1"/>
  <c r="D314" i="67" s="1"/>
  <c r="D349" i="67" s="1"/>
  <c r="D390" i="67" s="1"/>
  <c r="D428" i="67" s="1"/>
  <c r="D195" i="67"/>
  <c r="D200" i="67"/>
  <c r="D243" i="67"/>
  <c r="D278" i="67" s="1"/>
  <c r="D319" i="67" s="1"/>
  <c r="D354" i="67" s="1"/>
  <c r="D395" i="67" s="1"/>
  <c r="D433" i="67" s="1"/>
  <c r="D202" i="67"/>
  <c r="D245" i="67"/>
  <c r="D280" i="67" s="1"/>
  <c r="D321" i="67" s="1"/>
  <c r="D356" i="67" s="1"/>
  <c r="D397" i="67" s="1"/>
  <c r="D435" i="67" s="1"/>
  <c r="D205" i="67"/>
  <c r="D248" i="67"/>
  <c r="D283" i="67" s="1"/>
  <c r="D324" i="67" s="1"/>
  <c r="D359" i="67" s="1"/>
  <c r="D400" i="67" s="1"/>
  <c r="D438" i="67" s="1"/>
  <c r="D189" i="67"/>
  <c r="D232" i="67"/>
  <c r="D267" i="67" s="1"/>
  <c r="D308" i="67" s="1"/>
  <c r="D343" i="67" s="1"/>
  <c r="D384" i="67" s="1"/>
  <c r="D422" i="67" s="1"/>
  <c r="D201" i="67"/>
  <c r="D244" i="67"/>
  <c r="D279" i="67" s="1"/>
  <c r="D320" i="67" s="1"/>
  <c r="D355" i="67" s="1"/>
  <c r="D396" i="67" s="1"/>
  <c r="D434" i="67" s="1"/>
  <c r="D191" i="67"/>
  <c r="D234" i="67"/>
  <c r="D269" i="67" s="1"/>
  <c r="D310" i="67" s="1"/>
  <c r="D345" i="67" s="1"/>
  <c r="D386" i="67" s="1"/>
  <c r="D424" i="67" s="1"/>
  <c r="D208" i="67"/>
  <c r="D251" i="67"/>
  <c r="D286" i="67" s="1"/>
  <c r="D327" i="67" s="1"/>
  <c r="D362" i="67" s="1"/>
  <c r="D403" i="67" s="1"/>
  <c r="D441" i="67" s="1"/>
  <c r="K120" i="49"/>
  <c r="K117" i="49"/>
  <c r="L112" i="49"/>
  <c r="K118" i="49"/>
  <c r="L114" i="49"/>
  <c r="L116" i="49"/>
  <c r="K119" i="49"/>
  <c r="K122" i="49"/>
  <c r="K121" i="49"/>
  <c r="L115" i="49"/>
  <c r="L113" i="49"/>
  <c r="L96" i="49"/>
  <c r="L100" i="49"/>
  <c r="L94" i="49"/>
  <c r="L110" i="49"/>
  <c r="L97" i="49"/>
  <c r="L105" i="49"/>
  <c r="L101" i="49"/>
  <c r="L108" i="49"/>
  <c r="L93" i="49"/>
  <c r="L106" i="49"/>
  <c r="L103" i="49"/>
  <c r="L102" i="49"/>
  <c r="L99" i="49"/>
  <c r="L95" i="49"/>
  <c r="L104" i="49"/>
  <c r="L98" i="49"/>
  <c r="L107" i="49"/>
  <c r="L109" i="49"/>
  <c r="J123" i="49"/>
  <c r="L92" i="49"/>
  <c r="L122" i="49" l="1"/>
  <c r="L118" i="49"/>
  <c r="M113" i="49"/>
  <c r="K123" i="49"/>
  <c r="M115" i="49"/>
  <c r="M116" i="49"/>
  <c r="L117" i="49"/>
  <c r="M112" i="49"/>
  <c r="L119" i="49"/>
  <c r="L121" i="49"/>
  <c r="M114" i="49"/>
  <c r="L120" i="49"/>
  <c r="M102" i="49"/>
  <c r="M94" i="49"/>
  <c r="M110" i="49"/>
  <c r="M101" i="49"/>
  <c r="M109" i="49"/>
  <c r="M105" i="49"/>
  <c r="M100" i="49"/>
  <c r="M98" i="49"/>
  <c r="M103" i="49"/>
  <c r="M95" i="49"/>
  <c r="M107" i="49"/>
  <c r="M99" i="49"/>
  <c r="M93" i="49"/>
  <c r="M97" i="49"/>
  <c r="M96" i="49"/>
  <c r="M108" i="49"/>
  <c r="M104" i="49"/>
  <c r="M106" i="49"/>
  <c r="M92" i="49"/>
  <c r="M120" i="49" l="1"/>
  <c r="M117" i="49"/>
  <c r="L123" i="49"/>
  <c r="M118" i="49"/>
  <c r="M121" i="49"/>
  <c r="M119" i="49"/>
  <c r="M122" i="49"/>
  <c r="M123" i="49" l="1"/>
  <c r="W196" i="49" l="1"/>
  <c r="W194" i="49"/>
  <c r="W190" i="49"/>
  <c r="W189" i="49"/>
  <c r="W187" i="49"/>
  <c r="W186" i="49"/>
  <c r="W185" i="49"/>
  <c r="W184" i="49"/>
  <c r="W183" i="49"/>
  <c r="W181" i="49"/>
  <c r="W180" i="49"/>
  <c r="W179" i="49"/>
  <c r="W178" i="49"/>
  <c r="E215" i="49"/>
  <c r="E216" i="49"/>
  <c r="E217" i="49"/>
  <c r="E218" i="49"/>
  <c r="E219" i="49"/>
  <c r="G219" i="49" s="1"/>
  <c r="E220" i="49"/>
  <c r="G220" i="49" s="1"/>
  <c r="E221" i="49"/>
  <c r="G221" i="49" s="1"/>
  <c r="E222" i="49"/>
  <c r="G222" i="49" s="1"/>
  <c r="E223" i="49"/>
  <c r="G223" i="49" s="1"/>
  <c r="E224" i="49"/>
  <c r="G224" i="49" s="1"/>
  <c r="E225" i="49"/>
  <c r="G225" i="49" s="1"/>
  <c r="E214" i="49"/>
  <c r="D215" i="49"/>
  <c r="D216" i="49"/>
  <c r="D217" i="49"/>
  <c r="D218" i="49"/>
  <c r="O185" i="49" s="1"/>
  <c r="D219" i="49"/>
  <c r="O178" i="49" s="1"/>
  <c r="D220" i="49"/>
  <c r="D223" i="49"/>
  <c r="D225" i="49"/>
  <c r="E3" i="64"/>
  <c r="O202" i="49" l="1"/>
  <c r="S202" i="49" s="1"/>
  <c r="P202" i="49" s="1"/>
  <c r="O195" i="49"/>
  <c r="S204" i="49"/>
  <c r="P204" i="49" s="1"/>
  <c r="S201" i="49"/>
  <c r="P201" i="49" s="1"/>
  <c r="S205" i="49"/>
  <c r="P205" i="49" s="1"/>
  <c r="S198" i="49"/>
  <c r="P198" i="49" s="1"/>
  <c r="S200" i="49"/>
  <c r="P200" i="49" s="1"/>
  <c r="S199" i="49"/>
  <c r="P199" i="49" s="1"/>
  <c r="O182" i="49"/>
  <c r="S182" i="49" s="1"/>
  <c r="P182" i="49" s="1"/>
  <c r="O183" i="49"/>
  <c r="O196" i="49"/>
  <c r="G217" i="49"/>
  <c r="G214" i="49"/>
  <c r="S190" i="49" s="1"/>
  <c r="P190" i="49" s="1"/>
  <c r="G218" i="49"/>
  <c r="S185" i="49" s="1"/>
  <c r="P185" i="49" s="1"/>
  <c r="G216" i="49"/>
  <c r="G215" i="49"/>
  <c r="S187" i="49"/>
  <c r="P187" i="49" s="1"/>
  <c r="S194" i="49"/>
  <c r="P194" i="49" s="1"/>
  <c r="S186" i="49"/>
  <c r="P186" i="49" s="1"/>
  <c r="S193" i="49"/>
  <c r="P193" i="49" s="1"/>
  <c r="S192" i="49"/>
  <c r="P192" i="49" s="1"/>
  <c r="S191" i="49"/>
  <c r="P191" i="49" s="1"/>
  <c r="S183" i="49"/>
  <c r="P183" i="49" s="1"/>
  <c r="S178" i="49"/>
  <c r="P178" i="49" s="1"/>
  <c r="S197" i="49"/>
  <c r="P197" i="49" s="1"/>
  <c r="S181" i="49"/>
  <c r="P181" i="49" s="1"/>
  <c r="S196" i="49"/>
  <c r="P196" i="49" s="1"/>
  <c r="S188" i="49"/>
  <c r="P188" i="49" s="1"/>
  <c r="S180" i="49"/>
  <c r="P180" i="49" s="1"/>
  <c r="S195" i="49"/>
  <c r="P195" i="49" s="1"/>
  <c r="E3" i="57"/>
  <c r="H168" i="49"/>
  <c r="G168" i="49"/>
  <c r="F168" i="49"/>
  <c r="E168" i="49"/>
  <c r="S184" i="49" l="1"/>
  <c r="P184" i="49" s="1"/>
  <c r="S203" i="49"/>
  <c r="S207" i="49"/>
  <c r="P207" i="49" s="1"/>
  <c r="S206" i="49"/>
  <c r="P206" i="49" s="1"/>
  <c r="S208" i="49"/>
  <c r="P208" i="49" s="1"/>
  <c r="S189" i="49"/>
  <c r="P189" i="49" s="1"/>
  <c r="S179" i="49"/>
  <c r="P179" i="49" s="1"/>
  <c r="H155" i="49"/>
  <c r="H202" i="49" s="1"/>
  <c r="H75" i="49" s="1"/>
  <c r="H158" i="49"/>
  <c r="H205" i="49" s="1"/>
  <c r="H78" i="49" s="1"/>
  <c r="H161" i="49"/>
  <c r="H208" i="49" s="1"/>
  <c r="H81" i="49" s="1"/>
  <c r="H153" i="49"/>
  <c r="H200" i="49" s="1"/>
  <c r="H73" i="49" s="1"/>
  <c r="H156" i="49"/>
  <c r="H203" i="49" s="1"/>
  <c r="H76" i="49" s="1"/>
  <c r="H159" i="49"/>
  <c r="H206" i="49" s="1"/>
  <c r="H79" i="49" s="1"/>
  <c r="H154" i="49"/>
  <c r="H201" i="49" s="1"/>
  <c r="H74" i="49" s="1"/>
  <c r="H160" i="49"/>
  <c r="H207" i="49" s="1"/>
  <c r="H80" i="49" s="1"/>
  <c r="H152" i="49"/>
  <c r="H199" i="49" s="1"/>
  <c r="H72" i="49" s="1"/>
  <c r="H157" i="49"/>
  <c r="H204" i="49" s="1"/>
  <c r="H77" i="49" s="1"/>
  <c r="H151" i="49"/>
  <c r="H198" i="49" s="1"/>
  <c r="H71" i="49" s="1"/>
  <c r="E169" i="49"/>
  <c r="E154" i="49"/>
  <c r="E201" i="49" s="1"/>
  <c r="E74" i="49" s="1"/>
  <c r="E157" i="49"/>
  <c r="E151" i="49"/>
  <c r="E160" i="49"/>
  <c r="E207" i="49" s="1"/>
  <c r="E80" i="49" s="1"/>
  <c r="E152" i="49"/>
  <c r="E199" i="49" s="1"/>
  <c r="E72" i="49" s="1"/>
  <c r="E155" i="49"/>
  <c r="E202" i="49" s="1"/>
  <c r="E75" i="49" s="1"/>
  <c r="E158" i="49"/>
  <c r="E205" i="49" s="1"/>
  <c r="E78" i="49" s="1"/>
  <c r="E161" i="49"/>
  <c r="E208" i="49" s="1"/>
  <c r="E81" i="49" s="1"/>
  <c r="E153" i="49"/>
  <c r="E200" i="49" s="1"/>
  <c r="E73" i="49" s="1"/>
  <c r="E156" i="49"/>
  <c r="E203" i="49" s="1"/>
  <c r="E76" i="49" s="1"/>
  <c r="E159" i="49"/>
  <c r="E206" i="49" s="1"/>
  <c r="E79" i="49" s="1"/>
  <c r="F169" i="49"/>
  <c r="F157" i="49"/>
  <c r="F151" i="49"/>
  <c r="F160" i="49"/>
  <c r="F152" i="49"/>
  <c r="F155" i="49"/>
  <c r="F161" i="49"/>
  <c r="F158" i="49"/>
  <c r="F153" i="49"/>
  <c r="F156" i="49"/>
  <c r="F159" i="49"/>
  <c r="F154" i="49"/>
  <c r="G169" i="49"/>
  <c r="G160" i="49"/>
  <c r="G152" i="49"/>
  <c r="G155" i="49"/>
  <c r="G158" i="49"/>
  <c r="G161" i="49"/>
  <c r="G153" i="49"/>
  <c r="G156" i="49"/>
  <c r="G159" i="49"/>
  <c r="G154" i="49"/>
  <c r="G157" i="49"/>
  <c r="G151" i="49"/>
  <c r="H169" i="49"/>
  <c r="H138" i="49"/>
  <c r="H20" i="49" s="1"/>
  <c r="H146" i="49"/>
  <c r="H28" i="49" s="1"/>
  <c r="H131" i="49"/>
  <c r="H149" i="49"/>
  <c r="H31" i="49" s="1"/>
  <c r="H135" i="49"/>
  <c r="H17" i="49" s="1"/>
  <c r="H143" i="49"/>
  <c r="H25" i="49" s="1"/>
  <c r="H132" i="49"/>
  <c r="H14" i="49" s="1"/>
  <c r="H140" i="49"/>
  <c r="H22" i="49" s="1"/>
  <c r="H148" i="49"/>
  <c r="H30" i="49" s="1"/>
  <c r="H137" i="49"/>
  <c r="H19" i="49" s="1"/>
  <c r="H145" i="49"/>
  <c r="H27" i="49" s="1"/>
  <c r="H134" i="49"/>
  <c r="H16" i="49" s="1"/>
  <c r="H142" i="49"/>
  <c r="H24" i="49" s="1"/>
  <c r="H150" i="49"/>
  <c r="H32" i="49" s="1"/>
  <c r="H139" i="49"/>
  <c r="H21" i="49" s="1"/>
  <c r="H147" i="49"/>
  <c r="H29" i="49" s="1"/>
  <c r="H136" i="49"/>
  <c r="H18" i="49" s="1"/>
  <c r="H144" i="49"/>
  <c r="H26" i="49" s="1"/>
  <c r="H133" i="49"/>
  <c r="H15" i="49" s="1"/>
  <c r="H141" i="49"/>
  <c r="H23" i="49" s="1"/>
  <c r="E137" i="49"/>
  <c r="E19" i="49" s="1"/>
  <c r="E145" i="49"/>
  <c r="E27" i="49" s="1"/>
  <c r="E134" i="49"/>
  <c r="E16" i="49" s="1"/>
  <c r="E142" i="49"/>
  <c r="E24" i="49" s="1"/>
  <c r="E150" i="49"/>
  <c r="E32" i="49" s="1"/>
  <c r="E139" i="49"/>
  <c r="E21" i="49" s="1"/>
  <c r="E147" i="49"/>
  <c r="E29" i="49" s="1"/>
  <c r="E131" i="49"/>
  <c r="E136" i="49"/>
  <c r="E18" i="49" s="1"/>
  <c r="E144" i="49"/>
  <c r="E26" i="49" s="1"/>
  <c r="E133" i="49"/>
  <c r="E15" i="49" s="1"/>
  <c r="E141" i="49"/>
  <c r="E23" i="49" s="1"/>
  <c r="E149" i="49"/>
  <c r="E31" i="49" s="1"/>
  <c r="E138" i="49"/>
  <c r="E20" i="49" s="1"/>
  <c r="E146" i="49"/>
  <c r="E28" i="49" s="1"/>
  <c r="E135" i="49"/>
  <c r="E17" i="49" s="1"/>
  <c r="E143" i="49"/>
  <c r="E25" i="49" s="1"/>
  <c r="E132" i="49"/>
  <c r="E14" i="49" s="1"/>
  <c r="E140" i="49"/>
  <c r="E22" i="49" s="1"/>
  <c r="E148" i="49"/>
  <c r="E30" i="49" s="1"/>
  <c r="F132" i="49"/>
  <c r="F14" i="49" s="1"/>
  <c r="F140" i="49"/>
  <c r="F22" i="49" s="1"/>
  <c r="F148" i="49"/>
  <c r="F30" i="49" s="1"/>
  <c r="F143" i="49"/>
  <c r="F25" i="49" s="1"/>
  <c r="F137" i="49"/>
  <c r="F19" i="49" s="1"/>
  <c r="F145" i="49"/>
  <c r="F27" i="49" s="1"/>
  <c r="F134" i="49"/>
  <c r="F16" i="49" s="1"/>
  <c r="F142" i="49"/>
  <c r="F24" i="49" s="1"/>
  <c r="F150" i="49"/>
  <c r="F32" i="49" s="1"/>
  <c r="F139" i="49"/>
  <c r="F21" i="49" s="1"/>
  <c r="F147" i="49"/>
  <c r="F29" i="49" s="1"/>
  <c r="F136" i="49"/>
  <c r="F18" i="49" s="1"/>
  <c r="F144" i="49"/>
  <c r="F26" i="49" s="1"/>
  <c r="F133" i="49"/>
  <c r="F15" i="49" s="1"/>
  <c r="F141" i="49"/>
  <c r="F23" i="49" s="1"/>
  <c r="F149" i="49"/>
  <c r="F31" i="49" s="1"/>
  <c r="F138" i="49"/>
  <c r="F20" i="49" s="1"/>
  <c r="F146" i="49"/>
  <c r="F28" i="49" s="1"/>
  <c r="F131" i="49"/>
  <c r="F135" i="49"/>
  <c r="F17" i="49" s="1"/>
  <c r="G135" i="49"/>
  <c r="G17" i="49" s="1"/>
  <c r="G143" i="49"/>
  <c r="G25" i="49" s="1"/>
  <c r="G132" i="49"/>
  <c r="G14" i="49" s="1"/>
  <c r="G140" i="49"/>
  <c r="G22" i="49" s="1"/>
  <c r="G148" i="49"/>
  <c r="G30" i="49" s="1"/>
  <c r="G137" i="49"/>
  <c r="G19" i="49" s="1"/>
  <c r="G145" i="49"/>
  <c r="G27" i="49" s="1"/>
  <c r="G134" i="49"/>
  <c r="G16" i="49" s="1"/>
  <c r="G142" i="49"/>
  <c r="G24" i="49" s="1"/>
  <c r="G150" i="49"/>
  <c r="G32" i="49" s="1"/>
  <c r="G139" i="49"/>
  <c r="G21" i="49" s="1"/>
  <c r="G147" i="49"/>
  <c r="G29" i="49" s="1"/>
  <c r="G131" i="49"/>
  <c r="G136" i="49"/>
  <c r="G18" i="49" s="1"/>
  <c r="G144" i="49"/>
  <c r="G26" i="49" s="1"/>
  <c r="G133" i="49"/>
  <c r="G15" i="49" s="1"/>
  <c r="G141" i="49"/>
  <c r="G23" i="49" s="1"/>
  <c r="G149" i="49"/>
  <c r="G31" i="49" s="1"/>
  <c r="G138" i="49"/>
  <c r="G20" i="49" s="1"/>
  <c r="G146" i="49"/>
  <c r="G28" i="49" s="1"/>
  <c r="E3" i="55"/>
  <c r="E3" i="54"/>
  <c r="E204" i="49" l="1"/>
  <c r="E77" i="49" s="1"/>
  <c r="G13" i="49"/>
  <c r="F13" i="49"/>
  <c r="H13" i="49"/>
  <c r="E198" i="49"/>
  <c r="E71" i="49" s="1"/>
  <c r="E13" i="49"/>
  <c r="O131" i="49"/>
  <c r="G33" i="49"/>
  <c r="G198" i="49"/>
  <c r="G71" i="49" s="1"/>
  <c r="G39" i="49"/>
  <c r="G204" i="49"/>
  <c r="G77" i="49" s="1"/>
  <c r="G36" i="49"/>
  <c r="G201" i="49"/>
  <c r="G74" i="49" s="1"/>
  <c r="G42" i="49"/>
  <c r="G207" i="49"/>
  <c r="G80" i="49" s="1"/>
  <c r="F37" i="49"/>
  <c r="F202" i="49"/>
  <c r="F75" i="49" s="1"/>
  <c r="G41" i="49"/>
  <c r="G206" i="49"/>
  <c r="G79" i="49" s="1"/>
  <c r="F34" i="49"/>
  <c r="F199" i="49"/>
  <c r="F72" i="49" s="1"/>
  <c r="G38" i="49"/>
  <c r="G203" i="49"/>
  <c r="G76" i="49" s="1"/>
  <c r="F36" i="49"/>
  <c r="F201" i="49"/>
  <c r="F74" i="49" s="1"/>
  <c r="F42" i="49"/>
  <c r="F207" i="49"/>
  <c r="F80" i="49" s="1"/>
  <c r="G37" i="49"/>
  <c r="G202" i="49"/>
  <c r="G75" i="49" s="1"/>
  <c r="F40" i="49"/>
  <c r="F205" i="49"/>
  <c r="F78" i="49" s="1"/>
  <c r="F43" i="49"/>
  <c r="F208" i="49"/>
  <c r="F81" i="49" s="1"/>
  <c r="G35" i="49"/>
  <c r="G200" i="49"/>
  <c r="G73" i="49" s="1"/>
  <c r="F41" i="49"/>
  <c r="F206" i="49"/>
  <c r="F79" i="49" s="1"/>
  <c r="F33" i="49"/>
  <c r="F198" i="49"/>
  <c r="F71" i="49" s="1"/>
  <c r="G43" i="49"/>
  <c r="G208" i="49"/>
  <c r="G81" i="49" s="1"/>
  <c r="F38" i="49"/>
  <c r="F203" i="49"/>
  <c r="F76" i="49" s="1"/>
  <c r="F39" i="49"/>
  <c r="F204" i="49"/>
  <c r="F77" i="49" s="1"/>
  <c r="G34" i="49"/>
  <c r="G199" i="49"/>
  <c r="G72" i="49" s="1"/>
  <c r="G40" i="49"/>
  <c r="G205" i="49"/>
  <c r="G78" i="49" s="1"/>
  <c r="F35" i="49"/>
  <c r="F200" i="49"/>
  <c r="F73" i="49" s="1"/>
  <c r="E35" i="49"/>
  <c r="O153" i="49"/>
  <c r="E36" i="49"/>
  <c r="O154" i="49"/>
  <c r="H38" i="49"/>
  <c r="E40" i="49"/>
  <c r="O158" i="49"/>
  <c r="H33" i="49"/>
  <c r="H43" i="49"/>
  <c r="H35" i="49"/>
  <c r="E37" i="49"/>
  <c r="O155" i="49"/>
  <c r="H39" i="49"/>
  <c r="H40" i="49"/>
  <c r="E43" i="49"/>
  <c r="O161" i="49"/>
  <c r="E34" i="49"/>
  <c r="O152" i="49"/>
  <c r="H34" i="49"/>
  <c r="H37" i="49"/>
  <c r="E42" i="49"/>
  <c r="O160" i="49"/>
  <c r="H42" i="49"/>
  <c r="E41" i="49"/>
  <c r="O159" i="49"/>
  <c r="E33" i="49"/>
  <c r="O151" i="49"/>
  <c r="H36" i="49"/>
  <c r="E38" i="49"/>
  <c r="O156" i="49"/>
  <c r="Q156" i="49" s="1"/>
  <c r="E39" i="49"/>
  <c r="O157" i="49"/>
  <c r="H41" i="49"/>
  <c r="I158" i="49"/>
  <c r="I161" i="49"/>
  <c r="I153" i="49"/>
  <c r="I156" i="49"/>
  <c r="I159" i="49"/>
  <c r="I206" i="49" s="1"/>
  <c r="I79" i="49" s="1"/>
  <c r="I154" i="49"/>
  <c r="I201" i="49" s="1"/>
  <c r="I157" i="49"/>
  <c r="I151" i="49"/>
  <c r="I160" i="49"/>
  <c r="I207" i="49" s="1"/>
  <c r="I152" i="49"/>
  <c r="I155" i="49"/>
  <c r="I133" i="49"/>
  <c r="I141" i="49"/>
  <c r="I149" i="49"/>
  <c r="I138" i="49"/>
  <c r="I146" i="49"/>
  <c r="I131" i="49"/>
  <c r="I135" i="49"/>
  <c r="I143" i="49"/>
  <c r="I132" i="49"/>
  <c r="I140" i="49"/>
  <c r="I148" i="49"/>
  <c r="I30" i="49" s="1"/>
  <c r="I137" i="49"/>
  <c r="I145" i="49"/>
  <c r="I144" i="49"/>
  <c r="I134" i="49"/>
  <c r="I142" i="49"/>
  <c r="I150" i="49"/>
  <c r="I139" i="49"/>
  <c r="I147" i="49"/>
  <c r="I29" i="49" s="1"/>
  <c r="I136" i="49"/>
  <c r="G180" i="49"/>
  <c r="G53" i="49" s="1"/>
  <c r="G181" i="49"/>
  <c r="G54" i="49" s="1"/>
  <c r="F185" i="49"/>
  <c r="F58" i="49" s="1"/>
  <c r="F197" i="49"/>
  <c r="F70" i="49" s="1"/>
  <c r="F179" i="49"/>
  <c r="F52" i="49" s="1"/>
  <c r="O146" i="49"/>
  <c r="E193" i="49"/>
  <c r="E66" i="49" s="1"/>
  <c r="O147" i="49"/>
  <c r="E194" i="49"/>
  <c r="E67" i="49" s="1"/>
  <c r="H186" i="49"/>
  <c r="H59" i="49" s="1"/>
  <c r="H179" i="49"/>
  <c r="H52" i="49" s="1"/>
  <c r="G191" i="49"/>
  <c r="G64" i="49" s="1"/>
  <c r="G192" i="49"/>
  <c r="G65" i="49" s="1"/>
  <c r="F196" i="49"/>
  <c r="F69" i="49" s="1"/>
  <c r="F189" i="49"/>
  <c r="F62" i="49" s="1"/>
  <c r="O138" i="49"/>
  <c r="Q138" i="49" s="1"/>
  <c r="E185" i="49"/>
  <c r="E58" i="49" s="1"/>
  <c r="O139" i="49"/>
  <c r="E186" i="49"/>
  <c r="E59" i="49" s="1"/>
  <c r="H197" i="49"/>
  <c r="H70" i="49" s="1"/>
  <c r="H190" i="49"/>
  <c r="H63" i="49" s="1"/>
  <c r="G183" i="49"/>
  <c r="G56" i="49" s="1"/>
  <c r="G184" i="49"/>
  <c r="G57" i="49" s="1"/>
  <c r="F188" i="49"/>
  <c r="F61" i="49" s="1"/>
  <c r="F181" i="49"/>
  <c r="F54" i="49" s="1"/>
  <c r="E196" i="49"/>
  <c r="E69" i="49" s="1"/>
  <c r="O149" i="49"/>
  <c r="O150" i="49"/>
  <c r="E197" i="49"/>
  <c r="E70" i="49" s="1"/>
  <c r="H189" i="49"/>
  <c r="H62" i="49" s="1"/>
  <c r="H182" i="49"/>
  <c r="H55" i="49" s="1"/>
  <c r="G178" i="49"/>
  <c r="G51" i="49" s="1"/>
  <c r="G195" i="49"/>
  <c r="G68" i="49" s="1"/>
  <c r="F180" i="49"/>
  <c r="F53" i="49" s="1"/>
  <c r="F192" i="49"/>
  <c r="F65" i="49" s="1"/>
  <c r="O148" i="49"/>
  <c r="E195" i="49"/>
  <c r="E68" i="49" s="1"/>
  <c r="E188" i="49"/>
  <c r="E61" i="49" s="1"/>
  <c r="O141" i="49"/>
  <c r="O142" i="49"/>
  <c r="E189" i="49"/>
  <c r="E62" i="49" s="1"/>
  <c r="H188" i="49"/>
  <c r="H61" i="49" s="1"/>
  <c r="H181" i="49"/>
  <c r="H54" i="49" s="1"/>
  <c r="H196" i="49"/>
  <c r="H69" i="49" s="1"/>
  <c r="G193" i="49"/>
  <c r="G66" i="49" s="1"/>
  <c r="G194" i="49"/>
  <c r="G67" i="49" s="1"/>
  <c r="G187" i="49"/>
  <c r="G60" i="49" s="1"/>
  <c r="F191" i="49"/>
  <c r="F64" i="49" s="1"/>
  <c r="F184" i="49"/>
  <c r="F57" i="49" s="1"/>
  <c r="O140" i="49"/>
  <c r="E187" i="49"/>
  <c r="E60" i="49" s="1"/>
  <c r="E180" i="49"/>
  <c r="E53" i="49" s="1"/>
  <c r="O133" i="49"/>
  <c r="O134" i="49"/>
  <c r="E181" i="49"/>
  <c r="E54" i="49" s="1"/>
  <c r="H180" i="49"/>
  <c r="H53" i="49" s="1"/>
  <c r="H192" i="49"/>
  <c r="H65" i="49" s="1"/>
  <c r="H178" i="49"/>
  <c r="H51" i="49" s="1"/>
  <c r="P123" i="49"/>
  <c r="G185" i="49"/>
  <c r="G58" i="49" s="1"/>
  <c r="G186" i="49"/>
  <c r="G59" i="49" s="1"/>
  <c r="G179" i="49"/>
  <c r="G52" i="49" s="1"/>
  <c r="F182" i="49"/>
  <c r="F55" i="49" s="1"/>
  <c r="F183" i="49"/>
  <c r="F56" i="49" s="1"/>
  <c r="F190" i="49"/>
  <c r="F63" i="49" s="1"/>
  <c r="O132" i="49"/>
  <c r="E179" i="49"/>
  <c r="E52" i="49" s="1"/>
  <c r="O144" i="49"/>
  <c r="E191" i="49"/>
  <c r="E64" i="49" s="1"/>
  <c r="O145" i="49"/>
  <c r="Q145" i="49" s="1"/>
  <c r="E192" i="49"/>
  <c r="E65" i="49" s="1"/>
  <c r="H191" i="49"/>
  <c r="H64" i="49" s="1"/>
  <c r="H184" i="49"/>
  <c r="H57" i="49" s="1"/>
  <c r="H193" i="49"/>
  <c r="H66" i="49" s="1"/>
  <c r="G196" i="49"/>
  <c r="G69" i="49" s="1"/>
  <c r="G197" i="49"/>
  <c r="G70" i="49" s="1"/>
  <c r="G190" i="49"/>
  <c r="G63" i="49" s="1"/>
  <c r="F178" i="49"/>
  <c r="F51" i="49" s="1"/>
  <c r="F194" i="49"/>
  <c r="F67" i="49" s="1"/>
  <c r="F195" i="49"/>
  <c r="F68" i="49" s="1"/>
  <c r="E190" i="49"/>
  <c r="E63" i="49" s="1"/>
  <c r="O143" i="49"/>
  <c r="O136" i="49"/>
  <c r="E183" i="49"/>
  <c r="E56" i="49" s="1"/>
  <c r="O137" i="49"/>
  <c r="E184" i="49"/>
  <c r="E57" i="49" s="1"/>
  <c r="H183" i="49"/>
  <c r="H56" i="49" s="1"/>
  <c r="H195" i="49"/>
  <c r="H68" i="49" s="1"/>
  <c r="H185" i="49"/>
  <c r="H58" i="49" s="1"/>
  <c r="O123" i="49"/>
  <c r="G188" i="49"/>
  <c r="G61" i="49" s="1"/>
  <c r="G189" i="49"/>
  <c r="G62" i="49" s="1"/>
  <c r="G182" i="49"/>
  <c r="G55" i="49" s="1"/>
  <c r="F193" i="49"/>
  <c r="F66" i="49" s="1"/>
  <c r="F186" i="49"/>
  <c r="F59" i="49" s="1"/>
  <c r="F187" i="49"/>
  <c r="F60" i="49" s="1"/>
  <c r="E182" i="49"/>
  <c r="E55" i="49" s="1"/>
  <c r="O135" i="49"/>
  <c r="E178" i="49"/>
  <c r="H194" i="49"/>
  <c r="H67" i="49" s="1"/>
  <c r="H187" i="49"/>
  <c r="H60" i="49" s="1"/>
  <c r="E3" i="49"/>
  <c r="I13" i="49" l="1"/>
  <c r="G44" i="49"/>
  <c r="G45" i="49" s="1"/>
  <c r="H44" i="49"/>
  <c r="H45" i="49" s="1"/>
  <c r="F44" i="49"/>
  <c r="F45" i="49" s="1"/>
  <c r="E44" i="49"/>
  <c r="P160" i="49"/>
  <c r="P154" i="49"/>
  <c r="P159" i="49"/>
  <c r="P153" i="49"/>
  <c r="I200" i="49"/>
  <c r="P152" i="49"/>
  <c r="I199" i="49"/>
  <c r="P161" i="49"/>
  <c r="I208" i="49"/>
  <c r="E51" i="49"/>
  <c r="I80" i="49"/>
  <c r="P158" i="49"/>
  <c r="I205" i="49"/>
  <c r="P151" i="49"/>
  <c r="I198" i="49"/>
  <c r="P157" i="49"/>
  <c r="I204" i="49"/>
  <c r="P156" i="49"/>
  <c r="I203" i="49"/>
  <c r="P155" i="49"/>
  <c r="I202" i="49"/>
  <c r="I74" i="49"/>
  <c r="O79" i="49"/>
  <c r="P134" i="49"/>
  <c r="I16" i="49"/>
  <c r="O16" i="49" s="1"/>
  <c r="P135" i="49"/>
  <c r="I17" i="49"/>
  <c r="O17" i="49" s="1"/>
  <c r="P144" i="49"/>
  <c r="I26" i="49"/>
  <c r="P145" i="49"/>
  <c r="I27" i="49"/>
  <c r="O27" i="49" s="1"/>
  <c r="P146" i="49"/>
  <c r="I28" i="49"/>
  <c r="O28" i="49" s="1"/>
  <c r="P136" i="49"/>
  <c r="I18" i="49"/>
  <c r="P137" i="49"/>
  <c r="I19" i="49"/>
  <c r="P138" i="49"/>
  <c r="I20" i="49"/>
  <c r="P149" i="49"/>
  <c r="I31" i="49"/>
  <c r="P139" i="49"/>
  <c r="I21" i="49"/>
  <c r="P140" i="49"/>
  <c r="I22" i="49"/>
  <c r="O22" i="49" s="1"/>
  <c r="P141" i="49"/>
  <c r="I23" i="49"/>
  <c r="O23" i="49" s="1"/>
  <c r="P132" i="49"/>
  <c r="I14" i="49"/>
  <c r="P133" i="49"/>
  <c r="I15" i="49"/>
  <c r="P142" i="49"/>
  <c r="I24" i="49"/>
  <c r="O24" i="49" s="1"/>
  <c r="P143" i="49"/>
  <c r="I25" i="49"/>
  <c r="J156" i="49"/>
  <c r="J203" i="49" s="1"/>
  <c r="I38" i="49"/>
  <c r="J155" i="49"/>
  <c r="J202" i="49" s="1"/>
  <c r="I37" i="49"/>
  <c r="J160" i="49"/>
  <c r="J207" i="49" s="1"/>
  <c r="I42" i="49"/>
  <c r="J158" i="49"/>
  <c r="J205" i="49" s="1"/>
  <c r="I40" i="49"/>
  <c r="J153" i="49"/>
  <c r="J200" i="49" s="1"/>
  <c r="I35" i="49"/>
  <c r="J152" i="49"/>
  <c r="J199" i="49" s="1"/>
  <c r="I34" i="49"/>
  <c r="J151" i="49"/>
  <c r="J198" i="49" s="1"/>
  <c r="I33" i="49"/>
  <c r="J157" i="49"/>
  <c r="J204" i="49" s="1"/>
  <c r="I39" i="49"/>
  <c r="J159" i="49"/>
  <c r="J206" i="49" s="1"/>
  <c r="J79" i="49" s="1"/>
  <c r="I41" i="49"/>
  <c r="J161" i="49"/>
  <c r="J208" i="49" s="1"/>
  <c r="I43" i="49"/>
  <c r="P150" i="49"/>
  <c r="I32" i="49"/>
  <c r="O32" i="49" s="1"/>
  <c r="J154" i="49"/>
  <c r="J201" i="49" s="1"/>
  <c r="I36" i="49"/>
  <c r="H82" i="49"/>
  <c r="H83" i="49" s="1"/>
  <c r="F82" i="49"/>
  <c r="F83" i="49" s="1"/>
  <c r="G82" i="49"/>
  <c r="G83" i="49" s="1"/>
  <c r="P131" i="49"/>
  <c r="O13" i="49"/>
  <c r="J138" i="49"/>
  <c r="J185" i="49" s="1"/>
  <c r="J134" i="49"/>
  <c r="J131" i="49"/>
  <c r="J145" i="49"/>
  <c r="J192" i="49" s="1"/>
  <c r="J133" i="49"/>
  <c r="J180" i="49" s="1"/>
  <c r="J132" i="49"/>
  <c r="J147" i="49"/>
  <c r="J194" i="49" s="1"/>
  <c r="J148" i="49"/>
  <c r="J195" i="49" s="1"/>
  <c r="P148" i="49"/>
  <c r="P147" i="49"/>
  <c r="J144" i="49"/>
  <c r="J191" i="49" s="1"/>
  <c r="I189" i="49"/>
  <c r="I62" i="49" s="1"/>
  <c r="I191" i="49"/>
  <c r="I64" i="49" s="1"/>
  <c r="I190" i="49"/>
  <c r="I63" i="49" s="1"/>
  <c r="J137" i="49"/>
  <c r="I184" i="49"/>
  <c r="I57" i="49" s="1"/>
  <c r="J143" i="49"/>
  <c r="I192" i="49"/>
  <c r="I65" i="49" s="1"/>
  <c r="I188" i="49"/>
  <c r="I61" i="49" s="1"/>
  <c r="J141" i="49"/>
  <c r="I181" i="49"/>
  <c r="I185" i="49"/>
  <c r="I58" i="49" s="1"/>
  <c r="I196" i="49"/>
  <c r="I69" i="49" s="1"/>
  <c r="I179" i="49"/>
  <c r="I52" i="49" s="1"/>
  <c r="J149" i="49"/>
  <c r="O29" i="49"/>
  <c r="I194" i="49"/>
  <c r="I67" i="49" s="1"/>
  <c r="I182" i="49"/>
  <c r="I55" i="49" s="1"/>
  <c r="J135" i="49"/>
  <c r="I183" i="49"/>
  <c r="I56" i="49" s="1"/>
  <c r="J142" i="49"/>
  <c r="I195" i="49"/>
  <c r="I68" i="49" s="1"/>
  <c r="I178" i="49"/>
  <c r="I193" i="49"/>
  <c r="I66" i="49" s="1"/>
  <c r="J146" i="49"/>
  <c r="I186" i="49"/>
  <c r="I59" i="49" s="1"/>
  <c r="J136" i="49"/>
  <c r="J139" i="49"/>
  <c r="I187" i="49"/>
  <c r="I60" i="49" s="1"/>
  <c r="J140" i="49"/>
  <c r="I197" i="49"/>
  <c r="J150" i="49"/>
  <c r="I180" i="49"/>
  <c r="I53" i="49" s="1"/>
  <c r="C2" i="14"/>
  <c r="C3" i="14"/>
  <c r="J21" i="49" l="1"/>
  <c r="J186" i="49"/>
  <c r="J14" i="49"/>
  <c r="J179" i="49"/>
  <c r="J18" i="49"/>
  <c r="J183" i="49"/>
  <c r="J23" i="49"/>
  <c r="J188" i="49"/>
  <c r="J28" i="49"/>
  <c r="J193" i="49"/>
  <c r="J17" i="49"/>
  <c r="J182" i="49"/>
  <c r="J32" i="49"/>
  <c r="J197" i="49"/>
  <c r="J31" i="49"/>
  <c r="J196" i="49"/>
  <c r="J69" i="49" s="1"/>
  <c r="J25" i="49"/>
  <c r="J190" i="49"/>
  <c r="J22" i="49"/>
  <c r="J187" i="49"/>
  <c r="J24" i="49"/>
  <c r="J189" i="49"/>
  <c r="J19" i="49"/>
  <c r="J184" i="49"/>
  <c r="J16" i="49"/>
  <c r="J181" i="49"/>
  <c r="J13" i="49"/>
  <c r="J178" i="49"/>
  <c r="I54" i="49"/>
  <c r="O54" i="49" s="1"/>
  <c r="I51" i="49"/>
  <c r="I44" i="49"/>
  <c r="I45" i="49" s="1"/>
  <c r="E82" i="49"/>
  <c r="E83" i="49" s="1"/>
  <c r="I75" i="49"/>
  <c r="I81" i="49"/>
  <c r="O51" i="49"/>
  <c r="I76" i="49"/>
  <c r="I78" i="49"/>
  <c r="I72" i="49"/>
  <c r="I71" i="49"/>
  <c r="O74" i="49"/>
  <c r="J74" i="49"/>
  <c r="I70" i="49"/>
  <c r="O70" i="49" s="1"/>
  <c r="I77" i="49"/>
  <c r="O80" i="49"/>
  <c r="I73" i="49"/>
  <c r="J80" i="49"/>
  <c r="K144" i="49"/>
  <c r="K191" i="49" s="1"/>
  <c r="J26" i="49"/>
  <c r="K145" i="49"/>
  <c r="K192" i="49" s="1"/>
  <c r="J27" i="49"/>
  <c r="K138" i="49"/>
  <c r="K185" i="49" s="1"/>
  <c r="J20" i="49"/>
  <c r="K133" i="49"/>
  <c r="K180" i="49" s="1"/>
  <c r="J15" i="49"/>
  <c r="K148" i="49"/>
  <c r="J30" i="49"/>
  <c r="K147" i="49"/>
  <c r="K194" i="49" s="1"/>
  <c r="J29" i="49"/>
  <c r="O36" i="49"/>
  <c r="O39" i="49"/>
  <c r="O40" i="49"/>
  <c r="K154" i="49"/>
  <c r="K201" i="49" s="1"/>
  <c r="J36" i="49"/>
  <c r="K157" i="49"/>
  <c r="K204" i="49" s="1"/>
  <c r="J39" i="49"/>
  <c r="K158" i="49"/>
  <c r="K205" i="49" s="1"/>
  <c r="J40" i="49"/>
  <c r="O33" i="49"/>
  <c r="O42" i="49"/>
  <c r="K151" i="49"/>
  <c r="K198" i="49" s="1"/>
  <c r="J33" i="49"/>
  <c r="K160" i="49"/>
  <c r="K207" i="49" s="1"/>
  <c r="J42" i="49"/>
  <c r="O43" i="49"/>
  <c r="O34" i="49"/>
  <c r="O37" i="49"/>
  <c r="K161" i="49"/>
  <c r="K208" i="49" s="1"/>
  <c r="J43" i="49"/>
  <c r="K152" i="49"/>
  <c r="K199" i="49" s="1"/>
  <c r="J34" i="49"/>
  <c r="K155" i="49"/>
  <c r="K202" i="49" s="1"/>
  <c r="J37" i="49"/>
  <c r="O41" i="49"/>
  <c r="O35" i="49"/>
  <c r="O38" i="49"/>
  <c r="K159" i="49"/>
  <c r="K206" i="49" s="1"/>
  <c r="K79" i="49" s="1"/>
  <c r="J41" i="49"/>
  <c r="K153" i="49"/>
  <c r="K200" i="49" s="1"/>
  <c r="J35" i="49"/>
  <c r="K156" i="49"/>
  <c r="K203" i="49" s="1"/>
  <c r="J38" i="49"/>
  <c r="J65" i="49"/>
  <c r="O67" i="49"/>
  <c r="J67" i="49"/>
  <c r="O58" i="49"/>
  <c r="J58" i="49"/>
  <c r="O53" i="49"/>
  <c r="J53" i="49"/>
  <c r="J68" i="49"/>
  <c r="J54" i="49"/>
  <c r="J62" i="49"/>
  <c r="J70" i="49"/>
  <c r="O55" i="49"/>
  <c r="J55" i="49"/>
  <c r="O56" i="49"/>
  <c r="J56" i="49"/>
  <c r="J52" i="49"/>
  <c r="O59" i="49"/>
  <c r="J59" i="49"/>
  <c r="O57" i="49"/>
  <c r="J57" i="49"/>
  <c r="O63" i="49"/>
  <c r="J63" i="49"/>
  <c r="J60" i="49"/>
  <c r="O66" i="49"/>
  <c r="J66" i="49"/>
  <c r="O61" i="49"/>
  <c r="J61" i="49"/>
  <c r="J64" i="49"/>
  <c r="E2" i="64"/>
  <c r="E2" i="57"/>
  <c r="E2" i="54"/>
  <c r="E2" i="55"/>
  <c r="O15" i="49"/>
  <c r="O30" i="49"/>
  <c r="O19" i="49"/>
  <c r="O20" i="49"/>
  <c r="O18" i="49"/>
  <c r="O14" i="49"/>
  <c r="O21" i="49"/>
  <c r="O25" i="49"/>
  <c r="E45" i="49"/>
  <c r="O31" i="49"/>
  <c r="O26" i="49"/>
  <c r="K132" i="49"/>
  <c r="K179" i="49" s="1"/>
  <c r="K134" i="49"/>
  <c r="K181" i="49" s="1"/>
  <c r="K143" i="49"/>
  <c r="K141" i="49"/>
  <c r="K150" i="49"/>
  <c r="K136" i="49"/>
  <c r="K139" i="49"/>
  <c r="K142" i="49"/>
  <c r="K146" i="49"/>
  <c r="K149" i="49"/>
  <c r="K135" i="49"/>
  <c r="K140" i="49"/>
  <c r="K137" i="49"/>
  <c r="E2" i="49"/>
  <c r="N249" i="54" l="1"/>
  <c r="E367" i="67" s="1"/>
  <c r="N174" i="54"/>
  <c r="E291" i="67" s="1"/>
  <c r="K98" i="54"/>
  <c r="N98" i="54" s="1"/>
  <c r="E213" i="67" s="1"/>
  <c r="K21" i="49"/>
  <c r="K186" i="49"/>
  <c r="K59" i="49" s="1"/>
  <c r="K24" i="49"/>
  <c r="K189" i="49"/>
  <c r="K18" i="49"/>
  <c r="K183" i="49"/>
  <c r="K30" i="49"/>
  <c r="K195" i="49"/>
  <c r="K32" i="49"/>
  <c r="K197" i="49"/>
  <c r="K70" i="49" s="1"/>
  <c r="K22" i="49"/>
  <c r="K187" i="49"/>
  <c r="K23" i="49"/>
  <c r="K188" i="49"/>
  <c r="K17" i="49"/>
  <c r="K182" i="49"/>
  <c r="K55" i="49" s="1"/>
  <c r="K31" i="49"/>
  <c r="K196" i="49"/>
  <c r="K69" i="49" s="1"/>
  <c r="K19" i="49"/>
  <c r="K184" i="49"/>
  <c r="K25" i="49"/>
  <c r="K190" i="49"/>
  <c r="K28" i="49"/>
  <c r="K193" i="49"/>
  <c r="K66" i="49" s="1"/>
  <c r="L206" i="49"/>
  <c r="L79" i="49" s="1"/>
  <c r="J44" i="49"/>
  <c r="L207" i="49"/>
  <c r="K80" i="49"/>
  <c r="O72" i="49"/>
  <c r="O77" i="49"/>
  <c r="O73" i="49"/>
  <c r="L201" i="49"/>
  <c r="K74" i="49"/>
  <c r="O78" i="49"/>
  <c r="J81" i="49"/>
  <c r="O71" i="49"/>
  <c r="J73" i="49"/>
  <c r="O76" i="49"/>
  <c r="J75" i="49"/>
  <c r="J72" i="49"/>
  <c r="J78" i="49"/>
  <c r="J76" i="49"/>
  <c r="O75" i="49"/>
  <c r="O81" i="49"/>
  <c r="L148" i="49"/>
  <c r="L30" i="49" s="1"/>
  <c r="J77" i="49"/>
  <c r="J71" i="49"/>
  <c r="J51" i="49"/>
  <c r="L133" i="49"/>
  <c r="K15" i="49"/>
  <c r="L134" i="49"/>
  <c r="L16" i="49" s="1"/>
  <c r="K16" i="49"/>
  <c r="L138" i="49"/>
  <c r="K20" i="49"/>
  <c r="L147" i="49"/>
  <c r="K29" i="49"/>
  <c r="L145" i="49"/>
  <c r="K27" i="49"/>
  <c r="L132" i="49"/>
  <c r="L14" i="49" s="1"/>
  <c r="K14" i="49"/>
  <c r="L144" i="49"/>
  <c r="K26" i="49"/>
  <c r="L159" i="49"/>
  <c r="K41" i="49"/>
  <c r="L152" i="49"/>
  <c r="K34" i="49"/>
  <c r="L155" i="49"/>
  <c r="K37" i="49"/>
  <c r="L154" i="49"/>
  <c r="K36" i="49"/>
  <c r="L156" i="49"/>
  <c r="K38" i="49"/>
  <c r="L161" i="49"/>
  <c r="K43" i="49"/>
  <c r="L160" i="49"/>
  <c r="K42" i="49"/>
  <c r="L158" i="49"/>
  <c r="K40" i="49"/>
  <c r="L153" i="49"/>
  <c r="K35" i="49"/>
  <c r="L151" i="49"/>
  <c r="K33" i="49"/>
  <c r="L157" i="49"/>
  <c r="K39" i="49"/>
  <c r="I82" i="49"/>
  <c r="O82" i="49" s="1"/>
  <c r="O65" i="49"/>
  <c r="O68" i="49"/>
  <c r="O69" i="49"/>
  <c r="O60" i="49"/>
  <c r="O62" i="49"/>
  <c r="K64" i="49"/>
  <c r="K60" i="49"/>
  <c r="K53" i="49"/>
  <c r="K61" i="49"/>
  <c r="K63" i="49"/>
  <c r="K52" i="49"/>
  <c r="K62" i="49"/>
  <c r="K58" i="49"/>
  <c r="K57" i="49"/>
  <c r="K56" i="49"/>
  <c r="K54" i="49"/>
  <c r="K67" i="49"/>
  <c r="O52" i="49"/>
  <c r="O64" i="49"/>
  <c r="K68" i="49"/>
  <c r="K65" i="49"/>
  <c r="O44" i="49"/>
  <c r="O45" i="49"/>
  <c r="L135" i="49"/>
  <c r="L17" i="49" s="1"/>
  <c r="L139" i="49"/>
  <c r="L21" i="49" s="1"/>
  <c r="L143" i="49"/>
  <c r="L25" i="49" s="1"/>
  <c r="L149" i="49"/>
  <c r="L31" i="49" s="1"/>
  <c r="L136" i="49"/>
  <c r="L18" i="49" s="1"/>
  <c r="L140" i="49"/>
  <c r="L22" i="49" s="1"/>
  <c r="L137" i="49"/>
  <c r="L19" i="49" s="1"/>
  <c r="L146" i="49"/>
  <c r="L28" i="49" s="1"/>
  <c r="L150" i="49"/>
  <c r="L32" i="49" s="1"/>
  <c r="L142" i="49"/>
  <c r="L24" i="49" s="1"/>
  <c r="L141" i="49"/>
  <c r="L23" i="49" s="1"/>
  <c r="K131" i="49"/>
  <c r="R38" i="49" l="1"/>
  <c r="J46" i="49"/>
  <c r="N239" i="54"/>
  <c r="E357" i="67" s="1"/>
  <c r="K88" i="54"/>
  <c r="N88" i="54" s="1"/>
  <c r="E203" i="67" s="1"/>
  <c r="N164" i="54"/>
  <c r="E281" i="67" s="1"/>
  <c r="U213" i="67"/>
  <c r="X213" i="67"/>
  <c r="AA213" i="67"/>
  <c r="E282" i="67"/>
  <c r="N240" i="54"/>
  <c r="E358" i="67" s="1"/>
  <c r="K89" i="54"/>
  <c r="N89" i="54" s="1"/>
  <c r="E204" i="67" s="1"/>
  <c r="N165" i="54"/>
  <c r="N225" i="54"/>
  <c r="E343" i="67" s="1"/>
  <c r="N150" i="54"/>
  <c r="E267" i="67" s="1"/>
  <c r="K74" i="54"/>
  <c r="N74" i="54" s="1"/>
  <c r="E189" i="67" s="1"/>
  <c r="E446" i="67"/>
  <c r="U291" i="67"/>
  <c r="AA291" i="67"/>
  <c r="X291" i="67"/>
  <c r="E271" i="67"/>
  <c r="E193" i="67"/>
  <c r="N229" i="54"/>
  <c r="E347" i="67" s="1"/>
  <c r="K78" i="54"/>
  <c r="N78" i="54" s="1"/>
  <c r="N154" i="54"/>
  <c r="E200" i="67"/>
  <c r="N236" i="54"/>
  <c r="E354" i="67" s="1"/>
  <c r="K85" i="54"/>
  <c r="N85" i="54" s="1"/>
  <c r="N161" i="54"/>
  <c r="E278" i="67" s="1"/>
  <c r="AA367" i="67"/>
  <c r="X367" i="67"/>
  <c r="U367" i="67"/>
  <c r="E274" i="67"/>
  <c r="E196" i="67"/>
  <c r="N232" i="54"/>
  <c r="E350" i="67" s="1"/>
  <c r="N157" i="54"/>
  <c r="K81" i="54"/>
  <c r="N81" i="54" s="1"/>
  <c r="K49" i="54"/>
  <c r="N49" i="54" s="1"/>
  <c r="E318" i="67"/>
  <c r="E164" i="67"/>
  <c r="N200" i="54"/>
  <c r="N124" i="54"/>
  <c r="E242" i="67" s="1"/>
  <c r="N244" i="54"/>
  <c r="E362" i="67" s="1"/>
  <c r="K93" i="54"/>
  <c r="N93" i="54" s="1"/>
  <c r="E208" i="67" s="1"/>
  <c r="N169" i="54"/>
  <c r="E286" i="67" s="1"/>
  <c r="L98" i="54"/>
  <c r="O98" i="54" s="1"/>
  <c r="F213" i="67" s="1"/>
  <c r="F291" i="67"/>
  <c r="O249" i="54"/>
  <c r="F367" i="67" s="1"/>
  <c r="O174" i="54"/>
  <c r="K53" i="54"/>
  <c r="N53" i="54" s="1"/>
  <c r="E322" i="67"/>
  <c r="E246" i="67"/>
  <c r="E168" i="67"/>
  <c r="N204" i="54"/>
  <c r="N128" i="54"/>
  <c r="K54" i="54"/>
  <c r="N54" i="54" s="1"/>
  <c r="E323" i="67"/>
  <c r="E169" i="67"/>
  <c r="N205" i="54"/>
  <c r="N129" i="54"/>
  <c r="E247" i="67" s="1"/>
  <c r="K43" i="54"/>
  <c r="N43" i="54" s="1"/>
  <c r="E158" i="67"/>
  <c r="N194" i="54"/>
  <c r="E312" i="67" s="1"/>
  <c r="N118" i="54"/>
  <c r="E236" i="67" s="1"/>
  <c r="K51" i="54"/>
  <c r="N51" i="54" s="1"/>
  <c r="E166" i="67" s="1"/>
  <c r="E244" i="67"/>
  <c r="N202" i="54"/>
  <c r="E320" i="67" s="1"/>
  <c r="N126" i="54"/>
  <c r="L54" i="54"/>
  <c r="O54" i="54" s="1"/>
  <c r="F247" i="67"/>
  <c r="F323" i="67"/>
  <c r="F169" i="67"/>
  <c r="O205" i="54"/>
  <c r="O129" i="54"/>
  <c r="K56" i="54"/>
  <c r="N56" i="54" s="1"/>
  <c r="E171" i="67"/>
  <c r="N207" i="54"/>
  <c r="E325" i="67" s="1"/>
  <c r="N131" i="54"/>
  <c r="E249" i="67" s="1"/>
  <c r="N222" i="54"/>
  <c r="E340" i="67" s="1"/>
  <c r="K71" i="54"/>
  <c r="N71" i="54" s="1"/>
  <c r="E186" i="67" s="1"/>
  <c r="N147" i="54"/>
  <c r="E264" i="67" s="1"/>
  <c r="K50" i="54"/>
  <c r="N50" i="54" s="1"/>
  <c r="E165" i="67" s="1"/>
  <c r="N201" i="54"/>
  <c r="E319" i="67" s="1"/>
  <c r="N125" i="54"/>
  <c r="E243" i="67" s="1"/>
  <c r="K39" i="54"/>
  <c r="N39" i="54" s="1"/>
  <c r="E154" i="67" s="1"/>
  <c r="E308" i="67"/>
  <c r="E232" i="67"/>
  <c r="N190" i="54"/>
  <c r="N114" i="54"/>
  <c r="K52" i="54"/>
  <c r="N52" i="54" s="1"/>
  <c r="E245" i="67"/>
  <c r="E167" i="67"/>
  <c r="N203" i="54"/>
  <c r="E321" i="67" s="1"/>
  <c r="N127" i="54"/>
  <c r="K37" i="54"/>
  <c r="N37" i="54" s="1"/>
  <c r="E152" i="67"/>
  <c r="N188" i="54"/>
  <c r="E306" i="67" s="1"/>
  <c r="N112" i="54"/>
  <c r="E230" i="67" s="1"/>
  <c r="E351" i="67"/>
  <c r="N233" i="54"/>
  <c r="N158" i="54"/>
  <c r="E275" i="67" s="1"/>
  <c r="K82" i="54"/>
  <c r="N82" i="54" s="1"/>
  <c r="E197" i="67" s="1"/>
  <c r="L44" i="54"/>
  <c r="O44" i="54" s="1"/>
  <c r="F159" i="67" s="1"/>
  <c r="F313" i="67"/>
  <c r="F237" i="67"/>
  <c r="O119" i="54"/>
  <c r="O195" i="54"/>
  <c r="K62" i="54"/>
  <c r="N62" i="54" s="1"/>
  <c r="E255" i="67"/>
  <c r="E177" i="67"/>
  <c r="N213" i="54"/>
  <c r="E331" i="67" s="1"/>
  <c r="N137" i="54"/>
  <c r="K58" i="54"/>
  <c r="N58" i="54" s="1"/>
  <c r="N209" i="54"/>
  <c r="E327" i="67" s="1"/>
  <c r="E173" i="67"/>
  <c r="N133" i="54"/>
  <c r="E251" i="67" s="1"/>
  <c r="K48" i="54"/>
  <c r="N48" i="54" s="1"/>
  <c r="E163" i="67" s="1"/>
  <c r="N199" i="54"/>
  <c r="E317" i="67" s="1"/>
  <c r="N123" i="54"/>
  <c r="E241" i="67" s="1"/>
  <c r="K42" i="54"/>
  <c r="E311" i="67"/>
  <c r="N193" i="54"/>
  <c r="L50" i="54"/>
  <c r="O50" i="54" s="1"/>
  <c r="F243" i="67"/>
  <c r="F165" i="67"/>
  <c r="O125" i="54"/>
  <c r="O201" i="54"/>
  <c r="F319" i="67" s="1"/>
  <c r="O116" i="54"/>
  <c r="F234" i="67" s="1"/>
  <c r="K57" i="54"/>
  <c r="N57" i="54" s="1"/>
  <c r="E326" i="67"/>
  <c r="E250" i="67"/>
  <c r="E172" i="67"/>
  <c r="N208" i="54"/>
  <c r="N132" i="54"/>
  <c r="L53" i="54"/>
  <c r="O53" i="54" s="1"/>
  <c r="F168" i="67"/>
  <c r="O204" i="54"/>
  <c r="F322" i="67" s="1"/>
  <c r="O128" i="54"/>
  <c r="F246" i="67" s="1"/>
  <c r="N227" i="54"/>
  <c r="E345" i="67" s="1"/>
  <c r="N152" i="54"/>
  <c r="E269" i="67" s="1"/>
  <c r="K76" i="54"/>
  <c r="N76" i="54" s="1"/>
  <c r="E191" i="67" s="1"/>
  <c r="L52" i="54"/>
  <c r="O52" i="54" s="1"/>
  <c r="F167" i="67" s="1"/>
  <c r="O127" i="54"/>
  <c r="F245" i="67" s="1"/>
  <c r="O203" i="54"/>
  <c r="F321" i="67" s="1"/>
  <c r="K47" i="54"/>
  <c r="N47" i="54" s="1"/>
  <c r="E162" i="67" s="1"/>
  <c r="E316" i="67"/>
  <c r="E240" i="67"/>
  <c r="N198" i="54"/>
  <c r="N122" i="54"/>
  <c r="K45" i="54"/>
  <c r="N45" i="54" s="1"/>
  <c r="E238" i="67"/>
  <c r="E160" i="67"/>
  <c r="N196" i="54"/>
  <c r="E314" i="67" s="1"/>
  <c r="N120" i="54"/>
  <c r="K40" i="54"/>
  <c r="N40" i="54" s="1"/>
  <c r="E155" i="67"/>
  <c r="N191" i="54"/>
  <c r="E309" i="67" s="1"/>
  <c r="N115" i="54"/>
  <c r="E233" i="67" s="1"/>
  <c r="K55" i="54"/>
  <c r="N55" i="54" s="1"/>
  <c r="E170" i="67" s="1"/>
  <c r="N206" i="54"/>
  <c r="E324" i="67" s="1"/>
  <c r="N130" i="54"/>
  <c r="E248" i="67" s="1"/>
  <c r="K63" i="54"/>
  <c r="N63" i="54" s="1"/>
  <c r="E178" i="67" s="1"/>
  <c r="E256" i="67"/>
  <c r="E332" i="67"/>
  <c r="N214" i="54"/>
  <c r="N138" i="54"/>
  <c r="E277" i="67"/>
  <c r="E199" i="67"/>
  <c r="N235" i="54"/>
  <c r="E353" i="67" s="1"/>
  <c r="K84" i="54"/>
  <c r="N84" i="54" s="1"/>
  <c r="N160" i="54"/>
  <c r="O115" i="54"/>
  <c r="F233" i="67" s="1"/>
  <c r="E344" i="67"/>
  <c r="N226" i="54"/>
  <c r="K75" i="54"/>
  <c r="N75" i="54" s="1"/>
  <c r="E190" i="67" s="1"/>
  <c r="N151" i="54"/>
  <c r="E268" i="67" s="1"/>
  <c r="L45" i="54"/>
  <c r="O45" i="54" s="1"/>
  <c r="F160" i="67" s="1"/>
  <c r="F314" i="67"/>
  <c r="F238" i="67"/>
  <c r="O120" i="54"/>
  <c r="O196" i="54"/>
  <c r="L47" i="54"/>
  <c r="O47" i="54" s="1"/>
  <c r="F240" i="67"/>
  <c r="F162" i="67"/>
  <c r="O198" i="54"/>
  <c r="F316" i="67" s="1"/>
  <c r="O122" i="54"/>
  <c r="N230" i="54"/>
  <c r="E348" i="67" s="1"/>
  <c r="N155" i="54"/>
  <c r="E272" i="67" s="1"/>
  <c r="K79" i="54"/>
  <c r="N79" i="54" s="1"/>
  <c r="E194" i="67" s="1"/>
  <c r="K61" i="54"/>
  <c r="N61" i="54" s="1"/>
  <c r="E176" i="67"/>
  <c r="N212" i="54"/>
  <c r="E330" i="67" s="1"/>
  <c r="N136" i="54"/>
  <c r="E254" i="67" s="1"/>
  <c r="K64" i="54"/>
  <c r="N64" i="54" s="1"/>
  <c r="E179" i="67" s="1"/>
  <c r="E333" i="67"/>
  <c r="N215" i="54"/>
  <c r="N139" i="54"/>
  <c r="E257" i="67" s="1"/>
  <c r="K59" i="54"/>
  <c r="N59" i="54" s="1"/>
  <c r="E252" i="67"/>
  <c r="E328" i="67"/>
  <c r="E174" i="67"/>
  <c r="N210" i="54"/>
  <c r="N134" i="54"/>
  <c r="K36" i="54"/>
  <c r="N36" i="54" s="1"/>
  <c r="E151" i="67"/>
  <c r="N187" i="54"/>
  <c r="E305" i="67" s="1"/>
  <c r="N111" i="54"/>
  <c r="E229" i="67" s="1"/>
  <c r="N250" i="54"/>
  <c r="E368" i="67" s="1"/>
  <c r="N175" i="54"/>
  <c r="E292" i="67" s="1"/>
  <c r="K99" i="54"/>
  <c r="N99" i="54" s="1"/>
  <c r="E214" i="67" s="1"/>
  <c r="F232" i="67"/>
  <c r="O114" i="54"/>
  <c r="K65" i="54"/>
  <c r="N65" i="54" s="1"/>
  <c r="E258" i="67"/>
  <c r="E180" i="67"/>
  <c r="N216" i="54"/>
  <c r="E334" i="67" s="1"/>
  <c r="N140" i="54"/>
  <c r="N237" i="54"/>
  <c r="E355" i="67" s="1"/>
  <c r="N162" i="54"/>
  <c r="E279" i="67" s="1"/>
  <c r="K86" i="54"/>
  <c r="N86" i="54" s="1"/>
  <c r="E201" i="67" s="1"/>
  <c r="N231" i="54"/>
  <c r="E349" i="67" s="1"/>
  <c r="K80" i="54"/>
  <c r="N80" i="54" s="1"/>
  <c r="E195" i="67" s="1"/>
  <c r="N156" i="54"/>
  <c r="E273" i="67" s="1"/>
  <c r="E356" i="67"/>
  <c r="N238" i="54"/>
  <c r="K87" i="54"/>
  <c r="N87" i="54" s="1"/>
  <c r="E202" i="67" s="1"/>
  <c r="N163" i="54"/>
  <c r="E280" i="67" s="1"/>
  <c r="E341" i="67"/>
  <c r="N223" i="54"/>
  <c r="K72" i="54"/>
  <c r="N72" i="54" s="1"/>
  <c r="E187" i="67" s="1"/>
  <c r="N148" i="54"/>
  <c r="E265" i="67" s="1"/>
  <c r="L46" i="54"/>
  <c r="O46" i="54" s="1"/>
  <c r="F161" i="67" s="1"/>
  <c r="F239" i="67"/>
  <c r="F315" i="67"/>
  <c r="O121" i="54"/>
  <c r="O197" i="54"/>
  <c r="L43" i="54"/>
  <c r="O43" i="54" s="1"/>
  <c r="F236" i="67"/>
  <c r="F158" i="67"/>
  <c r="O194" i="54"/>
  <c r="F312" i="67" s="1"/>
  <c r="O118" i="54"/>
  <c r="E346" i="67"/>
  <c r="E192" i="67"/>
  <c r="N228" i="54"/>
  <c r="K77" i="54"/>
  <c r="N77" i="54" s="1"/>
  <c r="N234" i="54"/>
  <c r="E352" i="67" s="1"/>
  <c r="K83" i="54"/>
  <c r="N83" i="54" s="1"/>
  <c r="E198" i="67" s="1"/>
  <c r="N159" i="54"/>
  <c r="E276" i="67" s="1"/>
  <c r="F229" i="67"/>
  <c r="F151" i="67"/>
  <c r="O111" i="54"/>
  <c r="K41" i="54"/>
  <c r="N41" i="54" s="1"/>
  <c r="E310" i="67"/>
  <c r="E156" i="67"/>
  <c r="N192" i="54"/>
  <c r="N116" i="54"/>
  <c r="E234" i="67" s="1"/>
  <c r="K44" i="54"/>
  <c r="N44" i="54" s="1"/>
  <c r="E159" i="67" s="1"/>
  <c r="N195" i="54"/>
  <c r="E313" i="67" s="1"/>
  <c r="N119" i="54"/>
  <c r="E237" i="67" s="1"/>
  <c r="K46" i="54"/>
  <c r="N46" i="54" s="1"/>
  <c r="E161" i="67" s="1"/>
  <c r="E239" i="67"/>
  <c r="E315" i="67"/>
  <c r="N197" i="54"/>
  <c r="N121" i="54"/>
  <c r="N224" i="54"/>
  <c r="E342" i="67" s="1"/>
  <c r="K73" i="54"/>
  <c r="N73" i="54" s="1"/>
  <c r="E188" i="67" s="1"/>
  <c r="K38" i="54"/>
  <c r="N189" i="54"/>
  <c r="E307" i="67" s="1"/>
  <c r="L38" i="54"/>
  <c r="O189" i="54"/>
  <c r="F307" i="67" s="1"/>
  <c r="K13" i="49"/>
  <c r="K178" i="49"/>
  <c r="K60" i="54"/>
  <c r="N60" i="54" s="1"/>
  <c r="E175" i="67" s="1"/>
  <c r="N211" i="54"/>
  <c r="E329" i="67" s="1"/>
  <c r="N135" i="54"/>
  <c r="E253" i="67" s="1"/>
  <c r="R19" i="49"/>
  <c r="R42" i="49"/>
  <c r="R34" i="49"/>
  <c r="R26" i="49"/>
  <c r="R18" i="49"/>
  <c r="R40" i="49"/>
  <c r="R24" i="49"/>
  <c r="R37" i="49"/>
  <c r="R41" i="49"/>
  <c r="R33" i="49"/>
  <c r="R25" i="49"/>
  <c r="R17" i="49"/>
  <c r="R32" i="49"/>
  <c r="R16" i="49"/>
  <c r="R29" i="49"/>
  <c r="R39" i="49"/>
  <c r="R31" i="49"/>
  <c r="R23" i="49"/>
  <c r="R15" i="49"/>
  <c r="R30" i="49"/>
  <c r="R22" i="49"/>
  <c r="R14" i="49"/>
  <c r="R13" i="49"/>
  <c r="R36" i="49"/>
  <c r="R28" i="49"/>
  <c r="R20" i="49"/>
  <c r="R43" i="49"/>
  <c r="R35" i="49"/>
  <c r="R27" i="49"/>
  <c r="R21" i="49"/>
  <c r="M206" i="49"/>
  <c r="M79" i="49" s="1"/>
  <c r="K149" i="54"/>
  <c r="N149" i="54" s="1"/>
  <c r="E266" i="67" s="1"/>
  <c r="L39" i="54"/>
  <c r="O39" i="54" s="1"/>
  <c r="F154" i="67" s="1"/>
  <c r="M134" i="49"/>
  <c r="M16" i="49" s="1"/>
  <c r="L36" i="54"/>
  <c r="O36" i="54" s="1"/>
  <c r="L41" i="54"/>
  <c r="O41" i="54" s="1"/>
  <c r="F156" i="67" s="1"/>
  <c r="L40" i="54"/>
  <c r="O40" i="54" s="1"/>
  <c r="F155" i="67" s="1"/>
  <c r="K110" i="54"/>
  <c r="K44" i="49"/>
  <c r="M148" i="49"/>
  <c r="M30" i="49" s="1"/>
  <c r="L208" i="49"/>
  <c r="K81" i="49"/>
  <c r="K77" i="49"/>
  <c r="L204" i="49"/>
  <c r="L203" i="49"/>
  <c r="K76" i="49"/>
  <c r="K75" i="49"/>
  <c r="L202" i="49"/>
  <c r="K71" i="49"/>
  <c r="L198" i="49"/>
  <c r="M132" i="49"/>
  <c r="L205" i="49"/>
  <c r="K78" i="49"/>
  <c r="K73" i="49"/>
  <c r="L200" i="49"/>
  <c r="M201" i="49"/>
  <c r="M74" i="49" s="1"/>
  <c r="L74" i="49"/>
  <c r="M207" i="49"/>
  <c r="M80" i="49" s="1"/>
  <c r="L80" i="49"/>
  <c r="L199" i="49"/>
  <c r="K72" i="49"/>
  <c r="L178" i="49"/>
  <c r="K51" i="49"/>
  <c r="L26" i="49"/>
  <c r="M144" i="49"/>
  <c r="L20" i="49"/>
  <c r="M138" i="49"/>
  <c r="L27" i="49"/>
  <c r="M145" i="49"/>
  <c r="L29" i="49"/>
  <c r="M147" i="49"/>
  <c r="L15" i="49"/>
  <c r="M133" i="49"/>
  <c r="M158" i="49"/>
  <c r="L40" i="49"/>
  <c r="M157" i="49"/>
  <c r="L39" i="49"/>
  <c r="M160" i="49"/>
  <c r="L42" i="49"/>
  <c r="M155" i="49"/>
  <c r="M37" i="49" s="1"/>
  <c r="L37" i="49"/>
  <c r="M161" i="49"/>
  <c r="M43" i="49" s="1"/>
  <c r="L43" i="49"/>
  <c r="M154" i="49"/>
  <c r="L36" i="49"/>
  <c r="M151" i="49"/>
  <c r="L33" i="49"/>
  <c r="M152" i="49"/>
  <c r="L34" i="49"/>
  <c r="M153" i="49"/>
  <c r="L35" i="49"/>
  <c r="M156" i="49"/>
  <c r="M38" i="49" s="1"/>
  <c r="L38" i="49"/>
  <c r="M159" i="49"/>
  <c r="L41" i="49"/>
  <c r="I83" i="49"/>
  <c r="O83" i="49" s="1"/>
  <c r="L186" i="49"/>
  <c r="L59" i="49" s="1"/>
  <c r="L190" i="49"/>
  <c r="L63" i="49" s="1"/>
  <c r="L180" i="49"/>
  <c r="L53" i="49" s="1"/>
  <c r="L192" i="49"/>
  <c r="L65" i="49" s="1"/>
  <c r="L193" i="49"/>
  <c r="L66" i="49" s="1"/>
  <c r="L184" i="49"/>
  <c r="L57" i="49" s="1"/>
  <c r="L185" i="49"/>
  <c r="L58" i="49" s="1"/>
  <c r="L188" i="49"/>
  <c r="L61" i="49" s="1"/>
  <c r="L197" i="49"/>
  <c r="L70" i="49" s="1"/>
  <c r="L183" i="49"/>
  <c r="L56" i="49" s="1"/>
  <c r="L195" i="49"/>
  <c r="L68" i="49" s="1"/>
  <c r="L194" i="49"/>
  <c r="L67" i="49" s="1"/>
  <c r="L196" i="49"/>
  <c r="L69" i="49" s="1"/>
  <c r="L189" i="49"/>
  <c r="L62" i="49" s="1"/>
  <c r="L187" i="49"/>
  <c r="L60" i="49" s="1"/>
  <c r="L182" i="49"/>
  <c r="L55" i="49" s="1"/>
  <c r="L181" i="49"/>
  <c r="L54" i="49" s="1"/>
  <c r="L179" i="49"/>
  <c r="L52" i="49" s="1"/>
  <c r="L191" i="49"/>
  <c r="L64" i="49" s="1"/>
  <c r="M141" i="49"/>
  <c r="M143" i="49"/>
  <c r="M142" i="49"/>
  <c r="M136" i="49"/>
  <c r="M150" i="49"/>
  <c r="M149" i="49"/>
  <c r="M137" i="49"/>
  <c r="M139" i="49"/>
  <c r="M140" i="49"/>
  <c r="M135" i="49"/>
  <c r="M146" i="49"/>
  <c r="L131" i="49"/>
  <c r="L13" i="49" s="1"/>
  <c r="X237" i="67" l="1"/>
  <c r="AA237" i="67"/>
  <c r="U237" i="67"/>
  <c r="X320" i="67"/>
  <c r="U320" i="67"/>
  <c r="AA320" i="67"/>
  <c r="X350" i="67"/>
  <c r="AA350" i="67"/>
  <c r="U350" i="67"/>
  <c r="E429" i="67"/>
  <c r="X313" i="67"/>
  <c r="AA313" i="67"/>
  <c r="U313" i="67"/>
  <c r="X202" i="67"/>
  <c r="AA202" i="67"/>
  <c r="U202" i="67"/>
  <c r="E435" i="67"/>
  <c r="X355" i="67"/>
  <c r="AA355" i="67"/>
  <c r="U355" i="67"/>
  <c r="E409" i="67"/>
  <c r="U179" i="67"/>
  <c r="X179" i="67"/>
  <c r="AA179" i="67"/>
  <c r="E408" i="67"/>
  <c r="X178" i="67"/>
  <c r="U178" i="67"/>
  <c r="AA178" i="67"/>
  <c r="Y246" i="67"/>
  <c r="AB246" i="67"/>
  <c r="V246" i="67"/>
  <c r="AA327" i="67"/>
  <c r="X327" i="67"/>
  <c r="U327" i="67"/>
  <c r="X230" i="67"/>
  <c r="U230" i="67"/>
  <c r="AA230" i="67"/>
  <c r="E395" i="67"/>
  <c r="X165" i="67"/>
  <c r="AA165" i="67"/>
  <c r="U165" i="67"/>
  <c r="X242" i="67"/>
  <c r="U242" i="67"/>
  <c r="AA242" i="67"/>
  <c r="X348" i="67"/>
  <c r="U348" i="67"/>
  <c r="AA348" i="67"/>
  <c r="X345" i="67"/>
  <c r="U345" i="67"/>
  <c r="AA345" i="67"/>
  <c r="X362" i="67"/>
  <c r="AA362" i="67"/>
  <c r="U362" i="67"/>
  <c r="X354" i="67"/>
  <c r="U354" i="67"/>
  <c r="AA354" i="67"/>
  <c r="X358" i="67"/>
  <c r="U358" i="67"/>
  <c r="AA358" i="67"/>
  <c r="U214" i="67"/>
  <c r="AA214" i="67"/>
  <c r="X214" i="67"/>
  <c r="E447" i="67"/>
  <c r="E389" i="67"/>
  <c r="X159" i="67"/>
  <c r="AA159" i="67"/>
  <c r="U159" i="67"/>
  <c r="AA292" i="67"/>
  <c r="X292" i="67"/>
  <c r="U292" i="67"/>
  <c r="X254" i="67"/>
  <c r="AA254" i="67"/>
  <c r="U254" i="67"/>
  <c r="Y316" i="67"/>
  <c r="V316" i="67"/>
  <c r="AB316" i="67"/>
  <c r="F390" i="67"/>
  <c r="Y160" i="67"/>
  <c r="AB160" i="67"/>
  <c r="V160" i="67"/>
  <c r="X353" i="67"/>
  <c r="U353" i="67"/>
  <c r="AA353" i="67"/>
  <c r="E432" i="67"/>
  <c r="X248" i="67"/>
  <c r="AA248" i="67"/>
  <c r="U248" i="67"/>
  <c r="X314" i="67"/>
  <c r="U314" i="67"/>
  <c r="AA314" i="67"/>
  <c r="E392" i="67"/>
  <c r="X162" i="67"/>
  <c r="AA162" i="67"/>
  <c r="U162" i="67"/>
  <c r="Y322" i="67"/>
  <c r="AB322" i="67"/>
  <c r="V322" i="67"/>
  <c r="X306" i="67"/>
  <c r="AA306" i="67"/>
  <c r="U306" i="67"/>
  <c r="X264" i="67"/>
  <c r="U264" i="67"/>
  <c r="AA264" i="67"/>
  <c r="E396" i="67"/>
  <c r="X166" i="67"/>
  <c r="AA166" i="67"/>
  <c r="U166" i="67"/>
  <c r="X234" i="67"/>
  <c r="AA234" i="67"/>
  <c r="U234" i="67"/>
  <c r="U368" i="67"/>
  <c r="AA368" i="67"/>
  <c r="X368" i="67"/>
  <c r="X324" i="67"/>
  <c r="U324" i="67"/>
  <c r="AA324" i="67"/>
  <c r="U273" i="67"/>
  <c r="X273" i="67"/>
  <c r="AA273" i="67"/>
  <c r="X229" i="67"/>
  <c r="AA229" i="67"/>
  <c r="U229" i="67"/>
  <c r="X190" i="67"/>
  <c r="U190" i="67"/>
  <c r="AA190" i="67"/>
  <c r="E423" i="67"/>
  <c r="E400" i="67"/>
  <c r="AA170" i="67"/>
  <c r="X170" i="67"/>
  <c r="U170" i="67"/>
  <c r="Y245" i="67"/>
  <c r="V245" i="67"/>
  <c r="AB245" i="67"/>
  <c r="Y319" i="67"/>
  <c r="AB319" i="67"/>
  <c r="V319" i="67"/>
  <c r="X241" i="67"/>
  <c r="AA241" i="67"/>
  <c r="U241" i="67"/>
  <c r="X331" i="67"/>
  <c r="AA331" i="67"/>
  <c r="U331" i="67"/>
  <c r="F389" i="67"/>
  <c r="AB159" i="67"/>
  <c r="Y159" i="67"/>
  <c r="V159" i="67"/>
  <c r="X340" i="67"/>
  <c r="AA340" i="67"/>
  <c r="U340" i="67"/>
  <c r="X312" i="67"/>
  <c r="U312" i="67"/>
  <c r="AA312" i="67"/>
  <c r="X347" i="67"/>
  <c r="U347" i="67"/>
  <c r="AA347" i="67"/>
  <c r="E422" i="67"/>
  <c r="X267" i="67"/>
  <c r="U267" i="67"/>
  <c r="AA267" i="67"/>
  <c r="X319" i="67"/>
  <c r="AA319" i="67"/>
  <c r="U319" i="67"/>
  <c r="Y155" i="67"/>
  <c r="AB155" i="67"/>
  <c r="V155" i="67"/>
  <c r="F391" i="67"/>
  <c r="Y161" i="67"/>
  <c r="V161" i="67"/>
  <c r="AB161" i="67"/>
  <c r="Y234" i="67"/>
  <c r="V234" i="67"/>
  <c r="AB234" i="67"/>
  <c r="X186" i="67"/>
  <c r="AA186" i="67"/>
  <c r="U186" i="67"/>
  <c r="E419" i="67"/>
  <c r="X189" i="67"/>
  <c r="U189" i="67"/>
  <c r="AA189" i="67"/>
  <c r="X198" i="67"/>
  <c r="AA198" i="67"/>
  <c r="U198" i="67"/>
  <c r="E431" i="67"/>
  <c r="X352" i="67"/>
  <c r="AA352" i="67"/>
  <c r="U352" i="67"/>
  <c r="X187" i="67"/>
  <c r="AA187" i="67"/>
  <c r="U187" i="67"/>
  <c r="E420" i="67"/>
  <c r="X195" i="67"/>
  <c r="AA195" i="67"/>
  <c r="U195" i="67"/>
  <c r="E428" i="67"/>
  <c r="X305" i="67"/>
  <c r="U305" i="67"/>
  <c r="AA305" i="67"/>
  <c r="X233" i="67"/>
  <c r="U233" i="67"/>
  <c r="AA233" i="67"/>
  <c r="F397" i="67"/>
  <c r="Y167" i="67"/>
  <c r="V167" i="67"/>
  <c r="AB167" i="67"/>
  <c r="X317" i="67"/>
  <c r="U317" i="67"/>
  <c r="AA317" i="67"/>
  <c r="X197" i="67"/>
  <c r="AA197" i="67"/>
  <c r="U197" i="67"/>
  <c r="U249" i="67"/>
  <c r="AA249" i="67"/>
  <c r="X249" i="67"/>
  <c r="V213" i="67"/>
  <c r="AB213" i="67"/>
  <c r="Y213" i="67"/>
  <c r="X343" i="67"/>
  <c r="AA343" i="67"/>
  <c r="U343" i="67"/>
  <c r="U281" i="67"/>
  <c r="X281" i="67"/>
  <c r="AA281" i="67"/>
  <c r="U279" i="67"/>
  <c r="AA279" i="67"/>
  <c r="X279" i="67"/>
  <c r="Y312" i="67"/>
  <c r="AB312" i="67"/>
  <c r="V312" i="67"/>
  <c r="X330" i="67"/>
  <c r="U330" i="67"/>
  <c r="AA330" i="67"/>
  <c r="Y321" i="67"/>
  <c r="AB321" i="67"/>
  <c r="V321" i="67"/>
  <c r="V367" i="67"/>
  <c r="AB367" i="67"/>
  <c r="Y367" i="67"/>
  <c r="X265" i="67"/>
  <c r="U265" i="67"/>
  <c r="AA265" i="67"/>
  <c r="X349" i="67"/>
  <c r="U349" i="67"/>
  <c r="AA349" i="67"/>
  <c r="AA257" i="67"/>
  <c r="U257" i="67"/>
  <c r="X257" i="67"/>
  <c r="X194" i="67"/>
  <c r="U194" i="67"/>
  <c r="AA194" i="67"/>
  <c r="E427" i="67"/>
  <c r="X309" i="67"/>
  <c r="U309" i="67"/>
  <c r="AA309" i="67"/>
  <c r="X191" i="67"/>
  <c r="AA191" i="67"/>
  <c r="U191" i="67"/>
  <c r="E424" i="67"/>
  <c r="E393" i="67"/>
  <c r="X163" i="67"/>
  <c r="U163" i="67"/>
  <c r="AA163" i="67"/>
  <c r="E430" i="67"/>
  <c r="X275" i="67"/>
  <c r="U275" i="67"/>
  <c r="AA275" i="67"/>
  <c r="X321" i="67"/>
  <c r="U321" i="67"/>
  <c r="AA321" i="67"/>
  <c r="E384" i="67"/>
  <c r="X154" i="67"/>
  <c r="AA154" i="67"/>
  <c r="U154" i="67"/>
  <c r="U325" i="67"/>
  <c r="X325" i="67"/>
  <c r="AA325" i="67"/>
  <c r="E441" i="67"/>
  <c r="U286" i="67"/>
  <c r="AA286" i="67"/>
  <c r="X286" i="67"/>
  <c r="E433" i="67"/>
  <c r="X278" i="67"/>
  <c r="AA278" i="67"/>
  <c r="U278" i="67"/>
  <c r="X203" i="67"/>
  <c r="U203" i="67"/>
  <c r="AA203" i="67"/>
  <c r="E436" i="67"/>
  <c r="AA280" i="67"/>
  <c r="U280" i="67"/>
  <c r="X280" i="67"/>
  <c r="U276" i="67"/>
  <c r="X276" i="67"/>
  <c r="AA276" i="67"/>
  <c r="X334" i="67"/>
  <c r="AA334" i="67"/>
  <c r="U334" i="67"/>
  <c r="X268" i="67"/>
  <c r="U268" i="67"/>
  <c r="AA268" i="67"/>
  <c r="X236" i="67"/>
  <c r="AA236" i="67"/>
  <c r="U236" i="67"/>
  <c r="Y156" i="67"/>
  <c r="AB156" i="67"/>
  <c r="V156" i="67"/>
  <c r="Y154" i="67"/>
  <c r="AB154" i="67"/>
  <c r="V154" i="67"/>
  <c r="E391" i="67"/>
  <c r="X161" i="67"/>
  <c r="AA161" i="67"/>
  <c r="U161" i="67"/>
  <c r="X201" i="67"/>
  <c r="U201" i="67"/>
  <c r="AA201" i="67"/>
  <c r="E434" i="67"/>
  <c r="X272" i="67"/>
  <c r="U272" i="67"/>
  <c r="AA272" i="67"/>
  <c r="Y233" i="67"/>
  <c r="AB233" i="67"/>
  <c r="V233" i="67"/>
  <c r="U269" i="67"/>
  <c r="AA269" i="67"/>
  <c r="X269" i="67"/>
  <c r="X251" i="67"/>
  <c r="AA251" i="67"/>
  <c r="U251" i="67"/>
  <c r="X243" i="67"/>
  <c r="U243" i="67"/>
  <c r="AA243" i="67"/>
  <c r="X247" i="67"/>
  <c r="U247" i="67"/>
  <c r="AA247" i="67"/>
  <c r="AA208" i="67"/>
  <c r="U208" i="67"/>
  <c r="X208" i="67"/>
  <c r="X204" i="67"/>
  <c r="AA204" i="67"/>
  <c r="U204" i="67"/>
  <c r="E437" i="67"/>
  <c r="X357" i="67"/>
  <c r="AA357" i="67"/>
  <c r="U357" i="67"/>
  <c r="L56" i="54"/>
  <c r="O56" i="54" s="1"/>
  <c r="F171" i="67"/>
  <c r="O131" i="54"/>
  <c r="F249" i="67" s="1"/>
  <c r="O207" i="54"/>
  <c r="F325" i="67" s="1"/>
  <c r="L93" i="54"/>
  <c r="O93" i="54" s="1"/>
  <c r="F208" i="67"/>
  <c r="O244" i="54"/>
  <c r="F362" i="67" s="1"/>
  <c r="O169" i="54"/>
  <c r="F286" i="67" s="1"/>
  <c r="X315" i="67"/>
  <c r="U315" i="67"/>
  <c r="AA315" i="67"/>
  <c r="Y315" i="67"/>
  <c r="AB315" i="67"/>
  <c r="V315" i="67"/>
  <c r="Y232" i="67"/>
  <c r="V232" i="67"/>
  <c r="AB232" i="67"/>
  <c r="AB237" i="67"/>
  <c r="Y237" i="67"/>
  <c r="V237" i="67"/>
  <c r="X232" i="67"/>
  <c r="U232" i="67"/>
  <c r="AA232" i="67"/>
  <c r="E398" i="67"/>
  <c r="X168" i="67"/>
  <c r="U168" i="67"/>
  <c r="AA168" i="67"/>
  <c r="L74" i="54"/>
  <c r="O74" i="54" s="1"/>
  <c r="F189" i="67" s="1"/>
  <c r="O150" i="54"/>
  <c r="F267" i="67" s="1"/>
  <c r="L80" i="54"/>
  <c r="O80" i="54" s="1"/>
  <c r="F273" i="67"/>
  <c r="F195" i="67"/>
  <c r="O156" i="54"/>
  <c r="O231" i="54"/>
  <c r="F349" i="67" s="1"/>
  <c r="T37" i="49"/>
  <c r="P210" i="54"/>
  <c r="G328" i="67" s="1"/>
  <c r="P134" i="54"/>
  <c r="G252" i="67" s="1"/>
  <c r="L48" i="54"/>
  <c r="O48" i="54" s="1"/>
  <c r="F241" i="67"/>
  <c r="F317" i="67"/>
  <c r="F163" i="67"/>
  <c r="O199" i="54"/>
  <c r="O123" i="54"/>
  <c r="M93" i="54"/>
  <c r="P93" i="54" s="1"/>
  <c r="T74" i="49"/>
  <c r="G362" i="67"/>
  <c r="G208" i="67"/>
  <c r="G286" i="67"/>
  <c r="P169" i="54"/>
  <c r="P244" i="54"/>
  <c r="T30" i="49"/>
  <c r="P127" i="54"/>
  <c r="G245" i="67" s="1"/>
  <c r="P203" i="54"/>
  <c r="G321" i="67" s="1"/>
  <c r="X239" i="67"/>
  <c r="AA239" i="67"/>
  <c r="U239" i="67"/>
  <c r="AB229" i="67"/>
  <c r="Y229" i="67"/>
  <c r="V229" i="67"/>
  <c r="F388" i="67"/>
  <c r="Y158" i="67"/>
  <c r="AB158" i="67"/>
  <c r="V158" i="67"/>
  <c r="Y239" i="67"/>
  <c r="AB239" i="67"/>
  <c r="V239" i="67"/>
  <c r="E410" i="67"/>
  <c r="X180" i="67"/>
  <c r="U180" i="67"/>
  <c r="AA180" i="67"/>
  <c r="AA328" i="67"/>
  <c r="U328" i="67"/>
  <c r="X328" i="67"/>
  <c r="F392" i="67"/>
  <c r="Y162" i="67"/>
  <c r="V162" i="67"/>
  <c r="AB162" i="67"/>
  <c r="Y314" i="67"/>
  <c r="AB314" i="67"/>
  <c r="V314" i="67"/>
  <c r="X344" i="67"/>
  <c r="U344" i="67"/>
  <c r="AA344" i="67"/>
  <c r="X199" i="67"/>
  <c r="AA199" i="67"/>
  <c r="U199" i="67"/>
  <c r="AA256" i="67"/>
  <c r="U256" i="67"/>
  <c r="X256" i="67"/>
  <c r="E390" i="67"/>
  <c r="X160" i="67"/>
  <c r="AA160" i="67"/>
  <c r="U160" i="67"/>
  <c r="X316" i="67"/>
  <c r="U316" i="67"/>
  <c r="AA316" i="67"/>
  <c r="U250" i="67"/>
  <c r="X250" i="67"/>
  <c r="AA250" i="67"/>
  <c r="E407" i="67"/>
  <c r="X177" i="67"/>
  <c r="AA177" i="67"/>
  <c r="U177" i="67"/>
  <c r="Y313" i="67"/>
  <c r="AB313" i="67"/>
  <c r="V313" i="67"/>
  <c r="E397" i="67"/>
  <c r="X167" i="67"/>
  <c r="U167" i="67"/>
  <c r="AA167" i="67"/>
  <c r="X308" i="67"/>
  <c r="AA308" i="67"/>
  <c r="U308" i="67"/>
  <c r="AB323" i="67"/>
  <c r="V323" i="67"/>
  <c r="Y323" i="67"/>
  <c r="X246" i="67"/>
  <c r="AA246" i="67"/>
  <c r="U246" i="67"/>
  <c r="X196" i="67"/>
  <c r="AA196" i="67"/>
  <c r="U196" i="67"/>
  <c r="X193" i="67"/>
  <c r="AA193" i="67"/>
  <c r="U193" i="67"/>
  <c r="E283" i="67"/>
  <c r="N241" i="54"/>
  <c r="E359" i="67" s="1"/>
  <c r="N166" i="54"/>
  <c r="K90" i="54"/>
  <c r="N90" i="54" s="1"/>
  <c r="E205" i="67" s="1"/>
  <c r="X356" i="67"/>
  <c r="U356" i="67"/>
  <c r="AA356" i="67"/>
  <c r="X244" i="67"/>
  <c r="AA244" i="67"/>
  <c r="U244" i="67"/>
  <c r="F446" i="67"/>
  <c r="V291" i="67"/>
  <c r="Y291" i="67"/>
  <c r="AB291" i="67"/>
  <c r="O112" i="54"/>
  <c r="F230" i="67" s="1"/>
  <c r="L79" i="54"/>
  <c r="O79" i="54" s="1"/>
  <c r="F272" i="67"/>
  <c r="F194" i="67"/>
  <c r="O155" i="54"/>
  <c r="O230" i="54"/>
  <c r="F348" i="67" s="1"/>
  <c r="O228" i="54"/>
  <c r="F346" i="67" s="1"/>
  <c r="L63" i="54"/>
  <c r="O63" i="54" s="1"/>
  <c r="F178" i="67" s="1"/>
  <c r="O214" i="54"/>
  <c r="F332" i="67" s="1"/>
  <c r="O138" i="54"/>
  <c r="F256" i="67" s="1"/>
  <c r="L55" i="54"/>
  <c r="O55" i="54" s="1"/>
  <c r="F248" i="67"/>
  <c r="F324" i="67"/>
  <c r="F170" i="67"/>
  <c r="O130" i="54"/>
  <c r="O206" i="54"/>
  <c r="L64" i="54"/>
  <c r="O64" i="54" s="1"/>
  <c r="F179" i="67" s="1"/>
  <c r="F257" i="67"/>
  <c r="O215" i="54"/>
  <c r="F333" i="67" s="1"/>
  <c r="O139" i="54"/>
  <c r="E363" i="67"/>
  <c r="N245" i="54"/>
  <c r="N170" i="54"/>
  <c r="E287" i="67" s="1"/>
  <c r="K94" i="54"/>
  <c r="N94" i="54" s="1"/>
  <c r="E209" i="67" s="1"/>
  <c r="T79" i="49"/>
  <c r="G367" i="67"/>
  <c r="G291" i="67"/>
  <c r="P249" i="54"/>
  <c r="P174" i="54"/>
  <c r="X258" i="67"/>
  <c r="U258" i="67"/>
  <c r="AA258" i="67"/>
  <c r="E381" i="67"/>
  <c r="X151" i="67"/>
  <c r="U151" i="67"/>
  <c r="AA151" i="67"/>
  <c r="X252" i="67"/>
  <c r="U252" i="67"/>
  <c r="AA252" i="67"/>
  <c r="X238" i="67"/>
  <c r="U238" i="67"/>
  <c r="AA238" i="67"/>
  <c r="F398" i="67"/>
  <c r="Y168" i="67"/>
  <c r="AB168" i="67"/>
  <c r="V168" i="67"/>
  <c r="U326" i="67"/>
  <c r="X326" i="67"/>
  <c r="AA326" i="67"/>
  <c r="F395" i="67"/>
  <c r="Y165" i="67"/>
  <c r="AB165" i="67"/>
  <c r="V165" i="67"/>
  <c r="K117" i="54"/>
  <c r="N117" i="54" s="1"/>
  <c r="E235" i="67" s="1"/>
  <c r="N42" i="54"/>
  <c r="E157" i="67" s="1"/>
  <c r="E403" i="67"/>
  <c r="U173" i="67"/>
  <c r="X173" i="67"/>
  <c r="AA173" i="67"/>
  <c r="X255" i="67"/>
  <c r="AA255" i="67"/>
  <c r="U255" i="67"/>
  <c r="X245" i="67"/>
  <c r="U245" i="67"/>
  <c r="AA245" i="67"/>
  <c r="E401" i="67"/>
  <c r="X171" i="67"/>
  <c r="AA171" i="67"/>
  <c r="U171" i="67"/>
  <c r="Y247" i="67"/>
  <c r="AB247" i="67"/>
  <c r="V247" i="67"/>
  <c r="E399" i="67"/>
  <c r="AA169" i="67"/>
  <c r="X169" i="67"/>
  <c r="U169" i="67"/>
  <c r="X322" i="67"/>
  <c r="U322" i="67"/>
  <c r="AA322" i="67"/>
  <c r="E394" i="67"/>
  <c r="X164" i="67"/>
  <c r="U164" i="67"/>
  <c r="AA164" i="67"/>
  <c r="E426" i="67"/>
  <c r="L59" i="54"/>
  <c r="O59" i="54" s="1"/>
  <c r="F174" i="67" s="1"/>
  <c r="F252" i="67"/>
  <c r="O134" i="54"/>
  <c r="O210" i="54"/>
  <c r="F328" i="67" s="1"/>
  <c r="X192" i="67"/>
  <c r="AA192" i="67"/>
  <c r="U192" i="67"/>
  <c r="Y240" i="67"/>
  <c r="AB240" i="67"/>
  <c r="V240" i="67"/>
  <c r="E385" i="67"/>
  <c r="X155" i="67"/>
  <c r="AA155" i="67"/>
  <c r="U155" i="67"/>
  <c r="Y243" i="67"/>
  <c r="AB243" i="67"/>
  <c r="V243" i="67"/>
  <c r="E382" i="67"/>
  <c r="X152" i="67"/>
  <c r="U152" i="67"/>
  <c r="AA152" i="67"/>
  <c r="U323" i="67"/>
  <c r="AA323" i="67"/>
  <c r="X323" i="67"/>
  <c r="X318" i="67"/>
  <c r="AA318" i="67"/>
  <c r="U318" i="67"/>
  <c r="X200" i="67"/>
  <c r="U200" i="67"/>
  <c r="AA200" i="67"/>
  <c r="U271" i="67"/>
  <c r="X271" i="67"/>
  <c r="AA271" i="67"/>
  <c r="L78" i="54"/>
  <c r="O78" i="54" s="1"/>
  <c r="F193" i="67" s="1"/>
  <c r="O229" i="54"/>
  <c r="F347" i="67" s="1"/>
  <c r="O154" i="54"/>
  <c r="F271" i="67" s="1"/>
  <c r="U333" i="67"/>
  <c r="X333" i="67"/>
  <c r="AA333" i="67"/>
  <c r="X240" i="67"/>
  <c r="AA240" i="67"/>
  <c r="U240" i="67"/>
  <c r="X311" i="67"/>
  <c r="AA311" i="67"/>
  <c r="U311" i="67"/>
  <c r="X351" i="67"/>
  <c r="U351" i="67"/>
  <c r="AA351" i="67"/>
  <c r="F399" i="67"/>
  <c r="AB169" i="67"/>
  <c r="Y169" i="67"/>
  <c r="V169" i="67"/>
  <c r="L81" i="54"/>
  <c r="O81" i="54" s="1"/>
  <c r="F196" i="67"/>
  <c r="O232" i="54"/>
  <c r="F350" i="67" s="1"/>
  <c r="O157" i="54"/>
  <c r="F274" i="67" s="1"/>
  <c r="L51" i="54"/>
  <c r="O51" i="54" s="1"/>
  <c r="F166" i="67" s="1"/>
  <c r="O126" i="54"/>
  <c r="F244" i="67" s="1"/>
  <c r="O202" i="54"/>
  <c r="F320" i="67" s="1"/>
  <c r="E361" i="67"/>
  <c r="N243" i="54"/>
  <c r="N168" i="54"/>
  <c r="E285" i="67" s="1"/>
  <c r="K92" i="54"/>
  <c r="N92" i="54" s="1"/>
  <c r="E207" i="67" s="1"/>
  <c r="Y236" i="67"/>
  <c r="AB236" i="67"/>
  <c r="V236" i="67"/>
  <c r="L58" i="54"/>
  <c r="O58" i="54" s="1"/>
  <c r="F173" i="67" s="1"/>
  <c r="O209" i="54"/>
  <c r="F327" i="67" s="1"/>
  <c r="O133" i="54"/>
  <c r="F251" i="67" s="1"/>
  <c r="E206" i="67"/>
  <c r="E284" i="67"/>
  <c r="N242" i="54"/>
  <c r="E360" i="67" s="1"/>
  <c r="N167" i="54"/>
  <c r="K91" i="54"/>
  <c r="N91" i="54" s="1"/>
  <c r="E366" i="67"/>
  <c r="E212" i="67"/>
  <c r="N248" i="54"/>
  <c r="N173" i="54"/>
  <c r="E290" i="67" s="1"/>
  <c r="K97" i="54"/>
  <c r="N97" i="54" s="1"/>
  <c r="X310" i="67"/>
  <c r="U310" i="67"/>
  <c r="AA310" i="67"/>
  <c r="X346" i="67"/>
  <c r="AA346" i="67"/>
  <c r="U346" i="67"/>
  <c r="E406" i="67"/>
  <c r="U176" i="67"/>
  <c r="AA176" i="67"/>
  <c r="X176" i="67"/>
  <c r="U277" i="67"/>
  <c r="X277" i="67"/>
  <c r="AA277" i="67"/>
  <c r="E388" i="67"/>
  <c r="X158" i="67"/>
  <c r="AA158" i="67"/>
  <c r="U158" i="67"/>
  <c r="U274" i="67"/>
  <c r="AA274" i="67"/>
  <c r="X274" i="67"/>
  <c r="E404" i="67"/>
  <c r="X174" i="67"/>
  <c r="AA174" i="67"/>
  <c r="U174" i="67"/>
  <c r="X332" i="67"/>
  <c r="AA332" i="67"/>
  <c r="U332" i="67"/>
  <c r="E402" i="67"/>
  <c r="X172" i="67"/>
  <c r="U172" i="67"/>
  <c r="AA172" i="67"/>
  <c r="L84" i="54"/>
  <c r="O84" i="54" s="1"/>
  <c r="F199" i="67" s="1"/>
  <c r="F353" i="67"/>
  <c r="O160" i="54"/>
  <c r="F277" i="67" s="1"/>
  <c r="O124" i="54"/>
  <c r="F242" i="67" s="1"/>
  <c r="U282" i="67"/>
  <c r="AA282" i="67"/>
  <c r="X282" i="67"/>
  <c r="V151" i="67"/>
  <c r="AB151" i="67"/>
  <c r="Y151" i="67"/>
  <c r="L76" i="54"/>
  <c r="O76" i="54" s="1"/>
  <c r="F191" i="67" s="1"/>
  <c r="O152" i="54"/>
  <c r="F269" i="67" s="1"/>
  <c r="L88" i="54"/>
  <c r="O88" i="54" s="1"/>
  <c r="F357" i="67"/>
  <c r="F203" i="67"/>
  <c r="F281" i="67"/>
  <c r="O239" i="54"/>
  <c r="O164" i="54"/>
  <c r="L86" i="54"/>
  <c r="O86" i="54" s="1"/>
  <c r="F201" i="67" s="1"/>
  <c r="F355" i="67"/>
  <c r="O162" i="54"/>
  <c r="F279" i="67" s="1"/>
  <c r="O237" i="54"/>
  <c r="L83" i="54"/>
  <c r="O83" i="54" s="1"/>
  <c r="F198" i="67" s="1"/>
  <c r="F352" i="67"/>
  <c r="O159" i="54"/>
  <c r="F276" i="67" s="1"/>
  <c r="O234" i="54"/>
  <c r="L87" i="54"/>
  <c r="O87" i="54" s="1"/>
  <c r="F356" i="67"/>
  <c r="F280" i="67"/>
  <c r="F202" i="67"/>
  <c r="O238" i="54"/>
  <c r="O163" i="54"/>
  <c r="L57" i="54"/>
  <c r="O57" i="54" s="1"/>
  <c r="F172" i="67" s="1"/>
  <c r="F326" i="67"/>
  <c r="O132" i="54"/>
  <c r="F250" i="67" s="1"/>
  <c r="O208" i="54"/>
  <c r="L65" i="54"/>
  <c r="O65" i="54" s="1"/>
  <c r="F258" i="67"/>
  <c r="F180" i="67"/>
  <c r="O140" i="54"/>
  <c r="O216" i="54"/>
  <c r="F334" i="67" s="1"/>
  <c r="L62" i="54"/>
  <c r="O62" i="54" s="1"/>
  <c r="F177" i="67" s="1"/>
  <c r="O213" i="54"/>
  <c r="F331" i="67" s="1"/>
  <c r="O137" i="54"/>
  <c r="F255" i="67" s="1"/>
  <c r="L99" i="54"/>
  <c r="O99" i="54" s="1"/>
  <c r="F214" i="67"/>
  <c r="F292" i="67"/>
  <c r="O175" i="54"/>
  <c r="O250" i="54"/>
  <c r="F368" i="67" s="1"/>
  <c r="E211" i="67"/>
  <c r="E289" i="67"/>
  <c r="N247" i="54"/>
  <c r="E365" i="67" s="1"/>
  <c r="N172" i="54"/>
  <c r="K96" i="54"/>
  <c r="N96" i="54" s="1"/>
  <c r="K153" i="54"/>
  <c r="N153" i="54" s="1"/>
  <c r="E270" i="67" s="1"/>
  <c r="L89" i="54"/>
  <c r="O89" i="54" s="1"/>
  <c r="F204" i="67" s="1"/>
  <c r="F358" i="67"/>
  <c r="O165" i="54"/>
  <c r="F282" i="67" s="1"/>
  <c r="O240" i="54"/>
  <c r="X341" i="67"/>
  <c r="AA341" i="67"/>
  <c r="U341" i="67"/>
  <c r="Y238" i="67"/>
  <c r="V238" i="67"/>
  <c r="AB238" i="67"/>
  <c r="AA446" i="67"/>
  <c r="U446" i="67"/>
  <c r="X446" i="67"/>
  <c r="E386" i="67"/>
  <c r="X156" i="67"/>
  <c r="AA156" i="67"/>
  <c r="U156" i="67"/>
  <c r="L85" i="54"/>
  <c r="O85" i="54" s="1"/>
  <c r="F278" i="67"/>
  <c r="F200" i="67"/>
  <c r="O161" i="54"/>
  <c r="O236" i="54"/>
  <c r="F354" i="67" s="1"/>
  <c r="L61" i="54"/>
  <c r="O61" i="54" s="1"/>
  <c r="F176" i="67" s="1"/>
  <c r="O136" i="54"/>
  <c r="F254" i="67" s="1"/>
  <c r="O212" i="54"/>
  <c r="F330" i="67" s="1"/>
  <c r="L75" i="54"/>
  <c r="O75" i="54" s="1"/>
  <c r="F268" i="67"/>
  <c r="F190" i="67"/>
  <c r="O151" i="54"/>
  <c r="L82" i="54"/>
  <c r="O82" i="54" s="1"/>
  <c r="F197" i="67" s="1"/>
  <c r="F275" i="67"/>
  <c r="O233" i="54"/>
  <c r="F351" i="67" s="1"/>
  <c r="O158" i="54"/>
  <c r="T43" i="49"/>
  <c r="G334" i="67"/>
  <c r="G180" i="67"/>
  <c r="P216" i="54"/>
  <c r="P140" i="54"/>
  <c r="G258" i="67" s="1"/>
  <c r="L42" i="54"/>
  <c r="O193" i="54"/>
  <c r="F311" i="67" s="1"/>
  <c r="M99" i="54"/>
  <c r="P99" i="54" s="1"/>
  <c r="G214" i="67" s="1"/>
  <c r="T80" i="49"/>
  <c r="G368" i="67"/>
  <c r="P250" i="54"/>
  <c r="P175" i="54"/>
  <c r="G292" i="67" s="1"/>
  <c r="E369" i="67"/>
  <c r="E293" i="67"/>
  <c r="K100" i="54"/>
  <c r="N100" i="54" s="1"/>
  <c r="E215" i="67" s="1"/>
  <c r="N176" i="54"/>
  <c r="X342" i="67"/>
  <c r="AA342" i="67"/>
  <c r="U342" i="67"/>
  <c r="Y307" i="67"/>
  <c r="AB307" i="67"/>
  <c r="V307" i="67"/>
  <c r="X266" i="67"/>
  <c r="U266" i="67"/>
  <c r="AA266" i="67"/>
  <c r="X188" i="67"/>
  <c r="AA188" i="67"/>
  <c r="U188" i="67"/>
  <c r="E421" i="67"/>
  <c r="X307" i="67"/>
  <c r="AA307" i="67"/>
  <c r="U307" i="67"/>
  <c r="O224" i="54"/>
  <c r="F342" i="67" s="1"/>
  <c r="T16" i="49"/>
  <c r="P189" i="54"/>
  <c r="G307" i="67" s="1"/>
  <c r="L113" i="54"/>
  <c r="O113" i="54" s="1"/>
  <c r="F231" i="67" s="1"/>
  <c r="O38" i="54"/>
  <c r="F153" i="67" s="1"/>
  <c r="K113" i="54"/>
  <c r="N113" i="54" s="1"/>
  <c r="E231" i="67" s="1"/>
  <c r="N38" i="54"/>
  <c r="E153" i="67" s="1"/>
  <c r="L35" i="54"/>
  <c r="O35" i="54" s="1"/>
  <c r="F150" i="67" s="1"/>
  <c r="O186" i="54"/>
  <c r="F304" i="67" s="1"/>
  <c r="N221" i="54"/>
  <c r="E339" i="67" s="1"/>
  <c r="K35" i="54"/>
  <c r="N186" i="54"/>
  <c r="E304" i="67" s="1"/>
  <c r="U253" i="67"/>
  <c r="X253" i="67"/>
  <c r="AA253" i="67"/>
  <c r="AA329" i="67"/>
  <c r="U329" i="67"/>
  <c r="X329" i="67"/>
  <c r="N246" i="54"/>
  <c r="E364" i="67" s="1"/>
  <c r="N171" i="54"/>
  <c r="E288" i="67" s="1"/>
  <c r="K95" i="54"/>
  <c r="N95" i="54" s="1"/>
  <c r="E210" i="67" s="1"/>
  <c r="T38" i="49"/>
  <c r="P135" i="54"/>
  <c r="G253" i="67" s="1"/>
  <c r="O135" i="54"/>
  <c r="F253" i="67" s="1"/>
  <c r="E405" i="67"/>
  <c r="X175" i="67"/>
  <c r="AA175" i="67"/>
  <c r="U175" i="67"/>
  <c r="L72" i="54"/>
  <c r="O72" i="54" s="1"/>
  <c r="F187" i="67" s="1"/>
  <c r="O148" i="54"/>
  <c r="F265" i="67" s="1"/>
  <c r="L71" i="54"/>
  <c r="L222" i="54" s="1"/>
  <c r="O222" i="54" s="1"/>
  <c r="F340" i="67" s="1"/>
  <c r="O147" i="54"/>
  <c r="F264" i="67" s="1"/>
  <c r="N110" i="54"/>
  <c r="E228" i="67" s="1"/>
  <c r="L149" i="54"/>
  <c r="O149" i="54" s="1"/>
  <c r="F266" i="67" s="1"/>
  <c r="L73" i="54"/>
  <c r="O73" i="54" s="1"/>
  <c r="F188" i="67" s="1"/>
  <c r="L77" i="54"/>
  <c r="P79" i="49"/>
  <c r="M98" i="54"/>
  <c r="P98" i="54" s="1"/>
  <c r="G213" i="67" s="1"/>
  <c r="M41" i="49"/>
  <c r="M40" i="49"/>
  <c r="M39" i="49"/>
  <c r="M36" i="49"/>
  <c r="M35" i="49"/>
  <c r="M34" i="49"/>
  <c r="M56" i="54" s="1"/>
  <c r="P56" i="54" s="1"/>
  <c r="M33" i="49"/>
  <c r="M14" i="49"/>
  <c r="M42" i="49"/>
  <c r="P74" i="49"/>
  <c r="L223" i="54"/>
  <c r="O223" i="54" s="1"/>
  <c r="F341" i="67" s="1"/>
  <c r="L226" i="54"/>
  <c r="O226" i="54" s="1"/>
  <c r="F344" i="67" s="1"/>
  <c r="L192" i="54"/>
  <c r="O192" i="54" s="1"/>
  <c r="F310" i="67" s="1"/>
  <c r="F386" i="67" s="1"/>
  <c r="L235" i="54"/>
  <c r="O235" i="54" s="1"/>
  <c r="P80" i="49"/>
  <c r="K70" i="54"/>
  <c r="L190" i="54"/>
  <c r="O190" i="54" s="1"/>
  <c r="F308" i="67" s="1"/>
  <c r="F384" i="67" s="1"/>
  <c r="P30" i="49"/>
  <c r="M52" i="54"/>
  <c r="P52" i="54" s="1"/>
  <c r="G167" i="67" s="1"/>
  <c r="L37" i="54"/>
  <c r="O37" i="54" s="1"/>
  <c r="F152" i="67" s="1"/>
  <c r="P34" i="49"/>
  <c r="P16" i="49"/>
  <c r="M38" i="54"/>
  <c r="P38" i="49"/>
  <c r="M60" i="54"/>
  <c r="P60" i="54" s="1"/>
  <c r="G175" i="67" s="1"/>
  <c r="L49" i="54"/>
  <c r="O49" i="54" s="1"/>
  <c r="F164" i="67" s="1"/>
  <c r="P37" i="49"/>
  <c r="M59" i="54"/>
  <c r="P59" i="54" s="1"/>
  <c r="G174" i="67" s="1"/>
  <c r="L60" i="54"/>
  <c r="O60" i="54" s="1"/>
  <c r="F175" i="67" s="1"/>
  <c r="P43" i="49"/>
  <c r="M65" i="54"/>
  <c r="P65" i="54" s="1"/>
  <c r="P40" i="49"/>
  <c r="M62" i="54"/>
  <c r="P62" i="54" s="1"/>
  <c r="L110" i="54"/>
  <c r="L44" i="49"/>
  <c r="P14" i="49"/>
  <c r="M203" i="49"/>
  <c r="L76" i="49"/>
  <c r="L72" i="49"/>
  <c r="M199" i="49"/>
  <c r="M72" i="49" s="1"/>
  <c r="L78" i="49"/>
  <c r="M205" i="49"/>
  <c r="M78" i="49" s="1"/>
  <c r="L77" i="49"/>
  <c r="M204" i="49"/>
  <c r="M77" i="49" s="1"/>
  <c r="L75" i="49"/>
  <c r="M202" i="49"/>
  <c r="L73" i="49"/>
  <c r="M200" i="49"/>
  <c r="M73" i="49" s="1"/>
  <c r="L71" i="49"/>
  <c r="M198" i="49"/>
  <c r="M71" i="49" s="1"/>
  <c r="M208" i="49"/>
  <c r="L81" i="49"/>
  <c r="M178" i="49"/>
  <c r="L51" i="49"/>
  <c r="M24" i="49"/>
  <c r="M18" i="49"/>
  <c r="M15" i="49"/>
  <c r="M29" i="49"/>
  <c r="M20" i="49"/>
  <c r="M28" i="49"/>
  <c r="M25" i="49"/>
  <c r="M23" i="49"/>
  <c r="M17" i="49"/>
  <c r="M22" i="49"/>
  <c r="M21" i="49"/>
  <c r="M26" i="49"/>
  <c r="M19" i="49"/>
  <c r="M31" i="49"/>
  <c r="M27" i="49"/>
  <c r="M32" i="49"/>
  <c r="M181" i="49"/>
  <c r="M196" i="49"/>
  <c r="M69" i="49" s="1"/>
  <c r="M183" i="49"/>
  <c r="M180" i="49"/>
  <c r="M182" i="49"/>
  <c r="M194" i="49"/>
  <c r="M67" i="49" s="1"/>
  <c r="M197" i="49"/>
  <c r="M184" i="49"/>
  <c r="M190" i="49"/>
  <c r="M191" i="49"/>
  <c r="M64" i="49" s="1"/>
  <c r="M187" i="49"/>
  <c r="M60" i="49" s="1"/>
  <c r="M195" i="49"/>
  <c r="M188" i="49"/>
  <c r="M61" i="49" s="1"/>
  <c r="M193" i="49"/>
  <c r="M66" i="49" s="1"/>
  <c r="M179" i="49"/>
  <c r="M52" i="49" s="1"/>
  <c r="M189" i="49"/>
  <c r="M62" i="49" s="1"/>
  <c r="M185" i="49"/>
  <c r="M192" i="49"/>
  <c r="M186" i="49"/>
  <c r="M59" i="49" s="1"/>
  <c r="M131" i="49"/>
  <c r="M13" i="49" s="1"/>
  <c r="J82" i="49"/>
  <c r="J84" i="49" s="1"/>
  <c r="G441" i="67" l="1"/>
  <c r="Z441" i="67" s="1"/>
  <c r="U360" i="67"/>
  <c r="X360" i="67"/>
  <c r="AA360" i="67"/>
  <c r="Y274" i="67"/>
  <c r="AB274" i="67"/>
  <c r="V274" i="67"/>
  <c r="Y362" i="67"/>
  <c r="V362" i="67"/>
  <c r="AB362" i="67"/>
  <c r="Y164" i="67"/>
  <c r="V164" i="67"/>
  <c r="AB164" i="67"/>
  <c r="V368" i="67"/>
  <c r="Y368" i="67"/>
  <c r="AB368" i="67"/>
  <c r="F447" i="67"/>
  <c r="Y334" i="67"/>
  <c r="V334" i="67"/>
  <c r="AB334" i="67"/>
  <c r="F402" i="67"/>
  <c r="AB172" i="67"/>
  <c r="V172" i="67"/>
  <c r="Y172" i="67"/>
  <c r="Y276" i="67"/>
  <c r="V276" i="67"/>
  <c r="AB276" i="67"/>
  <c r="Y199" i="67"/>
  <c r="V199" i="67"/>
  <c r="AB199" i="67"/>
  <c r="F432" i="67"/>
  <c r="U207" i="67"/>
  <c r="X207" i="67"/>
  <c r="AA207" i="67"/>
  <c r="E440" i="67"/>
  <c r="Y350" i="67"/>
  <c r="AB350" i="67"/>
  <c r="V350" i="67"/>
  <c r="V333" i="67"/>
  <c r="AB333" i="67"/>
  <c r="Y333" i="67"/>
  <c r="Y384" i="67"/>
  <c r="V384" i="67"/>
  <c r="AB384" i="67"/>
  <c r="X215" i="67"/>
  <c r="AA215" i="67"/>
  <c r="U215" i="67"/>
  <c r="E448" i="67"/>
  <c r="Z214" i="67"/>
  <c r="W214" i="67"/>
  <c r="AC214" i="67"/>
  <c r="G447" i="67"/>
  <c r="AB330" i="67"/>
  <c r="V330" i="67"/>
  <c r="Y330" i="67"/>
  <c r="AB204" i="67"/>
  <c r="V204" i="67"/>
  <c r="Y204" i="67"/>
  <c r="F437" i="67"/>
  <c r="X290" i="67"/>
  <c r="U290" i="67"/>
  <c r="AA290" i="67"/>
  <c r="E439" i="67"/>
  <c r="U285" i="67"/>
  <c r="AA285" i="67"/>
  <c r="X285" i="67"/>
  <c r="Y256" i="67"/>
  <c r="AB256" i="67"/>
  <c r="V256" i="67"/>
  <c r="Z321" i="67"/>
  <c r="AC321" i="67"/>
  <c r="W321" i="67"/>
  <c r="Z252" i="67"/>
  <c r="AC252" i="67"/>
  <c r="W252" i="67"/>
  <c r="V267" i="67"/>
  <c r="AB267" i="67"/>
  <c r="Y267" i="67"/>
  <c r="F407" i="67"/>
  <c r="AB177" i="67"/>
  <c r="V177" i="67"/>
  <c r="Y177" i="67"/>
  <c r="Y251" i="67"/>
  <c r="V251" i="67"/>
  <c r="AB251" i="67"/>
  <c r="F409" i="67"/>
  <c r="V179" i="67"/>
  <c r="Y179" i="67"/>
  <c r="AB179" i="67"/>
  <c r="AC328" i="67"/>
  <c r="Z328" i="67"/>
  <c r="W328" i="67"/>
  <c r="F406" i="67"/>
  <c r="AB176" i="67"/>
  <c r="Y176" i="67"/>
  <c r="V176" i="67"/>
  <c r="Y327" i="67"/>
  <c r="V327" i="67"/>
  <c r="AB327" i="67"/>
  <c r="V271" i="67"/>
  <c r="Y271" i="67"/>
  <c r="AB271" i="67"/>
  <c r="V328" i="67"/>
  <c r="Y328" i="67"/>
  <c r="AB328" i="67"/>
  <c r="X209" i="67"/>
  <c r="U209" i="67"/>
  <c r="AA209" i="67"/>
  <c r="E442" i="67"/>
  <c r="F408" i="67"/>
  <c r="Y178" i="67"/>
  <c r="AB178" i="67"/>
  <c r="V178" i="67"/>
  <c r="AB249" i="67"/>
  <c r="Y249" i="67"/>
  <c r="V249" i="67"/>
  <c r="V282" i="67"/>
  <c r="Y282" i="67"/>
  <c r="AB282" i="67"/>
  <c r="AB254" i="67"/>
  <c r="V254" i="67"/>
  <c r="Y254" i="67"/>
  <c r="AB332" i="67"/>
  <c r="Y332" i="67"/>
  <c r="V332" i="67"/>
  <c r="Z245" i="67"/>
  <c r="W245" i="67"/>
  <c r="AC245" i="67"/>
  <c r="V325" i="67"/>
  <c r="Y325" i="67"/>
  <c r="AB325" i="67"/>
  <c r="Y354" i="67"/>
  <c r="V354" i="67"/>
  <c r="AB354" i="67"/>
  <c r="F433" i="67"/>
  <c r="Y279" i="67"/>
  <c r="V279" i="67"/>
  <c r="AB279" i="67"/>
  <c r="F403" i="67"/>
  <c r="AB173" i="67"/>
  <c r="Y173" i="67"/>
  <c r="V173" i="67"/>
  <c r="Y320" i="67"/>
  <c r="V320" i="67"/>
  <c r="AB320" i="67"/>
  <c r="Y347" i="67"/>
  <c r="AB347" i="67"/>
  <c r="V347" i="67"/>
  <c r="AA287" i="67"/>
  <c r="X287" i="67"/>
  <c r="U287" i="67"/>
  <c r="Y346" i="67"/>
  <c r="V346" i="67"/>
  <c r="AB346" i="67"/>
  <c r="Y349" i="67"/>
  <c r="AB349" i="67"/>
  <c r="V349" i="67"/>
  <c r="G397" i="67"/>
  <c r="Z167" i="67"/>
  <c r="W167" i="67"/>
  <c r="AC167" i="67"/>
  <c r="W213" i="67"/>
  <c r="Z213" i="67"/>
  <c r="AC213" i="67"/>
  <c r="G446" i="67"/>
  <c r="Y311" i="67"/>
  <c r="V311" i="67"/>
  <c r="AB311" i="67"/>
  <c r="Y230" i="67"/>
  <c r="AB230" i="67"/>
  <c r="V230" i="67"/>
  <c r="AC258" i="67"/>
  <c r="Z258" i="67"/>
  <c r="W258" i="67"/>
  <c r="Y197" i="67"/>
  <c r="V197" i="67"/>
  <c r="AB197" i="67"/>
  <c r="AC292" i="67"/>
  <c r="W292" i="67"/>
  <c r="Z292" i="67"/>
  <c r="AA365" i="67"/>
  <c r="X365" i="67"/>
  <c r="U365" i="67"/>
  <c r="Y255" i="67"/>
  <c r="AB255" i="67"/>
  <c r="V255" i="67"/>
  <c r="V269" i="67"/>
  <c r="AB269" i="67"/>
  <c r="Y269" i="67"/>
  <c r="Y242" i="67"/>
  <c r="AB242" i="67"/>
  <c r="V242" i="67"/>
  <c r="Y244" i="67"/>
  <c r="V244" i="67"/>
  <c r="AB244" i="67"/>
  <c r="Y193" i="67"/>
  <c r="AB193" i="67"/>
  <c r="V193" i="67"/>
  <c r="F426" i="67"/>
  <c r="Y348" i="67"/>
  <c r="AB348" i="67"/>
  <c r="V348" i="67"/>
  <c r="U205" i="67"/>
  <c r="X205" i="67"/>
  <c r="AA205" i="67"/>
  <c r="X359" i="67"/>
  <c r="AA359" i="67"/>
  <c r="U359" i="67"/>
  <c r="Y351" i="67"/>
  <c r="AB351" i="67"/>
  <c r="V351" i="67"/>
  <c r="Y198" i="67"/>
  <c r="V198" i="67"/>
  <c r="AB198" i="67"/>
  <c r="F431" i="67"/>
  <c r="Y189" i="67"/>
  <c r="V189" i="67"/>
  <c r="AB189" i="67"/>
  <c r="G404" i="67"/>
  <c r="W174" i="67"/>
  <c r="AC174" i="67"/>
  <c r="Z174" i="67"/>
  <c r="Y152" i="67"/>
  <c r="V152" i="67"/>
  <c r="AB152" i="67"/>
  <c r="Y344" i="67"/>
  <c r="V344" i="67"/>
  <c r="AB344" i="67"/>
  <c r="F423" i="67"/>
  <c r="Y331" i="67"/>
  <c r="AB331" i="67"/>
  <c r="V331" i="67"/>
  <c r="Y250" i="67"/>
  <c r="V250" i="67"/>
  <c r="AB250" i="67"/>
  <c r="Y201" i="67"/>
  <c r="AB201" i="67"/>
  <c r="V201" i="67"/>
  <c r="F434" i="67"/>
  <c r="Y191" i="67"/>
  <c r="AB191" i="67"/>
  <c r="V191" i="67"/>
  <c r="Y277" i="67"/>
  <c r="V277" i="67"/>
  <c r="AB277" i="67"/>
  <c r="F396" i="67"/>
  <c r="Y166" i="67"/>
  <c r="AB166" i="67"/>
  <c r="V166" i="67"/>
  <c r="F404" i="67"/>
  <c r="Y174" i="67"/>
  <c r="AB174" i="67"/>
  <c r="V174" i="67"/>
  <c r="V286" i="67"/>
  <c r="Y286" i="67"/>
  <c r="AB286" i="67"/>
  <c r="M91" i="54"/>
  <c r="P91" i="54" s="1"/>
  <c r="G206" i="67" s="1"/>
  <c r="T72" i="49"/>
  <c r="G284" i="67"/>
  <c r="P167" i="54"/>
  <c r="P242" i="54"/>
  <c r="G360" i="67" s="1"/>
  <c r="V358" i="67"/>
  <c r="AB358" i="67"/>
  <c r="Y358" i="67"/>
  <c r="F435" i="67"/>
  <c r="V280" i="67"/>
  <c r="AB280" i="67"/>
  <c r="Y280" i="67"/>
  <c r="AA212" i="67"/>
  <c r="U212" i="67"/>
  <c r="X212" i="67"/>
  <c r="V252" i="67"/>
  <c r="AB252" i="67"/>
  <c r="Y252" i="67"/>
  <c r="AB194" i="67"/>
  <c r="Y194" i="67"/>
  <c r="V194" i="67"/>
  <c r="AA437" i="67"/>
  <c r="U437" i="67"/>
  <c r="X437" i="67"/>
  <c r="X391" i="67"/>
  <c r="AA391" i="67"/>
  <c r="U391" i="67"/>
  <c r="AA436" i="67"/>
  <c r="X436" i="67"/>
  <c r="U436" i="67"/>
  <c r="X431" i="67"/>
  <c r="U431" i="67"/>
  <c r="AA431" i="67"/>
  <c r="X396" i="67"/>
  <c r="AA396" i="67"/>
  <c r="U396" i="67"/>
  <c r="X389" i="67"/>
  <c r="U389" i="67"/>
  <c r="AA389" i="67"/>
  <c r="T24" i="49"/>
  <c r="P197" i="54"/>
  <c r="G315" i="67" s="1"/>
  <c r="P121" i="54"/>
  <c r="G239" i="67" s="1"/>
  <c r="L91" i="54"/>
  <c r="O91" i="54" s="1"/>
  <c r="F206" i="67" s="1"/>
  <c r="F360" i="67"/>
  <c r="O242" i="54"/>
  <c r="O167" i="54"/>
  <c r="F284" i="67" s="1"/>
  <c r="M61" i="54"/>
  <c r="P61" i="54" s="1"/>
  <c r="G176" i="67" s="1"/>
  <c r="T39" i="49"/>
  <c r="G254" i="67"/>
  <c r="G330" i="67"/>
  <c r="P212" i="54"/>
  <c r="P136" i="54"/>
  <c r="U211" i="67"/>
  <c r="X211" i="67"/>
  <c r="AA211" i="67"/>
  <c r="V214" i="67"/>
  <c r="Y214" i="67"/>
  <c r="AB214" i="67"/>
  <c r="Y356" i="67"/>
  <c r="AB356" i="67"/>
  <c r="V356" i="67"/>
  <c r="AA402" i="67"/>
  <c r="U402" i="67"/>
  <c r="X402" i="67"/>
  <c r="U366" i="67"/>
  <c r="X366" i="67"/>
  <c r="AA366" i="67"/>
  <c r="U361" i="67"/>
  <c r="AA361" i="67"/>
  <c r="X361" i="67"/>
  <c r="Y248" i="67"/>
  <c r="AB248" i="67"/>
  <c r="V248" i="67"/>
  <c r="F427" i="67"/>
  <c r="Y272" i="67"/>
  <c r="V272" i="67"/>
  <c r="AB272" i="67"/>
  <c r="X397" i="67"/>
  <c r="U397" i="67"/>
  <c r="AA397" i="67"/>
  <c r="AA410" i="67"/>
  <c r="U410" i="67"/>
  <c r="X410" i="67"/>
  <c r="AC362" i="67"/>
  <c r="W362" i="67"/>
  <c r="Z362" i="67"/>
  <c r="Y241" i="67"/>
  <c r="V241" i="67"/>
  <c r="AB241" i="67"/>
  <c r="F401" i="67"/>
  <c r="Y171" i="67"/>
  <c r="V171" i="67"/>
  <c r="AB171" i="67"/>
  <c r="U434" i="67"/>
  <c r="X434" i="67"/>
  <c r="AA434" i="67"/>
  <c r="U430" i="67"/>
  <c r="AA430" i="67"/>
  <c r="X430" i="67"/>
  <c r="U420" i="67"/>
  <c r="AA420" i="67"/>
  <c r="X420" i="67"/>
  <c r="Y391" i="67"/>
  <c r="AB391" i="67"/>
  <c r="V391" i="67"/>
  <c r="Y389" i="67"/>
  <c r="V389" i="67"/>
  <c r="AB389" i="67"/>
  <c r="U400" i="67"/>
  <c r="X400" i="67"/>
  <c r="AA400" i="67"/>
  <c r="U447" i="67"/>
  <c r="AA447" i="67"/>
  <c r="X447" i="67"/>
  <c r="M88" i="54"/>
  <c r="P88" i="54" s="1"/>
  <c r="T69" i="49"/>
  <c r="G357" i="67"/>
  <c r="G203" i="67"/>
  <c r="P164" i="54"/>
  <c r="G281" i="67" s="1"/>
  <c r="P239" i="54"/>
  <c r="T36" i="49"/>
  <c r="P133" i="54"/>
  <c r="G251" i="67" s="1"/>
  <c r="P209" i="54"/>
  <c r="G327" i="67" s="1"/>
  <c r="L117" i="54"/>
  <c r="O117" i="54" s="1"/>
  <c r="F235" i="67" s="1"/>
  <c r="O42" i="54"/>
  <c r="F157" i="67" s="1"/>
  <c r="F181" i="67" s="1"/>
  <c r="F182" i="67" s="1"/>
  <c r="U206" i="67"/>
  <c r="AA206" i="67"/>
  <c r="X206" i="67"/>
  <c r="Y388" i="67"/>
  <c r="AB388" i="67"/>
  <c r="V388" i="67"/>
  <c r="T17" i="49"/>
  <c r="P114" i="54"/>
  <c r="G232" i="67" s="1"/>
  <c r="L92" i="54"/>
  <c r="O92" i="54" s="1"/>
  <c r="F361" i="67"/>
  <c r="F285" i="67"/>
  <c r="F207" i="67"/>
  <c r="O168" i="54"/>
  <c r="O243" i="54"/>
  <c r="M81" i="54"/>
  <c r="P81" i="54" s="1"/>
  <c r="G196" i="67" s="1"/>
  <c r="T62" i="49"/>
  <c r="G350" i="67"/>
  <c r="G274" i="67"/>
  <c r="P232" i="54"/>
  <c r="P157" i="54"/>
  <c r="T32" i="49"/>
  <c r="G323" i="67"/>
  <c r="P129" i="54"/>
  <c r="G247" i="67" s="1"/>
  <c r="P205" i="54"/>
  <c r="T23" i="49"/>
  <c r="P196" i="54"/>
  <c r="G314" i="67" s="1"/>
  <c r="P120" i="54"/>
  <c r="G238" i="67" s="1"/>
  <c r="T40" i="49"/>
  <c r="G177" i="67"/>
  <c r="P137" i="54"/>
  <c r="G255" i="67" s="1"/>
  <c r="P213" i="54"/>
  <c r="G331" i="67" s="1"/>
  <c r="U426" i="67"/>
  <c r="X426" i="67"/>
  <c r="AA426" i="67"/>
  <c r="V446" i="67"/>
  <c r="AB446" i="67"/>
  <c r="Y446" i="67"/>
  <c r="X390" i="67"/>
  <c r="AA390" i="67"/>
  <c r="U390" i="67"/>
  <c r="Y392" i="67"/>
  <c r="V392" i="67"/>
  <c r="AB392" i="67"/>
  <c r="X384" i="67"/>
  <c r="AA384" i="67"/>
  <c r="U384" i="67"/>
  <c r="X423" i="67"/>
  <c r="U423" i="67"/>
  <c r="AA423" i="67"/>
  <c r="X395" i="67"/>
  <c r="AA395" i="67"/>
  <c r="U395" i="67"/>
  <c r="U289" i="67"/>
  <c r="AA289" i="67"/>
  <c r="X289" i="67"/>
  <c r="U404" i="67"/>
  <c r="AA404" i="67"/>
  <c r="X404" i="67"/>
  <c r="W208" i="67"/>
  <c r="Z208" i="67"/>
  <c r="AC208" i="67"/>
  <c r="T27" i="49"/>
  <c r="P124" i="54"/>
  <c r="G242" i="67" s="1"/>
  <c r="F430" i="67"/>
  <c r="Y275" i="67"/>
  <c r="AB275" i="67"/>
  <c r="V275" i="67"/>
  <c r="Y326" i="67"/>
  <c r="V326" i="67"/>
  <c r="AB326" i="67"/>
  <c r="E445" i="67"/>
  <c r="Y196" i="67"/>
  <c r="AB196" i="67"/>
  <c r="V196" i="67"/>
  <c r="AB399" i="67"/>
  <c r="V399" i="67"/>
  <c r="Y399" i="67"/>
  <c r="Y398" i="67"/>
  <c r="V398" i="67"/>
  <c r="AB398" i="67"/>
  <c r="Z291" i="67"/>
  <c r="AC291" i="67"/>
  <c r="W291" i="67"/>
  <c r="AB257" i="67"/>
  <c r="Y257" i="67"/>
  <c r="V257" i="67"/>
  <c r="Y195" i="67"/>
  <c r="V195" i="67"/>
  <c r="AB195" i="67"/>
  <c r="Y208" i="67"/>
  <c r="V208" i="67"/>
  <c r="AB208" i="67"/>
  <c r="AA441" i="67"/>
  <c r="X441" i="67"/>
  <c r="U441" i="67"/>
  <c r="Y390" i="67"/>
  <c r="V390" i="67"/>
  <c r="AB390" i="67"/>
  <c r="AA409" i="67"/>
  <c r="X409" i="67"/>
  <c r="U409" i="67"/>
  <c r="T18" i="49"/>
  <c r="G233" i="67"/>
  <c r="P115" i="54"/>
  <c r="X398" i="67"/>
  <c r="AA398" i="67"/>
  <c r="U398" i="67"/>
  <c r="Y386" i="67"/>
  <c r="V386" i="67"/>
  <c r="AB386" i="67"/>
  <c r="T25" i="49"/>
  <c r="P198" i="54"/>
  <c r="G316" i="67" s="1"/>
  <c r="P122" i="54"/>
  <c r="G240" i="67" s="1"/>
  <c r="T41" i="49"/>
  <c r="P138" i="54"/>
  <c r="G256" i="67" s="1"/>
  <c r="P214" i="54"/>
  <c r="G332" i="67" s="1"/>
  <c r="G410" i="67"/>
  <c r="W180" i="67"/>
  <c r="AC180" i="67"/>
  <c r="Z180" i="67"/>
  <c r="X386" i="67"/>
  <c r="AA386" i="67"/>
  <c r="U386" i="67"/>
  <c r="AB281" i="67"/>
  <c r="V281" i="67"/>
  <c r="Y281" i="67"/>
  <c r="Y353" i="67"/>
  <c r="V353" i="67"/>
  <c r="AB353" i="67"/>
  <c r="M86" i="54"/>
  <c r="P86" i="54" s="1"/>
  <c r="T67" i="49"/>
  <c r="G279" i="67"/>
  <c r="G355" i="67"/>
  <c r="G201" i="67"/>
  <c r="P162" i="54"/>
  <c r="P237" i="54"/>
  <c r="M96" i="54"/>
  <c r="P96" i="54" s="1"/>
  <c r="T77" i="49"/>
  <c r="G211" i="67"/>
  <c r="G289" i="67"/>
  <c r="G365" i="67"/>
  <c r="P172" i="54"/>
  <c r="P247" i="54"/>
  <c r="AC334" i="67"/>
  <c r="W334" i="67"/>
  <c r="Z334" i="67"/>
  <c r="Y200" i="67"/>
  <c r="AB200" i="67"/>
  <c r="V200" i="67"/>
  <c r="E425" i="67"/>
  <c r="AA270" i="67"/>
  <c r="U270" i="67"/>
  <c r="X270" i="67"/>
  <c r="Y355" i="67"/>
  <c r="AB355" i="67"/>
  <c r="V355" i="67"/>
  <c r="Y203" i="67"/>
  <c r="AB203" i="67"/>
  <c r="V203" i="67"/>
  <c r="F429" i="67"/>
  <c r="X401" i="67"/>
  <c r="AA401" i="67"/>
  <c r="U401" i="67"/>
  <c r="Y395" i="67"/>
  <c r="V395" i="67"/>
  <c r="AB395" i="67"/>
  <c r="E438" i="67"/>
  <c r="X283" i="67"/>
  <c r="U283" i="67"/>
  <c r="AA283" i="67"/>
  <c r="AB273" i="67"/>
  <c r="Y273" i="67"/>
  <c r="V273" i="67"/>
  <c r="U422" i="67"/>
  <c r="X422" i="67"/>
  <c r="AA422" i="67"/>
  <c r="X432" i="67"/>
  <c r="AA432" i="67"/>
  <c r="U432" i="67"/>
  <c r="T22" i="49"/>
  <c r="G237" i="67"/>
  <c r="P195" i="54"/>
  <c r="G313" i="67" s="1"/>
  <c r="P119" i="54"/>
  <c r="X235" i="67"/>
  <c r="AA235" i="67"/>
  <c r="U235" i="67"/>
  <c r="V324" i="67"/>
  <c r="Y324" i="67"/>
  <c r="AB324" i="67"/>
  <c r="X407" i="67"/>
  <c r="AA407" i="67"/>
  <c r="U407" i="67"/>
  <c r="Y317" i="67"/>
  <c r="V317" i="67"/>
  <c r="AB317" i="67"/>
  <c r="Y308" i="67"/>
  <c r="AB308" i="67"/>
  <c r="V308" i="67"/>
  <c r="M85" i="54"/>
  <c r="P85" i="54" s="1"/>
  <c r="G200" i="67" s="1"/>
  <c r="T66" i="49"/>
  <c r="G354" i="67"/>
  <c r="G278" i="67"/>
  <c r="P161" i="54"/>
  <c r="P236" i="54"/>
  <c r="T31" i="49"/>
  <c r="G322" i="67"/>
  <c r="P128" i="54"/>
  <c r="G246" i="67" s="1"/>
  <c r="P204" i="54"/>
  <c r="T28" i="49"/>
  <c r="G165" i="67"/>
  <c r="P201" i="54"/>
  <c r="G319" i="67" s="1"/>
  <c r="P125" i="54"/>
  <c r="G243" i="67" s="1"/>
  <c r="L100" i="54"/>
  <c r="O100" i="54" s="1"/>
  <c r="F215" i="67" s="1"/>
  <c r="O251" i="54"/>
  <c r="F369" i="67" s="1"/>
  <c r="O176" i="54"/>
  <c r="F293" i="67" s="1"/>
  <c r="M63" i="54"/>
  <c r="P63" i="54" s="1"/>
  <c r="G178" i="67" s="1"/>
  <c r="M36" i="54"/>
  <c r="P36" i="54" s="1"/>
  <c r="G151" i="67" s="1"/>
  <c r="T14" i="49"/>
  <c r="P111" i="54"/>
  <c r="G229" i="67" s="1"/>
  <c r="M80" i="54"/>
  <c r="P80" i="54" s="1"/>
  <c r="G195" i="67" s="1"/>
  <c r="T61" i="49"/>
  <c r="G349" i="67"/>
  <c r="P231" i="54"/>
  <c r="P156" i="54"/>
  <c r="G273" i="67" s="1"/>
  <c r="T19" i="49"/>
  <c r="G234" i="67"/>
  <c r="G156" i="67"/>
  <c r="P116" i="54"/>
  <c r="T20" i="49"/>
  <c r="P193" i="54"/>
  <c r="G311" i="67" s="1"/>
  <c r="L96" i="54"/>
  <c r="O96" i="54" s="1"/>
  <c r="F211" i="67"/>
  <c r="O247" i="54"/>
  <c r="F365" i="67" s="1"/>
  <c r="O172" i="54"/>
  <c r="F289" i="67" s="1"/>
  <c r="P41" i="49"/>
  <c r="M55" i="54"/>
  <c r="P55" i="54" s="1"/>
  <c r="G170" i="67" s="1"/>
  <c r="T33" i="49"/>
  <c r="P206" i="54"/>
  <c r="G324" i="67" s="1"/>
  <c r="P130" i="54"/>
  <c r="G248" i="67" s="1"/>
  <c r="Y258" i="67"/>
  <c r="V258" i="67"/>
  <c r="AB258" i="67"/>
  <c r="F436" i="67"/>
  <c r="X385" i="67"/>
  <c r="U385" i="67"/>
  <c r="AA385" i="67"/>
  <c r="X399" i="67"/>
  <c r="AA399" i="67"/>
  <c r="U399" i="67"/>
  <c r="X381" i="67"/>
  <c r="AA381" i="67"/>
  <c r="U381" i="67"/>
  <c r="F428" i="67"/>
  <c r="F441" i="67"/>
  <c r="X393" i="67"/>
  <c r="AA393" i="67"/>
  <c r="U393" i="67"/>
  <c r="U427" i="67"/>
  <c r="X427" i="67"/>
  <c r="AA427" i="67"/>
  <c r="AA428" i="67"/>
  <c r="X428" i="67"/>
  <c r="U428" i="67"/>
  <c r="X392" i="67"/>
  <c r="U392" i="67"/>
  <c r="AA392" i="67"/>
  <c r="M83" i="54"/>
  <c r="P83" i="54" s="1"/>
  <c r="T64" i="49"/>
  <c r="G198" i="67"/>
  <c r="P159" i="54"/>
  <c r="G276" i="67" s="1"/>
  <c r="P234" i="54"/>
  <c r="G352" i="67" s="1"/>
  <c r="U293" i="67"/>
  <c r="X293" i="67"/>
  <c r="AA293" i="67"/>
  <c r="P42" i="49"/>
  <c r="T42" i="49"/>
  <c r="G333" i="67"/>
  <c r="G257" i="67"/>
  <c r="G179" i="67"/>
  <c r="P215" i="54"/>
  <c r="P139" i="54"/>
  <c r="X369" i="67"/>
  <c r="U369" i="67"/>
  <c r="AA369" i="67"/>
  <c r="F410" i="67"/>
  <c r="AB180" i="67"/>
  <c r="Y180" i="67"/>
  <c r="V180" i="67"/>
  <c r="T26" i="49"/>
  <c r="P199" i="54"/>
  <c r="G317" i="67" s="1"/>
  <c r="P123" i="54"/>
  <c r="G241" i="67" s="1"/>
  <c r="T29" i="49"/>
  <c r="P202" i="54"/>
  <c r="G320" i="67" s="1"/>
  <c r="P126" i="54"/>
  <c r="G244" i="67" s="1"/>
  <c r="M90" i="54"/>
  <c r="P90" i="54" s="1"/>
  <c r="G205" i="67" s="1"/>
  <c r="T71" i="49"/>
  <c r="G283" i="67"/>
  <c r="P241" i="54"/>
  <c r="G359" i="67" s="1"/>
  <c r="P166" i="54"/>
  <c r="M97" i="54"/>
  <c r="P97" i="54" s="1"/>
  <c r="G212" i="67" s="1"/>
  <c r="T78" i="49"/>
  <c r="G366" i="67"/>
  <c r="P173" i="54"/>
  <c r="G290" i="67" s="1"/>
  <c r="P248" i="54"/>
  <c r="T34" i="49"/>
  <c r="G249" i="67"/>
  <c r="G325" i="67"/>
  <c r="G171" i="67"/>
  <c r="P131" i="54"/>
  <c r="P207" i="54"/>
  <c r="L153" i="54"/>
  <c r="O153" i="54" s="1"/>
  <c r="F270" i="67" s="1"/>
  <c r="O77" i="54"/>
  <c r="F192" i="67" s="1"/>
  <c r="Y190" i="67"/>
  <c r="V190" i="67"/>
  <c r="AB190" i="67"/>
  <c r="AB278" i="67"/>
  <c r="V278" i="67"/>
  <c r="Y278" i="67"/>
  <c r="Y357" i="67"/>
  <c r="AB357" i="67"/>
  <c r="V357" i="67"/>
  <c r="U406" i="67"/>
  <c r="AA406" i="67"/>
  <c r="X406" i="67"/>
  <c r="X382" i="67"/>
  <c r="AA382" i="67"/>
  <c r="U382" i="67"/>
  <c r="X394" i="67"/>
  <c r="U394" i="67"/>
  <c r="AA394" i="67"/>
  <c r="U403" i="67"/>
  <c r="X403" i="67"/>
  <c r="AA403" i="67"/>
  <c r="Z367" i="67"/>
  <c r="W367" i="67"/>
  <c r="AC367" i="67"/>
  <c r="AA363" i="67"/>
  <c r="U363" i="67"/>
  <c r="X363" i="67"/>
  <c r="X424" i="67"/>
  <c r="AA424" i="67"/>
  <c r="U424" i="67"/>
  <c r="Y397" i="67"/>
  <c r="V397" i="67"/>
  <c r="AB397" i="67"/>
  <c r="AA429" i="67"/>
  <c r="U429" i="67"/>
  <c r="X429" i="67"/>
  <c r="M92" i="54"/>
  <c r="P92" i="54" s="1"/>
  <c r="T73" i="49"/>
  <c r="G207" i="67"/>
  <c r="G361" i="67"/>
  <c r="P243" i="54"/>
  <c r="P168" i="54"/>
  <c r="G285" i="67" s="1"/>
  <c r="Y352" i="67"/>
  <c r="V352" i="67"/>
  <c r="AB352" i="67"/>
  <c r="L94" i="54"/>
  <c r="O94" i="54" s="1"/>
  <c r="F209" i="67" s="1"/>
  <c r="F287" i="67"/>
  <c r="F363" i="67"/>
  <c r="O245" i="54"/>
  <c r="O170" i="54"/>
  <c r="E444" i="67"/>
  <c r="M78" i="54"/>
  <c r="P78" i="54" s="1"/>
  <c r="G193" i="67" s="1"/>
  <c r="T59" i="49"/>
  <c r="G271" i="67"/>
  <c r="G347" i="67"/>
  <c r="P154" i="54"/>
  <c r="P229" i="54"/>
  <c r="M79" i="54"/>
  <c r="P79" i="54" s="1"/>
  <c r="G194" i="67" s="1"/>
  <c r="T60" i="49"/>
  <c r="G272" i="67"/>
  <c r="G348" i="67"/>
  <c r="P230" i="54"/>
  <c r="P155" i="54"/>
  <c r="T21" i="49"/>
  <c r="G236" i="67"/>
  <c r="P118" i="54"/>
  <c r="P194" i="54"/>
  <c r="G312" i="67" s="1"/>
  <c r="T15" i="49"/>
  <c r="P112" i="54"/>
  <c r="G230" i="67" s="1"/>
  <c r="L90" i="54"/>
  <c r="O90" i="54" s="1"/>
  <c r="F205" i="67" s="1"/>
  <c r="F283" i="67"/>
  <c r="F359" i="67"/>
  <c r="O166" i="54"/>
  <c r="O241" i="54"/>
  <c r="L97" i="54"/>
  <c r="O97" i="54" s="1"/>
  <c r="F212" i="67"/>
  <c r="F290" i="67"/>
  <c r="O248" i="54"/>
  <c r="F366" i="67" s="1"/>
  <c r="O173" i="54"/>
  <c r="Y310" i="67"/>
  <c r="AB310" i="67"/>
  <c r="V310" i="67"/>
  <c r="P35" i="49"/>
  <c r="T35" i="49"/>
  <c r="G326" i="67"/>
  <c r="G250" i="67"/>
  <c r="P208" i="54"/>
  <c r="P132" i="54"/>
  <c r="Z368" i="67"/>
  <c r="AC368" i="67"/>
  <c r="W368" i="67"/>
  <c r="AB268" i="67"/>
  <c r="Y268" i="67"/>
  <c r="V268" i="67"/>
  <c r="V292" i="67"/>
  <c r="AB292" i="67"/>
  <c r="Y292" i="67"/>
  <c r="Y202" i="67"/>
  <c r="AB202" i="67"/>
  <c r="V202" i="67"/>
  <c r="X388" i="67"/>
  <c r="U388" i="67"/>
  <c r="AA388" i="67"/>
  <c r="U284" i="67"/>
  <c r="AA284" i="67"/>
  <c r="X284" i="67"/>
  <c r="E387" i="67"/>
  <c r="X157" i="67"/>
  <c r="AA157" i="67"/>
  <c r="U157" i="67"/>
  <c r="F400" i="67"/>
  <c r="V170" i="67"/>
  <c r="AB170" i="67"/>
  <c r="Y170" i="67"/>
  <c r="AC286" i="67"/>
  <c r="Z286" i="67"/>
  <c r="W286" i="67"/>
  <c r="F393" i="67"/>
  <c r="Y163" i="67"/>
  <c r="AB163" i="67"/>
  <c r="V163" i="67"/>
  <c r="AA433" i="67"/>
  <c r="X433" i="67"/>
  <c r="U433" i="67"/>
  <c r="AA419" i="67"/>
  <c r="X419" i="67"/>
  <c r="U419" i="67"/>
  <c r="AA408" i="67"/>
  <c r="X408" i="67"/>
  <c r="U408" i="67"/>
  <c r="U435" i="67"/>
  <c r="X435" i="67"/>
  <c r="AA435" i="67"/>
  <c r="Y188" i="67"/>
  <c r="V188" i="67"/>
  <c r="AB188" i="67"/>
  <c r="F421" i="67"/>
  <c r="V266" i="67"/>
  <c r="Y266" i="67"/>
  <c r="AB266" i="67"/>
  <c r="Y342" i="67"/>
  <c r="AB342" i="67"/>
  <c r="V342" i="67"/>
  <c r="X231" i="67"/>
  <c r="AA231" i="67"/>
  <c r="U231" i="67"/>
  <c r="F383" i="67"/>
  <c r="Y153" i="67"/>
  <c r="AB153" i="67"/>
  <c r="V153" i="67"/>
  <c r="U421" i="67"/>
  <c r="AA421" i="67"/>
  <c r="X421" i="67"/>
  <c r="Y231" i="67"/>
  <c r="V231" i="67"/>
  <c r="AB231" i="67"/>
  <c r="Z307" i="67"/>
  <c r="AC307" i="67"/>
  <c r="W307" i="67"/>
  <c r="E383" i="67"/>
  <c r="X153" i="67"/>
  <c r="U153" i="67"/>
  <c r="AA153" i="67"/>
  <c r="K141" i="54"/>
  <c r="K142" i="54" s="1"/>
  <c r="M113" i="54"/>
  <c r="P113" i="54" s="1"/>
  <c r="G231" i="67" s="1"/>
  <c r="P38" i="54"/>
  <c r="G153" i="67" s="1"/>
  <c r="X304" i="67"/>
  <c r="X336" i="67" s="1"/>
  <c r="K23" i="67" s="1"/>
  <c r="AI23" i="67" s="1"/>
  <c r="U304" i="67"/>
  <c r="U336" i="67" s="1"/>
  <c r="H23" i="67" s="1"/>
  <c r="AF23" i="67" s="1"/>
  <c r="AA304" i="67"/>
  <c r="AA336" i="67" s="1"/>
  <c r="N23" i="67" s="1"/>
  <c r="AL23" i="67" s="1"/>
  <c r="E335" i="67"/>
  <c r="E336" i="67" s="1"/>
  <c r="X339" i="67"/>
  <c r="U339" i="67"/>
  <c r="AA339" i="67"/>
  <c r="X228" i="67"/>
  <c r="U228" i="67"/>
  <c r="AA228" i="67"/>
  <c r="E259" i="67"/>
  <c r="E260" i="67" s="1"/>
  <c r="Y150" i="67"/>
  <c r="AB150" i="67"/>
  <c r="V150" i="67"/>
  <c r="T13" i="49"/>
  <c r="P186" i="54"/>
  <c r="G304" i="67" s="1"/>
  <c r="K101" i="54"/>
  <c r="N70" i="54"/>
  <c r="E185" i="67" s="1"/>
  <c r="E216" i="67" s="1"/>
  <c r="E217" i="67" s="1"/>
  <c r="AB304" i="67"/>
  <c r="V304" i="67"/>
  <c r="Y304" i="67"/>
  <c r="N35" i="54"/>
  <c r="E150" i="67" s="1"/>
  <c r="K66" i="54"/>
  <c r="L70" i="54"/>
  <c r="O70" i="54" s="1"/>
  <c r="F185" i="67" s="1"/>
  <c r="O221" i="54"/>
  <c r="F339" i="67" s="1"/>
  <c r="W253" i="67"/>
  <c r="Z253" i="67"/>
  <c r="AC253" i="67"/>
  <c r="W175" i="67"/>
  <c r="Z175" i="67"/>
  <c r="AC175" i="67"/>
  <c r="X210" i="67"/>
  <c r="U210" i="67"/>
  <c r="AA210" i="67"/>
  <c r="E443" i="67"/>
  <c r="V175" i="67"/>
  <c r="AB175" i="67"/>
  <c r="Y175" i="67"/>
  <c r="X364" i="67"/>
  <c r="E370" i="67"/>
  <c r="K371" i="67" s="1"/>
  <c r="AA364" i="67"/>
  <c r="U364" i="67"/>
  <c r="X405" i="67"/>
  <c r="AA405" i="67"/>
  <c r="U405" i="67"/>
  <c r="U288" i="67"/>
  <c r="AA288" i="67"/>
  <c r="X288" i="67"/>
  <c r="V253" i="67"/>
  <c r="Y253" i="67"/>
  <c r="AB253" i="67"/>
  <c r="O171" i="54"/>
  <c r="F288" i="67" s="1"/>
  <c r="R77" i="49"/>
  <c r="R68" i="49"/>
  <c r="R60" i="49"/>
  <c r="R52" i="49"/>
  <c r="R74" i="49"/>
  <c r="R58" i="49"/>
  <c r="R75" i="49"/>
  <c r="R67" i="49"/>
  <c r="R59" i="49"/>
  <c r="R51" i="49"/>
  <c r="R66" i="49"/>
  <c r="R81" i="49"/>
  <c r="R73" i="49"/>
  <c r="R65" i="49"/>
  <c r="R57" i="49"/>
  <c r="R63" i="49"/>
  <c r="R80" i="49"/>
  <c r="R72" i="49"/>
  <c r="R64" i="49"/>
  <c r="R56" i="49"/>
  <c r="R79" i="49"/>
  <c r="R71" i="49"/>
  <c r="R55" i="49"/>
  <c r="R78" i="49"/>
  <c r="R70" i="49"/>
  <c r="R62" i="49"/>
  <c r="R54" i="49"/>
  <c r="R69" i="49"/>
  <c r="R61" i="49"/>
  <c r="R53" i="49"/>
  <c r="R76" i="49"/>
  <c r="V265" i="67"/>
  <c r="Y265" i="67"/>
  <c r="AB265" i="67"/>
  <c r="F420" i="67"/>
  <c r="Y341" i="67"/>
  <c r="V341" i="67"/>
  <c r="AB341" i="67"/>
  <c r="Y187" i="67"/>
  <c r="AB187" i="67"/>
  <c r="V187" i="67"/>
  <c r="V340" i="67"/>
  <c r="AB340" i="67"/>
  <c r="Y340" i="67"/>
  <c r="V264" i="67"/>
  <c r="Y264" i="67"/>
  <c r="AB264" i="67"/>
  <c r="M71" i="54"/>
  <c r="P71" i="54" s="1"/>
  <c r="G186" i="67" s="1"/>
  <c r="T52" i="49"/>
  <c r="P147" i="54"/>
  <c r="G264" i="67" s="1"/>
  <c r="L187" i="54"/>
  <c r="O187" i="54" s="1"/>
  <c r="F305" i="67" s="1"/>
  <c r="O71" i="54"/>
  <c r="F186" i="67" s="1"/>
  <c r="F419" i="67" s="1"/>
  <c r="O110" i="54"/>
  <c r="F228" i="67" s="1"/>
  <c r="F259" i="67" s="1"/>
  <c r="F260" i="67" s="1"/>
  <c r="L95" i="54"/>
  <c r="P33" i="49"/>
  <c r="M57" i="54"/>
  <c r="P57" i="54" s="1"/>
  <c r="G172" i="67" s="1"/>
  <c r="M81" i="49"/>
  <c r="M58" i="49"/>
  <c r="M76" i="49"/>
  <c r="M65" i="49"/>
  <c r="M55" i="49"/>
  <c r="M54" i="49"/>
  <c r="M56" i="49"/>
  <c r="L225" i="54"/>
  <c r="O225" i="54" s="1"/>
  <c r="F343" i="67" s="1"/>
  <c r="M57" i="49"/>
  <c r="M63" i="49"/>
  <c r="M68" i="49"/>
  <c r="P36" i="49"/>
  <c r="M58" i="54"/>
  <c r="P58" i="54" s="1"/>
  <c r="G173" i="67" s="1"/>
  <c r="M75" i="49"/>
  <c r="P39" i="49"/>
  <c r="M64" i="54"/>
  <c r="P64" i="54" s="1"/>
  <c r="M53" i="49"/>
  <c r="M51" i="49"/>
  <c r="M53" i="54"/>
  <c r="P53" i="54" s="1"/>
  <c r="G168" i="67" s="1"/>
  <c r="M51" i="54"/>
  <c r="P51" i="54" s="1"/>
  <c r="G166" i="67" s="1"/>
  <c r="L200" i="54"/>
  <c r="O200" i="54" s="1"/>
  <c r="F318" i="67" s="1"/>
  <c r="F394" i="67" s="1"/>
  <c r="L191" i="54"/>
  <c r="O191" i="54" s="1"/>
  <c r="F309" i="67" s="1"/>
  <c r="K146" i="54"/>
  <c r="P78" i="49"/>
  <c r="P77" i="49"/>
  <c r="P73" i="49"/>
  <c r="P72" i="49"/>
  <c r="P71" i="49"/>
  <c r="L227" i="54"/>
  <c r="O227" i="54" s="1"/>
  <c r="F345" i="67" s="1"/>
  <c r="F424" i="67" s="1"/>
  <c r="L211" i="54"/>
  <c r="O211" i="54" s="1"/>
  <c r="F329" i="67" s="1"/>
  <c r="F405" i="67" s="1"/>
  <c r="K102" i="54"/>
  <c r="K22" i="54"/>
  <c r="L66" i="54"/>
  <c r="L12" i="54" s="1"/>
  <c r="P18" i="49"/>
  <c r="M40" i="54"/>
  <c r="P40" i="54" s="1"/>
  <c r="G155" i="67" s="1"/>
  <c r="P22" i="49"/>
  <c r="M44" i="54"/>
  <c r="P44" i="54" s="1"/>
  <c r="G159" i="67" s="1"/>
  <c r="L188" i="54"/>
  <c r="O188" i="54" s="1"/>
  <c r="F306" i="67" s="1"/>
  <c r="P23" i="49"/>
  <c r="M45" i="54"/>
  <c r="P45" i="54" s="1"/>
  <c r="G160" i="67" s="1"/>
  <c r="P27" i="49"/>
  <c r="M49" i="54"/>
  <c r="P49" i="54" s="1"/>
  <c r="G164" i="67" s="1"/>
  <c r="P24" i="49"/>
  <c r="M46" i="54"/>
  <c r="P46" i="54" s="1"/>
  <c r="G161" i="67" s="1"/>
  <c r="P17" i="49"/>
  <c r="M39" i="54"/>
  <c r="P39" i="54" s="1"/>
  <c r="G154" i="67" s="1"/>
  <c r="P19" i="49"/>
  <c r="M41" i="54"/>
  <c r="P41" i="54" s="1"/>
  <c r="P25" i="49"/>
  <c r="M47" i="54"/>
  <c r="P47" i="54" s="1"/>
  <c r="G162" i="67" s="1"/>
  <c r="P28" i="49"/>
  <c r="M50" i="54"/>
  <c r="P50" i="54" s="1"/>
  <c r="P26" i="49"/>
  <c r="M48" i="54"/>
  <c r="P48" i="54" s="1"/>
  <c r="G163" i="67" s="1"/>
  <c r="P32" i="49"/>
  <c r="M54" i="54"/>
  <c r="P54" i="54" s="1"/>
  <c r="G169" i="67" s="1"/>
  <c r="P20" i="49"/>
  <c r="M42" i="54"/>
  <c r="P21" i="49"/>
  <c r="M43" i="54"/>
  <c r="P43" i="54" s="1"/>
  <c r="G158" i="67" s="1"/>
  <c r="M37" i="54"/>
  <c r="P37" i="54" s="1"/>
  <c r="G152" i="67" s="1"/>
  <c r="M44" i="49"/>
  <c r="M35" i="54"/>
  <c r="M70" i="49"/>
  <c r="P31" i="49"/>
  <c r="P15" i="49"/>
  <c r="P29" i="49"/>
  <c r="P60" i="49"/>
  <c r="P62" i="49"/>
  <c r="P67" i="49"/>
  <c r="P59" i="49"/>
  <c r="P52" i="49"/>
  <c r="P61" i="49"/>
  <c r="P69" i="49"/>
  <c r="P64" i="49"/>
  <c r="P66" i="49"/>
  <c r="J83" i="49"/>
  <c r="J45" i="49"/>
  <c r="AC23" i="67" l="1"/>
  <c r="AC441" i="67"/>
  <c r="AA260" i="67"/>
  <c r="N22" i="67" s="1"/>
  <c r="AL22" i="67" s="1"/>
  <c r="W441" i="67"/>
  <c r="G434" i="67"/>
  <c r="AC434" i="67" s="1"/>
  <c r="F380" i="67"/>
  <c r="AB380" i="67" s="1"/>
  <c r="G436" i="67"/>
  <c r="Z436" i="67" s="1"/>
  <c r="G444" i="67"/>
  <c r="AC444" i="67" s="1"/>
  <c r="G392" i="67"/>
  <c r="Z162" i="67"/>
  <c r="W162" i="67"/>
  <c r="AC162" i="67"/>
  <c r="AB284" i="67"/>
  <c r="V284" i="67"/>
  <c r="Y284" i="67"/>
  <c r="W273" i="67"/>
  <c r="AC273" i="67"/>
  <c r="Z273" i="67"/>
  <c r="G408" i="67"/>
  <c r="Z178" i="67"/>
  <c r="W178" i="67"/>
  <c r="AC178" i="67"/>
  <c r="Z316" i="67"/>
  <c r="W316" i="67"/>
  <c r="AC316" i="67"/>
  <c r="Z232" i="67"/>
  <c r="AC232" i="67"/>
  <c r="W232" i="67"/>
  <c r="W360" i="67"/>
  <c r="AC360" i="67"/>
  <c r="Z360" i="67"/>
  <c r="AC151" i="67"/>
  <c r="W151" i="67"/>
  <c r="Z151" i="67"/>
  <c r="Z240" i="67"/>
  <c r="AC240" i="67"/>
  <c r="W240" i="67"/>
  <c r="G399" i="67"/>
  <c r="AC169" i="67"/>
  <c r="W169" i="67"/>
  <c r="Z169" i="67"/>
  <c r="G390" i="67"/>
  <c r="Z160" i="67"/>
  <c r="AC160" i="67"/>
  <c r="W160" i="67"/>
  <c r="G402" i="67"/>
  <c r="AC172" i="67"/>
  <c r="W172" i="67"/>
  <c r="Z172" i="67"/>
  <c r="Z290" i="67"/>
  <c r="W290" i="67"/>
  <c r="AC290" i="67"/>
  <c r="AC205" i="67"/>
  <c r="W205" i="67"/>
  <c r="Z205" i="67"/>
  <c r="G438" i="67"/>
  <c r="Z352" i="67"/>
  <c r="AC352" i="67"/>
  <c r="W352" i="67"/>
  <c r="AC248" i="67"/>
  <c r="W248" i="67"/>
  <c r="Z248" i="67"/>
  <c r="V293" i="67"/>
  <c r="Y293" i="67"/>
  <c r="AB293" i="67"/>
  <c r="Z246" i="67"/>
  <c r="W246" i="67"/>
  <c r="AC246" i="67"/>
  <c r="Z200" i="67"/>
  <c r="AC200" i="67"/>
  <c r="W200" i="67"/>
  <c r="G433" i="67"/>
  <c r="Z242" i="67"/>
  <c r="W242" i="67"/>
  <c r="AC242" i="67"/>
  <c r="AC331" i="67"/>
  <c r="Z331" i="67"/>
  <c r="W331" i="67"/>
  <c r="Z247" i="67"/>
  <c r="AC247" i="67"/>
  <c r="W247" i="67"/>
  <c r="Z196" i="67"/>
  <c r="W196" i="67"/>
  <c r="AC196" i="67"/>
  <c r="G429" i="67"/>
  <c r="Z311" i="67"/>
  <c r="AC311" i="67"/>
  <c r="W311" i="67"/>
  <c r="G393" i="67"/>
  <c r="Z163" i="67"/>
  <c r="AC163" i="67"/>
  <c r="W163" i="67"/>
  <c r="Z154" i="67"/>
  <c r="W154" i="67"/>
  <c r="AC154" i="67"/>
  <c r="Z230" i="67"/>
  <c r="W230" i="67"/>
  <c r="AC230" i="67"/>
  <c r="Z320" i="67"/>
  <c r="AC320" i="67"/>
  <c r="W320" i="67"/>
  <c r="Y215" i="67"/>
  <c r="V215" i="67"/>
  <c r="AB215" i="67"/>
  <c r="F448" i="67"/>
  <c r="AC251" i="67"/>
  <c r="W251" i="67"/>
  <c r="Z251" i="67"/>
  <c r="Z239" i="67"/>
  <c r="AC239" i="67"/>
  <c r="W239" i="67"/>
  <c r="Z164" i="67"/>
  <c r="AC164" i="67"/>
  <c r="W164" i="67"/>
  <c r="AB366" i="67"/>
  <c r="V366" i="67"/>
  <c r="Y366" i="67"/>
  <c r="AC276" i="67"/>
  <c r="Z276" i="67"/>
  <c r="W276" i="67"/>
  <c r="V369" i="67"/>
  <c r="Y369" i="67"/>
  <c r="AB369" i="67"/>
  <c r="W255" i="67"/>
  <c r="Z255" i="67"/>
  <c r="AC255" i="67"/>
  <c r="AB424" i="67"/>
  <c r="Y424" i="67"/>
  <c r="V424" i="67"/>
  <c r="Y394" i="67"/>
  <c r="AB394" i="67"/>
  <c r="V394" i="67"/>
  <c r="G403" i="67"/>
  <c r="AC173" i="67"/>
  <c r="Z173" i="67"/>
  <c r="W173" i="67"/>
  <c r="Z193" i="67"/>
  <c r="W193" i="67"/>
  <c r="AC193" i="67"/>
  <c r="G426" i="67"/>
  <c r="Z212" i="67"/>
  <c r="AC212" i="67"/>
  <c r="W212" i="67"/>
  <c r="G445" i="67"/>
  <c r="G400" i="67"/>
  <c r="Z170" i="67"/>
  <c r="W170" i="67"/>
  <c r="AC170" i="67"/>
  <c r="Z195" i="67"/>
  <c r="W195" i="67"/>
  <c r="AC195" i="67"/>
  <c r="G428" i="67"/>
  <c r="Z243" i="67"/>
  <c r="AC243" i="67"/>
  <c r="W243" i="67"/>
  <c r="AC332" i="67"/>
  <c r="W332" i="67"/>
  <c r="Z332" i="67"/>
  <c r="Z315" i="67"/>
  <c r="AC315" i="67"/>
  <c r="W315" i="67"/>
  <c r="W206" i="67"/>
  <c r="Z206" i="67"/>
  <c r="AC206" i="67"/>
  <c r="G439" i="67"/>
  <c r="AB209" i="67"/>
  <c r="Y209" i="67"/>
  <c r="V209" i="67"/>
  <c r="F442" i="67"/>
  <c r="Z313" i="67"/>
  <c r="AC313" i="67"/>
  <c r="W313" i="67"/>
  <c r="AC327" i="67"/>
  <c r="Z327" i="67"/>
  <c r="W327" i="67"/>
  <c r="Z152" i="67"/>
  <c r="AC152" i="67"/>
  <c r="W152" i="67"/>
  <c r="G388" i="67"/>
  <c r="Z158" i="67"/>
  <c r="AC158" i="67"/>
  <c r="W158" i="67"/>
  <c r="G391" i="67"/>
  <c r="Z161" i="67"/>
  <c r="W161" i="67"/>
  <c r="AC161" i="67"/>
  <c r="G396" i="67"/>
  <c r="Z166" i="67"/>
  <c r="W166" i="67"/>
  <c r="AC166" i="67"/>
  <c r="Z312" i="67"/>
  <c r="W312" i="67"/>
  <c r="AC312" i="67"/>
  <c r="Z241" i="67"/>
  <c r="AC241" i="67"/>
  <c r="W241" i="67"/>
  <c r="W229" i="67"/>
  <c r="AC229" i="67"/>
  <c r="Z229" i="67"/>
  <c r="Z319" i="67"/>
  <c r="AC319" i="67"/>
  <c r="W319" i="67"/>
  <c r="AC256" i="67"/>
  <c r="Z256" i="67"/>
  <c r="W256" i="67"/>
  <c r="Z238" i="67"/>
  <c r="AC238" i="67"/>
  <c r="W238" i="67"/>
  <c r="Y365" i="67"/>
  <c r="AB365" i="67"/>
  <c r="V365" i="67"/>
  <c r="Y205" i="67"/>
  <c r="AB205" i="67"/>
  <c r="V205" i="67"/>
  <c r="Z244" i="67"/>
  <c r="AC244" i="67"/>
  <c r="W244" i="67"/>
  <c r="Z324" i="67"/>
  <c r="AC324" i="67"/>
  <c r="W324" i="67"/>
  <c r="AB206" i="67"/>
  <c r="Y206" i="67"/>
  <c r="V206" i="67"/>
  <c r="F439" i="67"/>
  <c r="G389" i="67"/>
  <c r="AC159" i="67"/>
  <c r="Z159" i="67"/>
  <c r="W159" i="67"/>
  <c r="Z155" i="67"/>
  <c r="AC155" i="67"/>
  <c r="W155" i="67"/>
  <c r="G398" i="67"/>
  <c r="Z168" i="67"/>
  <c r="AC168" i="67"/>
  <c r="W168" i="67"/>
  <c r="AC194" i="67"/>
  <c r="W194" i="67"/>
  <c r="Z194" i="67"/>
  <c r="G440" i="67"/>
  <c r="W285" i="67"/>
  <c r="AC285" i="67"/>
  <c r="Z285" i="67"/>
  <c r="AC359" i="67"/>
  <c r="Z359" i="67"/>
  <c r="W359" i="67"/>
  <c r="Z317" i="67"/>
  <c r="W317" i="67"/>
  <c r="AC317" i="67"/>
  <c r="V289" i="67"/>
  <c r="AB289" i="67"/>
  <c r="Y289" i="67"/>
  <c r="Z314" i="67"/>
  <c r="W314" i="67"/>
  <c r="AC314" i="67"/>
  <c r="W281" i="67"/>
  <c r="Z281" i="67"/>
  <c r="AC281" i="67"/>
  <c r="G406" i="67"/>
  <c r="AC176" i="67"/>
  <c r="W176" i="67"/>
  <c r="Z176" i="67"/>
  <c r="M100" i="54"/>
  <c r="P100" i="54" s="1"/>
  <c r="T81" i="49"/>
  <c r="G215" i="67"/>
  <c r="P176" i="54"/>
  <c r="G293" i="67" s="1"/>
  <c r="P251" i="54"/>
  <c r="G369" i="67" s="1"/>
  <c r="W325" i="67"/>
  <c r="AC325" i="67"/>
  <c r="Z325" i="67"/>
  <c r="Z156" i="67"/>
  <c r="AC156" i="67"/>
  <c r="W156" i="67"/>
  <c r="W330" i="67"/>
  <c r="AC330" i="67"/>
  <c r="Z330" i="67"/>
  <c r="AC284" i="67"/>
  <c r="Z284" i="67"/>
  <c r="W284" i="67"/>
  <c r="AB402" i="67"/>
  <c r="Y402" i="67"/>
  <c r="V402" i="67"/>
  <c r="M89" i="54"/>
  <c r="P89" i="54" s="1"/>
  <c r="T70" i="49"/>
  <c r="G282" i="67"/>
  <c r="G204" i="67"/>
  <c r="P165" i="54"/>
  <c r="P240" i="54"/>
  <c r="G358" i="67" s="1"/>
  <c r="Y343" i="67"/>
  <c r="AB343" i="67"/>
  <c r="V343" i="67"/>
  <c r="AC326" i="67"/>
  <c r="Z326" i="67"/>
  <c r="W326" i="67"/>
  <c r="Y290" i="67"/>
  <c r="V290" i="67"/>
  <c r="AB290" i="67"/>
  <c r="F438" i="67"/>
  <c r="V283" i="67"/>
  <c r="Y283" i="67"/>
  <c r="AB283" i="67"/>
  <c r="W249" i="67"/>
  <c r="Z249" i="67"/>
  <c r="AC249" i="67"/>
  <c r="AC257" i="67"/>
  <c r="W257" i="67"/>
  <c r="Z257" i="67"/>
  <c r="Z234" i="67"/>
  <c r="W234" i="67"/>
  <c r="AC234" i="67"/>
  <c r="Z349" i="67"/>
  <c r="AC349" i="67"/>
  <c r="W349" i="67"/>
  <c r="Z278" i="67"/>
  <c r="AC278" i="67"/>
  <c r="W278" i="67"/>
  <c r="AC274" i="67"/>
  <c r="W274" i="67"/>
  <c r="Z274" i="67"/>
  <c r="V285" i="67"/>
  <c r="AB285" i="67"/>
  <c r="Y285" i="67"/>
  <c r="W254" i="67"/>
  <c r="Z254" i="67"/>
  <c r="AC254" i="67"/>
  <c r="V360" i="67"/>
  <c r="Y360" i="67"/>
  <c r="AB360" i="67"/>
  <c r="AB404" i="67"/>
  <c r="Y404" i="67"/>
  <c r="V404" i="67"/>
  <c r="Z404" i="67"/>
  <c r="AC404" i="67"/>
  <c r="W404" i="67"/>
  <c r="V403" i="67"/>
  <c r="AB403" i="67"/>
  <c r="Y403" i="67"/>
  <c r="F422" i="67"/>
  <c r="Z447" i="67"/>
  <c r="AC447" i="67"/>
  <c r="W447" i="67"/>
  <c r="V363" i="67"/>
  <c r="AB363" i="67"/>
  <c r="Y363" i="67"/>
  <c r="Y211" i="67"/>
  <c r="AB211" i="67"/>
  <c r="V211" i="67"/>
  <c r="AC237" i="67"/>
  <c r="Z237" i="67"/>
  <c r="W237" i="67"/>
  <c r="Z201" i="67"/>
  <c r="AC201" i="67"/>
  <c r="W201" i="67"/>
  <c r="T56" i="49"/>
  <c r="P151" i="54"/>
  <c r="G268" i="67" s="1"/>
  <c r="AD371" i="67"/>
  <c r="K34" i="67" s="1"/>
  <c r="AI34" i="67" s="1"/>
  <c r="X387" i="67"/>
  <c r="U387" i="67"/>
  <c r="AA387" i="67"/>
  <c r="AB212" i="67"/>
  <c r="V212" i="67"/>
  <c r="Y212" i="67"/>
  <c r="G427" i="67"/>
  <c r="AC272" i="67"/>
  <c r="W272" i="67"/>
  <c r="Z272" i="67"/>
  <c r="AC271" i="67"/>
  <c r="W271" i="67"/>
  <c r="Z271" i="67"/>
  <c r="Y410" i="67"/>
  <c r="AB410" i="67"/>
  <c r="V410" i="67"/>
  <c r="W333" i="67"/>
  <c r="AC333" i="67"/>
  <c r="Z333" i="67"/>
  <c r="Z198" i="67"/>
  <c r="AC198" i="67"/>
  <c r="W198" i="67"/>
  <c r="Z322" i="67"/>
  <c r="AC322" i="67"/>
  <c r="W322" i="67"/>
  <c r="Z354" i="67"/>
  <c r="W354" i="67"/>
  <c r="AC354" i="67"/>
  <c r="W289" i="67"/>
  <c r="Z289" i="67"/>
  <c r="AC289" i="67"/>
  <c r="Z355" i="67"/>
  <c r="AC355" i="67"/>
  <c r="W355" i="67"/>
  <c r="AC410" i="67"/>
  <c r="W410" i="67"/>
  <c r="Z410" i="67"/>
  <c r="Z350" i="67"/>
  <c r="AC350" i="67"/>
  <c r="W350" i="67"/>
  <c r="Y361" i="67"/>
  <c r="V361" i="67"/>
  <c r="AB361" i="67"/>
  <c r="V437" i="67"/>
  <c r="AB437" i="67"/>
  <c r="Y437" i="67"/>
  <c r="X440" i="67"/>
  <c r="AA440" i="67"/>
  <c r="U440" i="67"/>
  <c r="Z348" i="67"/>
  <c r="AC348" i="67"/>
  <c r="W348" i="67"/>
  <c r="Y235" i="67"/>
  <c r="V235" i="67"/>
  <c r="AB235" i="67"/>
  <c r="AB287" i="67"/>
  <c r="V287" i="67"/>
  <c r="Y287" i="67"/>
  <c r="Y192" i="67"/>
  <c r="V192" i="67"/>
  <c r="AB192" i="67"/>
  <c r="F425" i="67"/>
  <c r="Z211" i="67"/>
  <c r="AC211" i="67"/>
  <c r="W211" i="67"/>
  <c r="Z279" i="67"/>
  <c r="W279" i="67"/>
  <c r="AC279" i="67"/>
  <c r="Z323" i="67"/>
  <c r="W323" i="67"/>
  <c r="AC323" i="67"/>
  <c r="Z203" i="67"/>
  <c r="AC203" i="67"/>
  <c r="W203" i="67"/>
  <c r="V359" i="67"/>
  <c r="Y359" i="67"/>
  <c r="AB359" i="67"/>
  <c r="W366" i="67"/>
  <c r="Z366" i="67"/>
  <c r="AC366" i="67"/>
  <c r="AA445" i="67"/>
  <c r="X445" i="67"/>
  <c r="U445" i="67"/>
  <c r="Y207" i="67"/>
  <c r="V207" i="67"/>
  <c r="AB207" i="67"/>
  <c r="M94" i="54"/>
  <c r="P94" i="54" s="1"/>
  <c r="G209" i="67" s="1"/>
  <c r="T75" i="49"/>
  <c r="P245" i="54"/>
  <c r="G363" i="67" s="1"/>
  <c r="P170" i="54"/>
  <c r="G287" i="67" s="1"/>
  <c r="F445" i="67"/>
  <c r="W207" i="67"/>
  <c r="AC207" i="67"/>
  <c r="Z207" i="67"/>
  <c r="AB270" i="67"/>
  <c r="Y270" i="67"/>
  <c r="V270" i="67"/>
  <c r="G431" i="67"/>
  <c r="V441" i="67"/>
  <c r="Y441" i="67"/>
  <c r="AB441" i="67"/>
  <c r="Z357" i="67"/>
  <c r="W357" i="67"/>
  <c r="AC357" i="67"/>
  <c r="Y447" i="67"/>
  <c r="V447" i="67"/>
  <c r="AB447" i="67"/>
  <c r="Z233" i="67"/>
  <c r="W233" i="67"/>
  <c r="AC233" i="67"/>
  <c r="Y318" i="67"/>
  <c r="V318" i="67"/>
  <c r="AB318" i="67"/>
  <c r="L141" i="54"/>
  <c r="L142" i="54" s="1"/>
  <c r="U444" i="67"/>
  <c r="X444" i="67"/>
  <c r="AA444" i="67"/>
  <c r="AB428" i="67"/>
  <c r="V428" i="67"/>
  <c r="Y428" i="67"/>
  <c r="F444" i="67"/>
  <c r="V429" i="67"/>
  <c r="Y429" i="67"/>
  <c r="AB429" i="67"/>
  <c r="G407" i="67"/>
  <c r="W177" i="67"/>
  <c r="Z177" i="67"/>
  <c r="AC177" i="67"/>
  <c r="Y396" i="67"/>
  <c r="V396" i="67"/>
  <c r="AB396" i="67"/>
  <c r="V434" i="67"/>
  <c r="Y434" i="67"/>
  <c r="AB434" i="67"/>
  <c r="Y431" i="67"/>
  <c r="AB431" i="67"/>
  <c r="V431" i="67"/>
  <c r="V426" i="67"/>
  <c r="Y426" i="67"/>
  <c r="AB426" i="67"/>
  <c r="V433" i="67"/>
  <c r="Y433" i="67"/>
  <c r="AB433" i="67"/>
  <c r="V407" i="67"/>
  <c r="AB407" i="67"/>
  <c r="Y407" i="67"/>
  <c r="X448" i="67"/>
  <c r="U448" i="67"/>
  <c r="AA448" i="67"/>
  <c r="T57" i="49"/>
  <c r="P152" i="54"/>
  <c r="G269" i="67" s="1"/>
  <c r="W250" i="67"/>
  <c r="Z250" i="67"/>
  <c r="AC250" i="67"/>
  <c r="Z347" i="67"/>
  <c r="W347" i="67"/>
  <c r="AC347" i="67"/>
  <c r="W283" i="67"/>
  <c r="AC283" i="67"/>
  <c r="Z283" i="67"/>
  <c r="G409" i="67"/>
  <c r="Z179" i="67"/>
  <c r="AC179" i="67"/>
  <c r="W179" i="67"/>
  <c r="AC365" i="67"/>
  <c r="W365" i="67"/>
  <c r="Z365" i="67"/>
  <c r="Z236" i="67"/>
  <c r="AC236" i="67"/>
  <c r="W236" i="67"/>
  <c r="Y345" i="67"/>
  <c r="V345" i="67"/>
  <c r="AB345" i="67"/>
  <c r="T55" i="49"/>
  <c r="G267" i="67"/>
  <c r="P150" i="54"/>
  <c r="T65" i="49"/>
  <c r="G277" i="67"/>
  <c r="P160" i="54"/>
  <c r="M87" i="54"/>
  <c r="P87" i="54" s="1"/>
  <c r="G202" i="67" s="1"/>
  <c r="T68" i="49"/>
  <c r="P238" i="54"/>
  <c r="G356" i="67" s="1"/>
  <c r="P163" i="54"/>
  <c r="G280" i="67" s="1"/>
  <c r="U260" i="67"/>
  <c r="H22" i="67" s="1"/>
  <c r="AF22" i="67" s="1"/>
  <c r="Y400" i="67"/>
  <c r="V400" i="67"/>
  <c r="AB400" i="67"/>
  <c r="U438" i="67"/>
  <c r="AA438" i="67"/>
  <c r="X438" i="67"/>
  <c r="Z397" i="67"/>
  <c r="W397" i="67"/>
  <c r="AC397" i="67"/>
  <c r="Y408" i="67"/>
  <c r="AB408" i="67"/>
  <c r="V408" i="67"/>
  <c r="Y409" i="67"/>
  <c r="AB409" i="67"/>
  <c r="V409" i="67"/>
  <c r="X439" i="67"/>
  <c r="U439" i="67"/>
  <c r="AA439" i="67"/>
  <c r="AB432" i="67"/>
  <c r="Y432" i="67"/>
  <c r="V432" i="67"/>
  <c r="Y309" i="67"/>
  <c r="AB309" i="67"/>
  <c r="V309" i="67"/>
  <c r="F385" i="67"/>
  <c r="E23" i="67"/>
  <c r="AC361" i="67"/>
  <c r="W361" i="67"/>
  <c r="Z361" i="67"/>
  <c r="G395" i="67"/>
  <c r="Z165" i="67"/>
  <c r="AC165" i="67"/>
  <c r="W165" i="67"/>
  <c r="M117" i="54"/>
  <c r="P117" i="54" s="1"/>
  <c r="G235" i="67" s="1"/>
  <c r="P42" i="54"/>
  <c r="G157" i="67" s="1"/>
  <c r="M82" i="54"/>
  <c r="P82" i="54" s="1"/>
  <c r="T63" i="49"/>
  <c r="G275" i="67"/>
  <c r="G197" i="67"/>
  <c r="G351" i="67"/>
  <c r="P233" i="54"/>
  <c r="P158" i="54"/>
  <c r="T58" i="49"/>
  <c r="P228" i="54"/>
  <c r="G346" i="67" s="1"/>
  <c r="X260" i="67"/>
  <c r="K22" i="67" s="1"/>
  <c r="AI22" i="67" s="1"/>
  <c r="Y393" i="67"/>
  <c r="V393" i="67"/>
  <c r="AB393" i="67"/>
  <c r="G401" i="67"/>
  <c r="AC171" i="67"/>
  <c r="Z171" i="67"/>
  <c r="W171" i="67"/>
  <c r="AB436" i="67"/>
  <c r="V436" i="67"/>
  <c r="Y436" i="67"/>
  <c r="AA425" i="67"/>
  <c r="X425" i="67"/>
  <c r="U425" i="67"/>
  <c r="Y430" i="67"/>
  <c r="V430" i="67"/>
  <c r="AB430" i="67"/>
  <c r="F440" i="67"/>
  <c r="F387" i="67"/>
  <c r="Y157" i="67"/>
  <c r="Y182" i="67" s="1"/>
  <c r="L21" i="67" s="1"/>
  <c r="AJ21" i="67" s="1"/>
  <c r="V157" i="67"/>
  <c r="V182" i="67" s="1"/>
  <c r="I21" i="67" s="1"/>
  <c r="AG21" i="67" s="1"/>
  <c r="AB157" i="67"/>
  <c r="AB182" i="67" s="1"/>
  <c r="O21" i="67" s="1"/>
  <c r="AM21" i="67" s="1"/>
  <c r="Y401" i="67"/>
  <c r="AB401" i="67"/>
  <c r="V401" i="67"/>
  <c r="AB427" i="67"/>
  <c r="Y427" i="67"/>
  <c r="V427" i="67"/>
  <c r="AB435" i="67"/>
  <c r="Y435" i="67"/>
  <c r="V435" i="67"/>
  <c r="Y423" i="67"/>
  <c r="AB423" i="67"/>
  <c r="V423" i="67"/>
  <c r="Z446" i="67"/>
  <c r="W446" i="67"/>
  <c r="AC446" i="67"/>
  <c r="U442" i="67"/>
  <c r="X442" i="67"/>
  <c r="AA442" i="67"/>
  <c r="AB406" i="67"/>
  <c r="V406" i="67"/>
  <c r="Y406" i="67"/>
  <c r="AA371" i="67"/>
  <c r="H34" i="67" s="1"/>
  <c r="AF34" i="67" s="1"/>
  <c r="E47" i="67"/>
  <c r="Z231" i="67"/>
  <c r="AC231" i="67"/>
  <c r="W231" i="67"/>
  <c r="V383" i="67"/>
  <c r="Y383" i="67"/>
  <c r="AB383" i="67"/>
  <c r="K13" i="54"/>
  <c r="V421" i="67"/>
  <c r="AB421" i="67"/>
  <c r="Y421" i="67"/>
  <c r="X383" i="67"/>
  <c r="U383" i="67"/>
  <c r="AA383" i="67"/>
  <c r="M73" i="54"/>
  <c r="P73" i="54" s="1"/>
  <c r="G188" i="67" s="1"/>
  <c r="T54" i="49"/>
  <c r="P224" i="54"/>
  <c r="G342" i="67" s="1"/>
  <c r="L13" i="54"/>
  <c r="G383" i="67"/>
  <c r="Z153" i="67"/>
  <c r="W153" i="67"/>
  <c r="AC153" i="67"/>
  <c r="M110" i="54"/>
  <c r="P110" i="54" s="1"/>
  <c r="G228" i="67" s="1"/>
  <c r="P35" i="54"/>
  <c r="G150" i="67" s="1"/>
  <c r="Y228" i="67"/>
  <c r="V228" i="67"/>
  <c r="AB228" i="67"/>
  <c r="AG371" i="67"/>
  <c r="N34" i="67" s="1"/>
  <c r="AL34" i="67" s="1"/>
  <c r="K67" i="54"/>
  <c r="K12" i="54"/>
  <c r="K177" i="54"/>
  <c r="K178" i="54" s="1"/>
  <c r="N146" i="54"/>
  <c r="E263" i="67" s="1"/>
  <c r="E380" i="67"/>
  <c r="X150" i="67"/>
  <c r="X182" i="67" s="1"/>
  <c r="K21" i="67" s="1"/>
  <c r="AI21" i="67" s="1"/>
  <c r="AA150" i="67"/>
  <c r="AA182" i="67" s="1"/>
  <c r="N21" i="67" s="1"/>
  <c r="AL21" i="67" s="1"/>
  <c r="U150" i="67"/>
  <c r="U182" i="67" s="1"/>
  <c r="H21" i="67" s="1"/>
  <c r="AF21" i="67" s="1"/>
  <c r="E181" i="67"/>
  <c r="E182" i="67" s="1"/>
  <c r="X185" i="67"/>
  <c r="X217" i="67" s="1"/>
  <c r="K32" i="67" s="1"/>
  <c r="AI32" i="67" s="1"/>
  <c r="AA185" i="67"/>
  <c r="AA217" i="67" s="1"/>
  <c r="N32" i="67" s="1"/>
  <c r="AL32" i="67" s="1"/>
  <c r="U185" i="67"/>
  <c r="U217" i="67" s="1"/>
  <c r="H32" i="67" s="1"/>
  <c r="AF32" i="67" s="1"/>
  <c r="Z304" i="67"/>
  <c r="AC304" i="67"/>
  <c r="W304" i="67"/>
  <c r="Y339" i="67"/>
  <c r="V339" i="67"/>
  <c r="AB339" i="67"/>
  <c r="T51" i="49"/>
  <c r="P221" i="54"/>
  <c r="G339" i="67" s="1"/>
  <c r="Y185" i="67"/>
  <c r="AB185" i="67"/>
  <c r="V185" i="67"/>
  <c r="V405" i="67"/>
  <c r="Y405" i="67"/>
  <c r="AB405" i="67"/>
  <c r="V288" i="67"/>
  <c r="AB288" i="67"/>
  <c r="Y288" i="67"/>
  <c r="U443" i="67"/>
  <c r="AA443" i="67"/>
  <c r="X443" i="67"/>
  <c r="U37" i="49"/>
  <c r="U29" i="49"/>
  <c r="U21" i="49"/>
  <c r="U13" i="49"/>
  <c r="S43" i="49"/>
  <c r="S35" i="49"/>
  <c r="S27" i="49"/>
  <c r="S19" i="49"/>
  <c r="U27" i="49"/>
  <c r="S41" i="49"/>
  <c r="S17" i="49"/>
  <c r="U32" i="49"/>
  <c r="U36" i="49"/>
  <c r="U28" i="49"/>
  <c r="U20" i="49"/>
  <c r="S42" i="49"/>
  <c r="S34" i="49"/>
  <c r="S26" i="49"/>
  <c r="S18" i="49"/>
  <c r="U43" i="49"/>
  <c r="U35" i="49"/>
  <c r="U19" i="49"/>
  <c r="S33" i="49"/>
  <c r="S25" i="49"/>
  <c r="U24" i="49"/>
  <c r="S22" i="49"/>
  <c r="U42" i="49"/>
  <c r="U34" i="49"/>
  <c r="U26" i="49"/>
  <c r="U18" i="49"/>
  <c r="S40" i="49"/>
  <c r="S32" i="49"/>
  <c r="S24" i="49"/>
  <c r="S16" i="49"/>
  <c r="U41" i="49"/>
  <c r="U33" i="49"/>
  <c r="U25" i="49"/>
  <c r="U17" i="49"/>
  <c r="S39" i="49"/>
  <c r="S31" i="49"/>
  <c r="S23" i="49"/>
  <c r="S15" i="49"/>
  <c r="U40" i="49"/>
  <c r="U16" i="49"/>
  <c r="S14" i="49"/>
  <c r="U39" i="49"/>
  <c r="U31" i="49"/>
  <c r="U23" i="49"/>
  <c r="U15" i="49"/>
  <c r="S37" i="49"/>
  <c r="S29" i="49"/>
  <c r="S21" i="49"/>
  <c r="S13" i="49"/>
  <c r="U30" i="49"/>
  <c r="U22" i="49"/>
  <c r="U14" i="49"/>
  <c r="S36" i="49"/>
  <c r="S28" i="49"/>
  <c r="S20" i="49"/>
  <c r="S30" i="49"/>
  <c r="U38" i="49"/>
  <c r="S38" i="49"/>
  <c r="Y329" i="67"/>
  <c r="AB329" i="67"/>
  <c r="V329" i="67"/>
  <c r="L101" i="54"/>
  <c r="L102" i="54" s="1"/>
  <c r="O95" i="54"/>
  <c r="F210" i="67" s="1"/>
  <c r="M95" i="54"/>
  <c r="P95" i="54" s="1"/>
  <c r="G210" i="67" s="1"/>
  <c r="T76" i="49"/>
  <c r="X76" i="49" s="1"/>
  <c r="P171" i="54"/>
  <c r="G288" i="67" s="1"/>
  <c r="T53" i="49"/>
  <c r="P148" i="54"/>
  <c r="G265" i="67" s="1"/>
  <c r="AB420" i="67"/>
  <c r="Y420" i="67"/>
  <c r="V420" i="67"/>
  <c r="F382" i="67"/>
  <c r="Y306" i="67"/>
  <c r="V306" i="67"/>
  <c r="AB306" i="67"/>
  <c r="Z186" i="67"/>
  <c r="AC186" i="67"/>
  <c r="W186" i="67"/>
  <c r="Z264" i="67"/>
  <c r="AC264" i="67"/>
  <c r="W264" i="67"/>
  <c r="V186" i="67"/>
  <c r="Y186" i="67"/>
  <c r="AB186" i="67"/>
  <c r="F335" i="67"/>
  <c r="F336" i="67" s="1"/>
  <c r="Y305" i="67"/>
  <c r="AB305" i="67"/>
  <c r="F381" i="67"/>
  <c r="V305" i="67"/>
  <c r="V419" i="67"/>
  <c r="Y419" i="67"/>
  <c r="AB419" i="67"/>
  <c r="L246" i="54"/>
  <c r="O246" i="54" s="1"/>
  <c r="F364" i="67" s="1"/>
  <c r="M75" i="54"/>
  <c r="M146" i="54"/>
  <c r="P146" i="54" s="1"/>
  <c r="G263" i="67" s="1"/>
  <c r="M70" i="54"/>
  <c r="P70" i="54" s="1"/>
  <c r="G185" i="67" s="1"/>
  <c r="M72" i="54"/>
  <c r="M76" i="54"/>
  <c r="P81" i="49"/>
  <c r="P76" i="49"/>
  <c r="M77" i="54"/>
  <c r="M191" i="54"/>
  <c r="P191" i="54" s="1"/>
  <c r="G309" i="67" s="1"/>
  <c r="G385" i="67" s="1"/>
  <c r="M74" i="54"/>
  <c r="M84" i="54"/>
  <c r="P56" i="49"/>
  <c r="M149" i="54"/>
  <c r="P149" i="54" s="1"/>
  <c r="G266" i="67" s="1"/>
  <c r="P53" i="49"/>
  <c r="P54" i="49"/>
  <c r="P55" i="49"/>
  <c r="P68" i="49"/>
  <c r="P65" i="49"/>
  <c r="P58" i="49"/>
  <c r="P63" i="49"/>
  <c r="P57" i="49"/>
  <c r="P75" i="49"/>
  <c r="K23" i="54"/>
  <c r="K25" i="54" s="1"/>
  <c r="P70" i="49"/>
  <c r="L217" i="54"/>
  <c r="L14" i="54" s="1"/>
  <c r="M222" i="54"/>
  <c r="P222" i="54" s="1"/>
  <c r="G340" i="67" s="1"/>
  <c r="G419" i="67" s="1"/>
  <c r="L146" i="54"/>
  <c r="L67" i="54"/>
  <c r="M187" i="54"/>
  <c r="P187" i="54" s="1"/>
  <c r="G305" i="67" s="1"/>
  <c r="M66" i="54"/>
  <c r="M12" i="54" s="1"/>
  <c r="M141" i="54"/>
  <c r="M142" i="54" s="1"/>
  <c r="K82" i="49"/>
  <c r="K83" i="49" s="1"/>
  <c r="K45" i="49"/>
  <c r="K15" i="54" l="1"/>
  <c r="K17" i="54" s="1"/>
  <c r="AL24" i="67"/>
  <c r="AI24" i="67"/>
  <c r="Y380" i="67"/>
  <c r="AC21" i="67"/>
  <c r="AF24" i="67"/>
  <c r="AC32" i="67"/>
  <c r="AD21" i="67"/>
  <c r="AC34" i="67"/>
  <c r="AC22" i="67"/>
  <c r="V380" i="67"/>
  <c r="Z444" i="67"/>
  <c r="Z434" i="67"/>
  <c r="W434" i="67"/>
  <c r="U22" i="67"/>
  <c r="E22" i="67"/>
  <c r="AB260" i="67"/>
  <c r="O22" i="67" s="1"/>
  <c r="AM22" i="67" s="1"/>
  <c r="AC436" i="67"/>
  <c r="W436" i="67"/>
  <c r="W444" i="67"/>
  <c r="F21" i="67"/>
  <c r="V260" i="67"/>
  <c r="I22" i="67" s="1"/>
  <c r="AG22" i="67" s="1"/>
  <c r="X22" i="67"/>
  <c r="R22" i="67"/>
  <c r="W287" i="67"/>
  <c r="Z287" i="67"/>
  <c r="AC287" i="67"/>
  <c r="W363" i="67"/>
  <c r="Z363" i="67"/>
  <c r="AC363" i="67"/>
  <c r="AC269" i="67"/>
  <c r="W269" i="67"/>
  <c r="Z269" i="67"/>
  <c r="AC209" i="67"/>
  <c r="Z209" i="67"/>
  <c r="W209" i="67"/>
  <c r="G442" i="67"/>
  <c r="AC268" i="67"/>
  <c r="W268" i="67"/>
  <c r="Z268" i="67"/>
  <c r="AC369" i="67"/>
  <c r="W369" i="67"/>
  <c r="Z369" i="67"/>
  <c r="Z356" i="67"/>
  <c r="W356" i="67"/>
  <c r="AC356" i="67"/>
  <c r="G448" i="67"/>
  <c r="W293" i="67"/>
  <c r="Z293" i="67"/>
  <c r="AC293" i="67"/>
  <c r="G435" i="67"/>
  <c r="AC280" i="67"/>
  <c r="Z280" i="67"/>
  <c r="W280" i="67"/>
  <c r="Z346" i="67"/>
  <c r="AC346" i="67"/>
  <c r="W346" i="67"/>
  <c r="Z202" i="67"/>
  <c r="AC202" i="67"/>
  <c r="W202" i="67"/>
  <c r="Z358" i="67"/>
  <c r="AC358" i="67"/>
  <c r="W358" i="67"/>
  <c r="W445" i="67"/>
  <c r="AC445" i="67"/>
  <c r="Z445" i="67"/>
  <c r="Y448" i="67"/>
  <c r="AB448" i="67"/>
  <c r="V448" i="67"/>
  <c r="Z429" i="67"/>
  <c r="W429" i="67"/>
  <c r="AC429" i="67"/>
  <c r="M225" i="54"/>
  <c r="P225" i="54" s="1"/>
  <c r="G343" i="67" s="1"/>
  <c r="P74" i="54"/>
  <c r="G189" i="67" s="1"/>
  <c r="E21" i="67"/>
  <c r="Z197" i="67"/>
  <c r="W197" i="67"/>
  <c r="AC197" i="67"/>
  <c r="AB445" i="67"/>
  <c r="V445" i="67"/>
  <c r="Y445" i="67"/>
  <c r="AC427" i="67"/>
  <c r="W427" i="67"/>
  <c r="Z427" i="67"/>
  <c r="Z391" i="67"/>
  <c r="AC391" i="67"/>
  <c r="W391" i="67"/>
  <c r="Z393" i="67"/>
  <c r="W393" i="67"/>
  <c r="AC393" i="67"/>
  <c r="M235" i="54"/>
  <c r="P235" i="54" s="1"/>
  <c r="G353" i="67" s="1"/>
  <c r="P84" i="54"/>
  <c r="G199" i="67" s="1"/>
  <c r="Z385" i="67"/>
  <c r="W385" i="67"/>
  <c r="AC385" i="67"/>
  <c r="W428" i="67"/>
  <c r="AC428" i="67"/>
  <c r="Z428" i="67"/>
  <c r="Z309" i="67"/>
  <c r="AC309" i="67"/>
  <c r="W309" i="67"/>
  <c r="M226" i="54"/>
  <c r="P226" i="54" s="1"/>
  <c r="G344" i="67" s="1"/>
  <c r="P75" i="54"/>
  <c r="G190" i="67" s="1"/>
  <c r="E32" i="67"/>
  <c r="E46" i="67"/>
  <c r="AC275" i="67"/>
  <c r="Z275" i="67"/>
  <c r="W275" i="67"/>
  <c r="Z267" i="67"/>
  <c r="W267" i="67"/>
  <c r="AC267" i="67"/>
  <c r="AC431" i="67"/>
  <c r="Z431" i="67"/>
  <c r="W431" i="67"/>
  <c r="V425" i="67"/>
  <c r="Y425" i="67"/>
  <c r="AB425" i="67"/>
  <c r="W204" i="67"/>
  <c r="Z204" i="67"/>
  <c r="AC204" i="67"/>
  <c r="W215" i="67"/>
  <c r="AC215" i="67"/>
  <c r="Z215" i="67"/>
  <c r="AC406" i="67"/>
  <c r="Z406" i="67"/>
  <c r="W406" i="67"/>
  <c r="W408" i="67"/>
  <c r="AC408" i="67"/>
  <c r="Z408" i="67"/>
  <c r="Z395" i="67"/>
  <c r="W395" i="67"/>
  <c r="AC395" i="67"/>
  <c r="AC439" i="67"/>
  <c r="W439" i="67"/>
  <c r="Z439" i="67"/>
  <c r="Z403" i="67"/>
  <c r="AC403" i="67"/>
  <c r="W403" i="67"/>
  <c r="Z390" i="67"/>
  <c r="W390" i="67"/>
  <c r="AC390" i="67"/>
  <c r="AB444" i="67"/>
  <c r="Y444" i="67"/>
  <c r="V444" i="67"/>
  <c r="W282" i="67"/>
  <c r="Z282" i="67"/>
  <c r="AC282" i="67"/>
  <c r="E34" i="67"/>
  <c r="Z398" i="67"/>
  <c r="W398" i="67"/>
  <c r="AC398" i="67"/>
  <c r="Z389" i="67"/>
  <c r="AC389" i="67"/>
  <c r="W389" i="67"/>
  <c r="AC426" i="67"/>
  <c r="Z426" i="67"/>
  <c r="W426" i="67"/>
  <c r="Y385" i="67"/>
  <c r="V385" i="67"/>
  <c r="AB385" i="67"/>
  <c r="Y260" i="67"/>
  <c r="L22" i="67" s="1"/>
  <c r="AJ22" i="67" s="1"/>
  <c r="Y387" i="67"/>
  <c r="V387" i="67"/>
  <c r="AB387" i="67"/>
  <c r="G437" i="67"/>
  <c r="W440" i="67"/>
  <c r="Z440" i="67"/>
  <c r="AC440" i="67"/>
  <c r="Y439" i="67"/>
  <c r="AB439" i="67"/>
  <c r="V439" i="67"/>
  <c r="Z396" i="67"/>
  <c r="W396" i="67"/>
  <c r="AC396" i="67"/>
  <c r="Z388" i="67"/>
  <c r="AC388" i="67"/>
  <c r="W388" i="67"/>
  <c r="W433" i="67"/>
  <c r="Z433" i="67"/>
  <c r="AC433" i="67"/>
  <c r="Z438" i="67"/>
  <c r="AC438" i="67"/>
  <c r="W438" i="67"/>
  <c r="Z409" i="67"/>
  <c r="W409" i="67"/>
  <c r="AC409" i="67"/>
  <c r="M153" i="54"/>
  <c r="P153" i="54" s="1"/>
  <c r="G270" i="67" s="1"/>
  <c r="G294" i="67" s="1"/>
  <c r="G295" i="67" s="1"/>
  <c r="P77" i="54"/>
  <c r="G192" i="67" s="1"/>
  <c r="W401" i="67"/>
  <c r="AC401" i="67"/>
  <c r="Z401" i="67"/>
  <c r="Z277" i="67"/>
  <c r="W277" i="67"/>
  <c r="AC277" i="67"/>
  <c r="M192" i="54"/>
  <c r="P192" i="54" s="1"/>
  <c r="G310" i="67" s="1"/>
  <c r="P76" i="54"/>
  <c r="G191" i="67" s="1"/>
  <c r="AB440" i="67"/>
  <c r="Y440" i="67"/>
  <c r="V440" i="67"/>
  <c r="G387" i="67"/>
  <c r="Z157" i="67"/>
  <c r="AC157" i="67"/>
  <c r="W157" i="67"/>
  <c r="Y422" i="67"/>
  <c r="V422" i="67"/>
  <c r="AB422" i="67"/>
  <c r="Y438" i="67"/>
  <c r="V438" i="67"/>
  <c r="AB438" i="67"/>
  <c r="Z351" i="67"/>
  <c r="W351" i="67"/>
  <c r="AC351" i="67"/>
  <c r="G430" i="67"/>
  <c r="M200" i="54"/>
  <c r="P200" i="54" s="1"/>
  <c r="G318" i="67" s="1"/>
  <c r="Z235" i="67"/>
  <c r="W235" i="67"/>
  <c r="AC235" i="67"/>
  <c r="AC407" i="67"/>
  <c r="W407" i="67"/>
  <c r="Z407" i="67"/>
  <c r="V442" i="67"/>
  <c r="Y442" i="67"/>
  <c r="AB442" i="67"/>
  <c r="Z400" i="67"/>
  <c r="AC400" i="67"/>
  <c r="W400" i="67"/>
  <c r="AC402" i="67"/>
  <c r="W402" i="67"/>
  <c r="Z402" i="67"/>
  <c r="AC399" i="67"/>
  <c r="W399" i="67"/>
  <c r="Z399" i="67"/>
  <c r="Z392" i="67"/>
  <c r="AC392" i="67"/>
  <c r="W392" i="67"/>
  <c r="E56" i="67"/>
  <c r="V21" i="67"/>
  <c r="L15" i="54"/>
  <c r="L16" i="54" s="1"/>
  <c r="Y336" i="67"/>
  <c r="L23" i="67" s="1"/>
  <c r="AJ23" i="67" s="1"/>
  <c r="Z342" i="67"/>
  <c r="W342" i="67"/>
  <c r="AC342" i="67"/>
  <c r="Z188" i="67"/>
  <c r="W188" i="67"/>
  <c r="AC188" i="67"/>
  <c r="G421" i="67"/>
  <c r="Z266" i="67"/>
  <c r="AC266" i="67"/>
  <c r="W266" i="67"/>
  <c r="S21" i="67"/>
  <c r="Y21" i="67"/>
  <c r="F45" i="67"/>
  <c r="Z383" i="67"/>
  <c r="W383" i="67"/>
  <c r="AC383" i="67"/>
  <c r="X32" i="67"/>
  <c r="R32" i="67"/>
  <c r="E54" i="67"/>
  <c r="U32" i="67"/>
  <c r="Z150" i="67"/>
  <c r="W150" i="67"/>
  <c r="AC150" i="67"/>
  <c r="G181" i="67"/>
  <c r="G182" i="67" s="1"/>
  <c r="G380" i="67"/>
  <c r="Z228" i="67"/>
  <c r="AC228" i="67"/>
  <c r="W228" i="67"/>
  <c r="G259" i="67"/>
  <c r="G260" i="67" s="1"/>
  <c r="H24" i="67"/>
  <c r="R21" i="67"/>
  <c r="E45" i="67"/>
  <c r="X21" i="67"/>
  <c r="N24" i="67"/>
  <c r="K24" i="67"/>
  <c r="U21" i="67"/>
  <c r="E418" i="67"/>
  <c r="X263" i="67"/>
  <c r="X295" i="67" s="1"/>
  <c r="K33" i="67" s="1"/>
  <c r="AI33" i="67" s="1"/>
  <c r="AI35" i="67" s="1"/>
  <c r="U263" i="67"/>
  <c r="U295" i="67" s="1"/>
  <c r="H33" i="67" s="1"/>
  <c r="AF33" i="67" s="1"/>
  <c r="AF35" i="67" s="1"/>
  <c r="AA263" i="67"/>
  <c r="AA295" i="67" s="1"/>
  <c r="N33" i="67" s="1"/>
  <c r="AL33" i="67" s="1"/>
  <c r="AL35" i="67" s="1"/>
  <c r="E294" i="67"/>
  <c r="E295" i="67" s="1"/>
  <c r="X380" i="67"/>
  <c r="X412" i="67" s="1"/>
  <c r="U380" i="67"/>
  <c r="U412" i="67" s="1"/>
  <c r="AA380" i="67"/>
  <c r="AA412" i="67" s="1"/>
  <c r="E411" i="67"/>
  <c r="E412" i="67" s="1"/>
  <c r="Z263" i="67"/>
  <c r="AC263" i="67"/>
  <c r="W263" i="67"/>
  <c r="Z185" i="67"/>
  <c r="W185" i="67"/>
  <c r="AC185" i="67"/>
  <c r="G418" i="67"/>
  <c r="Z339" i="67"/>
  <c r="AC339" i="67"/>
  <c r="W339" i="67"/>
  <c r="L177" i="54"/>
  <c r="L178" i="54" s="1"/>
  <c r="O146" i="54"/>
  <c r="F263" i="67" s="1"/>
  <c r="AB336" i="67"/>
  <c r="O23" i="67" s="1"/>
  <c r="AM23" i="67" s="1"/>
  <c r="F443" i="67"/>
  <c r="Y443" i="67" s="1"/>
  <c r="AC288" i="67"/>
  <c r="Z288" i="67"/>
  <c r="W288" i="67"/>
  <c r="AC210" i="67"/>
  <c r="W210" i="67"/>
  <c r="Z210" i="67"/>
  <c r="F216" i="67"/>
  <c r="F217" i="67" s="1"/>
  <c r="V364" i="67"/>
  <c r="AB371" i="67" s="1"/>
  <c r="I34" i="67" s="1"/>
  <c r="AG34" i="67" s="1"/>
  <c r="AB364" i="67"/>
  <c r="AH371" i="67" s="1"/>
  <c r="O34" i="67" s="1"/>
  <c r="AM34" i="67" s="1"/>
  <c r="Y364" i="67"/>
  <c r="AE371" i="67" s="1"/>
  <c r="L34" i="67" s="1"/>
  <c r="AJ34" i="67" s="1"/>
  <c r="F370" i="67"/>
  <c r="L371" i="67" s="1"/>
  <c r="Y210" i="67"/>
  <c r="Y217" i="67" s="1"/>
  <c r="L32" i="67" s="1"/>
  <c r="AJ32" i="67" s="1"/>
  <c r="V210" i="67"/>
  <c r="V217" i="67" s="1"/>
  <c r="I32" i="67" s="1"/>
  <c r="AG32" i="67" s="1"/>
  <c r="AB210" i="67"/>
  <c r="AB217" i="67" s="1"/>
  <c r="O32" i="67" s="1"/>
  <c r="AM32" i="67" s="1"/>
  <c r="L22" i="54"/>
  <c r="K26" i="54"/>
  <c r="K27" i="54"/>
  <c r="L252" i="54"/>
  <c r="L253" i="54" s="1"/>
  <c r="M246" i="54"/>
  <c r="P246" i="54" s="1"/>
  <c r="G364" i="67" s="1"/>
  <c r="W265" i="67"/>
  <c r="Z265" i="67"/>
  <c r="AC265" i="67"/>
  <c r="Y382" i="67"/>
  <c r="V382" i="67"/>
  <c r="AB382" i="67"/>
  <c r="V336" i="67"/>
  <c r="I23" i="67" s="1"/>
  <c r="AG23" i="67" s="1"/>
  <c r="M188" i="54"/>
  <c r="P188" i="54" s="1"/>
  <c r="G306" i="67" s="1"/>
  <c r="P72" i="54"/>
  <c r="G187" i="67" s="1"/>
  <c r="W419" i="67"/>
  <c r="AC419" i="67"/>
  <c r="Z419" i="67"/>
  <c r="W340" i="67"/>
  <c r="Z340" i="67"/>
  <c r="AC340" i="67"/>
  <c r="G381" i="67"/>
  <c r="AC305" i="67"/>
  <c r="W305" i="67"/>
  <c r="Z305" i="67"/>
  <c r="Y381" i="67"/>
  <c r="F411" i="67"/>
  <c r="F412" i="67" s="1"/>
  <c r="V381" i="67"/>
  <c r="AB381" i="67"/>
  <c r="M190" i="54"/>
  <c r="P190" i="54" s="1"/>
  <c r="G308" i="67" s="1"/>
  <c r="M223" i="54"/>
  <c r="P223" i="54" s="1"/>
  <c r="G341" i="67" s="1"/>
  <c r="M227" i="54"/>
  <c r="P227" i="54" s="1"/>
  <c r="G345" i="67" s="1"/>
  <c r="M101" i="54"/>
  <c r="M22" i="54" s="1"/>
  <c r="M211" i="54"/>
  <c r="P211" i="54" s="1"/>
  <c r="G329" i="67" s="1"/>
  <c r="L218" i="54"/>
  <c r="M13" i="54"/>
  <c r="M67" i="54"/>
  <c r="L82" i="49"/>
  <c r="L83" i="49" s="1"/>
  <c r="Q123" i="49"/>
  <c r="M82" i="49"/>
  <c r="M84" i="49" s="1"/>
  <c r="L45" i="49"/>
  <c r="K16" i="54" l="1"/>
  <c r="AJ24" i="67"/>
  <c r="AG24" i="67"/>
  <c r="AD34" i="67"/>
  <c r="AD22" i="67"/>
  <c r="AD32" i="67"/>
  <c r="AD23" i="67"/>
  <c r="AM24" i="67"/>
  <c r="AC33" i="67"/>
  <c r="AC35" i="67" s="1"/>
  <c r="AC36" i="67" s="1"/>
  <c r="AC24" i="67"/>
  <c r="AC25" i="67" s="1"/>
  <c r="O24" i="67"/>
  <c r="F69" i="67" s="1"/>
  <c r="K69" i="67" s="1"/>
  <c r="AC182" i="67"/>
  <c r="P21" i="67" s="1"/>
  <c r="AN21" i="67" s="1"/>
  <c r="F22" i="67"/>
  <c r="L24" i="67"/>
  <c r="Z182" i="67"/>
  <c r="M21" i="67" s="1"/>
  <c r="AK21" i="67" s="1"/>
  <c r="E24" i="67"/>
  <c r="AB412" i="67"/>
  <c r="F46" i="67"/>
  <c r="F23" i="67"/>
  <c r="V22" i="67"/>
  <c r="S22" i="67"/>
  <c r="W260" i="67"/>
  <c r="J22" i="67" s="1"/>
  <c r="AH22" i="67" s="1"/>
  <c r="Y22" i="67"/>
  <c r="E48" i="67"/>
  <c r="G424" i="67"/>
  <c r="Z424" i="67" s="1"/>
  <c r="H35" i="67"/>
  <c r="E77" i="67" s="1"/>
  <c r="J77" i="67" s="1"/>
  <c r="E33" i="67"/>
  <c r="E35" i="67" s="1"/>
  <c r="Z310" i="67"/>
  <c r="W310" i="67"/>
  <c r="AC310" i="67"/>
  <c r="G386" i="67"/>
  <c r="Z437" i="67"/>
  <c r="W437" i="67"/>
  <c r="AC437" i="67"/>
  <c r="Z344" i="67"/>
  <c r="W344" i="67"/>
  <c r="AC344" i="67"/>
  <c r="Z308" i="67"/>
  <c r="W308" i="67"/>
  <c r="AC308" i="67"/>
  <c r="G384" i="67"/>
  <c r="Z190" i="67"/>
  <c r="W190" i="67"/>
  <c r="AC190" i="67"/>
  <c r="G423" i="67"/>
  <c r="F32" i="67"/>
  <c r="W182" i="67"/>
  <c r="J21" i="67" s="1"/>
  <c r="AH21" i="67" s="1"/>
  <c r="Z192" i="67"/>
  <c r="W192" i="67"/>
  <c r="AC192" i="67"/>
  <c r="G425" i="67"/>
  <c r="AC442" i="67"/>
  <c r="Z442" i="67"/>
  <c r="W442" i="67"/>
  <c r="Z199" i="67"/>
  <c r="W199" i="67"/>
  <c r="AC199" i="67"/>
  <c r="Z387" i="67"/>
  <c r="W387" i="67"/>
  <c r="AC387" i="67"/>
  <c r="Z353" i="67"/>
  <c r="AC353" i="67"/>
  <c r="W353" i="67"/>
  <c r="AC435" i="67"/>
  <c r="W435" i="67"/>
  <c r="Z435" i="67"/>
  <c r="AC260" i="67"/>
  <c r="P22" i="67" s="1"/>
  <c r="AN22" i="67" s="1"/>
  <c r="G432" i="67"/>
  <c r="Z189" i="67"/>
  <c r="AC189" i="67"/>
  <c r="W189" i="67"/>
  <c r="G422" i="67"/>
  <c r="AC448" i="67"/>
  <c r="Z448" i="67"/>
  <c r="W448" i="67"/>
  <c r="M177" i="54"/>
  <c r="M23" i="54" s="1"/>
  <c r="Z345" i="67"/>
  <c r="W345" i="67"/>
  <c r="AC345" i="67"/>
  <c r="Z260" i="67"/>
  <c r="M22" i="67" s="1"/>
  <c r="AK22" i="67" s="1"/>
  <c r="Z318" i="67"/>
  <c r="W318" i="67"/>
  <c r="AC318" i="67"/>
  <c r="G394" i="67"/>
  <c r="Z343" i="67"/>
  <c r="AC343" i="67"/>
  <c r="W343" i="67"/>
  <c r="Z191" i="67"/>
  <c r="W191" i="67"/>
  <c r="AC191" i="67"/>
  <c r="W270" i="67"/>
  <c r="W295" i="67" s="1"/>
  <c r="J33" i="67" s="1"/>
  <c r="AH33" i="67" s="1"/>
  <c r="Z270" i="67"/>
  <c r="Z295" i="67" s="1"/>
  <c r="M33" i="67" s="1"/>
  <c r="AK33" i="67" s="1"/>
  <c r="AC270" i="67"/>
  <c r="F34" i="67"/>
  <c r="Z430" i="67"/>
  <c r="AC430" i="67"/>
  <c r="W430" i="67"/>
  <c r="AB443" i="67"/>
  <c r="L17" i="54"/>
  <c r="V443" i="67"/>
  <c r="L23" i="54"/>
  <c r="W421" i="67"/>
  <c r="AC421" i="67"/>
  <c r="Z421" i="67"/>
  <c r="V34" i="67"/>
  <c r="U33" i="67"/>
  <c r="E67" i="67"/>
  <c r="J67" i="67" s="1"/>
  <c r="R24" i="67"/>
  <c r="AC295" i="67"/>
  <c r="P33" i="67" s="1"/>
  <c r="AN33" i="67" s="1"/>
  <c r="AA418" i="67"/>
  <c r="AA450" i="67" s="1"/>
  <c r="X418" i="67"/>
  <c r="X450" i="67" s="1"/>
  <c r="U418" i="67"/>
  <c r="U450" i="67" s="1"/>
  <c r="E449" i="67"/>
  <c r="E450" i="67" s="1"/>
  <c r="X33" i="67"/>
  <c r="N35" i="67"/>
  <c r="E68" i="67"/>
  <c r="U24" i="67"/>
  <c r="E55" i="67"/>
  <c r="E57" i="67" s="1"/>
  <c r="R33" i="67"/>
  <c r="E69" i="67"/>
  <c r="X24" i="67"/>
  <c r="L24" i="54"/>
  <c r="Z380" i="67"/>
  <c r="W380" i="67"/>
  <c r="AC380" i="67"/>
  <c r="K35" i="67"/>
  <c r="AC418" i="67"/>
  <c r="W418" i="67"/>
  <c r="Z418" i="67"/>
  <c r="Y263" i="67"/>
  <c r="Y295" i="67" s="1"/>
  <c r="L33" i="67" s="1"/>
  <c r="AJ33" i="67" s="1"/>
  <c r="AJ35" i="67" s="1"/>
  <c r="V263" i="67"/>
  <c r="V295" i="67" s="1"/>
  <c r="I33" i="67" s="1"/>
  <c r="AG33" i="67" s="1"/>
  <c r="AG35" i="67" s="1"/>
  <c r="AB263" i="67"/>
  <c r="AB295" i="67" s="1"/>
  <c r="O33" i="67" s="1"/>
  <c r="AM33" i="67" s="1"/>
  <c r="AM35" i="67" s="1"/>
  <c r="F418" i="67"/>
  <c r="F449" i="67" s="1"/>
  <c r="F450" i="67" s="1"/>
  <c r="F294" i="67"/>
  <c r="F295" i="67" s="1"/>
  <c r="F47" i="67"/>
  <c r="S23" i="67"/>
  <c r="S34" i="67"/>
  <c r="V32" i="67"/>
  <c r="F54" i="67"/>
  <c r="Y32" i="67"/>
  <c r="Y23" i="67"/>
  <c r="F56" i="67"/>
  <c r="AC364" i="67"/>
  <c r="G72" i="68" s="1"/>
  <c r="W364" i="67"/>
  <c r="Z364" i="67"/>
  <c r="F72" i="68" s="1"/>
  <c r="S32" i="67"/>
  <c r="AC329" i="67"/>
  <c r="G37" i="68" s="1"/>
  <c r="Z329" i="67"/>
  <c r="F37" i="68" s="1"/>
  <c r="W329" i="67"/>
  <c r="E37" i="68" s="1"/>
  <c r="G405" i="67"/>
  <c r="Y34" i="67"/>
  <c r="G443" i="67"/>
  <c r="Z306" i="67"/>
  <c r="G382" i="67"/>
  <c r="W306" i="67"/>
  <c r="AC306" i="67"/>
  <c r="V412" i="67"/>
  <c r="Z341" i="67"/>
  <c r="W341" i="67"/>
  <c r="AC341" i="67"/>
  <c r="Z187" i="67"/>
  <c r="W187" i="67"/>
  <c r="AC187" i="67"/>
  <c r="G216" i="67"/>
  <c r="G217" i="67" s="1"/>
  <c r="G420" i="67"/>
  <c r="Y412" i="67"/>
  <c r="G335" i="67"/>
  <c r="G336" i="67" s="1"/>
  <c r="I24" i="67"/>
  <c r="V23" i="67"/>
  <c r="G370" i="67"/>
  <c r="M371" i="67" s="1"/>
  <c r="M217" i="54"/>
  <c r="M14" i="54" s="1"/>
  <c r="M15" i="54" s="1"/>
  <c r="M252" i="54"/>
  <c r="M253" i="54" s="1"/>
  <c r="F68" i="67"/>
  <c r="K68" i="67" s="1"/>
  <c r="U77" i="49"/>
  <c r="U69" i="49"/>
  <c r="U61" i="49"/>
  <c r="U53" i="49"/>
  <c r="S75" i="49"/>
  <c r="S67" i="49"/>
  <c r="S59" i="49"/>
  <c r="S51" i="49"/>
  <c r="S73" i="49"/>
  <c r="U72" i="49"/>
  <c r="S78" i="49"/>
  <c r="U55" i="49"/>
  <c r="S53" i="49"/>
  <c r="U54" i="49"/>
  <c r="S60" i="49"/>
  <c r="U76" i="49"/>
  <c r="U68" i="49"/>
  <c r="U60" i="49"/>
  <c r="S74" i="49"/>
  <c r="S66" i="49"/>
  <c r="S58" i="49"/>
  <c r="S65" i="49"/>
  <c r="U80" i="49"/>
  <c r="S54" i="49"/>
  <c r="U71" i="49"/>
  <c r="S77" i="49"/>
  <c r="U70" i="49"/>
  <c r="S76" i="49"/>
  <c r="U75" i="49"/>
  <c r="U67" i="49"/>
  <c r="U59" i="49"/>
  <c r="U51" i="49"/>
  <c r="S81" i="49"/>
  <c r="S57" i="49"/>
  <c r="S69" i="49"/>
  <c r="U62" i="49"/>
  <c r="S68" i="49"/>
  <c r="U74" i="49"/>
  <c r="U66" i="49"/>
  <c r="U58" i="49"/>
  <c r="S80" i="49"/>
  <c r="S72" i="49"/>
  <c r="S64" i="49"/>
  <c r="S56" i="49"/>
  <c r="U64" i="49"/>
  <c r="U56" i="49"/>
  <c r="S62" i="49"/>
  <c r="U63" i="49"/>
  <c r="S61" i="49"/>
  <c r="U81" i="49"/>
  <c r="U73" i="49"/>
  <c r="U65" i="49"/>
  <c r="U57" i="49"/>
  <c r="S79" i="49"/>
  <c r="S71" i="49"/>
  <c r="S63" i="49"/>
  <c r="S55" i="49"/>
  <c r="S70" i="49"/>
  <c r="U79" i="49"/>
  <c r="U78" i="49"/>
  <c r="S52" i="49"/>
  <c r="U52" i="49"/>
  <c r="Z381" i="67"/>
  <c r="AC381" i="67"/>
  <c r="W381" i="67"/>
  <c r="M102" i="54"/>
  <c r="P13" i="49"/>
  <c r="P51" i="49"/>
  <c r="E92" i="67" l="1"/>
  <c r="J69" i="67"/>
  <c r="M178" i="54"/>
  <c r="L25" i="54"/>
  <c r="E91" i="67"/>
  <c r="J91" i="67" s="1"/>
  <c r="J68" i="67"/>
  <c r="J70" i="67"/>
  <c r="G78" i="68"/>
  <c r="F78" i="68"/>
  <c r="E43" i="68"/>
  <c r="E106" i="68"/>
  <c r="I37" i="68"/>
  <c r="J37" i="68"/>
  <c r="F43" i="68"/>
  <c r="G43" i="68"/>
  <c r="K37" i="68"/>
  <c r="E72" i="68"/>
  <c r="J72" i="68" s="1"/>
  <c r="V24" i="67"/>
  <c r="AD24" i="67"/>
  <c r="AD25" i="67" s="1"/>
  <c r="AE21" i="67"/>
  <c r="AD33" i="67"/>
  <c r="AD35" i="67" s="1"/>
  <c r="AD36" i="67" s="1"/>
  <c r="AE33" i="67"/>
  <c r="AE22" i="67"/>
  <c r="F92" i="67"/>
  <c r="O235" i="49" s="1"/>
  <c r="G235" i="49" s="1"/>
  <c r="W424" i="67"/>
  <c r="F48" i="67"/>
  <c r="G21" i="67"/>
  <c r="F24" i="67"/>
  <c r="AC424" i="67"/>
  <c r="T21" i="67"/>
  <c r="G33" i="67"/>
  <c r="Z22" i="67"/>
  <c r="AC371" i="67"/>
  <c r="J34" i="67" s="1"/>
  <c r="AH34" i="67" s="1"/>
  <c r="AC217" i="67"/>
  <c r="P32" i="67" s="1"/>
  <c r="AN32" i="67" s="1"/>
  <c r="G45" i="67"/>
  <c r="G411" i="67"/>
  <c r="G412" i="67" s="1"/>
  <c r="W21" i="67"/>
  <c r="W217" i="67"/>
  <c r="J32" i="67" s="1"/>
  <c r="AH32" i="67" s="1"/>
  <c r="T22" i="67"/>
  <c r="AI371" i="67"/>
  <c r="P34" i="67" s="1"/>
  <c r="AN34" i="67" s="1"/>
  <c r="Z21" i="67"/>
  <c r="J92" i="67"/>
  <c r="N235" i="49"/>
  <c r="F235" i="49" s="1"/>
  <c r="AC423" i="67"/>
  <c r="Z423" i="67"/>
  <c r="W423" i="67"/>
  <c r="W425" i="67"/>
  <c r="Z425" i="67"/>
  <c r="AC425" i="67"/>
  <c r="Z422" i="67"/>
  <c r="AC422" i="67"/>
  <c r="W422" i="67"/>
  <c r="G22" i="67"/>
  <c r="AC336" i="67"/>
  <c r="P23" i="67" s="1"/>
  <c r="I35" i="67"/>
  <c r="F77" i="67" s="1"/>
  <c r="K77" i="67" s="1"/>
  <c r="F33" i="67"/>
  <c r="F35" i="67" s="1"/>
  <c r="G55" i="67"/>
  <c r="Z384" i="67"/>
  <c r="AC384" i="67"/>
  <c r="W384" i="67"/>
  <c r="G46" i="67"/>
  <c r="Z217" i="67"/>
  <c r="M32" i="67" s="1"/>
  <c r="AK32" i="67" s="1"/>
  <c r="W22" i="67"/>
  <c r="Z386" i="67"/>
  <c r="AC386" i="67"/>
  <c r="W386" i="67"/>
  <c r="Z394" i="67"/>
  <c r="W394" i="67"/>
  <c r="AC394" i="67"/>
  <c r="W432" i="67"/>
  <c r="Z432" i="67"/>
  <c r="AC432" i="67"/>
  <c r="Z336" i="67"/>
  <c r="M23" i="67" s="1"/>
  <c r="AF371" i="67"/>
  <c r="M34" i="67" s="1"/>
  <c r="AK34" i="67" s="1"/>
  <c r="Z33" i="67"/>
  <c r="W336" i="67"/>
  <c r="J23" i="67" s="1"/>
  <c r="AH23" i="67" s="1"/>
  <c r="E100" i="67"/>
  <c r="Y33" i="67"/>
  <c r="W33" i="67"/>
  <c r="U35" i="67"/>
  <c r="E78" i="67"/>
  <c r="J78" i="67" s="1"/>
  <c r="T33" i="67"/>
  <c r="E90" i="67"/>
  <c r="N233" i="49" s="1"/>
  <c r="E70" i="67"/>
  <c r="X35" i="67"/>
  <c r="E79" i="67"/>
  <c r="R35" i="67"/>
  <c r="O35" i="67"/>
  <c r="V33" i="67"/>
  <c r="F55" i="67"/>
  <c r="F57" i="67" s="1"/>
  <c r="S33" i="67"/>
  <c r="F67" i="67"/>
  <c r="L35" i="67"/>
  <c r="V418" i="67"/>
  <c r="V450" i="67" s="1"/>
  <c r="Y418" i="67"/>
  <c r="Y450" i="67" s="1"/>
  <c r="AB418" i="67"/>
  <c r="AB450" i="67" s="1"/>
  <c r="M218" i="54"/>
  <c r="AC443" i="67"/>
  <c r="Z443" i="67"/>
  <c r="W443" i="67"/>
  <c r="W405" i="67"/>
  <c r="Z405" i="67"/>
  <c r="AC405" i="67"/>
  <c r="M24" i="54"/>
  <c r="M25" i="54" s="1"/>
  <c r="M26" i="54" s="1"/>
  <c r="S24" i="67"/>
  <c r="Y24" i="67"/>
  <c r="Z382" i="67"/>
  <c r="AC382" i="67"/>
  <c r="W382" i="67"/>
  <c r="F91" i="67"/>
  <c r="Z420" i="67"/>
  <c r="AC420" i="67"/>
  <c r="W420" i="67"/>
  <c r="G449" i="67"/>
  <c r="G450" i="67" s="1"/>
  <c r="L26" i="54"/>
  <c r="L27" i="54"/>
  <c r="M16" i="54"/>
  <c r="M17" i="54"/>
  <c r="M45" i="49"/>
  <c r="H8" i="49"/>
  <c r="P44" i="49"/>
  <c r="L8" i="49" s="1"/>
  <c r="I8" i="49"/>
  <c r="P82" i="49"/>
  <c r="L9" i="49" s="1"/>
  <c r="M83" i="49"/>
  <c r="F49" i="49"/>
  <c r="N234" i="49" l="1"/>
  <c r="F234" i="49" s="1"/>
  <c r="E78" i="68"/>
  <c r="F106" i="68"/>
  <c r="G106" i="68" s="1"/>
  <c r="I72" i="68"/>
  <c r="F70" i="67"/>
  <c r="K67" i="67"/>
  <c r="K70" i="67" s="1"/>
  <c r="K72" i="68"/>
  <c r="E102" i="67"/>
  <c r="J102" i="67" s="1"/>
  <c r="J79" i="67"/>
  <c r="J80" i="67" s="1"/>
  <c r="K92" i="67"/>
  <c r="AN35" i="67"/>
  <c r="AE32" i="67"/>
  <c r="AH35" i="67"/>
  <c r="M24" i="67"/>
  <c r="G68" i="67" s="1"/>
  <c r="L68" i="67" s="1"/>
  <c r="AK23" i="67"/>
  <c r="AK24" i="67" s="1"/>
  <c r="AK35" i="67"/>
  <c r="AE34" i="67"/>
  <c r="P24" i="67"/>
  <c r="G69" i="67" s="1"/>
  <c r="L69" i="67" s="1"/>
  <c r="AN23" i="67"/>
  <c r="AN24" i="67" s="1"/>
  <c r="AH24" i="67"/>
  <c r="P35" i="67"/>
  <c r="G79" i="67" s="1"/>
  <c r="L79" i="67" s="1"/>
  <c r="G54" i="67"/>
  <c r="T32" i="67"/>
  <c r="G32" i="67"/>
  <c r="W23" i="67"/>
  <c r="J35" i="67"/>
  <c r="G77" i="67" s="1"/>
  <c r="L77" i="67" s="1"/>
  <c r="Z32" i="67"/>
  <c r="G56" i="67"/>
  <c r="J24" i="67"/>
  <c r="G67" i="67" s="1"/>
  <c r="L67" i="67" s="1"/>
  <c r="W32" i="67"/>
  <c r="Z34" i="67"/>
  <c r="G23" i="67"/>
  <c r="G24" i="67" s="1"/>
  <c r="W34" i="67"/>
  <c r="W412" i="67"/>
  <c r="F233" i="49"/>
  <c r="F236" i="49" s="1"/>
  <c r="F237" i="49" s="1"/>
  <c r="N236" i="49"/>
  <c r="E25" i="67" s="1"/>
  <c r="G34" i="67"/>
  <c r="AC412" i="67"/>
  <c r="K91" i="67"/>
  <c r="O234" i="49"/>
  <c r="Z412" i="67"/>
  <c r="J100" i="67"/>
  <c r="N241" i="49"/>
  <c r="M35" i="67"/>
  <c r="G78" i="67" s="1"/>
  <c r="L78" i="67" s="1"/>
  <c r="T34" i="67"/>
  <c r="G47" i="67"/>
  <c r="G48" i="67" s="1"/>
  <c r="T23" i="67"/>
  <c r="Z23" i="67"/>
  <c r="F90" i="67"/>
  <c r="F93" i="67" s="1"/>
  <c r="E93" i="67"/>
  <c r="E94" i="67" s="1"/>
  <c r="J90" i="67"/>
  <c r="J93" i="67" s="1"/>
  <c r="E101" i="67"/>
  <c r="N242" i="49" s="1"/>
  <c r="F242" i="49" s="1"/>
  <c r="E80" i="67"/>
  <c r="F100" i="67"/>
  <c r="O241" i="49" s="1"/>
  <c r="M27" i="54"/>
  <c r="F79" i="67"/>
  <c r="Y35" i="67"/>
  <c r="F78" i="67"/>
  <c r="K78" i="67" s="1"/>
  <c r="V35" i="67"/>
  <c r="S35" i="67"/>
  <c r="AC450" i="67"/>
  <c r="Z450" i="67"/>
  <c r="W450" i="67"/>
  <c r="H9" i="49"/>
  <c r="P45" i="49"/>
  <c r="I9" i="49"/>
  <c r="P83" i="49"/>
  <c r="L80" i="67" l="1"/>
  <c r="N243" i="49"/>
  <c r="F243" i="49" s="1"/>
  <c r="F94" i="67"/>
  <c r="L70" i="67"/>
  <c r="F102" i="67"/>
  <c r="K102" i="67" s="1"/>
  <c r="K79" i="67"/>
  <c r="K80" i="67" s="1"/>
  <c r="E71" i="67"/>
  <c r="F71" i="67"/>
  <c r="G91" i="67"/>
  <c r="P234" i="49" s="1"/>
  <c r="G100" i="67"/>
  <c r="P241" i="49" s="1"/>
  <c r="H241" i="49" s="1"/>
  <c r="AE23" i="67"/>
  <c r="AE24" i="67" s="1"/>
  <c r="AE25" i="67" s="1"/>
  <c r="G92" i="67"/>
  <c r="P235" i="49" s="1"/>
  <c r="H235" i="49" s="1"/>
  <c r="G70" i="67"/>
  <c r="G35" i="67"/>
  <c r="AE35" i="67"/>
  <c r="AE36" i="67" s="1"/>
  <c r="G57" i="67"/>
  <c r="M25" i="67"/>
  <c r="J25" i="67"/>
  <c r="W24" i="67"/>
  <c r="P25" i="67"/>
  <c r="Z24" i="67"/>
  <c r="T24" i="67"/>
  <c r="G90" i="67"/>
  <c r="P233" i="49" s="1"/>
  <c r="H233" i="49" s="1"/>
  <c r="G80" i="67"/>
  <c r="G234" i="49"/>
  <c r="Z35" i="67"/>
  <c r="K90" i="67"/>
  <c r="K93" i="67" s="1"/>
  <c r="O233" i="49"/>
  <c r="G233" i="49" s="1"/>
  <c r="G241" i="49"/>
  <c r="K100" i="67"/>
  <c r="L92" i="67"/>
  <c r="T35" i="67"/>
  <c r="F241" i="49"/>
  <c r="F244" i="49" s="1"/>
  <c r="F245" i="49" s="1"/>
  <c r="G101" i="67"/>
  <c r="W35" i="67"/>
  <c r="G102" i="67"/>
  <c r="J101" i="67"/>
  <c r="J103" i="67" s="1"/>
  <c r="E103" i="67"/>
  <c r="E104" i="67" s="1"/>
  <c r="F101" i="67"/>
  <c r="O242" i="49" s="1"/>
  <c r="G242" i="49" s="1"/>
  <c r="F80" i="67"/>
  <c r="N244" i="49" l="1"/>
  <c r="E36" i="67" s="1"/>
  <c r="O243" i="49"/>
  <c r="G243" i="49" s="1"/>
  <c r="L91" i="67"/>
  <c r="E81" i="67"/>
  <c r="L100" i="67"/>
  <c r="G93" i="67"/>
  <c r="G94" i="67" s="1"/>
  <c r="L90" i="67"/>
  <c r="L93" i="67" s="1"/>
  <c r="O236" i="49"/>
  <c r="F25" i="67" s="1"/>
  <c r="G236" i="49"/>
  <c r="G237" i="49" s="1"/>
  <c r="L102" i="67"/>
  <c r="P243" i="49"/>
  <c r="H243" i="49" s="1"/>
  <c r="L101" i="67"/>
  <c r="P242" i="49"/>
  <c r="G244" i="49"/>
  <c r="G245" i="49" s="1"/>
  <c r="P236" i="49"/>
  <c r="G25" i="67" s="1"/>
  <c r="H234" i="49"/>
  <c r="H236" i="49" s="1"/>
  <c r="H237" i="49" s="1"/>
  <c r="G103" i="67"/>
  <c r="G104" i="67" s="1"/>
  <c r="K101" i="67"/>
  <c r="K103" i="67" s="1"/>
  <c r="F103" i="67"/>
  <c r="F104" i="67" s="1"/>
  <c r="O244" i="49" l="1"/>
  <c r="F36" i="67" s="1"/>
  <c r="F81" i="67"/>
  <c r="G71" i="67"/>
  <c r="G81" i="67"/>
  <c r="L103" i="67"/>
  <c r="H242" i="49"/>
  <c r="H244" i="49" s="1"/>
  <c r="H245" i="49" s="1"/>
  <c r="P244" i="49"/>
  <c r="G36" i="67" s="1"/>
</calcChain>
</file>

<file path=xl/sharedStrings.xml><?xml version="1.0" encoding="utf-8"?>
<sst xmlns="http://schemas.openxmlformats.org/spreadsheetml/2006/main" count="7038" uniqueCount="338">
  <si>
    <t>Description</t>
  </si>
  <si>
    <t>Color codes</t>
  </si>
  <si>
    <t>Client :</t>
  </si>
  <si>
    <t>OCP Africa</t>
  </si>
  <si>
    <t>abc</t>
  </si>
  <si>
    <t>From external source</t>
  </si>
  <si>
    <t>Données</t>
  </si>
  <si>
    <t>Description :</t>
  </si>
  <si>
    <t>Calculs</t>
  </si>
  <si>
    <t>Projected</t>
  </si>
  <si>
    <t>P205 Forecasted Consumption</t>
  </si>
  <si>
    <t xml:space="preserve">Range </t>
  </si>
  <si>
    <t>CAGR 21-25</t>
  </si>
  <si>
    <t>TOTAL P205</t>
  </si>
  <si>
    <t xml:space="preserve">kt </t>
  </si>
  <si>
    <t>Baseline</t>
  </si>
  <si>
    <t>P205 consumption - Baseline</t>
  </si>
  <si>
    <t>eqDAP/ TSP</t>
  </si>
  <si>
    <t>RAR</t>
  </si>
  <si>
    <t>P205/ TSP, kt</t>
  </si>
  <si>
    <t>CAGR 17-20</t>
  </si>
  <si>
    <t>Harvested areas</t>
  </si>
  <si>
    <t>Overview</t>
  </si>
  <si>
    <t>ha</t>
  </si>
  <si>
    <t>Hypothesis</t>
  </si>
  <si>
    <t>from FAOSTAT</t>
  </si>
  <si>
    <t xml:space="preserve">CAGR 17-21 </t>
  </si>
  <si>
    <t>CAGR 20-21</t>
  </si>
  <si>
    <t>Retained CAGR 21-25</t>
  </si>
  <si>
    <t>Supporting Programs (if applicable)</t>
  </si>
  <si>
    <t>Source 1</t>
  </si>
  <si>
    <t>Source 2</t>
  </si>
  <si>
    <t>Staple crop</t>
  </si>
  <si>
    <t>TOTAL</t>
  </si>
  <si>
    <t xml:space="preserve">a </t>
  </si>
  <si>
    <t xml:space="preserve">Application rate - Scénario1 (Baseline) </t>
  </si>
  <si>
    <t>P205, kg/ha</t>
  </si>
  <si>
    <t>Projected with retained CAGR</t>
  </si>
  <si>
    <t>average has to be 1</t>
  </si>
  <si>
    <t>Deflator rate (to be applied while fine tuning model)</t>
  </si>
  <si>
    <t>Imported P205 nutrient</t>
  </si>
  <si>
    <t>P205/ TSP, kg/ha</t>
  </si>
  <si>
    <t>Crop - undifferentiated</t>
  </si>
  <si>
    <t>eq. DAP/ TSP</t>
  </si>
  <si>
    <t>Source</t>
  </si>
  <si>
    <t>FAOSTAT</t>
  </si>
  <si>
    <t>b</t>
  </si>
  <si>
    <t xml:space="preserve">Ramp up </t>
  </si>
  <si>
    <t>P205 kg/ha</t>
  </si>
  <si>
    <t>Projected with OCP RAR</t>
  </si>
  <si>
    <t>Crop type</t>
  </si>
  <si>
    <t>Crop category</t>
  </si>
  <si>
    <t>Application potential</t>
  </si>
  <si>
    <t>Target 2025</t>
  </si>
  <si>
    <t>Potential fulfillment curve</t>
  </si>
  <si>
    <t>Adjusted RAR</t>
  </si>
  <si>
    <t>Comments</t>
  </si>
  <si>
    <t xml:space="preserve">DRAFT - HYOTHESES </t>
  </si>
  <si>
    <t>Millet</t>
  </si>
  <si>
    <t>Linear</t>
  </si>
  <si>
    <t>Leguminous</t>
  </si>
  <si>
    <t>Exponential</t>
  </si>
  <si>
    <t>Sorghum</t>
  </si>
  <si>
    <t>Food safety priority crop</t>
  </si>
  <si>
    <t>Others</t>
  </si>
  <si>
    <t>Gardening crop</t>
  </si>
  <si>
    <t>Rice</t>
  </si>
  <si>
    <t>Maize</t>
  </si>
  <si>
    <t>Tubercules</t>
  </si>
  <si>
    <t>Recommended Application rates</t>
  </si>
  <si>
    <t>check deflator applied in P-potential model</t>
  </si>
  <si>
    <t>Deflator - structurel au marché (to be adjusted)</t>
  </si>
  <si>
    <t>Textile plant</t>
  </si>
  <si>
    <t>OCP - Amadou Gouzaye</t>
  </si>
  <si>
    <t>Agroproductivity index, P-potential model (to be adjusted)</t>
  </si>
  <si>
    <t>²</t>
  </si>
  <si>
    <t>P205 captured</t>
  </si>
  <si>
    <t>In kt P205</t>
  </si>
  <si>
    <t>Rationale</t>
  </si>
  <si>
    <t>FROM P-POTENTIAL MODEL</t>
  </si>
  <si>
    <t>In kg of P2O5</t>
  </si>
  <si>
    <t>Average in kg of P2O5</t>
  </si>
  <si>
    <t xml:space="preserve">Leguminous </t>
  </si>
  <si>
    <t>Cacao, Coffee</t>
  </si>
  <si>
    <t>Wheat</t>
  </si>
  <si>
    <t xml:space="preserve">Fonio </t>
  </si>
  <si>
    <t xml:space="preserve">Plante textile </t>
  </si>
  <si>
    <t xml:space="preserve">Coton </t>
  </si>
  <si>
    <t>Culture maraichere</t>
  </si>
  <si>
    <t>Column Labels</t>
  </si>
  <si>
    <t>Row Labels</t>
  </si>
  <si>
    <t>Grand Total</t>
  </si>
  <si>
    <t>https://www.fao.org/faostat/en/#data/EF</t>
  </si>
  <si>
    <t>Domain Code</t>
  </si>
  <si>
    <t>Domain</t>
  </si>
  <si>
    <t>Area Code (M49)</t>
  </si>
  <si>
    <t>Area</t>
  </si>
  <si>
    <t>Element Code</t>
  </si>
  <si>
    <t>Element</t>
  </si>
  <si>
    <t>Item Code</t>
  </si>
  <si>
    <t>Item</t>
  </si>
  <si>
    <t>Year Code</t>
  </si>
  <si>
    <t>Year</t>
  </si>
  <si>
    <t>Unit</t>
  </si>
  <si>
    <t>Value</t>
  </si>
  <si>
    <t>Flag</t>
  </si>
  <si>
    <t>Flag Description</t>
  </si>
  <si>
    <t>EF</t>
  </si>
  <si>
    <t>Fertilizers indicators</t>
  </si>
  <si>
    <t>5159</t>
  </si>
  <si>
    <t>Use per area of cropland</t>
  </si>
  <si>
    <t>3103</t>
  </si>
  <si>
    <t>Nutrient phosphate P2O5 (total)</t>
  </si>
  <si>
    <t>2017</t>
  </si>
  <si>
    <t>kg/ha</t>
  </si>
  <si>
    <t>E</t>
  </si>
  <si>
    <t>Estimated value</t>
  </si>
  <si>
    <t>2018</t>
  </si>
  <si>
    <t>2019</t>
  </si>
  <si>
    <t>2020</t>
  </si>
  <si>
    <t>HarvestedAreas</t>
  </si>
  <si>
    <t>Sum of Value</t>
  </si>
  <si>
    <t>Cow peas, dry</t>
  </si>
  <si>
    <t>Sesame seed</t>
  </si>
  <si>
    <t>Okra</t>
  </si>
  <si>
    <t>Onions and shallots, dry (excluding dehydrated)</t>
  </si>
  <si>
    <t>Cabbages</t>
  </si>
  <si>
    <t>Tomatoes</t>
  </si>
  <si>
    <t>Other vegetables, fresh n.e.c.</t>
  </si>
  <si>
    <t>Maize (corn)</t>
  </si>
  <si>
    <t>Potatoes</t>
  </si>
  <si>
    <t>Sweet potatoes</t>
  </si>
  <si>
    <t>Watermelons</t>
  </si>
  <si>
    <t>Carrots and turnips</t>
  </si>
  <si>
    <t>Chillies and peppers, dry (Capsicum spp., Pimenta spp.), raw</t>
  </si>
  <si>
    <t>Cantaloupes and other melons</t>
  </si>
  <si>
    <t>Eggplants (aubergines)</t>
  </si>
  <si>
    <t>Cucumbers and gherkins</t>
  </si>
  <si>
    <t>https://www.fao.org/faostat/fr/#data/QCL</t>
  </si>
  <si>
    <t>Item Code (CPC)</t>
  </si>
  <si>
    <t>QCL</t>
  </si>
  <si>
    <t>Crops and livestock products</t>
  </si>
  <si>
    <t>Area harvested</t>
  </si>
  <si>
    <t>A</t>
  </si>
  <si>
    <t>Official figure</t>
  </si>
  <si>
    <t>I</t>
  </si>
  <si>
    <t>Imputed value</t>
  </si>
  <si>
    <t>01701</t>
  </si>
  <si>
    <t>Beans, dry</t>
  </si>
  <si>
    <t>01212</t>
  </si>
  <si>
    <t>01229</t>
  </si>
  <si>
    <t>01251</t>
  </si>
  <si>
    <t>01520.01</t>
  </si>
  <si>
    <t>Cassava, fresh</t>
  </si>
  <si>
    <t>01703</t>
  </si>
  <si>
    <t>Chick peas, dry</t>
  </si>
  <si>
    <t>01652</t>
  </si>
  <si>
    <t>01231</t>
  </si>
  <si>
    <t>Chillies and peppers, green (Capsicum spp. and Pimenta spp.)</t>
  </si>
  <si>
    <t>01706</t>
  </si>
  <si>
    <t>01232</t>
  </si>
  <si>
    <t>01314</t>
  </si>
  <si>
    <t>Dates</t>
  </si>
  <si>
    <t>01233</t>
  </si>
  <si>
    <t>01252</t>
  </si>
  <si>
    <t>Green garlic</t>
  </si>
  <si>
    <t>0142</t>
  </si>
  <si>
    <t>Groundnuts, excluding shelled</t>
  </si>
  <si>
    <t>T</t>
  </si>
  <si>
    <t>Unofficial figure</t>
  </si>
  <si>
    <t>0112</t>
  </si>
  <si>
    <t>01316</t>
  </si>
  <si>
    <t>Mangoes, guavas and mangosteens</t>
  </si>
  <si>
    <t>0118</t>
  </si>
  <si>
    <t>01239.01</t>
  </si>
  <si>
    <t>01253.02</t>
  </si>
  <si>
    <t>01253.01</t>
  </si>
  <si>
    <t>Onions and shallots, green</t>
  </si>
  <si>
    <t>M</t>
  </si>
  <si>
    <t>Missing value (data cannot exist, not applicable)</t>
  </si>
  <si>
    <t>01241.90</t>
  </si>
  <si>
    <t>Other beans, green</t>
  </si>
  <si>
    <t>01359.90</t>
  </si>
  <si>
    <t>Other fruits, n.e.c.</t>
  </si>
  <si>
    <t>01449.90</t>
  </si>
  <si>
    <t>Other oil seeds, n.e.c.</t>
  </si>
  <si>
    <t>01709.90</t>
  </si>
  <si>
    <t>Other pulses n.e.c.</t>
  </si>
  <si>
    <t>01290.90</t>
  </si>
  <si>
    <t>01242</t>
  </si>
  <si>
    <t>Peas, green</t>
  </si>
  <si>
    <t>01510</t>
  </si>
  <si>
    <t>01235</t>
  </si>
  <si>
    <t>Pumpkins, squash and gourds</t>
  </si>
  <si>
    <t>0113</t>
  </si>
  <si>
    <t>01921.01</t>
  </si>
  <si>
    <t>Seed cotton, unginned</t>
  </si>
  <si>
    <t>01444</t>
  </si>
  <si>
    <t>0114</t>
  </si>
  <si>
    <t>01802</t>
  </si>
  <si>
    <t>Sugar cane</t>
  </si>
  <si>
    <t>01530</t>
  </si>
  <si>
    <t>01234</t>
  </si>
  <si>
    <t>01221</t>
  </si>
  <si>
    <t>0111</t>
  </si>
  <si>
    <t>Sudan P205</t>
  </si>
  <si>
    <t>Sudan</t>
  </si>
  <si>
    <t>01312</t>
  </si>
  <si>
    <t>Bananas</t>
  </si>
  <si>
    <t>Yield</t>
  </si>
  <si>
    <t>hg/ha</t>
  </si>
  <si>
    <t>0115</t>
  </si>
  <si>
    <t>Barley</t>
  </si>
  <si>
    <t>01702</t>
  </si>
  <si>
    <t>Broad beans and horse beans, dry</t>
  </si>
  <si>
    <t>01447</t>
  </si>
  <si>
    <t>Castor oil seeds</t>
  </si>
  <si>
    <t>01213</t>
  </si>
  <si>
    <t>Cauliflowers and broccoli</t>
  </si>
  <si>
    <t>01322</t>
  </si>
  <si>
    <t>Lemons and limes</t>
  </si>
  <si>
    <t>01449.01</t>
  </si>
  <si>
    <t>Melonseed</t>
  </si>
  <si>
    <t>01323</t>
  </si>
  <si>
    <t>Oranges</t>
  </si>
  <si>
    <t>01318</t>
  </si>
  <si>
    <t>Pineapples</t>
  </si>
  <si>
    <t>01321</t>
  </si>
  <si>
    <t>Pomelos and grapefruits</t>
  </si>
  <si>
    <t>01445</t>
  </si>
  <si>
    <t>Sunflower seed</t>
  </si>
  <si>
    <t>01324</t>
  </si>
  <si>
    <t>Tangerines, mandarins, clementines</t>
  </si>
  <si>
    <t>01540</t>
  </si>
  <si>
    <t>Yams</t>
  </si>
  <si>
    <t>African Development Bank "Emergency Wheat Production Project"</t>
  </si>
  <si>
    <t>Pulses</t>
  </si>
  <si>
    <t>Cash crop / Has been supported by previous programs</t>
  </si>
  <si>
    <t>https://projectsportal.afdb.org/dataportal/VProject/show/P-SD-AAZ-008</t>
  </si>
  <si>
    <t>https://www.afdb.org/en/news-and-events/press-releases/sudan-african-development-bank-group-commits-nearly-74-million-boost-wheat-production-57352</t>
  </si>
  <si>
    <t>Lever 1 - Push volumes to importers to serve the open market</t>
  </si>
  <si>
    <t>Lever 3 - Go further in the value chain with direct supplies to customers</t>
  </si>
  <si>
    <t>Expert call with informal market size considered</t>
  </si>
  <si>
    <t>Agrimatco and CTC Group have 65% market shares of the open market, considering the public market to represent 25% of the total market</t>
  </si>
  <si>
    <t>Public market</t>
  </si>
  <si>
    <t>2023 - Agrimatco/CTC MS</t>
  </si>
  <si>
    <t>2024 - Agrimatco/CTC MS</t>
  </si>
  <si>
    <t>2023 - OCP MS within these 2 actors</t>
  </si>
  <si>
    <t>2024 - OCP MS within these 2 actors</t>
  </si>
  <si>
    <t>2025 - Agrimatco/CTC MS</t>
  </si>
  <si>
    <t>2025 - OCP MS within these 2 actors</t>
  </si>
  <si>
    <t>Lever 2 - Partner with development actors to support strategic crops</t>
  </si>
  <si>
    <t xml:space="preserve">Considered as strategic? </t>
  </si>
  <si>
    <t xml:space="preserve">Rationale </t>
  </si>
  <si>
    <t>No</t>
  </si>
  <si>
    <t>Yes</t>
  </si>
  <si>
    <t xml:space="preserve">For food security, with OCP supplying 33% </t>
  </si>
  <si>
    <t>MS</t>
  </si>
  <si>
    <t>Synthesis</t>
  </si>
  <si>
    <t>Total PZO5</t>
  </si>
  <si>
    <t xml:space="preserve">Grown by large farms/commercial farms? </t>
  </si>
  <si>
    <t>OCP MS</t>
  </si>
  <si>
    <t>Expert call</t>
  </si>
  <si>
    <t>Supported crop</t>
  </si>
  <si>
    <t>Domestic consumption</t>
  </si>
  <si>
    <t>Includes alfalfa</t>
  </si>
  <si>
    <t>Cash crop</t>
  </si>
  <si>
    <t>Strategic crop</t>
  </si>
  <si>
    <t>OCP Market share (%)</t>
  </si>
  <si>
    <t>OCP MS- 2024</t>
  </si>
  <si>
    <t>Alfalfa produced by foreign farms</t>
  </si>
  <si>
    <t>Big farms</t>
  </si>
  <si>
    <t>a</t>
  </si>
  <si>
    <t>Synthesis - OCP sales - per product &amp; lever</t>
  </si>
  <si>
    <t>Sales per product, lever, year</t>
  </si>
  <si>
    <t>In kt product</t>
  </si>
  <si>
    <t>In %</t>
  </si>
  <si>
    <t>DAP</t>
  </si>
  <si>
    <t>TSP, straight</t>
  </si>
  <si>
    <t>NPK</t>
  </si>
  <si>
    <t>Total</t>
  </si>
  <si>
    <t>OCP market share on products</t>
  </si>
  <si>
    <t>Demand unlocking scenario</t>
  </si>
  <si>
    <t>Synthesis - OCP sales - volume of product p. lever</t>
  </si>
  <si>
    <t>Sales per lever, year</t>
  </si>
  <si>
    <t>Demand unlocking</t>
  </si>
  <si>
    <t>c</t>
  </si>
  <si>
    <t>Synthesis - OCP product sales</t>
  </si>
  <si>
    <t>Sales per product, year</t>
  </si>
  <si>
    <t>d</t>
  </si>
  <si>
    <t>Synthesis - Non-OCP &amp; OCP sales</t>
  </si>
  <si>
    <t>Market per product, evolution kt product</t>
  </si>
  <si>
    <t>OCP market share</t>
  </si>
  <si>
    <t>Product use</t>
  </si>
  <si>
    <t>Non OCP - market mix evolution</t>
  </si>
  <si>
    <t>OCP product evolution</t>
  </si>
  <si>
    <t>TSP, straigt</t>
  </si>
  <si>
    <t>Evolution Rational</t>
  </si>
  <si>
    <t>OCP target product mix</t>
  </si>
  <si>
    <t>OCP sales in product</t>
  </si>
  <si>
    <t>% of  products</t>
  </si>
  <si>
    <t>kt products</t>
  </si>
  <si>
    <t>eqDAP/ TSP, straigt</t>
  </si>
  <si>
    <t>TOTAL products</t>
  </si>
  <si>
    <t>Non-OCP market</t>
  </si>
  <si>
    <t>P205 not captured by OCP</t>
  </si>
  <si>
    <t>Market product mix</t>
  </si>
  <si>
    <t>Other sales</t>
  </si>
  <si>
    <t>% of product</t>
  </si>
  <si>
    <t>Leguminous - Strong push of TSP to reach 75% by 2025</t>
  </si>
  <si>
    <t>Use of DAP to push towards NPK, blended in Morocco based on TSP</t>
  </si>
  <si>
    <t>Market breakdown is constant with only use of DAP</t>
  </si>
  <si>
    <t>Check</t>
  </si>
  <si>
    <t>TSP straight</t>
  </si>
  <si>
    <t>OCP Market shares</t>
  </si>
  <si>
    <t xml:space="preserve">Concentration </t>
  </si>
  <si>
    <t>TSP</t>
  </si>
  <si>
    <t>In kt P2O5</t>
  </si>
  <si>
    <t>% of total, 2022</t>
  </si>
  <si>
    <t>% of total, 2025</t>
  </si>
  <si>
    <t>Total net growth</t>
  </si>
  <si>
    <t>Share of net growth</t>
  </si>
  <si>
    <t>P205 consumption - Demand unlocking scenario</t>
  </si>
  <si>
    <t>Application rate - Demand unlocking scenario</t>
  </si>
  <si>
    <t>OCP Africa - Niger Market Projection</t>
  </si>
  <si>
    <t>Estimated total market</t>
  </si>
  <si>
    <t>P2O5 consumption - Baseline</t>
  </si>
  <si>
    <t>P2O5 market - Baseline</t>
  </si>
  <si>
    <t>product, kt</t>
  </si>
  <si>
    <t xml:space="preserve">P2O5, kt </t>
  </si>
  <si>
    <t>P2O5 market - Demand unlocking scenario</t>
  </si>
  <si>
    <t>In P2O5</t>
  </si>
  <si>
    <t>Concentration</t>
  </si>
  <si>
    <t>Incremental linked to demand unlocking</t>
  </si>
  <si>
    <t>OCP Product Sales</t>
  </si>
  <si>
    <t>% of products</t>
  </si>
  <si>
    <t>Gap to target</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</si>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</sst>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0.0_);\(#,##0.0\);0.0_);@_)"/>
    <numFmt numFmtId="167" formatCode="0.0%_);\(0.0%\)"/>
    <numFmt numFmtId="168" formatCode="dd\-mmm\-yy_)"/>
    <numFmt numFmtId="169" formatCode=";;;"/>
    <numFmt numFmtId="170" formatCode="#,##0_);\(#,##0\);0_);@_)"/>
    <numFmt numFmtId="171" formatCode="#.##0;\-#.##0;\-"/>
    <numFmt numFmtId="172" formatCode="#,##0.00_);\(#,##0.00\);0.00_);@_)"/>
    <numFmt numFmtId="173" formatCode="########0.00"/>
    <numFmt numFmtId="174" formatCode="0%_);\(0%\)"/>
    <numFmt numFmtId="175" formatCode="0.0"/>
    <numFmt numFmtId="176" formatCode="0%;\ \(0%\);\-"/>
    <numFmt numFmtId="177" formatCode="0;\(0\);\-"/>
    <numFmt numFmtId="178" formatCode="0.0;\(0.0\);\-"/>
    <numFmt numFmtId="179" formatCode="0.000"/>
  </numFmts>
  <fonts count="59" x14ac:knownFonts="1">
    <font>
      <sz val="10"/>
      <name val="Arial"/>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1"/>
      <color theme="1"/>
      <name val="Trebuchet MS"/>
      <family val="2"/>
      <scheme val="minor"/>
    </font>
    <font>
      <sz val="10"/>
      <color indexed="12"/>
      <name val="Arial"/>
      <family val="2"/>
    </font>
    <font>
      <sz val="8"/>
      <name val="Arial"/>
      <family val="2"/>
    </font>
    <font>
      <b/>
      <sz val="18"/>
      <color theme="3"/>
      <name val="Trebuchet MS"/>
      <family val="2"/>
      <scheme val="major"/>
    </font>
    <font>
      <b/>
      <sz val="15"/>
      <color theme="3"/>
      <name val="Arial"/>
      <family val="2"/>
    </font>
    <font>
      <b/>
      <sz val="13"/>
      <color theme="3"/>
      <name val="Arial"/>
      <family val="2"/>
    </font>
    <font>
      <b/>
      <sz val="11"/>
      <color theme="3"/>
      <name val="Arial"/>
      <family val="2"/>
    </font>
    <font>
      <sz val="16"/>
      <color rgb="FF006100"/>
      <name val="Arial"/>
      <family val="2"/>
    </font>
    <font>
      <sz val="16"/>
      <color rgb="FF9C0006"/>
      <name val="Arial"/>
      <family val="2"/>
    </font>
    <font>
      <sz val="16"/>
      <color rgb="FF9C6500"/>
      <name val="Arial"/>
      <family val="2"/>
    </font>
    <font>
      <b/>
      <sz val="16"/>
      <color rgb="FF3F3F3F"/>
      <name val="Arial"/>
      <family val="2"/>
    </font>
    <font>
      <b/>
      <sz val="16"/>
      <color rgb="FFFA7D00"/>
      <name val="Arial"/>
      <family val="2"/>
    </font>
    <font>
      <sz val="16"/>
      <color rgb="FFFA7D00"/>
      <name val="Arial"/>
      <family val="2"/>
    </font>
    <font>
      <b/>
      <sz val="16"/>
      <color theme="0"/>
      <name val="Arial"/>
      <family val="2"/>
    </font>
    <font>
      <sz val="16"/>
      <color rgb="FFFF0000"/>
      <name val="Arial"/>
      <family val="2"/>
    </font>
    <font>
      <sz val="10"/>
      <name val="Arial"/>
      <family val="2"/>
    </font>
    <font>
      <i/>
      <sz val="16"/>
      <color rgb="FF7F7F7F"/>
      <name val="Arial"/>
      <family val="2"/>
    </font>
    <font>
      <b/>
      <sz val="16"/>
      <color theme="1"/>
      <name val="Arial"/>
      <family val="2"/>
    </font>
    <font>
      <sz val="16"/>
      <color theme="0"/>
      <name val="Arial"/>
      <family val="2"/>
    </font>
    <font>
      <sz val="16"/>
      <color theme="1"/>
      <name val="Arial"/>
      <family val="2"/>
    </font>
    <font>
      <sz val="10"/>
      <color rgb="FF0000FF"/>
      <name val="Arial"/>
      <family val="2"/>
    </font>
    <font>
      <sz val="10"/>
      <name val="Arial"/>
      <family val="2"/>
    </font>
    <font>
      <b/>
      <sz val="10"/>
      <color indexed="9"/>
      <name val="Arial"/>
      <family val="2"/>
    </font>
    <font>
      <b/>
      <sz val="18"/>
      <color indexed="9"/>
      <name val="Arial"/>
      <family val="2"/>
    </font>
    <font>
      <b/>
      <sz val="12"/>
      <color rgb="FF006600"/>
      <name val="Arial"/>
      <family val="2"/>
    </font>
    <font>
      <b/>
      <sz val="8"/>
      <name val="Arial"/>
      <family val="2"/>
    </font>
    <font>
      <b/>
      <sz val="10"/>
      <color theme="3"/>
      <name val="Arial"/>
      <family val="2"/>
    </font>
    <font>
      <sz val="10"/>
      <color theme="3"/>
      <name val="Arial"/>
      <family val="2"/>
    </font>
    <font>
      <b/>
      <sz val="12"/>
      <color theme="3"/>
      <name val="Arial"/>
      <family val="2"/>
    </font>
    <font>
      <b/>
      <sz val="12"/>
      <color theme="0"/>
      <name val="Arial"/>
      <family val="2"/>
    </font>
    <font>
      <sz val="11"/>
      <name val="Trebuchet MS"/>
      <family val="2"/>
      <scheme val="minor"/>
    </font>
    <font>
      <b/>
      <sz val="10"/>
      <color theme="0"/>
      <name val="Arial"/>
      <family val="2"/>
    </font>
    <font>
      <b/>
      <sz val="10"/>
      <name val="Arial"/>
      <family val="2"/>
    </font>
    <font>
      <u/>
      <sz val="10"/>
      <color theme="10"/>
      <name val="Arial"/>
      <family val="2"/>
    </font>
    <font>
      <sz val="11"/>
      <color indexed="8"/>
      <name val="Trebuchet MS"/>
      <family val="2"/>
      <scheme val="minor"/>
    </font>
    <font>
      <sz val="10"/>
      <color theme="1"/>
      <name val="Arial"/>
      <family val="2"/>
    </font>
    <font>
      <sz val="8"/>
      <name val="Arial"/>
      <family val="2"/>
    </font>
    <font>
      <b/>
      <sz val="10"/>
      <color rgb="FF0000FF"/>
      <name val="Arial"/>
      <family val="2"/>
    </font>
    <font>
      <b/>
      <sz val="10"/>
      <color theme="1"/>
      <name val="Arial"/>
      <family val="2"/>
    </font>
    <font>
      <sz val="10"/>
      <color theme="0"/>
      <name val="Arial"/>
      <family val="2"/>
    </font>
    <font>
      <sz val="12"/>
      <name val="Arial"/>
      <family val="2"/>
    </font>
    <font>
      <sz val="12"/>
      <color theme="1"/>
      <name val="Trebuchet MS"/>
      <family val="2"/>
      <scheme val="minor"/>
    </font>
    <font>
      <i/>
      <sz val="10"/>
      <name val="Arial"/>
      <family val="2"/>
    </font>
    <font>
      <sz val="10"/>
      <color theme="9" tint="0.79998168889431442"/>
      <name val="Arial"/>
      <family val="2"/>
    </font>
    <font>
      <b/>
      <i/>
      <sz val="10"/>
      <name val="Arial"/>
      <family val="2"/>
    </font>
    <font>
      <i/>
      <sz val="10"/>
      <color theme="0" tint="-0.499984740745262"/>
      <name val="Arial"/>
      <family val="2"/>
    </font>
    <font>
      <u/>
      <sz val="10"/>
      <color theme="10"/>
      <name val="Arial"/>
      <family val="2"/>
    </font>
    <font>
      <i/>
      <sz val="10"/>
      <color theme="0"/>
      <name val="Arial"/>
      <family val="2"/>
    </font>
    <font>
      <b/>
      <i/>
      <sz val="10"/>
      <color theme="9"/>
      <name val="Arial"/>
      <family val="2"/>
    </font>
    <font>
      <sz val="12"/>
      <color indexed="0"/>
      <name val="Arial"/>
      <family val="2"/>
    </font>
    <font>
      <i/>
      <sz val="10"/>
      <color rgb="FF0000FF"/>
      <name val="Arial"/>
      <family val="2"/>
    </font>
    <font>
      <b/>
      <sz val="12"/>
      <color theme="9"/>
      <name val="Arial"/>
      <family val="2"/>
    </font>
  </fonts>
  <fills count="49">
    <fill>
      <patternFill patternType="none"/>
    </fill>
    <fill>
      <patternFill patternType="gray125"/>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FFFFCC"/>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4"/>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0000FF"/>
        <bgColor indexed="64"/>
      </patternFill>
    </fill>
    <fill>
      <patternFill patternType="solid">
        <fgColor theme="9" tint="0.79998168889431442"/>
        <bgColor indexed="64"/>
      </patternFill>
    </fill>
    <fill>
      <patternFill patternType="solid">
        <fgColor theme="4" tint="0.89999084444715716"/>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0" tint="-0.499984740745262"/>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top style="medium">
        <color theme="9"/>
      </top>
      <bottom/>
      <diagonal/>
    </border>
    <border>
      <left/>
      <right/>
      <top style="medium">
        <color theme="9"/>
      </top>
      <bottom style="thin">
        <color indexed="64"/>
      </bottom>
      <diagonal/>
    </border>
    <border>
      <left style="medium">
        <color theme="9"/>
      </left>
      <right/>
      <top/>
      <bottom/>
      <diagonal/>
    </border>
    <border>
      <left style="medium">
        <color theme="9"/>
      </left>
      <right/>
      <top/>
      <bottom style="medium">
        <color theme="9"/>
      </bottom>
      <diagonal/>
    </border>
    <border>
      <left/>
      <right/>
      <top/>
      <bottom style="medium">
        <color theme="9"/>
      </bottom>
      <diagonal/>
    </border>
    <border>
      <left/>
      <right style="thin">
        <color indexed="64"/>
      </right>
      <top style="medium">
        <color theme="9"/>
      </top>
      <bottom style="thin">
        <color indexed="64"/>
      </bottom>
      <diagonal/>
    </border>
    <border>
      <left/>
      <right style="thin">
        <color indexed="64"/>
      </right>
      <top/>
      <bottom/>
      <diagonal/>
    </border>
    <border>
      <left/>
      <right style="thin">
        <color indexed="64"/>
      </right>
      <top/>
      <bottom style="medium">
        <color theme="9"/>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72">
    <xf numFmtId="0" fontId="0" fillId="0" borderId="0"/>
    <xf numFmtId="166" fontId="8" fillId="2" borderId="1" applyNumberFormat="0" applyAlignment="0" applyProtection="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5" applyNumberFormat="0" applyAlignment="0" applyProtection="0"/>
    <xf numFmtId="0" fontId="18" fillId="6" borderId="6" applyNumberFormat="0" applyAlignment="0" applyProtection="0"/>
    <xf numFmtId="0" fontId="19" fillId="0" borderId="7" applyNumberFormat="0" applyFill="0" applyAlignment="0" applyProtection="0"/>
    <xf numFmtId="0" fontId="20" fillId="7" borderId="8" applyNumberFormat="0" applyAlignment="0" applyProtection="0"/>
    <xf numFmtId="0" fontId="21" fillId="0" borderId="0" applyNumberFormat="0" applyFill="0" applyBorder="0" applyAlignment="0" applyProtection="0"/>
    <xf numFmtId="0" fontId="22" fillId="8" borderId="9" applyNumberFormat="0" applyFont="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5" fillId="32" borderId="0" applyNumberFormat="0" applyBorder="0" applyAlignment="0" applyProtection="0"/>
    <xf numFmtId="167" fontId="27" fillId="33" borderId="1" applyNumberFormat="0" applyFill="0" applyBorder="0" applyAlignment="0" applyProtection="0"/>
    <xf numFmtId="168" fontId="22" fillId="0" borderId="0" applyFont="0" applyFill="0" applyBorder="0" applyAlignment="0" applyProtection="0"/>
    <xf numFmtId="169" fontId="22" fillId="0" borderId="0"/>
    <xf numFmtId="43" fontId="28" fillId="0" borderId="0" applyFont="0" applyFill="0" applyBorder="0" applyAlignment="0" applyProtection="0"/>
    <xf numFmtId="41" fontId="28" fillId="0" borderId="0" applyFont="0" applyFill="0" applyBorder="0" applyAlignment="0" applyProtection="0"/>
    <xf numFmtId="165" fontId="28" fillId="0" borderId="0" applyFont="0" applyFill="0" applyBorder="0" applyAlignment="0" applyProtection="0"/>
    <xf numFmtId="164" fontId="28" fillId="0" borderId="0" applyFont="0" applyFill="0" applyBorder="0" applyAlignment="0" applyProtection="0"/>
    <xf numFmtId="167" fontId="22" fillId="0" borderId="0" applyFont="0" applyFill="0" applyBorder="0" applyAlignment="0" applyProtection="0"/>
    <xf numFmtId="166" fontId="27" fillId="34" borderId="1" applyNumberFormat="0" applyAlignment="0" applyProtection="0"/>
    <xf numFmtId="166" fontId="22" fillId="37" borderId="0"/>
    <xf numFmtId="166" fontId="22" fillId="0" borderId="0"/>
    <xf numFmtId="166" fontId="22" fillId="0" borderId="0"/>
    <xf numFmtId="0" fontId="37" fillId="0" borderId="0"/>
    <xf numFmtId="0" fontId="7" fillId="0" borderId="0"/>
    <xf numFmtId="0" fontId="6" fillId="0" borderId="0"/>
    <xf numFmtId="0" fontId="37" fillId="0" borderId="0"/>
    <xf numFmtId="0" fontId="40" fillId="0" borderId="0" applyNumberFormat="0" applyFill="0" applyBorder="0" applyAlignment="0" applyProtection="0"/>
    <xf numFmtId="0" fontId="5" fillId="0" borderId="0"/>
    <xf numFmtId="9" fontId="5" fillId="0" borderId="0" applyFont="0" applyFill="0" applyBorder="0" applyAlignment="0" applyProtection="0"/>
    <xf numFmtId="0" fontId="41"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22" fillId="0" borderId="0"/>
    <xf numFmtId="0" fontId="48" fillId="0" borderId="0"/>
    <xf numFmtId="0" fontId="48" fillId="0" borderId="0"/>
    <xf numFmtId="0" fontId="2" fillId="0" borderId="0"/>
    <xf numFmtId="0" fontId="53" fillId="0" borderId="0" applyNumberFormat="0" applyFill="0" applyBorder="0" applyAlignment="0" applyProtection="0"/>
    <xf numFmtId="0" fontId="56" fillId="0" borderId="0">
      <alignment vertical="top"/>
      <protection locked="0"/>
    </xf>
  </cellStyleXfs>
  <cellXfs count="343">
    <xf numFmtId="0" fontId="0" fillId="0" borderId="0" xfId="0"/>
    <xf numFmtId="166" fontId="22" fillId="0" borderId="0" xfId="0" applyNumberFormat="1" applyFont="1"/>
    <xf numFmtId="166" fontId="0" fillId="0" borderId="0" xfId="0" applyNumberFormat="1"/>
    <xf numFmtId="166" fontId="27" fillId="0" borderId="0" xfId="42" applyNumberFormat="1" applyFill="1" applyBorder="1" applyAlignment="1">
      <alignment horizontal="center"/>
    </xf>
    <xf numFmtId="166" fontId="0" fillId="0" borderId="0" xfId="0" applyNumberFormat="1" applyAlignment="1">
      <alignment horizontal="center"/>
    </xf>
    <xf numFmtId="0" fontId="30" fillId="35" borderId="0" xfId="0" applyFont="1" applyFill="1" applyAlignment="1">
      <alignment horizontal="left" vertical="center"/>
    </xf>
    <xf numFmtId="0" fontId="29" fillId="35" borderId="0" xfId="0" applyFont="1" applyFill="1" applyAlignment="1">
      <alignment horizontal="right" vertical="center"/>
    </xf>
    <xf numFmtId="166" fontId="0" fillId="35" borderId="0" xfId="0" applyNumberFormat="1" applyFill="1"/>
    <xf numFmtId="0" fontId="11" fillId="36" borderId="0" xfId="0" applyFont="1" applyFill="1" applyAlignment="1">
      <alignment horizontal="left" vertical="center"/>
    </xf>
    <xf numFmtId="0" fontId="33" fillId="36" borderId="0" xfId="0" applyFont="1" applyFill="1" applyAlignment="1">
      <alignment horizontal="right" vertical="center"/>
    </xf>
    <xf numFmtId="166" fontId="33" fillId="36" borderId="0" xfId="0" applyNumberFormat="1" applyFont="1" applyFill="1" applyAlignment="1">
      <alignment horizontal="right"/>
    </xf>
    <xf numFmtId="166" fontId="34" fillId="36" borderId="0" xfId="0" applyNumberFormat="1" applyFont="1" applyFill="1"/>
    <xf numFmtId="166" fontId="35" fillId="0" borderId="11" xfId="0" applyNumberFormat="1" applyFont="1" applyBorder="1"/>
    <xf numFmtId="166" fontId="22" fillId="0" borderId="12" xfId="0" applyNumberFormat="1" applyFont="1" applyBorder="1"/>
    <xf numFmtId="166" fontId="0" fillId="0" borderId="12" xfId="0" applyNumberFormat="1" applyBorder="1"/>
    <xf numFmtId="166" fontId="0" fillId="0" borderId="13" xfId="0" applyNumberFormat="1" applyBorder="1"/>
    <xf numFmtId="166" fontId="22" fillId="0" borderId="14" xfId="0" applyNumberFormat="1" applyFont="1" applyBorder="1"/>
    <xf numFmtId="166" fontId="0" fillId="0" borderId="15" xfId="0" applyNumberFormat="1" applyBorder="1"/>
    <xf numFmtId="166" fontId="22" fillId="0" borderId="16" xfId="0" applyNumberFormat="1" applyFont="1" applyBorder="1"/>
    <xf numFmtId="166" fontId="22" fillId="0" borderId="17" xfId="0" applyNumberFormat="1" applyFont="1" applyBorder="1"/>
    <xf numFmtId="166" fontId="0" fillId="0" borderId="17" xfId="0" applyNumberFormat="1" applyBorder="1"/>
    <xf numFmtId="166" fontId="0" fillId="0" borderId="18" xfId="0" applyNumberFormat="1" applyBorder="1"/>
    <xf numFmtId="166" fontId="31" fillId="0" borderId="12" xfId="0" applyNumberFormat="1" applyFont="1" applyBorder="1"/>
    <xf numFmtId="166" fontId="0" fillId="0" borderId="14" xfId="0" applyNumberFormat="1" applyBorder="1"/>
    <xf numFmtId="166" fontId="0" fillId="0" borderId="16" xfId="0" applyNumberFormat="1" applyBorder="1"/>
    <xf numFmtId="0" fontId="29" fillId="35" borderId="19" xfId="0" applyFont="1" applyFill="1" applyBorder="1" applyAlignment="1">
      <alignment horizontal="right" vertical="center"/>
    </xf>
    <xf numFmtId="0" fontId="32" fillId="35" borderId="19" xfId="0" applyFont="1" applyFill="1" applyBorder="1" applyAlignment="1">
      <alignment horizontal="left" vertical="center"/>
    </xf>
    <xf numFmtId="0" fontId="9" fillId="35" borderId="19" xfId="52" applyNumberFormat="1" applyFont="1" applyFill="1" applyBorder="1" applyAlignment="1">
      <alignment horizontal="left" vertical="center"/>
    </xf>
    <xf numFmtId="166" fontId="35" fillId="0" borderId="0" xfId="0" applyNumberFormat="1" applyFont="1"/>
    <xf numFmtId="0" fontId="36" fillId="36" borderId="0" xfId="0" applyFont="1" applyFill="1" applyAlignment="1">
      <alignment horizontal="center"/>
    </xf>
    <xf numFmtId="166" fontId="38" fillId="36" borderId="0" xfId="0" applyNumberFormat="1" applyFont="1" applyFill="1"/>
    <xf numFmtId="170" fontId="0" fillId="0" borderId="0" xfId="0" applyNumberFormat="1"/>
    <xf numFmtId="166" fontId="38" fillId="38" borderId="0" xfId="0" applyNumberFormat="1" applyFont="1" applyFill="1"/>
    <xf numFmtId="166" fontId="39" fillId="39" borderId="0" xfId="0" applyNumberFormat="1" applyFont="1" applyFill="1"/>
    <xf numFmtId="0" fontId="38" fillId="36" borderId="0" xfId="0" applyFont="1" applyFill="1" applyAlignment="1">
      <alignment horizontal="center"/>
    </xf>
    <xf numFmtId="166" fontId="38" fillId="35" borderId="0" xfId="0" applyNumberFormat="1" applyFont="1" applyFill="1"/>
    <xf numFmtId="166" fontId="39" fillId="35" borderId="0" xfId="0" applyNumberFormat="1" applyFont="1" applyFill="1"/>
    <xf numFmtId="171" fontId="0" fillId="0" borderId="0" xfId="0" applyNumberFormat="1"/>
    <xf numFmtId="166" fontId="38" fillId="41" borderId="0" xfId="0" applyNumberFormat="1" applyFont="1" applyFill="1"/>
    <xf numFmtId="166" fontId="46" fillId="41" borderId="0" xfId="0" applyNumberFormat="1" applyFont="1" applyFill="1"/>
    <xf numFmtId="170" fontId="45" fillId="35" borderId="0" xfId="0" applyNumberFormat="1" applyFont="1" applyFill="1"/>
    <xf numFmtId="166" fontId="0" fillId="0" borderId="0" xfId="0" applyNumberFormat="1" applyAlignment="1">
      <alignment horizontal="left"/>
    </xf>
    <xf numFmtId="166" fontId="22" fillId="0" borderId="0" xfId="0" applyNumberFormat="1" applyFont="1" applyAlignment="1">
      <alignment horizontal="left"/>
    </xf>
    <xf numFmtId="170" fontId="0" fillId="0" borderId="0" xfId="0" applyNumberFormat="1" applyAlignment="1">
      <alignment horizontal="left"/>
    </xf>
    <xf numFmtId="166" fontId="38" fillId="36" borderId="0" xfId="0" applyNumberFormat="1" applyFont="1" applyFill="1" applyAlignment="1">
      <alignment horizontal="left"/>
    </xf>
    <xf numFmtId="0" fontId="38" fillId="36" borderId="0" xfId="0" applyFont="1" applyFill="1" applyAlignment="1">
      <alignment horizontal="left"/>
    </xf>
    <xf numFmtId="0" fontId="0" fillId="0" borderId="0" xfId="0" applyAlignment="1">
      <alignment horizontal="left"/>
    </xf>
    <xf numFmtId="166" fontId="46" fillId="35" borderId="0" xfId="0" applyNumberFormat="1" applyFont="1" applyFill="1"/>
    <xf numFmtId="166" fontId="38" fillId="35" borderId="0" xfId="0" applyNumberFormat="1" applyFont="1" applyFill="1" applyAlignment="1">
      <alignment horizontal="center"/>
    </xf>
    <xf numFmtId="166" fontId="46" fillId="35" borderId="0" xfId="0" applyNumberFormat="1" applyFont="1" applyFill="1" applyAlignment="1">
      <alignment horizontal="left"/>
    </xf>
    <xf numFmtId="0" fontId="38" fillId="35" borderId="0" xfId="0" applyFont="1" applyFill="1" applyAlignment="1">
      <alignment horizontal="left"/>
    </xf>
    <xf numFmtId="0" fontId="36" fillId="35" borderId="0" xfId="0" applyFont="1" applyFill="1" applyAlignment="1">
      <alignment horizontal="center"/>
    </xf>
    <xf numFmtId="166" fontId="35" fillId="35" borderId="0" xfId="0" applyNumberFormat="1" applyFont="1" applyFill="1"/>
    <xf numFmtId="171" fontId="0" fillId="35" borderId="0" xfId="0" applyNumberFormat="1" applyFill="1"/>
    <xf numFmtId="170" fontId="45" fillId="35" borderId="0" xfId="0" applyNumberFormat="1" applyFont="1" applyFill="1" applyAlignment="1">
      <alignment horizontal="left"/>
    </xf>
    <xf numFmtId="0" fontId="39" fillId="35" borderId="0" xfId="0" applyFont="1" applyFill="1" applyAlignment="1">
      <alignment horizontal="left"/>
    </xf>
    <xf numFmtId="166" fontId="42" fillId="35" borderId="0" xfId="0" applyNumberFormat="1" applyFont="1" applyFill="1" applyAlignment="1">
      <alignment horizontal="left"/>
    </xf>
    <xf numFmtId="0" fontId="0" fillId="0" borderId="0" xfId="0" applyAlignment="1" applyProtection="1">
      <alignment vertical="top"/>
      <protection locked="0"/>
    </xf>
    <xf numFmtId="173" fontId="0" fillId="0" borderId="0" xfId="0" applyNumberFormat="1" applyAlignment="1" applyProtection="1">
      <alignment vertical="top"/>
      <protection locked="0"/>
    </xf>
    <xf numFmtId="166" fontId="22" fillId="35" borderId="0" xfId="0" applyNumberFormat="1" applyFont="1" applyFill="1"/>
    <xf numFmtId="0" fontId="22" fillId="0" borderId="0" xfId="0" applyFont="1" applyAlignment="1" applyProtection="1">
      <alignment vertical="top"/>
      <protection locked="0"/>
    </xf>
    <xf numFmtId="0" fontId="0" fillId="0" borderId="0" xfId="0" pivotButton="1"/>
    <xf numFmtId="3" fontId="0" fillId="0" borderId="0" xfId="0" applyNumberFormat="1"/>
    <xf numFmtId="170" fontId="22" fillId="0" borderId="0" xfId="0" applyNumberFormat="1" applyFont="1" applyAlignment="1">
      <alignment horizontal="left"/>
    </xf>
    <xf numFmtId="170" fontId="46" fillId="35" borderId="0" xfId="0" applyNumberFormat="1" applyFont="1" applyFill="1"/>
    <xf numFmtId="0" fontId="47" fillId="35" borderId="0" xfId="0" applyFont="1" applyFill="1" applyAlignment="1" applyProtection="1">
      <alignment vertical="top"/>
      <protection locked="0"/>
    </xf>
    <xf numFmtId="10" fontId="0" fillId="0" borderId="0" xfId="0" applyNumberFormat="1"/>
    <xf numFmtId="2" fontId="0" fillId="0" borderId="0" xfId="49" applyNumberFormat="1" applyFont="1"/>
    <xf numFmtId="0" fontId="2" fillId="0" borderId="0" xfId="69"/>
    <xf numFmtId="0" fontId="2" fillId="0" borderId="0" xfId="69" applyAlignment="1">
      <alignment horizontal="left"/>
    </xf>
    <xf numFmtId="1" fontId="2" fillId="0" borderId="0" xfId="69" applyNumberFormat="1" applyAlignment="1">
      <alignment horizontal="left"/>
    </xf>
    <xf numFmtId="171" fontId="0" fillId="35" borderId="0" xfId="0" applyNumberFormat="1" applyFill="1" applyAlignment="1">
      <alignment horizontal="center"/>
    </xf>
    <xf numFmtId="171" fontId="22" fillId="35" borderId="0" xfId="0" applyNumberFormat="1" applyFont="1" applyFill="1"/>
    <xf numFmtId="1" fontId="0" fillId="35" borderId="0" xfId="0" applyNumberFormat="1" applyFill="1"/>
    <xf numFmtId="1" fontId="2" fillId="0" borderId="0" xfId="69" applyNumberFormat="1" applyAlignment="1">
      <alignment horizontal="center"/>
    </xf>
    <xf numFmtId="1" fontId="0" fillId="0" borderId="0" xfId="0" applyNumberFormat="1" applyAlignment="1">
      <alignment horizontal="center"/>
    </xf>
    <xf numFmtId="1" fontId="0" fillId="35" borderId="0" xfId="0" applyNumberFormat="1" applyFill="1" applyAlignment="1">
      <alignment horizontal="center"/>
    </xf>
    <xf numFmtId="2" fontId="22" fillId="0" borderId="0" xfId="0" applyNumberFormat="1" applyFont="1"/>
    <xf numFmtId="2" fontId="0" fillId="0" borderId="0" xfId="0" applyNumberFormat="1"/>
    <xf numFmtId="174" fontId="0" fillId="0" borderId="0" xfId="49" applyNumberFormat="1" applyFont="1"/>
    <xf numFmtId="166" fontId="0" fillId="43" borderId="0" xfId="0" applyNumberFormat="1" applyFill="1"/>
    <xf numFmtId="166" fontId="50" fillId="35" borderId="17" xfId="0" applyNumberFormat="1" applyFont="1" applyFill="1" applyBorder="1"/>
    <xf numFmtId="166" fontId="0" fillId="44" borderId="0" xfId="0" applyNumberFormat="1" applyFill="1"/>
    <xf numFmtId="166" fontId="22" fillId="44" borderId="21" xfId="0" applyNumberFormat="1" applyFont="1" applyFill="1" applyBorder="1"/>
    <xf numFmtId="167" fontId="22" fillId="0" borderId="0" xfId="49" applyFont="1"/>
    <xf numFmtId="167" fontId="44" fillId="35" borderId="0" xfId="49" applyFont="1" applyFill="1" applyAlignment="1">
      <alignment horizontal="left"/>
    </xf>
    <xf numFmtId="170" fontId="0" fillId="35" borderId="0" xfId="0" applyNumberFormat="1" applyFill="1" applyAlignment="1">
      <alignment horizontal="left"/>
    </xf>
    <xf numFmtId="166" fontId="22" fillId="44" borderId="0" xfId="0" applyNumberFormat="1" applyFont="1" applyFill="1"/>
    <xf numFmtId="0" fontId="49" fillId="0" borderId="20" xfId="0" applyFont="1" applyBorder="1" applyAlignment="1">
      <alignment horizontal="left"/>
    </xf>
    <xf numFmtId="170" fontId="38" fillId="35" borderId="0" xfId="0" applyNumberFormat="1" applyFont="1" applyFill="1"/>
    <xf numFmtId="1" fontId="46" fillId="35" borderId="0" xfId="0" applyNumberFormat="1" applyFont="1" applyFill="1"/>
    <xf numFmtId="1" fontId="46" fillId="35" borderId="0" xfId="49" applyNumberFormat="1" applyFont="1" applyFill="1"/>
    <xf numFmtId="167" fontId="38" fillId="35" borderId="0" xfId="49" applyFont="1" applyFill="1" applyAlignment="1">
      <alignment horizontal="left"/>
    </xf>
    <xf numFmtId="166" fontId="44" fillId="35" borderId="0" xfId="0" applyNumberFormat="1" applyFont="1" applyFill="1"/>
    <xf numFmtId="0" fontId="52" fillId="0" borderId="0" xfId="0" applyFont="1" applyAlignment="1">
      <alignment horizontal="left"/>
    </xf>
    <xf numFmtId="166" fontId="52" fillId="0" borderId="0" xfId="0" applyNumberFormat="1" applyFont="1"/>
    <xf numFmtId="166" fontId="52" fillId="0" borderId="24" xfId="0" applyNumberFormat="1" applyFont="1" applyBorder="1"/>
    <xf numFmtId="0" fontId="38" fillId="41" borderId="0" xfId="0" applyFont="1" applyFill="1" applyAlignment="1">
      <alignment horizontal="left"/>
    </xf>
    <xf numFmtId="0" fontId="1" fillId="0" borderId="0" xfId="69" applyFont="1" applyAlignment="1">
      <alignment horizontal="left"/>
    </xf>
    <xf numFmtId="0" fontId="22" fillId="0" borderId="0" xfId="0" applyFont="1"/>
    <xf numFmtId="166" fontId="0" fillId="42" borderId="23" xfId="0" applyNumberFormat="1" applyFill="1" applyBorder="1"/>
    <xf numFmtId="166" fontId="0" fillId="40" borderId="0" xfId="0" applyNumberFormat="1" applyFill="1"/>
    <xf numFmtId="166" fontId="0" fillId="40" borderId="23" xfId="0" applyNumberFormat="1" applyFill="1" applyBorder="1"/>
    <xf numFmtId="2" fontId="0" fillId="0" borderId="0" xfId="0" applyNumberFormat="1" applyAlignment="1">
      <alignment horizontal="center" vertical="center"/>
    </xf>
    <xf numFmtId="2" fontId="0" fillId="43" borderId="0" xfId="0" applyNumberFormat="1" applyFill="1" applyAlignment="1">
      <alignment horizontal="center" vertical="center"/>
    </xf>
    <xf numFmtId="2" fontId="0" fillId="0" borderId="21" xfId="0" applyNumberFormat="1" applyBorder="1" applyAlignment="1">
      <alignment horizontal="center" vertical="center"/>
    </xf>
    <xf numFmtId="2" fontId="0" fillId="43" borderId="21" xfId="0" applyNumberFormat="1" applyFill="1" applyBorder="1" applyAlignment="1">
      <alignment horizontal="center" vertical="center"/>
    </xf>
    <xf numFmtId="2" fontId="51" fillId="0" borderId="22" xfId="0" applyNumberFormat="1" applyFont="1" applyBorder="1" applyAlignment="1">
      <alignment horizontal="center" vertical="center"/>
    </xf>
    <xf numFmtId="2" fontId="51" fillId="43" borderId="22" xfId="0" applyNumberFormat="1" applyFont="1" applyFill="1" applyBorder="1" applyAlignment="1">
      <alignment horizontal="center" vertical="center"/>
    </xf>
    <xf numFmtId="175" fontId="0" fillId="43" borderId="0" xfId="0" applyNumberFormat="1" applyFill="1" applyAlignment="1">
      <alignment horizontal="center" vertical="center"/>
    </xf>
    <xf numFmtId="2" fontId="51" fillId="43" borderId="21" xfId="0" applyNumberFormat="1" applyFont="1" applyFill="1" applyBorder="1" applyAlignment="1">
      <alignment horizontal="center" vertical="center"/>
    </xf>
    <xf numFmtId="170" fontId="0" fillId="43" borderId="0" xfId="0" applyNumberFormat="1" applyFill="1" applyAlignment="1">
      <alignment horizontal="center" vertical="center"/>
    </xf>
    <xf numFmtId="170" fontId="0" fillId="43" borderId="21" xfId="0" applyNumberFormat="1" applyFill="1" applyBorder="1" applyAlignment="1">
      <alignment horizontal="center" vertical="center"/>
    </xf>
    <xf numFmtId="167" fontId="45" fillId="35" borderId="0" xfId="49" applyFont="1" applyFill="1" applyAlignment="1">
      <alignment horizontal="center" vertical="center"/>
    </xf>
    <xf numFmtId="167" fontId="45" fillId="35" borderId="21" xfId="49" applyFont="1" applyFill="1" applyBorder="1" applyAlignment="1">
      <alignment horizontal="center" vertical="center"/>
    </xf>
    <xf numFmtId="172" fontId="0" fillId="43" borderId="0" xfId="0" applyNumberFormat="1" applyFill="1" applyAlignment="1">
      <alignment horizontal="center" vertical="center"/>
    </xf>
    <xf numFmtId="174" fontId="45" fillId="35" borderId="0" xfId="49" applyNumberFormat="1" applyFont="1" applyFill="1" applyAlignment="1">
      <alignment horizontal="center" vertical="center"/>
    </xf>
    <xf numFmtId="9" fontId="45" fillId="35" borderId="0" xfId="49" applyNumberFormat="1" applyFont="1" applyFill="1" applyAlignment="1">
      <alignment horizontal="center" vertical="center"/>
    </xf>
    <xf numFmtId="0" fontId="38" fillId="36" borderId="0" xfId="0" applyFont="1" applyFill="1" applyAlignment="1">
      <alignment horizontal="center" vertical="center"/>
    </xf>
    <xf numFmtId="172" fontId="0" fillId="0" borderId="20" xfId="0" applyNumberFormat="1" applyBorder="1" applyAlignment="1">
      <alignment horizontal="center" vertical="center"/>
    </xf>
    <xf numFmtId="2" fontId="22" fillId="0" borderId="0" xfId="0" applyNumberFormat="1" applyFont="1" applyAlignment="1">
      <alignment horizontal="center" vertical="center"/>
    </xf>
    <xf numFmtId="2" fontId="0" fillId="0" borderId="0" xfId="49" applyNumberFormat="1" applyFont="1" applyAlignment="1">
      <alignment horizontal="center" vertical="center"/>
    </xf>
    <xf numFmtId="166" fontId="0" fillId="0" borderId="0" xfId="0" applyNumberFormat="1" applyAlignment="1">
      <alignment horizontal="center" vertical="center"/>
    </xf>
    <xf numFmtId="166" fontId="27" fillId="0" borderId="0" xfId="0" applyNumberFormat="1" applyFont="1" applyAlignment="1">
      <alignment horizontal="center" vertical="center"/>
    </xf>
    <xf numFmtId="166" fontId="39" fillId="40" borderId="0" xfId="0" applyNumberFormat="1" applyFont="1" applyFill="1" applyAlignment="1">
      <alignment horizontal="center" vertical="center"/>
    </xf>
    <xf numFmtId="166" fontId="0" fillId="0" borderId="23" xfId="0" applyNumberFormat="1" applyBorder="1" applyAlignment="1">
      <alignment vertical="center"/>
    </xf>
    <xf numFmtId="166" fontId="0" fillId="43" borderId="23" xfId="0" applyNumberFormat="1" applyFill="1" applyBorder="1" applyAlignment="1">
      <alignment vertical="center"/>
    </xf>
    <xf numFmtId="166" fontId="46" fillId="41" borderId="0" xfId="0" applyNumberFormat="1" applyFont="1" applyFill="1" applyAlignment="1">
      <alignment horizontal="center" vertical="center"/>
    </xf>
    <xf numFmtId="167" fontId="45" fillId="43" borderId="21" xfId="49" applyFont="1" applyFill="1" applyBorder="1" applyAlignment="1">
      <alignment horizontal="center" vertical="center"/>
    </xf>
    <xf numFmtId="0" fontId="53" fillId="35" borderId="19" xfId="70" applyNumberFormat="1" applyFill="1" applyBorder="1" applyAlignment="1">
      <alignment horizontal="left" vertical="center"/>
    </xf>
    <xf numFmtId="2" fontId="0" fillId="35" borderId="0" xfId="0" applyNumberFormat="1" applyFill="1" applyAlignment="1">
      <alignment horizontal="center" vertical="center"/>
    </xf>
    <xf numFmtId="166" fontId="0" fillId="45" borderId="0" xfId="0" applyNumberFormat="1" applyFill="1"/>
    <xf numFmtId="166" fontId="49" fillId="44" borderId="23" xfId="0" applyNumberFormat="1" applyFont="1" applyFill="1" applyBorder="1"/>
    <xf numFmtId="166" fontId="22" fillId="0" borderId="25" xfId="0" applyNumberFormat="1" applyFont="1" applyBorder="1"/>
    <xf numFmtId="175" fontId="0" fillId="35" borderId="0" xfId="0" applyNumberFormat="1" applyFill="1" applyAlignment="1">
      <alignment horizontal="center" vertical="center"/>
    </xf>
    <xf numFmtId="2" fontId="0" fillId="35" borderId="21" xfId="0" applyNumberFormat="1" applyFill="1" applyBorder="1" applyAlignment="1">
      <alignment horizontal="center" vertical="center"/>
    </xf>
    <xf numFmtId="2" fontId="51" fillId="35" borderId="23" xfId="0" applyNumberFormat="1" applyFont="1" applyFill="1" applyBorder="1" applyAlignment="1">
      <alignment horizontal="center" vertical="center"/>
    </xf>
    <xf numFmtId="166" fontId="22" fillId="0" borderId="25" xfId="0" applyNumberFormat="1" applyFont="1" applyBorder="1" applyAlignment="1">
      <alignment horizontal="centerContinuous"/>
    </xf>
    <xf numFmtId="166" fontId="0" fillId="0" borderId="27" xfId="0" applyNumberFormat="1" applyBorder="1" applyAlignment="1">
      <alignment horizontal="centerContinuous"/>
    </xf>
    <xf numFmtId="166" fontId="0" fillId="0" borderId="26" xfId="0" applyNumberFormat="1" applyBorder="1" applyAlignment="1">
      <alignment horizontal="centerContinuous"/>
    </xf>
    <xf numFmtId="166" fontId="22" fillId="0" borderId="27" xfId="0" applyNumberFormat="1" applyFont="1" applyBorder="1" applyAlignment="1">
      <alignment horizontal="center"/>
    </xf>
    <xf numFmtId="167" fontId="39" fillId="35" borderId="1" xfId="49" applyFont="1" applyFill="1" applyBorder="1"/>
    <xf numFmtId="166" fontId="0" fillId="35" borderId="0" xfId="0" applyNumberFormat="1" applyFill="1" applyAlignment="1">
      <alignment horizontal="left"/>
    </xf>
    <xf numFmtId="167" fontId="53" fillId="35" borderId="0" xfId="70" applyNumberFormat="1" applyFill="1" applyAlignment="1">
      <alignment horizontal="left"/>
    </xf>
    <xf numFmtId="166" fontId="22" fillId="34" borderId="0" xfId="50" applyNumberFormat="1" applyFont="1" applyBorder="1" applyAlignment="1">
      <alignment horizontal="center"/>
    </xf>
    <xf numFmtId="2" fontId="22" fillId="35" borderId="0" xfId="49" applyNumberFormat="1" applyFont="1" applyFill="1" applyAlignment="1">
      <alignment horizontal="center" vertical="center"/>
    </xf>
    <xf numFmtId="167" fontId="44" fillId="46" borderId="0" xfId="49" applyFont="1" applyFill="1" applyAlignment="1">
      <alignment horizontal="left"/>
    </xf>
    <xf numFmtId="172" fontId="0" fillId="46" borderId="0" xfId="0" applyNumberFormat="1" applyFill="1" applyAlignment="1">
      <alignment horizontal="center" vertical="center"/>
    </xf>
    <xf numFmtId="2" fontId="22" fillId="46" borderId="0" xfId="49" applyNumberFormat="1" applyFont="1" applyFill="1" applyAlignment="1">
      <alignment horizontal="center" vertical="center"/>
    </xf>
    <xf numFmtId="174" fontId="42" fillId="35" borderId="0" xfId="49" applyNumberFormat="1" applyFont="1" applyFill="1" applyAlignment="1">
      <alignment horizontal="center" vertical="center"/>
    </xf>
    <xf numFmtId="174" fontId="42" fillId="35" borderId="20" xfId="49" applyNumberFormat="1" applyFont="1" applyFill="1" applyBorder="1" applyAlignment="1">
      <alignment horizontal="center" vertical="center"/>
    </xf>
    <xf numFmtId="174" fontId="45" fillId="35" borderId="20" xfId="49" applyNumberFormat="1" applyFont="1" applyFill="1" applyBorder="1" applyAlignment="1">
      <alignment horizontal="center" vertical="center"/>
    </xf>
    <xf numFmtId="167" fontId="44" fillId="42" borderId="0" xfId="49" applyFont="1" applyFill="1" applyAlignment="1">
      <alignment horizontal="left"/>
    </xf>
    <xf numFmtId="166" fontId="0" fillId="0" borderId="28" xfId="0" applyNumberFormat="1" applyBorder="1"/>
    <xf numFmtId="166" fontId="0" fillId="0" borderId="29" xfId="0" applyNumberFormat="1" applyBorder="1"/>
    <xf numFmtId="166" fontId="46" fillId="47" borderId="30" xfId="0" applyNumberFormat="1" applyFont="1" applyFill="1" applyBorder="1"/>
    <xf numFmtId="166" fontId="52" fillId="40" borderId="0" xfId="0" applyNumberFormat="1" applyFont="1" applyFill="1"/>
    <xf numFmtId="170" fontId="0" fillId="35" borderId="0" xfId="0" applyNumberFormat="1" applyFill="1"/>
    <xf numFmtId="166" fontId="54" fillId="47" borderId="31" xfId="0" applyNumberFormat="1" applyFont="1" applyFill="1" applyBorder="1"/>
    <xf numFmtId="166" fontId="52" fillId="40" borderId="32" xfId="0" applyNumberFormat="1" applyFont="1" applyFill="1" applyBorder="1"/>
    <xf numFmtId="170" fontId="0" fillId="35" borderId="34" xfId="0" applyNumberFormat="1" applyFill="1" applyBorder="1"/>
    <xf numFmtId="166" fontId="55" fillId="0" borderId="1" xfId="0" applyNumberFormat="1" applyFont="1" applyBorder="1"/>
    <xf numFmtId="174" fontId="0" fillId="0" borderId="34" xfId="49" applyNumberFormat="1" applyFont="1" applyBorder="1"/>
    <xf numFmtId="174" fontId="0" fillId="0" borderId="37" xfId="49" applyNumberFormat="1" applyFont="1" applyBorder="1"/>
    <xf numFmtId="166" fontId="0" fillId="0" borderId="38" xfId="0" applyNumberFormat="1" applyBorder="1"/>
    <xf numFmtId="166" fontId="0" fillId="0" borderId="36" xfId="0" applyNumberFormat="1" applyBorder="1"/>
    <xf numFmtId="174" fontId="57" fillId="40" borderId="0" xfId="49" applyNumberFormat="1" applyFont="1" applyFill="1"/>
    <xf numFmtId="166" fontId="49" fillId="46" borderId="0" xfId="0" applyNumberFormat="1" applyFont="1" applyFill="1"/>
    <xf numFmtId="166" fontId="0" fillId="44" borderId="0" xfId="0" applyNumberFormat="1" applyFill="1" applyBorder="1"/>
    <xf numFmtId="167" fontId="44" fillId="43" borderId="0" xfId="49" applyFont="1" applyFill="1" applyBorder="1" applyAlignment="1">
      <alignment horizontal="center" vertical="center"/>
    </xf>
    <xf numFmtId="166" fontId="0" fillId="0" borderId="0" xfId="0" applyNumberFormat="1" applyFill="1"/>
    <xf numFmtId="170" fontId="0" fillId="0" borderId="0" xfId="0" applyNumberFormat="1" applyFill="1" applyAlignment="1">
      <alignment horizontal="center" vertical="center"/>
    </xf>
    <xf numFmtId="170" fontId="0" fillId="0" borderId="21" xfId="0" applyNumberFormat="1" applyFill="1" applyBorder="1" applyAlignment="1">
      <alignment horizontal="center" vertical="center"/>
    </xf>
    <xf numFmtId="175" fontId="0" fillId="35" borderId="0" xfId="0" applyNumberFormat="1" applyFill="1" applyBorder="1" applyAlignment="1">
      <alignment horizontal="center" vertical="center"/>
    </xf>
    <xf numFmtId="175" fontId="0" fillId="43" borderId="0" xfId="0" applyNumberFormat="1" applyFill="1" applyBorder="1" applyAlignment="1">
      <alignment horizontal="center" vertical="center"/>
    </xf>
    <xf numFmtId="174" fontId="42" fillId="35" borderId="0" xfId="49" applyNumberFormat="1" applyFont="1" applyFill="1" applyBorder="1" applyAlignment="1">
      <alignment horizontal="center" vertical="center"/>
    </xf>
    <xf numFmtId="174" fontId="45" fillId="35" borderId="27" xfId="49" applyNumberFormat="1" applyFont="1" applyFill="1" applyBorder="1" applyAlignment="1">
      <alignment horizontal="center" vertical="center"/>
    </xf>
    <xf numFmtId="2" fontId="0" fillId="35" borderId="0" xfId="0" applyNumberFormat="1" applyFill="1" applyBorder="1" applyAlignment="1">
      <alignment horizontal="center" vertical="center"/>
    </xf>
    <xf numFmtId="2" fontId="0" fillId="43" borderId="0" xfId="0" applyNumberFormat="1" applyFill="1" applyBorder="1" applyAlignment="1">
      <alignment horizontal="center" vertical="center"/>
    </xf>
    <xf numFmtId="166" fontId="0" fillId="39" borderId="0" xfId="0" applyNumberFormat="1" applyFill="1"/>
    <xf numFmtId="0" fontId="46" fillId="41" borderId="0" xfId="0" applyNumberFormat="1" applyFont="1" applyFill="1" applyAlignment="1">
      <alignment horizontal="center" vertical="center"/>
    </xf>
    <xf numFmtId="167" fontId="0" fillId="0" borderId="0" xfId="49" applyFont="1"/>
    <xf numFmtId="174" fontId="22" fillId="37" borderId="0" xfId="49" applyNumberFormat="1" applyFont="1" applyFill="1"/>
    <xf numFmtId="170" fontId="22" fillId="0" borderId="0" xfId="0" applyNumberFormat="1" applyFont="1"/>
    <xf numFmtId="170" fontId="22" fillId="37" borderId="0" xfId="0" applyNumberFormat="1" applyFont="1" applyFill="1"/>
    <xf numFmtId="167" fontId="0" fillId="37" borderId="0" xfId="49" applyFont="1" applyFill="1"/>
    <xf numFmtId="176" fontId="0" fillId="0" borderId="0" xfId="49" applyNumberFormat="1" applyFont="1"/>
    <xf numFmtId="0" fontId="11" fillId="0" borderId="0" xfId="0" applyFont="1" applyFill="1" applyAlignment="1">
      <alignment horizontal="left" vertical="center"/>
    </xf>
    <xf numFmtId="0" fontId="33" fillId="0" borderId="0" xfId="0" applyFont="1" applyFill="1" applyAlignment="1">
      <alignment horizontal="right" vertical="center"/>
    </xf>
    <xf numFmtId="166" fontId="33" fillId="0" borderId="0" xfId="0" applyNumberFormat="1" applyFont="1" applyFill="1" applyAlignment="1">
      <alignment horizontal="right"/>
    </xf>
    <xf numFmtId="166" fontId="34" fillId="0" borderId="0" xfId="0" applyNumberFormat="1" applyFont="1" applyFill="1"/>
    <xf numFmtId="166" fontId="22" fillId="0" borderId="0" xfId="0" applyNumberFormat="1" applyFont="1" applyFill="1"/>
    <xf numFmtId="166" fontId="0" fillId="0" borderId="0" xfId="0" applyNumberFormat="1" applyFill="1" applyBorder="1"/>
    <xf numFmtId="166" fontId="0" fillId="0" borderId="0" xfId="0" applyNumberFormat="1" applyFill="1" applyBorder="1" applyAlignment="1">
      <alignment vertical="center"/>
    </xf>
    <xf numFmtId="166" fontId="39" fillId="0" borderId="0" xfId="0" applyNumberFormat="1" applyFont="1" applyFill="1" applyAlignment="1">
      <alignment horizontal="right"/>
    </xf>
    <xf numFmtId="166" fontId="47" fillId="0" borderId="0" xfId="0" applyNumberFormat="1" applyFont="1"/>
    <xf numFmtId="166" fontId="0" fillId="37" borderId="0" xfId="0" applyNumberFormat="1" applyFill="1"/>
    <xf numFmtId="167" fontId="22" fillId="37" borderId="0" xfId="49" applyFont="1" applyFill="1"/>
    <xf numFmtId="2" fontId="22" fillId="43" borderId="0" xfId="49" applyNumberFormat="1" applyFont="1" applyFill="1" applyAlignment="1">
      <alignment horizontal="center" vertical="center"/>
    </xf>
    <xf numFmtId="166" fontId="49" fillId="0" borderId="0" xfId="0" applyNumberFormat="1" applyFont="1" applyFill="1" applyBorder="1"/>
    <xf numFmtId="166" fontId="49" fillId="0" borderId="0" xfId="0" applyNumberFormat="1" applyFont="1" applyBorder="1" applyAlignment="1">
      <alignment vertical="center"/>
    </xf>
    <xf numFmtId="166" fontId="49" fillId="0" borderId="0" xfId="0" applyNumberFormat="1" applyFont="1" applyFill="1" applyBorder="1" applyAlignment="1">
      <alignment vertical="center"/>
    </xf>
    <xf numFmtId="167" fontId="49" fillId="0" borderId="0" xfId="49" applyFont="1" applyFill="1" applyBorder="1" applyAlignment="1">
      <alignment vertical="center"/>
    </xf>
    <xf numFmtId="0" fontId="0" fillId="0" borderId="0" xfId="0" applyNumberFormat="1"/>
    <xf numFmtId="170" fontId="0" fillId="0" borderId="32" xfId="0" applyNumberFormat="1" applyFill="1" applyBorder="1"/>
    <xf numFmtId="170" fontId="0" fillId="0" borderId="35" xfId="0" applyNumberFormat="1" applyFill="1" applyBorder="1"/>
    <xf numFmtId="167" fontId="0" fillId="35" borderId="0" xfId="49" applyFont="1" applyFill="1"/>
    <xf numFmtId="0" fontId="11" fillId="35" borderId="0" xfId="0" applyFont="1" applyFill="1" applyAlignment="1">
      <alignment horizontal="left" vertical="center"/>
    </xf>
    <xf numFmtId="0" fontId="33" fillId="35" borderId="0" xfId="0" applyFont="1" applyFill="1" applyAlignment="1">
      <alignment horizontal="right" vertical="center"/>
    </xf>
    <xf numFmtId="166" fontId="33" fillId="35" borderId="0" xfId="0" applyNumberFormat="1" applyFont="1" applyFill="1" applyAlignment="1">
      <alignment horizontal="right"/>
    </xf>
    <xf numFmtId="166" fontId="34" fillId="35" borderId="0" xfId="0" applyNumberFormat="1" applyFont="1" applyFill="1"/>
    <xf numFmtId="170" fontId="39" fillId="0" borderId="0" xfId="0" applyNumberFormat="1" applyFont="1" applyAlignment="1">
      <alignment horizontal="centerContinuous"/>
    </xf>
    <xf numFmtId="166" fontId="0" fillId="0" borderId="0" xfId="0" applyNumberFormat="1" applyAlignment="1">
      <alignment horizontal="centerContinuous"/>
    </xf>
    <xf numFmtId="170" fontId="39" fillId="35" borderId="0" xfId="0" applyNumberFormat="1" applyFont="1" applyFill="1"/>
    <xf numFmtId="0" fontId="38" fillId="35" borderId="0" xfId="0" applyFont="1" applyFill="1" applyAlignment="1">
      <alignment horizontal="center"/>
    </xf>
    <xf numFmtId="167" fontId="0" fillId="35" borderId="0" xfId="49" applyFont="1" applyFill="1" applyBorder="1"/>
    <xf numFmtId="166" fontId="22" fillId="43" borderId="23" xfId="0" applyNumberFormat="1" applyFont="1" applyFill="1" applyBorder="1" applyAlignment="1">
      <alignment vertical="center"/>
    </xf>
    <xf numFmtId="167" fontId="22" fillId="43" borderId="23" xfId="49" applyFont="1" applyFill="1" applyBorder="1" applyAlignment="1">
      <alignment vertical="center"/>
    </xf>
    <xf numFmtId="167" fontId="0" fillId="35" borderId="0" xfId="49" applyFont="1" applyFill="1" applyBorder="1" applyAlignment="1">
      <alignment vertical="center"/>
    </xf>
    <xf numFmtId="166" fontId="49" fillId="0" borderId="0" xfId="0" applyNumberFormat="1" applyFont="1"/>
    <xf numFmtId="174" fontId="22" fillId="0" borderId="0" xfId="49" applyNumberFormat="1" applyFont="1"/>
    <xf numFmtId="174" fontId="22" fillId="35" borderId="0" xfId="49" applyNumberFormat="1" applyFont="1" applyFill="1" applyBorder="1"/>
    <xf numFmtId="174" fontId="0" fillId="35" borderId="0" xfId="49" applyNumberFormat="1" applyFont="1" applyFill="1" applyBorder="1"/>
    <xf numFmtId="166" fontId="49" fillId="35" borderId="0" xfId="0" applyNumberFormat="1" applyFont="1" applyFill="1"/>
    <xf numFmtId="174" fontId="22" fillId="35" borderId="0" xfId="49" applyNumberFormat="1" applyFont="1" applyFill="1"/>
    <xf numFmtId="166" fontId="34" fillId="0" borderId="0" xfId="0" applyNumberFormat="1" applyFont="1"/>
    <xf numFmtId="166" fontId="22" fillId="35" borderId="0" xfId="0" applyNumberFormat="1" applyFont="1" applyFill="1" applyAlignment="1">
      <alignment vertical="center"/>
    </xf>
    <xf numFmtId="0" fontId="36" fillId="47" borderId="0" xfId="0" applyFont="1" applyFill="1" applyAlignment="1">
      <alignment horizontal="center"/>
    </xf>
    <xf numFmtId="166" fontId="58" fillId="0" borderId="0" xfId="0" applyNumberFormat="1" applyFont="1"/>
    <xf numFmtId="166" fontId="38" fillId="47" borderId="0" xfId="0" applyNumberFormat="1" applyFont="1" applyFill="1"/>
    <xf numFmtId="174" fontId="22" fillId="0" borderId="0" xfId="49" applyNumberFormat="1" applyFont="1" applyFill="1"/>
    <xf numFmtId="166" fontId="39" fillId="42" borderId="0" xfId="0" applyNumberFormat="1" applyFont="1" applyFill="1"/>
    <xf numFmtId="166" fontId="38" fillId="48" borderId="0" xfId="0" applyNumberFormat="1" applyFont="1" applyFill="1"/>
    <xf numFmtId="0" fontId="38" fillId="48" borderId="0" xfId="0" applyFont="1" applyFill="1" applyAlignment="1">
      <alignment horizontal="center"/>
    </xf>
    <xf numFmtId="166" fontId="22" fillId="42" borderId="23" xfId="0" applyNumberFormat="1" applyFont="1" applyFill="1" applyBorder="1" applyAlignment="1">
      <alignment vertical="center"/>
    </xf>
    <xf numFmtId="166" fontId="22" fillId="35" borderId="0" xfId="0" applyNumberFormat="1" applyFont="1" applyFill="1" applyAlignment="1">
      <alignment horizontal="centerContinuous"/>
    </xf>
    <xf numFmtId="0" fontId="38" fillId="36" borderId="0" xfId="0" applyFont="1" applyFill="1" applyAlignment="1">
      <alignment horizontal="right"/>
    </xf>
    <xf numFmtId="0" fontId="46" fillId="48" borderId="0" xfId="0" applyFont="1" applyFill="1"/>
    <xf numFmtId="0" fontId="22" fillId="35" borderId="0" xfId="0" applyFont="1" applyFill="1"/>
    <xf numFmtId="166" fontId="27" fillId="0" borderId="0" xfId="0" applyNumberFormat="1" applyFont="1"/>
    <xf numFmtId="166" fontId="0" fillId="35" borderId="0" xfId="0" applyNumberFormat="1" applyFill="1" applyAlignment="1">
      <alignment vertical="center"/>
    </xf>
    <xf numFmtId="49" fontId="38" fillId="38" borderId="0" xfId="0" applyNumberFormat="1" applyFont="1" applyFill="1" applyAlignment="1">
      <alignment horizontal="left"/>
    </xf>
    <xf numFmtId="166" fontId="0" fillId="38" borderId="0" xfId="0" applyNumberFormat="1" applyFill="1" applyAlignment="1">
      <alignment horizontal="left"/>
    </xf>
    <xf numFmtId="166" fontId="0" fillId="38" borderId="0" xfId="0" applyNumberFormat="1" applyFill="1"/>
    <xf numFmtId="0" fontId="38" fillId="35" borderId="0" xfId="0" applyFont="1" applyFill="1"/>
    <xf numFmtId="0" fontId="38" fillId="35" borderId="0" xfId="0" applyFont="1" applyFill="1" applyAlignment="1">
      <alignment horizontal="right"/>
    </xf>
    <xf numFmtId="0" fontId="39" fillId="35" borderId="0" xfId="0" applyFont="1" applyFill="1"/>
    <xf numFmtId="0" fontId="38" fillId="36" borderId="0" xfId="0" applyFont="1" applyFill="1"/>
    <xf numFmtId="0" fontId="0" fillId="35" borderId="0" xfId="0" applyFill="1" applyAlignment="1">
      <alignment horizontal="center"/>
    </xf>
    <xf numFmtId="174" fontId="27" fillId="35" borderId="0" xfId="49" applyNumberFormat="1" applyFont="1" applyFill="1"/>
    <xf numFmtId="2" fontId="22" fillId="35" borderId="0" xfId="49" applyNumberFormat="1" applyFont="1" applyFill="1"/>
    <xf numFmtId="166" fontId="0" fillId="0" borderId="21" xfId="0" applyNumberFormat="1" applyBorder="1"/>
    <xf numFmtId="175" fontId="0" fillId="43" borderId="22" xfId="0" applyNumberFormat="1" applyFill="1" applyBorder="1" applyAlignment="1">
      <alignment vertical="center"/>
    </xf>
    <xf numFmtId="171" fontId="0" fillId="0" borderId="0" xfId="0" applyNumberFormat="1" applyAlignment="1">
      <alignment horizontal="center" vertical="center"/>
    </xf>
    <xf numFmtId="174" fontId="27" fillId="0" borderId="0" xfId="49" applyNumberFormat="1" applyFont="1" applyAlignment="1">
      <alignment horizontal="center" vertical="center"/>
    </xf>
    <xf numFmtId="3" fontId="0" fillId="0" borderId="0" xfId="0" applyNumberFormat="1" applyAlignment="1">
      <alignment horizontal="center" vertical="center"/>
    </xf>
    <xf numFmtId="175" fontId="0" fillId="39" borderId="22" xfId="0" applyNumberFormat="1" applyFill="1" applyBorder="1" applyAlignment="1">
      <alignment vertical="center"/>
    </xf>
    <xf numFmtId="166" fontId="0" fillId="40" borderId="0" xfId="0" applyNumberFormat="1" applyFill="1" applyAlignment="1">
      <alignment horizontal="left"/>
    </xf>
    <xf numFmtId="166" fontId="0" fillId="40" borderId="23" xfId="0" applyNumberFormat="1" applyFill="1" applyBorder="1" applyAlignment="1">
      <alignment horizontal="left"/>
    </xf>
    <xf numFmtId="175" fontId="0" fillId="0" borderId="23" xfId="0" applyNumberFormat="1" applyBorder="1" applyAlignment="1">
      <alignment horizontal="center" vertical="center"/>
    </xf>
    <xf numFmtId="175" fontId="0" fillId="43" borderId="23" xfId="0" applyNumberFormat="1" applyFill="1" applyBorder="1" applyAlignment="1">
      <alignment horizontal="center" vertical="center"/>
    </xf>
    <xf numFmtId="166" fontId="0" fillId="42" borderId="23" xfId="0" applyNumberFormat="1" applyFill="1" applyBorder="1" applyAlignment="1">
      <alignment horizontal="left"/>
    </xf>
    <xf numFmtId="0" fontId="36" fillId="47" borderId="0" xfId="0" applyFont="1" applyFill="1" applyAlignment="1">
      <alignment horizontal="left"/>
    </xf>
    <xf numFmtId="166" fontId="0" fillId="0" borderId="22" xfId="0" applyNumberFormat="1" applyBorder="1"/>
    <xf numFmtId="176" fontId="27" fillId="40" borderId="0" xfId="49" applyNumberFormat="1" applyFont="1" applyFill="1"/>
    <xf numFmtId="166" fontId="0" fillId="43" borderId="0" xfId="0" applyNumberFormat="1" applyFill="1" applyBorder="1" applyAlignment="1">
      <alignment vertical="center"/>
    </xf>
    <xf numFmtId="174" fontId="0" fillId="0" borderId="0" xfId="49" applyNumberFormat="1" applyFont="1" applyFill="1"/>
    <xf numFmtId="176" fontId="0" fillId="0" borderId="0" xfId="49" applyNumberFormat="1" applyFont="1" applyFill="1"/>
    <xf numFmtId="177" fontId="0" fillId="39" borderId="0" xfId="0" applyNumberFormat="1" applyFill="1"/>
    <xf numFmtId="176" fontId="22" fillId="35" borderId="0" xfId="49" applyNumberFormat="1" applyFont="1" applyFill="1"/>
    <xf numFmtId="178" fontId="0" fillId="43" borderId="0" xfId="0" applyNumberFormat="1" applyFill="1" applyAlignment="1">
      <alignment vertical="center"/>
    </xf>
    <xf numFmtId="178" fontId="22" fillId="35" borderId="0" xfId="49" applyNumberFormat="1" applyFont="1" applyFill="1"/>
    <xf numFmtId="174" fontId="39" fillId="0" borderId="0" xfId="49" applyNumberFormat="1" applyFont="1" applyFill="1" applyAlignment="1">
      <alignment horizontal="center" vertical="center"/>
    </xf>
    <xf numFmtId="179" fontId="0" fillId="43" borderId="0" xfId="0" applyNumberFormat="1" applyFill="1" applyAlignment="1">
      <alignment horizontal="center" vertical="center"/>
    </xf>
    <xf numFmtId="167" fontId="49" fillId="0" borderId="0" xfId="49" applyFont="1"/>
    <xf numFmtId="166" fontId="22" fillId="0" borderId="22" xfId="0" applyNumberFormat="1" applyFont="1" applyBorder="1"/>
    <xf numFmtId="166" fontId="22" fillId="0" borderId="0" xfId="0" applyNumberFormat="1" applyFont="1" applyBorder="1"/>
    <xf numFmtId="166" fontId="0" fillId="0" borderId="0" xfId="0" applyNumberFormat="1" applyBorder="1"/>
    <xf numFmtId="167" fontId="22" fillId="35" borderId="0" xfId="49" applyFont="1" applyFill="1" applyBorder="1"/>
    <xf numFmtId="167" fontId="22" fillId="35" borderId="0" xfId="49" applyFont="1" applyFill="1" applyBorder="1" applyAlignment="1">
      <alignment vertical="center"/>
    </xf>
    <xf numFmtId="172" fontId="0" fillId="0" borderId="22" xfId="0" applyNumberFormat="1" applyBorder="1"/>
    <xf numFmtId="166" fontId="0" fillId="40" borderId="0" xfId="0" applyNumberFormat="1" applyFill="1" applyBorder="1"/>
    <xf numFmtId="167" fontId="22" fillId="43" borderId="0" xfId="49" applyFont="1" applyFill="1" applyBorder="1" applyAlignment="1">
      <alignment vertical="center"/>
    </xf>
    <xf numFmtId="170" fontId="39" fillId="35" borderId="0" xfId="0" applyNumberFormat="1" applyFont="1" applyFill="1" applyAlignment="1">
      <alignment horizontal="centerContinuous"/>
    </xf>
    <xf numFmtId="166" fontId="0" fillId="35" borderId="0" xfId="0" applyNumberFormat="1" applyFill="1" applyAlignment="1">
      <alignment horizontal="centerContinuous"/>
    </xf>
    <xf numFmtId="167" fontId="22" fillId="35" borderId="0" xfId="49" applyFont="1" applyFill="1"/>
    <xf numFmtId="166" fontId="0" fillId="35" borderId="23" xfId="0" applyNumberFormat="1" applyFill="1" applyBorder="1"/>
    <xf numFmtId="166" fontId="22" fillId="35" borderId="23" xfId="0" applyNumberFormat="1" applyFont="1" applyFill="1" applyBorder="1" applyAlignment="1">
      <alignment vertical="center"/>
    </xf>
    <xf numFmtId="167" fontId="22" fillId="35" borderId="23" xfId="49" applyFont="1" applyFill="1" applyBorder="1" applyAlignment="1">
      <alignment vertical="center"/>
    </xf>
    <xf numFmtId="166" fontId="0" fillId="35" borderId="0" xfId="0" applyNumberFormat="1" applyFill="1" applyBorder="1"/>
    <xf numFmtId="166" fontId="58" fillId="35" borderId="0" xfId="0" applyNumberFormat="1" applyFont="1" applyFill="1"/>
    <xf numFmtId="0" fontId="46" fillId="35" borderId="0" xfId="0" applyFont="1" applyFill="1"/>
    <xf numFmtId="176" fontId="27" fillId="35" borderId="0" xfId="49" applyNumberFormat="1" applyFont="1" applyFill="1"/>
    <xf numFmtId="166" fontId="27" fillId="35" borderId="0" xfId="0" applyNumberFormat="1" applyFont="1" applyFill="1"/>
    <xf numFmtId="49" fontId="38" fillId="35" borderId="0" xfId="0" applyNumberFormat="1" applyFont="1" applyFill="1" applyAlignment="1">
      <alignment horizontal="left"/>
    </xf>
    <xf numFmtId="0" fontId="38" fillId="35" borderId="0" xfId="0" applyFont="1" applyFill="1" applyAlignment="1">
      <alignment horizontal="center" vertical="center"/>
    </xf>
    <xf numFmtId="178" fontId="0" fillId="35" borderId="0" xfId="0" applyNumberFormat="1" applyFill="1" applyAlignment="1">
      <alignment vertical="center"/>
    </xf>
    <xf numFmtId="166" fontId="0" fillId="35" borderId="23" xfId="0" applyNumberFormat="1" applyFill="1" applyBorder="1" applyAlignment="1">
      <alignment vertical="center"/>
    </xf>
    <xf numFmtId="166" fontId="0" fillId="35" borderId="21" xfId="0" applyNumberFormat="1" applyFill="1" applyBorder="1"/>
    <xf numFmtId="175" fontId="0" fillId="35" borderId="22" xfId="0" applyNumberFormat="1" applyFill="1" applyBorder="1" applyAlignment="1">
      <alignment vertical="center"/>
    </xf>
    <xf numFmtId="166" fontId="0" fillId="35" borderId="23" xfId="0" applyNumberFormat="1" applyFill="1" applyBorder="1" applyAlignment="1">
      <alignment horizontal="left"/>
    </xf>
    <xf numFmtId="175" fontId="0" fillId="35" borderId="23" xfId="0" applyNumberFormat="1" applyFill="1" applyBorder="1" applyAlignment="1">
      <alignment horizontal="center" vertical="center"/>
    </xf>
    <xf numFmtId="0" fontId="36" fillId="35" borderId="0" xfId="0" applyFont="1" applyFill="1" applyAlignment="1">
      <alignment horizontal="left"/>
    </xf>
    <xf numFmtId="166" fontId="0" fillId="35" borderId="22" xfId="0" applyNumberFormat="1" applyFill="1" applyBorder="1"/>
    <xf numFmtId="166" fontId="38" fillId="35" borderId="0" xfId="0" applyNumberFormat="1" applyFont="1" applyFill="1" applyBorder="1"/>
    <xf numFmtId="0" fontId="38" fillId="35" borderId="0" xfId="0" applyFont="1" applyFill="1" applyBorder="1" applyAlignment="1">
      <alignment horizontal="center"/>
    </xf>
    <xf numFmtId="166" fontId="22" fillId="35" borderId="0" xfId="0" applyNumberFormat="1" applyFont="1" applyFill="1" applyBorder="1"/>
    <xf numFmtId="166" fontId="22" fillId="35" borderId="0" xfId="0" applyNumberFormat="1" applyFont="1" applyFill="1" applyBorder="1" applyAlignment="1">
      <alignment vertical="center"/>
    </xf>
    <xf numFmtId="166" fontId="49" fillId="35" borderId="0" xfId="0" applyNumberFormat="1" applyFont="1" applyFill="1" applyBorder="1"/>
    <xf numFmtId="166" fontId="39" fillId="35" borderId="0" xfId="0" applyNumberFormat="1" applyFont="1" applyFill="1" applyBorder="1"/>
    <xf numFmtId="166" fontId="0" fillId="35" borderId="0" xfId="0" applyNumberFormat="1" applyFill="1" applyBorder="1" applyAlignment="1">
      <alignment horizontal="centerContinuous"/>
    </xf>
    <xf numFmtId="170" fontId="39" fillId="35" borderId="0" xfId="0" applyNumberFormat="1" applyFont="1" applyFill="1" applyBorder="1" applyAlignment="1">
      <alignment horizontal="centerContinuous"/>
    </xf>
    <xf numFmtId="166" fontId="35" fillId="35" borderId="0" xfId="0" applyNumberFormat="1" applyFont="1" applyFill="1" applyBorder="1"/>
    <xf numFmtId="166" fontId="34" fillId="35" borderId="0" xfId="0" applyNumberFormat="1" applyFont="1" applyFill="1" applyBorder="1"/>
    <xf numFmtId="166" fontId="22" fillId="35" borderId="0" xfId="0" applyNumberFormat="1" applyFont="1" applyFill="1" applyBorder="1" applyAlignment="1">
      <alignment horizontal="centerContinuous"/>
    </xf>
    <xf numFmtId="0" fontId="38" fillId="35" borderId="0" xfId="0" applyFont="1" applyFill="1" applyBorder="1" applyAlignment="1">
      <alignment horizontal="right"/>
    </xf>
    <xf numFmtId="166" fontId="46" fillId="35" borderId="0" xfId="0" applyNumberFormat="1" applyFont="1" applyFill="1" applyBorder="1"/>
    <xf numFmtId="176" fontId="27" fillId="35" borderId="0" xfId="49" applyNumberFormat="1" applyFont="1" applyFill="1" applyBorder="1"/>
    <xf numFmtId="166" fontId="27" fillId="35" borderId="0" xfId="0" applyNumberFormat="1" applyFont="1" applyFill="1" applyBorder="1"/>
    <xf numFmtId="166" fontId="0" fillId="35" borderId="0" xfId="0" applyNumberFormat="1" applyFill="1" applyBorder="1" applyAlignment="1">
      <alignment vertical="center"/>
    </xf>
    <xf numFmtId="49" fontId="38" fillId="35" borderId="0" xfId="0" applyNumberFormat="1" applyFont="1" applyFill="1" applyBorder="1" applyAlignment="1">
      <alignment horizontal="left"/>
    </xf>
    <xf numFmtId="166" fontId="0" fillId="35" borderId="0" xfId="0" applyNumberFormat="1" applyFill="1" applyBorder="1" applyAlignment="1">
      <alignment horizontal="left"/>
    </xf>
    <xf numFmtId="0" fontId="38" fillId="35" borderId="0" xfId="0" applyFont="1" applyFill="1" applyBorder="1" applyAlignment="1">
      <alignment horizontal="center" vertical="center"/>
    </xf>
    <xf numFmtId="0" fontId="38" fillId="35" borderId="0" xfId="0" applyFont="1" applyFill="1" applyBorder="1"/>
    <xf numFmtId="178" fontId="0" fillId="35" borderId="0" xfId="0" applyNumberFormat="1" applyFill="1" applyBorder="1" applyAlignment="1">
      <alignment vertical="center"/>
    </xf>
    <xf numFmtId="170" fontId="0" fillId="35" borderId="0" xfId="0" applyNumberFormat="1" applyFill="1" applyBorder="1"/>
    <xf numFmtId="176" fontId="22" fillId="35" borderId="0" xfId="49" applyNumberFormat="1" applyFont="1" applyFill="1" applyBorder="1"/>
    <xf numFmtId="174" fontId="27" fillId="35" borderId="0" xfId="49" applyNumberFormat="1" applyFont="1" applyFill="1" applyBorder="1"/>
    <xf numFmtId="175" fontId="0" fillId="35" borderId="0" xfId="0" applyNumberFormat="1" applyFill="1" applyBorder="1" applyAlignment="1">
      <alignment vertical="center"/>
    </xf>
    <xf numFmtId="170" fontId="22" fillId="35" borderId="0" xfId="0" applyNumberFormat="1" applyFont="1" applyFill="1" applyBorder="1"/>
    <xf numFmtId="3" fontId="0" fillId="35" borderId="0" xfId="0" applyNumberFormat="1" applyFill="1" applyBorder="1" applyAlignment="1">
      <alignment horizontal="center" vertical="center"/>
    </xf>
    <xf numFmtId="171" fontId="0" fillId="35" borderId="0" xfId="0" applyNumberFormat="1" applyFill="1" applyBorder="1" applyAlignment="1">
      <alignment horizontal="center" vertical="center"/>
    </xf>
    <xf numFmtId="174" fontId="27" fillId="35" borderId="0" xfId="49" applyNumberFormat="1" applyFont="1" applyFill="1" applyBorder="1" applyAlignment="1">
      <alignment horizontal="center" vertical="center"/>
    </xf>
    <xf numFmtId="166" fontId="39" fillId="35" borderId="0" xfId="0" applyNumberFormat="1" applyFont="1" applyFill="1" applyAlignment="1">
      <alignment horizontal="center"/>
    </xf>
    <xf numFmtId="0" fontId="38" fillId="36" borderId="0" xfId="0" applyFont="1" applyFill="1" applyAlignment="1">
      <alignment horizontal="centerContinuous"/>
    </xf>
    <xf numFmtId="174" fontId="0" fillId="35" borderId="0" xfId="49" applyNumberFormat="1" applyFont="1" applyFill="1"/>
    <xf numFmtId="166" fontId="22" fillId="0" borderId="25" xfId="0" applyNumberFormat="1" applyFont="1" applyFill="1" applyBorder="1" applyAlignment="1">
      <alignment horizontal="center"/>
    </xf>
    <xf numFmtId="166" fontId="22" fillId="0" borderId="27" xfId="0" applyNumberFormat="1" applyFont="1" applyFill="1" applyBorder="1" applyAlignment="1">
      <alignment horizontal="center"/>
    </xf>
    <xf numFmtId="166" fontId="22" fillId="0" borderId="26" xfId="0" applyNumberFormat="1" applyFont="1" applyFill="1" applyBorder="1" applyAlignment="1">
      <alignment horizontal="center"/>
    </xf>
    <xf numFmtId="166" fontId="55" fillId="0" borderId="29" xfId="0" applyNumberFormat="1" applyFont="1" applyBorder="1" applyAlignment="1">
      <alignment horizontal="center"/>
    </xf>
    <xf numFmtId="166" fontId="55" fillId="0" borderId="33" xfId="0" applyNumberFormat="1" applyFont="1" applyBorder="1" applyAlignment="1">
      <alignment horizontal="center"/>
    </xf>
    <xf numFmtId="166" fontId="49" fillId="40" borderId="0" xfId="0" applyNumberFormat="1" applyFont="1" applyFill="1" applyAlignment="1">
      <alignment horizontal="center"/>
    </xf>
    <xf numFmtId="172" fontId="22" fillId="43" borderId="23" xfId="0" applyNumberFormat="1" applyFont="1" applyFill="1" applyBorder="1" applyAlignment="1">
      <alignment vertical="center"/>
    </xf>
  </cellXfs>
  <cellStyles count="72">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Assumptions" xfId="50" xr:uid="{00000000-0005-0000-0000-000018000000}"/>
    <cellStyle name="Bad" xfId="8" builtinId="27" hidden="1"/>
    <cellStyle name="Blank" xfId="44" xr:uid="{00000000-0005-0000-0000-00001A000000}"/>
    <cellStyle name="Calculation" xfId="11" builtinId="22" hidden="1"/>
    <cellStyle name="Check Cell" xfId="13" builtinId="23" hidden="1"/>
    <cellStyle name="Comma" xfId="45" builtinId="3" hidden="1"/>
    <cellStyle name="Comma [0]" xfId="46" builtinId="6" hidden="1"/>
    <cellStyle name="Comma 2 2 2" xfId="64" xr:uid="{595C4EC5-16D5-491E-AAE1-BAC0AD8A0F32}"/>
    <cellStyle name="Comma 7" xfId="63" xr:uid="{C082EF36-3322-41A7-8935-5B2410F09ED6}"/>
    <cellStyle name="Currency" xfId="47" builtinId="4" hidden="1"/>
    <cellStyle name="Currency [0]" xfId="48" builtinId="7" hidden="1"/>
    <cellStyle name="Date" xfId="43" xr:uid="{00000000-0005-0000-0000-000021000000}"/>
    <cellStyle name="Explanatory Text" xfId="16" builtinId="53" hidden="1"/>
    <cellStyle name="Good" xfId="7" builtinId="26" hidden="1"/>
    <cellStyle name="Heading 1" xfId="3" builtinId="16" hidden="1"/>
    <cellStyle name="Heading 2" xfId="4" builtinId="17" hidden="1"/>
    <cellStyle name="Heading 3" xfId="5" builtinId="18" hidden="1"/>
    <cellStyle name="Heading 4" xfId="6" builtinId="19" hidden="1"/>
    <cellStyle name="Historical inputs" xfId="42" xr:uid="{00000000-0005-0000-0000-000028000000}"/>
    <cellStyle name="Hyperlink" xfId="70" builtinId="8"/>
    <cellStyle name="Hyperlink 2" xfId="58" xr:uid="{8D5DCA8D-5EE3-4136-98DA-9D89BF391220}"/>
    <cellStyle name="Important output" xfId="51" xr:uid="{00000000-0005-0000-0000-000029000000}"/>
    <cellStyle name="Input" xfId="1" builtinId="20" hidden="1" customBuiltin="1"/>
    <cellStyle name="Linked Cell" xfId="12" builtinId="24" hidden="1"/>
    <cellStyle name="Neutral" xfId="9" builtinId="28" hidden="1"/>
    <cellStyle name="Normal" xfId="0" builtinId="0"/>
    <cellStyle name="Normal 2" xfId="52" xr:uid="{0A3F0A62-75A9-4DAB-918D-DFBAB435CB2C}"/>
    <cellStyle name="Normal 2 2" xfId="61" xr:uid="{4050F5A3-2918-4C05-931F-E28B0ED8ABE7}"/>
    <cellStyle name="Normal 2 2 2" xfId="68" xr:uid="{04414A1E-90EB-4ADA-A1AE-0F9016BC285B}"/>
    <cellStyle name="Normal 2 3" xfId="65" xr:uid="{133C52F7-3616-4FD4-87C5-35F3F3A86A55}"/>
    <cellStyle name="Normal 2 4" xfId="71" xr:uid="{E470788E-F1A2-4755-A360-78CEB4F13A09}"/>
    <cellStyle name="Normal 3" xfId="53" xr:uid="{98A70635-4B06-4781-AAD6-921251ECA9C4}"/>
    <cellStyle name="Normal 3 2" xfId="57" xr:uid="{8A94803A-5837-47B2-90C7-16CDDF95A78B}"/>
    <cellStyle name="Normal 3 3" xfId="59" xr:uid="{263D99AA-4161-44C0-B0FE-CA448C0B3B8F}"/>
    <cellStyle name="Normal 4" xfId="54" xr:uid="{7E549C3A-7DA1-4A79-8DBA-BD78BD344796}"/>
    <cellStyle name="Normal 4 2" xfId="56" xr:uid="{EED7265A-68A8-4F5C-9E1C-954DD9081CBC}"/>
    <cellStyle name="Normal 5" xfId="55" xr:uid="{3FF89FD9-5247-49AD-96F4-C658CD717EDD}"/>
    <cellStyle name="Normal 6" xfId="67" xr:uid="{795E2629-4BCD-4A21-9395-A2FC382EB578}"/>
    <cellStyle name="Normal 7" xfId="62" xr:uid="{7AEE2B66-36F0-4937-A431-7D64ABD7F7EF}"/>
    <cellStyle name="Normal 8" xfId="66" xr:uid="{EE612A93-0777-449A-A05B-AD03C6EA7FC3}"/>
    <cellStyle name="Normal 9" xfId="69" xr:uid="{E8217428-2BAD-4063-8F7B-81BA5E6470F4}"/>
    <cellStyle name="Note" xfId="15" builtinId="10" hidden="1"/>
    <cellStyle name="Output" xfId="10" builtinId="21" hidden="1"/>
    <cellStyle name="Percent" xfId="49" builtinId="5" customBuiltin="1"/>
    <cellStyle name="Percent 2" xfId="60" xr:uid="{FB3226F9-E178-456C-81FF-99E1F5A981BE}"/>
    <cellStyle name="Title" xfId="2" builtinId="15" hidden="1"/>
    <cellStyle name="Total" xfId="17" builtinId="25" hidden="1"/>
    <cellStyle name="Warning Text" xfId="14" builtinId="11" hidden="1"/>
  </cellStyles>
  <dxfs count="4">
    <dxf>
      <numFmt numFmtId="3" formatCode="#,##0"/>
    </dxf>
    <dxf>
      <numFmt numFmtId="3" formatCode="#,##0"/>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8080"/>
      <rgbColor rgb="00FFFFFF"/>
      <rgbColor rgb="008EC6A1"/>
      <rgbColor rgb="00FFFFFF"/>
      <rgbColor rgb="00CEA09D"/>
      <rgbColor rgb="0006C245"/>
      <rgbColor rgb="00BCDEC2"/>
      <rgbColor rgb="00FFFFFF"/>
      <rgbColor rgb="005BC182"/>
      <rgbColor rgb="00E7D475"/>
      <rgbColor rgb="00B1726B"/>
      <rgbColor rgb="00BBAD87"/>
      <rgbColor rgb="00FEEC00"/>
      <rgbColor rgb="00F5C77B"/>
      <rgbColor rgb="00FFFFFF"/>
      <rgbColor rgb="00B2B2B2"/>
      <rgbColor rgb="005BAD82"/>
      <rgbColor rgb="008EC6A1"/>
      <rgbColor rgb="00BCDEC2"/>
      <rgbColor rgb="0079A2B3"/>
      <rgbColor rgb="00ACC6D0"/>
      <rgbColor rgb="00D2E0E6"/>
      <rgbColor rgb="00908052"/>
      <rgbColor rgb="00BBAD87"/>
      <rgbColor rgb="00177B57"/>
      <rgbColor rgb="003D6E81"/>
      <rgbColor rgb="00655939"/>
      <rgbColor rgb="004D4D4D"/>
      <rgbColor rgb="00CFA649"/>
      <rgbColor rgb="009C3328"/>
      <rgbColor rgb="00DC8700"/>
      <rgbColor rgb="00808080"/>
      <rgbColor rgb="00FFFFFF"/>
      <rgbColor rgb="00DC8700"/>
      <rgbColor rgb="00CFA649"/>
      <rgbColor rgb="00655939"/>
      <rgbColor rgb="009C3328"/>
      <rgbColor rgb="00177B57"/>
      <rgbColor rgb="004D4D4D"/>
      <rgbColor rgb="003D6E81"/>
      <rgbColor rgb="00E7C7C7"/>
      <rgbColor rgb="00F9DFB5"/>
      <rgbColor rgb="00D8CEB8"/>
      <rgbColor rgb="00008FC8"/>
      <rgbColor rgb="00D2E0E6"/>
      <rgbColor rgb="00ACC0D0"/>
      <rgbColor rgb="00DC6E00"/>
      <rgbColor rgb="00E2E2E2"/>
      <rgbColor rgb="00EEA632"/>
      <rgbColor rgb="00F9EFBD"/>
      <rgbColor rgb="00DCC05A"/>
      <rgbColor rgb="00908052"/>
      <rgbColor rgb="0079A2B3"/>
      <rgbColor rgb="007716B2"/>
      <rgbColor rgb="00C41300"/>
      <rgbColor rgb="00808080"/>
    </indexedColors>
    <mruColors>
      <color rgb="FF0000FF"/>
      <color rgb="FFFFFFCC"/>
      <color rgb="FFFFFF66"/>
      <color rgb="FF5BAD82"/>
      <color rgb="FFD4DF33"/>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15</xdr:row>
      <xdr:rowOff>28574</xdr:rowOff>
    </xdr:from>
    <xdr:ext cx="10210800" cy="1457326"/>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4300" y="4238624"/>
          <a:ext cx="10210800" cy="1457326"/>
        </a:xfrm>
        <a:prstGeom prst="rect">
          <a:avLst/>
        </a:prstGeom>
        <a:no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1000">
              <a:latin typeface="Arial" pitchFamily="34" charset="0"/>
              <a:cs typeface="Arial" pitchFamily="34" charset="0"/>
            </a:rPr>
            <a:t>Disclaimer:</a:t>
          </a:r>
          <a:r>
            <a:rPr lang="en-GB" sz="1000" baseline="0">
              <a:latin typeface="Arial" pitchFamily="34" charset="0"/>
              <a:cs typeface="Arial" pitchFamily="34" charset="0"/>
            </a:rPr>
            <a:t> </a:t>
          </a:r>
          <a:r>
            <a:rPr lang="en-US" sz="1000">
              <a:solidFill>
                <a:schemeClr val="tx1"/>
              </a:solidFill>
              <a:latin typeface="Arial" pitchFamily="34" charset="0"/>
              <a:ea typeface="+mn-ea"/>
              <a:cs typeface="Arial" pitchFamily="34" charset="0"/>
            </a:rPr>
            <a:t>Client is responsible for obtaining independent advice concerning these matters, which advice may affect the guidance given by BCG.  Further, BCG has made no undertaking to update these materials after the date hereof notwithstanding that such information may become outdated or inaccurate.</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To the fullest extent permitted by law (and except to the extent otherwise agreed in a signed writing by BCG), BCG shall have no liability whatsoever to any Third-Party, and any Third-Party hereby waives any rights and claims it may, have at any time against BCG with regard to the services, this presentation or other materials, including the accuracy or completeness thereof. </a:t>
          </a:r>
          <a:endParaRPr lang="de-DE" sz="1000">
            <a:solidFill>
              <a:schemeClr val="tx1"/>
            </a:solidFill>
            <a:latin typeface="Arial" pitchFamily="34" charset="0"/>
            <a:ea typeface="+mn-ea"/>
            <a:cs typeface="Arial" pitchFamily="34" charset="0"/>
          </a:endParaRPr>
        </a:p>
        <a:p>
          <a:r>
            <a:rPr lang="en-US" sz="1000">
              <a:solidFill>
                <a:schemeClr val="tx1"/>
              </a:solidFill>
              <a:latin typeface="Arial" pitchFamily="34" charset="0"/>
              <a:ea typeface="+mn-ea"/>
              <a:cs typeface="Arial" pitchFamily="34" charset="0"/>
            </a:rPr>
            <a:t>  Further, the financial evaluations, projected market and financial information, and conclusions contained in these materials are based upon standard valuation methodologies, are not definitive forecasts, and are not guaranteed by BCG. BCG has used public and/or confidential data and assumptions provided to BCG by the client which BCG has not independently verified the data and assumptions used in these analyses. Changes in the underlying data or operating assumptions will clearly impact the analyses and conclusions.</a:t>
          </a:r>
          <a:endParaRPr lang="en-GB" sz="1000">
            <a:latin typeface="Arial" pitchFamily="34" charset="0"/>
            <a:cs typeface="Arial" pitchFamily="34" charset="0"/>
          </a:endParaRPr>
        </a:p>
      </xdr:txBody>
    </xdr:sp>
    <xdr:clientData/>
  </xdr:oneCellAnchor>
  <xdr:twoCellAnchor editAs="oneCell">
    <xdr:from>
      <xdr:col>1</xdr:col>
      <xdr:colOff>0</xdr:colOff>
      <xdr:row>0</xdr:row>
      <xdr:rowOff>57150</xdr:rowOff>
    </xdr:from>
    <xdr:to>
      <xdr:col>1</xdr:col>
      <xdr:colOff>2056879</xdr:colOff>
      <xdr:row>3</xdr:row>
      <xdr:rowOff>106680</xdr:rowOff>
    </xdr:to>
    <xdr:pic>
      <xdr:nvPicPr>
        <xdr:cNvPr id="5" name="Picture 4">
          <a:extLst>
            <a:ext uri="{FF2B5EF4-FFF2-40B4-BE49-F238E27FC236}">
              <a16:creationId xmlns:a16="http://schemas.microsoft.com/office/drawing/2014/main" id="{19445CD8-873F-439C-B61E-F8989D8F4B72}"/>
            </a:ext>
          </a:extLst>
        </xdr:cNvPr>
        <xdr:cNvPicPr>
          <a:picLocks noChangeAspect="1"/>
        </xdr:cNvPicPr>
      </xdr:nvPicPr>
      <xdr:blipFill rotWithShape="1">
        <a:blip xmlns:r="http://schemas.openxmlformats.org/officeDocument/2006/relationships" r:embed="rId1"/>
        <a:srcRect t="25739" b="26749"/>
        <a:stretch/>
      </xdr:blipFill>
      <xdr:spPr>
        <a:xfrm>
          <a:off x="114300" y="57150"/>
          <a:ext cx="2056879"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989E4088-3B2F-4361-9B83-102E65ACB5AF}"/>
            </a:ext>
          </a:extLst>
        </xdr:cNvPr>
        <xdr:cNvPicPr>
          <a:picLocks noChangeAspect="1"/>
        </xdr:cNvPicPr>
      </xdr:nvPicPr>
      <xdr:blipFill rotWithShape="1">
        <a:blip xmlns:r="http://schemas.openxmlformats.org/officeDocument/2006/relationships" r:embed="rId1"/>
        <a:srcRect t="25739" b="26749"/>
        <a:stretch/>
      </xdr:blipFill>
      <xdr:spPr>
        <a:xfrm>
          <a:off x="411480" y="83820"/>
          <a:ext cx="2047354" cy="5435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F582B49C-4174-4CE5-B704-5371B5C954A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D1121564-B00E-4788-92BB-77F8A486D2C9}"/>
            </a:ext>
          </a:extLst>
        </xdr:cNvPr>
        <xdr:cNvPicPr>
          <a:picLocks noChangeAspect="1"/>
        </xdr:cNvPicPr>
      </xdr:nvPicPr>
      <xdr:blipFill rotWithShape="1">
        <a:blip xmlns:r="http://schemas.openxmlformats.org/officeDocument/2006/relationships" r:embed="rId1"/>
        <a:srcRect t="25739" b="26749"/>
        <a:stretch/>
      </xdr:blipFill>
      <xdr:spPr>
        <a:xfrm>
          <a:off x="508000" y="83820"/>
          <a:ext cx="2037829" cy="5568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A015F3D8-4775-4475-BE8C-8DAFD388C882}"/>
            </a:ext>
          </a:extLst>
        </xdr:cNvPr>
        <xdr:cNvPicPr>
          <a:picLocks noChangeAspect="1"/>
        </xdr:cNvPicPr>
      </xdr:nvPicPr>
      <xdr:blipFill rotWithShape="1">
        <a:blip xmlns:r="http://schemas.openxmlformats.org/officeDocument/2006/relationships" r:embed="rId1"/>
        <a:srcRect t="25739" b="26749"/>
        <a:stretch/>
      </xdr:blipFill>
      <xdr:spPr>
        <a:xfrm>
          <a:off x="508000" y="83820"/>
          <a:ext cx="2037829" cy="5568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0CBFA11-7C57-4FC7-B8A9-50C651F170B8}"/>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126365</xdr:rowOff>
    </xdr:to>
    <xdr:pic>
      <xdr:nvPicPr>
        <xdr:cNvPr id="2" name="Picture 1">
          <a:extLst>
            <a:ext uri="{FF2B5EF4-FFF2-40B4-BE49-F238E27FC236}">
              <a16:creationId xmlns:a16="http://schemas.microsoft.com/office/drawing/2014/main" id="{5BF76F58-29E9-4F31-A731-54A341A2C0BC}"/>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154940</xdr:rowOff>
    </xdr:to>
    <xdr:pic>
      <xdr:nvPicPr>
        <xdr:cNvPr id="2" name="Picture 1">
          <a:extLst>
            <a:ext uri="{FF2B5EF4-FFF2-40B4-BE49-F238E27FC236}">
              <a16:creationId xmlns:a16="http://schemas.microsoft.com/office/drawing/2014/main" id="{3C389E85-5481-40E6-8938-2FA36CAAE620}"/>
            </a:ext>
          </a:extLst>
        </xdr:cNvPr>
        <xdr:cNvPicPr>
          <a:picLocks noChangeAspect="1"/>
        </xdr:cNvPicPr>
      </xdr:nvPicPr>
      <xdr:blipFill rotWithShape="1">
        <a:blip xmlns:r="http://schemas.openxmlformats.org/officeDocument/2006/relationships" r:embed="rId1"/>
        <a:srcRect t="25739" b="26749"/>
        <a:stretch/>
      </xdr:blipFill>
      <xdr:spPr>
        <a:xfrm>
          <a:off x="457200" y="86995"/>
          <a:ext cx="2037829" cy="5537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83820</xdr:rowOff>
    </xdr:from>
    <xdr:to>
      <xdr:col>3</xdr:col>
      <xdr:colOff>2037829</xdr:colOff>
      <xdr:row>3</xdr:row>
      <xdr:rowOff>123190</xdr:rowOff>
    </xdr:to>
    <xdr:pic>
      <xdr:nvPicPr>
        <xdr:cNvPr id="2" name="Picture 1">
          <a:extLst>
            <a:ext uri="{FF2B5EF4-FFF2-40B4-BE49-F238E27FC236}">
              <a16:creationId xmlns:a16="http://schemas.microsoft.com/office/drawing/2014/main" id="{BE33E2EB-93AF-49A8-942C-D4186C71A6F1}"/>
            </a:ext>
          </a:extLst>
        </xdr:cNvPr>
        <xdr:cNvPicPr>
          <a:picLocks noChangeAspect="1"/>
        </xdr:cNvPicPr>
      </xdr:nvPicPr>
      <xdr:blipFill rotWithShape="1">
        <a:blip xmlns:r="http://schemas.openxmlformats.org/officeDocument/2006/relationships" r:embed="rId1"/>
        <a:srcRect t="25739" b="26749"/>
        <a:stretch/>
      </xdr:blipFill>
      <xdr:spPr>
        <a:xfrm>
          <a:off x="428625" y="83820"/>
          <a:ext cx="2037829" cy="556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265453-45/Externally%20accessible/OCP%20Africa%20Folder/230215%20DR/Reports/CRU/phosphate-fertilizer-market-outlook-november-2022-npk-flat-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265453-34/Shared%20Documents/2%20-%20Client%20data/CRU%20phosphate%20market%20outlook%20-%20August%202022_Amend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ites/265453-45/Shared%20Documents/05.%20Deliverables/3-FRP/1_Salesboost/8_Projections/P205Projection_NER%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ata Dashboard"/>
      <sheetName val="Capacity"/>
      <sheetName val="Country Capacity - Total"/>
      <sheetName val="Country Capacity - Phos Acid"/>
      <sheetName val="Country Capacity - Nitrophos"/>
      <sheetName val="Country Capacity - Steam"/>
      <sheetName val="Country Capacity - Melt"/>
      <sheetName val="NPK"/>
      <sheetName val="NPK Production"/>
      <sheetName val="PK Production"/>
      <sheetName val="NPK App Demand"/>
      <sheetName val="NPK Imports"/>
      <sheetName val="NPK Exports"/>
      <sheetName val="NP"/>
      <sheetName val="NP Production"/>
      <sheetName val="NP App Demand"/>
      <sheetName val="NP Imports"/>
      <sheetName val="NP Exports"/>
      <sheetName val="PK"/>
      <sheetName val="PK App Demand"/>
      <sheetName val="PK Imports"/>
      <sheetName val="PK Exports"/>
      <sheetName val="NPK+NP+PK"/>
      <sheetName val="NPK+NP+PK Production"/>
      <sheetName val="NPK+NP+PK App Demand"/>
      <sheetName val="NPK+NP+PK Imports"/>
      <sheetName val="NPK+NP+PK Exports"/>
    </sheetNames>
    <sheetDataSet>
      <sheetData sheetId="0"/>
      <sheetData sheetId="1">
        <row r="19">
          <cell r="D19">
            <v>48.356453000000002</v>
          </cell>
          <cell r="E19">
            <v>77.101525000000009</v>
          </cell>
          <cell r="F19">
            <v>146.6422</v>
          </cell>
          <cell r="G19">
            <v>315.39183299999996</v>
          </cell>
          <cell r="H19">
            <v>175.23312000000001</v>
          </cell>
          <cell r="I19">
            <v>253.78091699999999</v>
          </cell>
          <cell r="J19">
            <v>611.14063799999997</v>
          </cell>
          <cell r="K19">
            <v>835.27263300000004</v>
          </cell>
          <cell r="L19">
            <v>458.58204212442399</v>
          </cell>
          <cell r="M19">
            <v>684.50591999999995</v>
          </cell>
          <cell r="N19">
            <v>906.47305000000006</v>
          </cell>
          <cell r="O19">
            <v>976.19905000002484</v>
          </cell>
          <cell r="P19">
            <v>990.01913084472369</v>
          </cell>
          <cell r="Q19">
            <v>1087.3219420780533</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row>
      </sheetData>
      <sheetData sheetId="2"/>
      <sheetData sheetId="3"/>
      <sheetData sheetId="4"/>
      <sheetData sheetId="5"/>
      <sheetData sheetId="6"/>
      <sheetData sheetId="7"/>
      <sheetData sheetId="8"/>
      <sheetData sheetId="9"/>
      <sheetData sheetId="10"/>
      <sheetData sheetId="11">
        <row r="4">
          <cell r="E4">
            <v>63121.263377337928</v>
          </cell>
        </row>
      </sheetData>
      <sheetData sheetId="12"/>
      <sheetData sheetId="13"/>
      <sheetData sheetId="14"/>
      <sheetData sheetId="15"/>
      <sheetData sheetId="16">
        <row r="4">
          <cell r="E4">
            <v>7183.2374317664198</v>
          </cell>
        </row>
      </sheetData>
      <sheetData sheetId="17"/>
      <sheetData sheetId="18"/>
      <sheetData sheetId="19"/>
      <sheetData sheetId="20">
        <row r="4">
          <cell r="E4">
            <v>3173.1806503090029</v>
          </cell>
        </row>
      </sheetData>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ROL"/>
      <sheetName val="DASHBOARD"/>
      <sheetName val="DATABASE - MARKET"/>
      <sheetName val="DATABASE - PRICES"/>
      <sheetName val="Sheet2"/>
      <sheetName val="PIVOT COUNTRY - MARKET"/>
      <sheetName val="Sheet1"/>
      <sheetName val="PIVOT COUNTRY - PRODUCT"/>
      <sheetName val="DATABASE - NPK PRICES"/>
      <sheetName val="PIVOT COMPARISON - PRICES"/>
      <sheetName val="DATABASE - NPK NP PK"/>
      <sheetName val="PIVOT COUNTRY - NPK NP PK"/>
      <sheetName val="PIVOT COMPARISON - NPK PRICES"/>
    </sheetNames>
    <sheetDataSet>
      <sheetData sheetId="0"/>
      <sheetData sheetId="1">
        <row r="3">
          <cell r="J3" t="str">
            <v>World_Total</v>
          </cell>
        </row>
        <row r="4">
          <cell r="J4" t="str">
            <v>Europe_CIS_Total</v>
          </cell>
        </row>
        <row r="5">
          <cell r="J5" t="str">
            <v>West_Europe</v>
          </cell>
        </row>
        <row r="6">
          <cell r="J6" t="str">
            <v>East_Europe</v>
          </cell>
        </row>
        <row r="7">
          <cell r="J7" t="str">
            <v>CIS</v>
          </cell>
        </row>
        <row r="8">
          <cell r="J8" t="str">
            <v>Africa_Total</v>
          </cell>
        </row>
        <row r="9">
          <cell r="J9" t="str">
            <v>North_Africa</v>
          </cell>
        </row>
        <row r="10">
          <cell r="J10" t="str">
            <v>East_Africa</v>
          </cell>
        </row>
        <row r="11">
          <cell r="J11" t="str">
            <v>West_Africa</v>
          </cell>
        </row>
        <row r="12">
          <cell r="J12" t="str">
            <v>Central_Africa</v>
          </cell>
        </row>
        <row r="13">
          <cell r="J13" t="str">
            <v>Southern_Africa</v>
          </cell>
        </row>
        <row r="14">
          <cell r="J14" t="str">
            <v>North_America</v>
          </cell>
        </row>
        <row r="15">
          <cell r="J15" t="str">
            <v>Central_South_America_Total</v>
          </cell>
        </row>
        <row r="16">
          <cell r="J16" t="str">
            <v>Caribbean</v>
          </cell>
        </row>
        <row r="17">
          <cell r="J17" t="str">
            <v>Central_America</v>
          </cell>
        </row>
        <row r="18">
          <cell r="J18" t="str">
            <v>South_America</v>
          </cell>
        </row>
        <row r="19">
          <cell r="J19" t="str">
            <v>Asia_Total</v>
          </cell>
        </row>
        <row r="20">
          <cell r="J20" t="str">
            <v>Middle_East</v>
          </cell>
        </row>
        <row r="21">
          <cell r="J21" t="str">
            <v>South_Asia</v>
          </cell>
        </row>
        <row r="22">
          <cell r="J22" t="str">
            <v>South-East_Asia</v>
          </cell>
        </row>
        <row r="23">
          <cell r="J23" t="str">
            <v>East_Asia</v>
          </cell>
        </row>
        <row r="24">
          <cell r="J24" t="str">
            <v>Oceania</v>
          </cell>
        </row>
        <row r="25">
          <cell r="J25" t="str">
            <v>Unidentified</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verture"/>
      <sheetName val="Output_SlidesProjection"/>
      <sheetName val="Interm. Computations &gt;"/>
      <sheetName val="OCP_ProductMix "/>
      <sheetName val="OCP_SalesProduct"/>
      <sheetName val="OCP_MarketShares"/>
      <sheetName val="ProjectedP205_Consumption"/>
      <sheetName val="Inputs &gt;"/>
      <sheetName val="ApplicationRates_OCP"/>
      <sheetName val="P2O5Consumption"/>
      <sheetName val="HarvestedAreas_TCD"/>
      <sheetName val="HarvestedAreas"/>
      <sheetName val="TCD_UNComtradeData_Imports"/>
      <sheetName val="FerilizerTrade_COMTRADE"/>
    </sheetNames>
    <sheetDataSet>
      <sheetData sheetId="0">
        <row r="2">
          <cell r="C2" t="str">
            <v>OCP Africa - Niger Market Projection</v>
          </cell>
        </row>
      </sheetData>
      <sheetData sheetId="1"/>
      <sheetData sheetId="2"/>
      <sheetData sheetId="3"/>
      <sheetData sheetId="4"/>
      <sheetData sheetId="5">
        <row r="89">
          <cell r="K89">
            <v>0</v>
          </cell>
        </row>
      </sheetData>
      <sheetData sheetId="6">
        <row r="15">
          <cell r="E15">
            <v>5.7938115538592392</v>
          </cell>
        </row>
      </sheetData>
      <sheetData sheetId="7"/>
      <sheetData sheetId="8"/>
      <sheetData sheetId="9"/>
      <sheetData sheetId="10"/>
      <sheetData sheetId="11"/>
      <sheetData sheetId="12">
        <row r="14">
          <cell r="E14" t="str">
            <v>Sum of AtlQty</v>
          </cell>
        </row>
      </sheetData>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gonie, Marie" refreshedDate="45069.466736111113" createdVersion="8" refreshedVersion="8" minRefreshableVersion="3" recordCount="665" xr:uid="{E0F1D390-2360-49BF-9D25-0D22A939BDB4}">
  <cacheSource type="worksheet">
    <worksheetSource ref="E7:R672" sheet="HarvestedAreas"/>
  </cacheSource>
  <cacheFields count="14">
    <cacheField name="Domain Code" numFmtId="0">
      <sharedItems/>
    </cacheField>
    <cacheField name="Domain" numFmtId="0">
      <sharedItems/>
    </cacheField>
    <cacheField name="Area Code (M49)" numFmtId="0">
      <sharedItems containsSemiMixedTypes="0" containsString="0" containsNumber="1" containsInteger="1" minValue="729" maxValue="729"/>
    </cacheField>
    <cacheField name="Area" numFmtId="0">
      <sharedItems/>
    </cacheField>
    <cacheField name="Element Code" numFmtId="0">
      <sharedItems containsSemiMixedTypes="0" containsString="0" containsNumber="1" containsInteger="1" minValue="5312" maxValue="5419"/>
    </cacheField>
    <cacheField name="Element" numFmtId="0">
      <sharedItems/>
    </cacheField>
    <cacheField name="Item Code (CPC)" numFmtId="0">
      <sharedItems/>
    </cacheField>
    <cacheField name="Item" numFmtId="0">
      <sharedItems count="50">
        <s v="Bananas"/>
        <s v="Barley"/>
        <s v="Beans, dry"/>
        <s v="Broad beans and horse beans, dry"/>
        <s v="Cabbages"/>
        <s v="Cantaloupes and other melons"/>
        <s v="Carrots and turnips"/>
        <s v="Cassava, fresh"/>
        <s v="Castor oil seeds"/>
        <s v="Cauliflowers and broccoli"/>
        <s v="Chick peas, dry"/>
        <s v="Chillies and peppers, dry (Capsicum spp., Pimenta spp.), raw"/>
        <s v="Chillies and peppers, green (Capsicum spp. and Pimenta spp.)"/>
        <s v="Cow peas, dry"/>
        <s v="Cucumbers and gherkins"/>
        <s v="Dates"/>
        <s v="Eggplants (aubergines)"/>
        <s v="Green garlic"/>
        <s v="Groundnuts, excluding shelled"/>
        <s v="Lemons and limes"/>
        <s v="Maize (corn)"/>
        <s v="Mangoes, guavas and mangosteens"/>
        <s v="Melonseed"/>
        <s v="Millet"/>
        <s v="Okra"/>
        <s v="Onions and shallots, dry (excluding dehydrated)"/>
        <s v="Onions and shallots, green"/>
        <s v="Oranges"/>
        <s v="Other beans, green"/>
        <s v="Other fruits, n.e.c."/>
        <s v="Other oil seeds, n.e.c."/>
        <s v="Other pulses n.e.c."/>
        <s v="Other vegetables, fresh n.e.c."/>
        <s v="Peas, green"/>
        <s v="Pineapples"/>
        <s v="Pomelos and grapefruits"/>
        <s v="Potatoes"/>
        <s v="Pumpkins, squash and gourds"/>
        <s v="Rice"/>
        <s v="Seed cotton, unginned"/>
        <s v="Sesame seed"/>
        <s v="Sorghum"/>
        <s v="Sugar cane"/>
        <s v="Sunflower seed"/>
        <s v="Sweet potatoes"/>
        <s v="Tangerines, mandarins, clementines"/>
        <s v="Tomatoes"/>
        <s v="Watermelons"/>
        <s v="Wheat"/>
        <s v="Yams"/>
      </sharedItems>
    </cacheField>
    <cacheField name="Year Code" numFmtId="0">
      <sharedItems containsSemiMixedTypes="0" containsString="0" containsNumber="1" containsInteger="1" minValue="2015" maxValue="2021"/>
    </cacheField>
    <cacheField name="Year" numFmtId="0">
      <sharedItems containsSemiMixedTypes="0" containsString="0" containsNumber="1" containsInteger="1" minValue="2015" maxValue="2021" count="7">
        <n v="2015"/>
        <n v="2016"/>
        <n v="2017"/>
        <n v="2018"/>
        <n v="2019"/>
        <n v="2020"/>
        <n v="2021"/>
      </sharedItems>
    </cacheField>
    <cacheField name="Unit" numFmtId="0">
      <sharedItems/>
    </cacheField>
    <cacheField name="Value" numFmtId="0">
      <sharedItems containsSemiMixedTypes="0" containsString="0" containsNumber="1" containsInteger="1" minValue="0" maxValue="9157680"/>
    </cacheField>
    <cacheField name="Flag" numFmtId="0">
      <sharedItems/>
    </cacheField>
    <cacheField name="Flag 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5">
  <r>
    <s v="QCL"/>
    <s v="Crops and livestock products"/>
    <n v="729"/>
    <s v="Sudan"/>
    <n v="5312"/>
    <s v="Area harvested"/>
    <s v="01312"/>
    <x v="0"/>
    <n v="2015"/>
    <x v="0"/>
    <s v="ha"/>
    <n v="39774"/>
    <s v="A"/>
    <s v="Official figure"/>
  </r>
  <r>
    <s v="QCL"/>
    <s v="Crops and livestock products"/>
    <n v="729"/>
    <s v="Sudan"/>
    <n v="5312"/>
    <s v="Area harvested"/>
    <s v="01312"/>
    <x v="0"/>
    <n v="2016"/>
    <x v="1"/>
    <s v="ha"/>
    <n v="45108"/>
    <s v="A"/>
    <s v="Official figure"/>
  </r>
  <r>
    <s v="QCL"/>
    <s v="Crops and livestock products"/>
    <n v="729"/>
    <s v="Sudan"/>
    <n v="5312"/>
    <s v="Area harvested"/>
    <s v="01312"/>
    <x v="0"/>
    <n v="2017"/>
    <x v="2"/>
    <s v="ha"/>
    <n v="47000"/>
    <s v="A"/>
    <s v="Official figure"/>
  </r>
  <r>
    <s v="QCL"/>
    <s v="Crops and livestock products"/>
    <n v="729"/>
    <s v="Sudan"/>
    <n v="5312"/>
    <s v="Area harvested"/>
    <s v="01312"/>
    <x v="0"/>
    <n v="2018"/>
    <x v="3"/>
    <s v="ha"/>
    <n v="47000"/>
    <s v="A"/>
    <s v="Official figure"/>
  </r>
  <r>
    <s v="QCL"/>
    <s v="Crops and livestock products"/>
    <n v="729"/>
    <s v="Sudan"/>
    <n v="5312"/>
    <s v="Area harvested"/>
    <s v="01312"/>
    <x v="0"/>
    <n v="2019"/>
    <x v="4"/>
    <s v="ha"/>
    <n v="47000"/>
    <s v="A"/>
    <s v="Official figure"/>
  </r>
  <r>
    <s v="QCL"/>
    <s v="Crops and livestock products"/>
    <n v="729"/>
    <s v="Sudan"/>
    <n v="5312"/>
    <s v="Area harvested"/>
    <s v="01312"/>
    <x v="0"/>
    <n v="2020"/>
    <x v="5"/>
    <s v="ha"/>
    <n v="47000"/>
    <s v="A"/>
    <s v="Official figure"/>
  </r>
  <r>
    <s v="QCL"/>
    <s v="Crops and livestock products"/>
    <n v="729"/>
    <s v="Sudan"/>
    <n v="5312"/>
    <s v="Area harvested"/>
    <s v="01312"/>
    <x v="0"/>
    <n v="2021"/>
    <x v="6"/>
    <s v="ha"/>
    <n v="48025"/>
    <s v="I"/>
    <s v="Imputed value"/>
  </r>
  <r>
    <s v="QCL"/>
    <s v="Crops and livestock products"/>
    <n v="729"/>
    <s v="Sudan"/>
    <n v="5419"/>
    <s v="Yield"/>
    <s v="01312"/>
    <x v="0"/>
    <n v="2015"/>
    <x v="0"/>
    <s v="hg/ha"/>
    <n v="228793"/>
    <s v="A"/>
    <s v="Official figure"/>
  </r>
  <r>
    <s v="QCL"/>
    <s v="Crops and livestock products"/>
    <n v="729"/>
    <s v="Sudan"/>
    <n v="5419"/>
    <s v="Yield"/>
    <s v="01312"/>
    <x v="0"/>
    <n v="2016"/>
    <x v="1"/>
    <s v="hg/ha"/>
    <n v="201762"/>
    <s v="A"/>
    <s v="Official figure"/>
  </r>
  <r>
    <s v="QCL"/>
    <s v="Crops and livestock products"/>
    <n v="729"/>
    <s v="Sudan"/>
    <n v="5419"/>
    <s v="Yield"/>
    <s v="01312"/>
    <x v="0"/>
    <n v="2017"/>
    <x v="2"/>
    <s v="hg/ha"/>
    <n v="197511"/>
    <s v="A"/>
    <s v="Official figure"/>
  </r>
  <r>
    <s v="QCL"/>
    <s v="Crops and livestock products"/>
    <n v="729"/>
    <s v="Sudan"/>
    <n v="5419"/>
    <s v="Yield"/>
    <s v="01312"/>
    <x v="0"/>
    <n v="2018"/>
    <x v="3"/>
    <s v="hg/ha"/>
    <n v="194301"/>
    <s v="A"/>
    <s v="Official figure"/>
  </r>
  <r>
    <s v="QCL"/>
    <s v="Crops and livestock products"/>
    <n v="729"/>
    <s v="Sudan"/>
    <n v="5419"/>
    <s v="Yield"/>
    <s v="01312"/>
    <x v="0"/>
    <n v="2019"/>
    <x v="4"/>
    <s v="hg/ha"/>
    <n v="195439"/>
    <s v="A"/>
    <s v="Official figure"/>
  </r>
  <r>
    <s v="QCL"/>
    <s v="Crops and livestock products"/>
    <n v="729"/>
    <s v="Sudan"/>
    <n v="5419"/>
    <s v="Yield"/>
    <s v="01312"/>
    <x v="0"/>
    <n v="2020"/>
    <x v="5"/>
    <s v="hg/ha"/>
    <n v="196583"/>
    <s v="A"/>
    <s v="Official figure"/>
  </r>
  <r>
    <s v="QCL"/>
    <s v="Crops and livestock products"/>
    <n v="729"/>
    <s v="Sudan"/>
    <n v="5419"/>
    <s v="Yield"/>
    <s v="01312"/>
    <x v="0"/>
    <n v="2021"/>
    <x v="6"/>
    <s v="hg/ha"/>
    <n v="194546"/>
    <s v="E"/>
    <s v="Estimated value"/>
  </r>
  <r>
    <s v="QCL"/>
    <s v="Crops and livestock products"/>
    <n v="729"/>
    <s v="Sudan"/>
    <n v="5312"/>
    <s v="Area harvested"/>
    <s v="0115"/>
    <x v="1"/>
    <n v="2015"/>
    <x v="0"/>
    <s v="ha"/>
    <n v="0"/>
    <s v="M"/>
    <s v="Missing value (data cannot exist, not applicable)"/>
  </r>
  <r>
    <s v="QCL"/>
    <s v="Crops and livestock products"/>
    <n v="729"/>
    <s v="Sudan"/>
    <n v="5312"/>
    <s v="Area harvested"/>
    <s v="0115"/>
    <x v="1"/>
    <n v="2016"/>
    <x v="1"/>
    <s v="ha"/>
    <n v="0"/>
    <s v="M"/>
    <s v="Missing value (data cannot exist, not applicable)"/>
  </r>
  <r>
    <s v="QCL"/>
    <s v="Crops and livestock products"/>
    <n v="729"/>
    <s v="Sudan"/>
    <n v="5312"/>
    <s v="Area harvested"/>
    <s v="0115"/>
    <x v="1"/>
    <n v="2017"/>
    <x v="2"/>
    <s v="ha"/>
    <n v="0"/>
    <s v="M"/>
    <s v="Missing value (data cannot exist, not applicable)"/>
  </r>
  <r>
    <s v="QCL"/>
    <s v="Crops and livestock products"/>
    <n v="729"/>
    <s v="Sudan"/>
    <n v="5312"/>
    <s v="Area harvested"/>
    <s v="0115"/>
    <x v="1"/>
    <n v="2018"/>
    <x v="3"/>
    <s v="ha"/>
    <n v="0"/>
    <s v="M"/>
    <s v="Missing value (data cannot exist, not applicable)"/>
  </r>
  <r>
    <s v="QCL"/>
    <s v="Crops and livestock products"/>
    <n v="729"/>
    <s v="Sudan"/>
    <n v="5312"/>
    <s v="Area harvested"/>
    <s v="0115"/>
    <x v="1"/>
    <n v="2019"/>
    <x v="4"/>
    <s v="ha"/>
    <n v="0"/>
    <s v="M"/>
    <s v="Missing value (data cannot exist, not applicable)"/>
  </r>
  <r>
    <s v="QCL"/>
    <s v="Crops and livestock products"/>
    <n v="729"/>
    <s v="Sudan"/>
    <n v="5312"/>
    <s v="Area harvested"/>
    <s v="0115"/>
    <x v="1"/>
    <n v="2020"/>
    <x v="5"/>
    <s v="ha"/>
    <n v="0"/>
    <s v="M"/>
    <s v="Missing value (data cannot exist, not applicable)"/>
  </r>
  <r>
    <s v="QCL"/>
    <s v="Crops and livestock products"/>
    <n v="729"/>
    <s v="Sudan"/>
    <n v="5312"/>
    <s v="Area harvested"/>
    <s v="0115"/>
    <x v="1"/>
    <n v="2021"/>
    <x v="6"/>
    <s v="ha"/>
    <n v="0"/>
    <s v="M"/>
    <s v="Missing value (data cannot exist, not applicable)"/>
  </r>
  <r>
    <s v="QCL"/>
    <s v="Crops and livestock products"/>
    <n v="729"/>
    <s v="Sudan"/>
    <n v="5312"/>
    <s v="Area harvested"/>
    <s v="01701"/>
    <x v="2"/>
    <n v="2015"/>
    <x v="0"/>
    <s v="ha"/>
    <n v="3599"/>
    <s v="I"/>
    <s v="Imputed value"/>
  </r>
  <r>
    <s v="QCL"/>
    <s v="Crops and livestock products"/>
    <n v="729"/>
    <s v="Sudan"/>
    <n v="5312"/>
    <s v="Area harvested"/>
    <s v="01701"/>
    <x v="2"/>
    <n v="2016"/>
    <x v="1"/>
    <s v="ha"/>
    <n v="3500"/>
    <s v="E"/>
    <s v="Estimated value"/>
  </r>
  <r>
    <s v="QCL"/>
    <s v="Crops and livestock products"/>
    <n v="729"/>
    <s v="Sudan"/>
    <n v="5312"/>
    <s v="Area harvested"/>
    <s v="01701"/>
    <x v="2"/>
    <n v="2017"/>
    <x v="2"/>
    <s v="ha"/>
    <n v="3548"/>
    <s v="I"/>
    <s v="Imputed value"/>
  </r>
  <r>
    <s v="QCL"/>
    <s v="Crops and livestock products"/>
    <n v="729"/>
    <s v="Sudan"/>
    <n v="5312"/>
    <s v="Area harvested"/>
    <s v="01701"/>
    <x v="2"/>
    <n v="2018"/>
    <x v="3"/>
    <s v="ha"/>
    <n v="3507"/>
    <s v="I"/>
    <s v="Imputed value"/>
  </r>
  <r>
    <s v="QCL"/>
    <s v="Crops and livestock products"/>
    <n v="729"/>
    <s v="Sudan"/>
    <n v="5312"/>
    <s v="Area harvested"/>
    <s v="01701"/>
    <x v="2"/>
    <n v="2019"/>
    <x v="4"/>
    <s v="ha"/>
    <n v="3489"/>
    <s v="I"/>
    <s v="Imputed value"/>
  </r>
  <r>
    <s v="QCL"/>
    <s v="Crops and livestock products"/>
    <n v="729"/>
    <s v="Sudan"/>
    <n v="5312"/>
    <s v="Area harvested"/>
    <s v="01701"/>
    <x v="2"/>
    <n v="2020"/>
    <x v="5"/>
    <s v="ha"/>
    <n v="3487"/>
    <s v="I"/>
    <s v="Imputed value"/>
  </r>
  <r>
    <s v="QCL"/>
    <s v="Crops and livestock products"/>
    <n v="729"/>
    <s v="Sudan"/>
    <n v="5312"/>
    <s v="Area harvested"/>
    <s v="01701"/>
    <x v="2"/>
    <n v="2021"/>
    <x v="6"/>
    <s v="ha"/>
    <n v="3485"/>
    <s v="I"/>
    <s v="Imputed value"/>
  </r>
  <r>
    <s v="QCL"/>
    <s v="Crops and livestock products"/>
    <n v="729"/>
    <s v="Sudan"/>
    <n v="5419"/>
    <s v="Yield"/>
    <s v="01701"/>
    <x v="2"/>
    <n v="2015"/>
    <x v="0"/>
    <s v="hg/ha"/>
    <n v="36123"/>
    <s v="E"/>
    <s v="Estimated value"/>
  </r>
  <r>
    <s v="QCL"/>
    <s v="Crops and livestock products"/>
    <n v="729"/>
    <s v="Sudan"/>
    <n v="5419"/>
    <s v="Yield"/>
    <s v="01701"/>
    <x v="2"/>
    <n v="2016"/>
    <x v="1"/>
    <s v="hg/ha"/>
    <n v="34290"/>
    <s v="E"/>
    <s v="Estimated value"/>
  </r>
  <r>
    <s v="QCL"/>
    <s v="Crops and livestock products"/>
    <n v="729"/>
    <s v="Sudan"/>
    <n v="5419"/>
    <s v="Yield"/>
    <s v="01701"/>
    <x v="2"/>
    <n v="2017"/>
    <x v="2"/>
    <s v="hg/ha"/>
    <n v="34997"/>
    <s v="E"/>
    <s v="Estimated value"/>
  </r>
  <r>
    <s v="QCL"/>
    <s v="Crops and livestock products"/>
    <n v="729"/>
    <s v="Sudan"/>
    <n v="5419"/>
    <s v="Yield"/>
    <s v="01701"/>
    <x v="2"/>
    <n v="2018"/>
    <x v="3"/>
    <s v="hg/ha"/>
    <n v="36877"/>
    <s v="E"/>
    <s v="Estimated value"/>
  </r>
  <r>
    <s v="QCL"/>
    <s v="Crops and livestock products"/>
    <n v="729"/>
    <s v="Sudan"/>
    <n v="5419"/>
    <s v="Yield"/>
    <s v="01701"/>
    <x v="2"/>
    <n v="2019"/>
    <x v="4"/>
    <s v="hg/ha"/>
    <n v="37101"/>
    <s v="E"/>
    <s v="Estimated value"/>
  </r>
  <r>
    <s v="QCL"/>
    <s v="Crops and livestock products"/>
    <n v="729"/>
    <s v="Sudan"/>
    <n v="5419"/>
    <s v="Yield"/>
    <s v="01701"/>
    <x v="2"/>
    <n v="2020"/>
    <x v="5"/>
    <s v="hg/ha"/>
    <n v="36608"/>
    <s v="E"/>
    <s v="Estimated value"/>
  </r>
  <r>
    <s v="QCL"/>
    <s v="Crops and livestock products"/>
    <n v="729"/>
    <s v="Sudan"/>
    <n v="5419"/>
    <s v="Yield"/>
    <s v="01701"/>
    <x v="2"/>
    <n v="2021"/>
    <x v="6"/>
    <s v="hg/ha"/>
    <n v="36963"/>
    <s v="E"/>
    <s v="Estimated value"/>
  </r>
  <r>
    <s v="QCL"/>
    <s v="Crops and livestock products"/>
    <n v="729"/>
    <s v="Sudan"/>
    <n v="5312"/>
    <s v="Area harvested"/>
    <s v="01702"/>
    <x v="3"/>
    <n v="2015"/>
    <x v="0"/>
    <s v="ha"/>
    <n v="60782"/>
    <s v="A"/>
    <s v="Official figure"/>
  </r>
  <r>
    <s v="QCL"/>
    <s v="Crops and livestock products"/>
    <n v="729"/>
    <s v="Sudan"/>
    <n v="5312"/>
    <s v="Area harvested"/>
    <s v="01702"/>
    <x v="3"/>
    <n v="2016"/>
    <x v="1"/>
    <s v="ha"/>
    <n v="70913"/>
    <s v="A"/>
    <s v="Official figure"/>
  </r>
  <r>
    <s v="QCL"/>
    <s v="Crops and livestock products"/>
    <n v="729"/>
    <s v="Sudan"/>
    <n v="5312"/>
    <s v="Area harvested"/>
    <s v="01702"/>
    <x v="3"/>
    <n v="2017"/>
    <x v="2"/>
    <s v="ha"/>
    <n v="30844"/>
    <s v="A"/>
    <s v="Official figure"/>
  </r>
  <r>
    <s v="QCL"/>
    <s v="Crops and livestock products"/>
    <n v="729"/>
    <s v="Sudan"/>
    <n v="5312"/>
    <s v="Area harvested"/>
    <s v="01702"/>
    <x v="3"/>
    <n v="2018"/>
    <x v="3"/>
    <s v="ha"/>
    <n v="32386"/>
    <s v="A"/>
    <s v="Official figure"/>
  </r>
  <r>
    <s v="QCL"/>
    <s v="Crops and livestock products"/>
    <n v="729"/>
    <s v="Sudan"/>
    <n v="5312"/>
    <s v="Area harvested"/>
    <s v="01702"/>
    <x v="3"/>
    <n v="2019"/>
    <x v="4"/>
    <s v="ha"/>
    <n v="34006"/>
    <s v="A"/>
    <s v="Official figure"/>
  </r>
  <r>
    <s v="QCL"/>
    <s v="Crops and livestock products"/>
    <n v="729"/>
    <s v="Sudan"/>
    <n v="5312"/>
    <s v="Area harvested"/>
    <s v="01702"/>
    <x v="3"/>
    <n v="2020"/>
    <x v="5"/>
    <s v="ha"/>
    <n v="35706"/>
    <s v="A"/>
    <s v="Official figure"/>
  </r>
  <r>
    <s v="QCL"/>
    <s v="Crops and livestock products"/>
    <n v="729"/>
    <s v="Sudan"/>
    <n v="5312"/>
    <s v="Area harvested"/>
    <s v="01702"/>
    <x v="3"/>
    <n v="2021"/>
    <x v="6"/>
    <s v="ha"/>
    <n v="34147"/>
    <s v="I"/>
    <s v="Imputed value"/>
  </r>
  <r>
    <s v="QCL"/>
    <s v="Crops and livestock products"/>
    <n v="729"/>
    <s v="Sudan"/>
    <n v="5419"/>
    <s v="Yield"/>
    <s v="01702"/>
    <x v="3"/>
    <n v="2015"/>
    <x v="0"/>
    <s v="hg/ha"/>
    <n v="17502"/>
    <s v="A"/>
    <s v="Official figure"/>
  </r>
  <r>
    <s v="QCL"/>
    <s v="Crops and livestock products"/>
    <n v="729"/>
    <s v="Sudan"/>
    <n v="5419"/>
    <s v="Yield"/>
    <s v="01702"/>
    <x v="3"/>
    <n v="2016"/>
    <x v="1"/>
    <s v="hg/ha"/>
    <n v="17121"/>
    <s v="A"/>
    <s v="Official figure"/>
  </r>
  <r>
    <s v="QCL"/>
    <s v="Crops and livestock products"/>
    <n v="729"/>
    <s v="Sudan"/>
    <n v="5419"/>
    <s v="Yield"/>
    <s v="01702"/>
    <x v="3"/>
    <n v="2017"/>
    <x v="2"/>
    <s v="hg/ha"/>
    <n v="47579"/>
    <s v="A"/>
    <s v="Official figure"/>
  </r>
  <r>
    <s v="QCL"/>
    <s v="Crops and livestock products"/>
    <n v="729"/>
    <s v="Sudan"/>
    <n v="5419"/>
    <s v="Yield"/>
    <s v="01702"/>
    <x v="3"/>
    <n v="2018"/>
    <x v="3"/>
    <s v="hg/ha"/>
    <n v="48484"/>
    <s v="A"/>
    <s v="Official figure"/>
  </r>
  <r>
    <s v="QCL"/>
    <s v="Crops and livestock products"/>
    <n v="729"/>
    <s v="Sudan"/>
    <n v="5419"/>
    <s v="Yield"/>
    <s v="01702"/>
    <x v="3"/>
    <n v="2019"/>
    <x v="4"/>
    <s v="hg/ha"/>
    <n v="48484"/>
    <s v="A"/>
    <s v="Official figure"/>
  </r>
  <r>
    <s v="QCL"/>
    <s v="Crops and livestock products"/>
    <n v="729"/>
    <s v="Sudan"/>
    <n v="5419"/>
    <s v="Yield"/>
    <s v="01702"/>
    <x v="3"/>
    <n v="2020"/>
    <x v="5"/>
    <s v="hg/ha"/>
    <n v="48484"/>
    <s v="A"/>
    <s v="Official figure"/>
  </r>
  <r>
    <s v="QCL"/>
    <s v="Crops and livestock products"/>
    <n v="729"/>
    <s v="Sudan"/>
    <n v="5419"/>
    <s v="Yield"/>
    <s v="01702"/>
    <x v="3"/>
    <n v="2021"/>
    <x v="6"/>
    <s v="hg/ha"/>
    <n v="51745"/>
    <s v="E"/>
    <s v="Estimated value"/>
  </r>
  <r>
    <s v="QCL"/>
    <s v="Crops and livestock products"/>
    <n v="729"/>
    <s v="Sudan"/>
    <n v="5312"/>
    <s v="Area harvested"/>
    <s v="01212"/>
    <x v="4"/>
    <n v="2015"/>
    <x v="0"/>
    <s v="ha"/>
    <n v="384"/>
    <s v="A"/>
    <s v="Official figure"/>
  </r>
  <r>
    <s v="QCL"/>
    <s v="Crops and livestock products"/>
    <n v="729"/>
    <s v="Sudan"/>
    <n v="5312"/>
    <s v="Area harvested"/>
    <s v="01212"/>
    <x v="4"/>
    <n v="2016"/>
    <x v="1"/>
    <s v="ha"/>
    <n v="369"/>
    <s v="A"/>
    <s v="Official figure"/>
  </r>
  <r>
    <s v="QCL"/>
    <s v="Crops and livestock products"/>
    <n v="729"/>
    <s v="Sudan"/>
    <n v="5312"/>
    <s v="Area harvested"/>
    <s v="01212"/>
    <x v="4"/>
    <n v="2017"/>
    <x v="2"/>
    <s v="ha"/>
    <n v="420"/>
    <s v="A"/>
    <s v="Official figure"/>
  </r>
  <r>
    <s v="QCL"/>
    <s v="Crops and livestock products"/>
    <n v="729"/>
    <s v="Sudan"/>
    <n v="5312"/>
    <s v="Area harvested"/>
    <s v="01212"/>
    <x v="4"/>
    <n v="2018"/>
    <x v="3"/>
    <s v="ha"/>
    <n v="386"/>
    <s v="I"/>
    <s v="Imputed value"/>
  </r>
  <r>
    <s v="QCL"/>
    <s v="Crops and livestock products"/>
    <n v="729"/>
    <s v="Sudan"/>
    <n v="5312"/>
    <s v="Area harvested"/>
    <s v="01212"/>
    <x v="4"/>
    <n v="2019"/>
    <x v="4"/>
    <s v="ha"/>
    <n v="394"/>
    <s v="I"/>
    <s v="Imputed value"/>
  </r>
  <r>
    <s v="QCL"/>
    <s v="Crops and livestock products"/>
    <n v="729"/>
    <s v="Sudan"/>
    <n v="5312"/>
    <s v="Area harvested"/>
    <s v="01212"/>
    <x v="4"/>
    <n v="2020"/>
    <x v="5"/>
    <s v="ha"/>
    <n v="396"/>
    <s v="I"/>
    <s v="Imputed value"/>
  </r>
  <r>
    <s v="QCL"/>
    <s v="Crops and livestock products"/>
    <n v="729"/>
    <s v="Sudan"/>
    <n v="5312"/>
    <s v="Area harvested"/>
    <s v="01212"/>
    <x v="4"/>
    <n v="2021"/>
    <x v="6"/>
    <s v="ha"/>
    <n v="397"/>
    <s v="I"/>
    <s v="Imputed value"/>
  </r>
  <r>
    <s v="QCL"/>
    <s v="Crops and livestock products"/>
    <n v="729"/>
    <s v="Sudan"/>
    <n v="5419"/>
    <s v="Yield"/>
    <s v="01212"/>
    <x v="4"/>
    <n v="2015"/>
    <x v="0"/>
    <s v="hg/ha"/>
    <n v="66693"/>
    <s v="A"/>
    <s v="Official figure"/>
  </r>
  <r>
    <s v="QCL"/>
    <s v="Crops and livestock products"/>
    <n v="729"/>
    <s v="Sudan"/>
    <n v="5419"/>
    <s v="Yield"/>
    <s v="01212"/>
    <x v="4"/>
    <n v="2016"/>
    <x v="1"/>
    <s v="hg/ha"/>
    <n v="70041"/>
    <s v="A"/>
    <s v="Official figure"/>
  </r>
  <r>
    <s v="QCL"/>
    <s v="Crops and livestock products"/>
    <n v="729"/>
    <s v="Sudan"/>
    <n v="5419"/>
    <s v="Yield"/>
    <s v="01212"/>
    <x v="4"/>
    <n v="2017"/>
    <x v="2"/>
    <s v="hg/ha"/>
    <n v="76190"/>
    <s v="A"/>
    <s v="Official figure"/>
  </r>
  <r>
    <s v="QCL"/>
    <s v="Crops and livestock products"/>
    <n v="729"/>
    <s v="Sudan"/>
    <n v="5419"/>
    <s v="Yield"/>
    <s v="01212"/>
    <x v="4"/>
    <n v="2018"/>
    <x v="3"/>
    <s v="hg/ha"/>
    <n v="80592"/>
    <s v="E"/>
    <s v="Estimated value"/>
  </r>
  <r>
    <s v="QCL"/>
    <s v="Crops and livestock products"/>
    <n v="729"/>
    <s v="Sudan"/>
    <n v="5419"/>
    <s v="Yield"/>
    <s v="01212"/>
    <x v="4"/>
    <n v="2019"/>
    <x v="4"/>
    <s v="hg/ha"/>
    <n v="74139"/>
    <s v="E"/>
    <s v="Estimated value"/>
  </r>
  <r>
    <s v="QCL"/>
    <s v="Crops and livestock products"/>
    <n v="729"/>
    <s v="Sudan"/>
    <n v="5419"/>
    <s v="Yield"/>
    <s v="01212"/>
    <x v="4"/>
    <n v="2020"/>
    <x v="5"/>
    <s v="hg/ha"/>
    <n v="74150"/>
    <s v="E"/>
    <s v="Estimated value"/>
  </r>
  <r>
    <s v="QCL"/>
    <s v="Crops and livestock products"/>
    <n v="729"/>
    <s v="Sudan"/>
    <n v="5419"/>
    <s v="Yield"/>
    <s v="01212"/>
    <x v="4"/>
    <n v="2021"/>
    <x v="6"/>
    <s v="hg/ha"/>
    <n v="75116"/>
    <s v="E"/>
    <s v="Estimated value"/>
  </r>
  <r>
    <s v="QCL"/>
    <s v="Crops and livestock products"/>
    <n v="729"/>
    <s v="Sudan"/>
    <n v="5312"/>
    <s v="Area harvested"/>
    <s v="01229"/>
    <x v="5"/>
    <n v="2015"/>
    <x v="0"/>
    <s v="ha"/>
    <n v="1772"/>
    <s v="I"/>
    <s v="Imputed value"/>
  </r>
  <r>
    <s v="QCL"/>
    <s v="Crops and livestock products"/>
    <n v="729"/>
    <s v="Sudan"/>
    <n v="5312"/>
    <s v="Area harvested"/>
    <s v="01229"/>
    <x v="5"/>
    <n v="2016"/>
    <x v="1"/>
    <s v="ha"/>
    <n v="1657"/>
    <s v="E"/>
    <s v="Estimated value"/>
  </r>
  <r>
    <s v="QCL"/>
    <s v="Crops and livestock products"/>
    <n v="729"/>
    <s v="Sudan"/>
    <n v="5312"/>
    <s v="Area harvested"/>
    <s v="01229"/>
    <x v="5"/>
    <n v="2017"/>
    <x v="2"/>
    <s v="ha"/>
    <n v="1640"/>
    <s v="I"/>
    <s v="Imputed value"/>
  </r>
  <r>
    <s v="QCL"/>
    <s v="Crops and livestock products"/>
    <n v="729"/>
    <s v="Sudan"/>
    <n v="5312"/>
    <s v="Area harvested"/>
    <s v="01229"/>
    <x v="5"/>
    <n v="2018"/>
    <x v="3"/>
    <s v="ha"/>
    <n v="1728"/>
    <s v="I"/>
    <s v="Imputed value"/>
  </r>
  <r>
    <s v="QCL"/>
    <s v="Crops and livestock products"/>
    <n v="729"/>
    <s v="Sudan"/>
    <n v="5312"/>
    <s v="Area harvested"/>
    <s v="01229"/>
    <x v="5"/>
    <n v="2019"/>
    <x v="4"/>
    <s v="ha"/>
    <n v="1741"/>
    <s v="I"/>
    <s v="Imputed value"/>
  </r>
  <r>
    <s v="QCL"/>
    <s v="Crops and livestock products"/>
    <n v="729"/>
    <s v="Sudan"/>
    <n v="5312"/>
    <s v="Area harvested"/>
    <s v="01229"/>
    <x v="5"/>
    <n v="2020"/>
    <x v="5"/>
    <s v="ha"/>
    <n v="1759"/>
    <s v="I"/>
    <s v="Imputed value"/>
  </r>
  <r>
    <s v="QCL"/>
    <s v="Crops and livestock products"/>
    <n v="729"/>
    <s v="Sudan"/>
    <n v="5312"/>
    <s v="Area harvested"/>
    <s v="01229"/>
    <x v="5"/>
    <n v="2021"/>
    <x v="6"/>
    <s v="ha"/>
    <n v="1743"/>
    <s v="E"/>
    <s v="Estimated value"/>
  </r>
  <r>
    <s v="QCL"/>
    <s v="Crops and livestock products"/>
    <n v="729"/>
    <s v="Sudan"/>
    <n v="5419"/>
    <s v="Yield"/>
    <s v="01229"/>
    <x v="5"/>
    <n v="2015"/>
    <x v="0"/>
    <s v="hg/ha"/>
    <n v="244230"/>
    <s v="E"/>
    <s v="Estimated value"/>
  </r>
  <r>
    <s v="QCL"/>
    <s v="Crops and livestock products"/>
    <n v="729"/>
    <s v="Sudan"/>
    <n v="5419"/>
    <s v="Yield"/>
    <s v="01229"/>
    <x v="5"/>
    <n v="2016"/>
    <x v="1"/>
    <s v="hg/ha"/>
    <n v="231853"/>
    <s v="E"/>
    <s v="Estimated value"/>
  </r>
  <r>
    <s v="QCL"/>
    <s v="Crops and livestock products"/>
    <n v="729"/>
    <s v="Sudan"/>
    <n v="5419"/>
    <s v="Yield"/>
    <s v="01229"/>
    <x v="5"/>
    <n v="2017"/>
    <x v="2"/>
    <s v="hg/ha"/>
    <n v="244459"/>
    <s v="E"/>
    <s v="Estimated value"/>
  </r>
  <r>
    <s v="QCL"/>
    <s v="Crops and livestock products"/>
    <n v="729"/>
    <s v="Sudan"/>
    <n v="5419"/>
    <s v="Yield"/>
    <s v="01229"/>
    <x v="5"/>
    <n v="2018"/>
    <x v="3"/>
    <s v="hg/ha"/>
    <n v="234885"/>
    <s v="E"/>
    <s v="Estimated value"/>
  </r>
  <r>
    <s v="QCL"/>
    <s v="Crops and livestock products"/>
    <n v="729"/>
    <s v="Sudan"/>
    <n v="5419"/>
    <s v="Yield"/>
    <s v="01229"/>
    <x v="5"/>
    <n v="2019"/>
    <x v="4"/>
    <s v="hg/ha"/>
    <n v="228116"/>
    <s v="E"/>
    <s v="Estimated value"/>
  </r>
  <r>
    <s v="QCL"/>
    <s v="Crops and livestock products"/>
    <n v="729"/>
    <s v="Sudan"/>
    <n v="5419"/>
    <s v="Yield"/>
    <s v="01229"/>
    <x v="5"/>
    <n v="2020"/>
    <x v="5"/>
    <s v="hg/ha"/>
    <n v="228159"/>
    <s v="E"/>
    <s v="Estimated value"/>
  </r>
  <r>
    <s v="QCL"/>
    <s v="Crops and livestock products"/>
    <n v="729"/>
    <s v="Sudan"/>
    <n v="5419"/>
    <s v="Yield"/>
    <s v="01229"/>
    <x v="5"/>
    <n v="2021"/>
    <x v="6"/>
    <s v="hg/ha"/>
    <n v="230368"/>
    <s v="E"/>
    <s v="Estimated value"/>
  </r>
  <r>
    <s v="QCL"/>
    <s v="Crops and livestock products"/>
    <n v="729"/>
    <s v="Sudan"/>
    <n v="5312"/>
    <s v="Area harvested"/>
    <s v="01251"/>
    <x v="6"/>
    <n v="2015"/>
    <x v="0"/>
    <s v="ha"/>
    <n v="7560"/>
    <s v="A"/>
    <s v="Official figure"/>
  </r>
  <r>
    <s v="QCL"/>
    <s v="Crops and livestock products"/>
    <n v="729"/>
    <s v="Sudan"/>
    <n v="5312"/>
    <s v="Area harvested"/>
    <s v="01251"/>
    <x v="6"/>
    <n v="2016"/>
    <x v="1"/>
    <s v="ha"/>
    <n v="8148"/>
    <s v="A"/>
    <s v="Official figure"/>
  </r>
  <r>
    <s v="QCL"/>
    <s v="Crops and livestock products"/>
    <n v="729"/>
    <s v="Sudan"/>
    <n v="5312"/>
    <s v="Area harvested"/>
    <s v="01251"/>
    <x v="6"/>
    <n v="2017"/>
    <x v="2"/>
    <s v="ha"/>
    <n v="8230"/>
    <s v="A"/>
    <s v="Official figure"/>
  </r>
  <r>
    <s v="QCL"/>
    <s v="Crops and livestock products"/>
    <n v="729"/>
    <s v="Sudan"/>
    <n v="5312"/>
    <s v="Area harvested"/>
    <s v="01251"/>
    <x v="6"/>
    <n v="2018"/>
    <x v="3"/>
    <s v="ha"/>
    <n v="10950"/>
    <s v="I"/>
    <s v="Imputed value"/>
  </r>
  <r>
    <s v="QCL"/>
    <s v="Crops and livestock products"/>
    <n v="729"/>
    <s v="Sudan"/>
    <n v="5312"/>
    <s v="Area harvested"/>
    <s v="01251"/>
    <x v="6"/>
    <n v="2019"/>
    <x v="4"/>
    <s v="ha"/>
    <n v="6425"/>
    <s v="E"/>
    <s v="Estimated value"/>
  </r>
  <r>
    <s v="QCL"/>
    <s v="Crops and livestock products"/>
    <n v="729"/>
    <s v="Sudan"/>
    <n v="5312"/>
    <s v="Area harvested"/>
    <s v="01251"/>
    <x v="6"/>
    <n v="2020"/>
    <x v="5"/>
    <s v="ha"/>
    <n v="6425"/>
    <s v="E"/>
    <s v="Estimated value"/>
  </r>
  <r>
    <s v="QCL"/>
    <s v="Crops and livestock products"/>
    <n v="729"/>
    <s v="Sudan"/>
    <n v="5312"/>
    <s v="Area harvested"/>
    <s v="01251"/>
    <x v="6"/>
    <n v="2021"/>
    <x v="6"/>
    <s v="ha"/>
    <n v="6425"/>
    <s v="E"/>
    <s v="Estimated value"/>
  </r>
  <r>
    <s v="QCL"/>
    <s v="Crops and livestock products"/>
    <n v="729"/>
    <s v="Sudan"/>
    <n v="5419"/>
    <s v="Yield"/>
    <s v="01251"/>
    <x v="6"/>
    <n v="2015"/>
    <x v="0"/>
    <s v="hg/ha"/>
    <n v="53307"/>
    <s v="A"/>
    <s v="Official figure"/>
  </r>
  <r>
    <s v="QCL"/>
    <s v="Crops and livestock products"/>
    <n v="729"/>
    <s v="Sudan"/>
    <n v="5419"/>
    <s v="Yield"/>
    <s v="01251"/>
    <x v="6"/>
    <n v="2016"/>
    <x v="1"/>
    <s v="hg/ha"/>
    <n v="58297"/>
    <s v="A"/>
    <s v="Official figure"/>
  </r>
  <r>
    <s v="QCL"/>
    <s v="Crops and livestock products"/>
    <n v="729"/>
    <s v="Sudan"/>
    <n v="5419"/>
    <s v="Yield"/>
    <s v="01251"/>
    <x v="6"/>
    <n v="2017"/>
    <x v="2"/>
    <s v="hg/ha"/>
    <n v="58062"/>
    <s v="A"/>
    <s v="Official figure"/>
  </r>
  <r>
    <s v="QCL"/>
    <s v="Crops and livestock products"/>
    <n v="729"/>
    <s v="Sudan"/>
    <n v="5419"/>
    <s v="Yield"/>
    <s v="01251"/>
    <x v="6"/>
    <n v="2018"/>
    <x v="3"/>
    <s v="hg/ha"/>
    <n v="48162"/>
    <s v="E"/>
    <s v="Estimated value"/>
  </r>
  <r>
    <s v="QCL"/>
    <s v="Crops and livestock products"/>
    <n v="729"/>
    <s v="Sudan"/>
    <n v="5419"/>
    <s v="Yield"/>
    <s v="01251"/>
    <x v="6"/>
    <n v="2019"/>
    <x v="4"/>
    <s v="hg/ha"/>
    <n v="64036"/>
    <s v="E"/>
    <s v="Estimated value"/>
  </r>
  <r>
    <s v="QCL"/>
    <s v="Crops and livestock products"/>
    <n v="729"/>
    <s v="Sudan"/>
    <n v="5419"/>
    <s v="Yield"/>
    <s v="01251"/>
    <x v="6"/>
    <n v="2020"/>
    <x v="5"/>
    <s v="hg/ha"/>
    <n v="64036"/>
    <s v="E"/>
    <s v="Estimated value"/>
  </r>
  <r>
    <s v="QCL"/>
    <s v="Crops and livestock products"/>
    <n v="729"/>
    <s v="Sudan"/>
    <n v="5419"/>
    <s v="Yield"/>
    <s v="01251"/>
    <x v="6"/>
    <n v="2021"/>
    <x v="6"/>
    <s v="hg/ha"/>
    <n v="64036"/>
    <s v="E"/>
    <s v="Estimated value"/>
  </r>
  <r>
    <s v="QCL"/>
    <s v="Crops and livestock products"/>
    <n v="729"/>
    <s v="Sudan"/>
    <n v="5312"/>
    <s v="Area harvested"/>
    <s v="01520.01"/>
    <x v="7"/>
    <n v="2015"/>
    <x v="0"/>
    <s v="ha"/>
    <n v="0"/>
    <s v="M"/>
    <s v="Missing value (data cannot exist, not applicable)"/>
  </r>
  <r>
    <s v="QCL"/>
    <s v="Crops and livestock products"/>
    <n v="729"/>
    <s v="Sudan"/>
    <n v="5312"/>
    <s v="Area harvested"/>
    <s v="01520.01"/>
    <x v="7"/>
    <n v="2016"/>
    <x v="1"/>
    <s v="ha"/>
    <n v="0"/>
    <s v="M"/>
    <s v="Missing value (data cannot exist, not applicable)"/>
  </r>
  <r>
    <s v="QCL"/>
    <s v="Crops and livestock products"/>
    <n v="729"/>
    <s v="Sudan"/>
    <n v="5312"/>
    <s v="Area harvested"/>
    <s v="01520.01"/>
    <x v="7"/>
    <n v="2017"/>
    <x v="2"/>
    <s v="ha"/>
    <n v="0"/>
    <s v="M"/>
    <s v="Missing value (data cannot exist, not applicable)"/>
  </r>
  <r>
    <s v="QCL"/>
    <s v="Crops and livestock products"/>
    <n v="729"/>
    <s v="Sudan"/>
    <n v="5312"/>
    <s v="Area harvested"/>
    <s v="01520.01"/>
    <x v="7"/>
    <n v="2018"/>
    <x v="3"/>
    <s v="ha"/>
    <n v="0"/>
    <s v="M"/>
    <s v="Missing value (data cannot exist, not applicable)"/>
  </r>
  <r>
    <s v="QCL"/>
    <s v="Crops and livestock products"/>
    <n v="729"/>
    <s v="Sudan"/>
    <n v="5312"/>
    <s v="Area harvested"/>
    <s v="01520.01"/>
    <x v="7"/>
    <n v="2019"/>
    <x v="4"/>
    <s v="ha"/>
    <n v="0"/>
    <s v="M"/>
    <s v="Missing value (data cannot exist, not applicable)"/>
  </r>
  <r>
    <s v="QCL"/>
    <s v="Crops and livestock products"/>
    <n v="729"/>
    <s v="Sudan"/>
    <n v="5312"/>
    <s v="Area harvested"/>
    <s v="01520.01"/>
    <x v="7"/>
    <n v="2020"/>
    <x v="5"/>
    <s v="ha"/>
    <n v="0"/>
    <s v="M"/>
    <s v="Missing value (data cannot exist, not applicable)"/>
  </r>
  <r>
    <s v="QCL"/>
    <s v="Crops and livestock products"/>
    <n v="729"/>
    <s v="Sudan"/>
    <n v="5312"/>
    <s v="Area harvested"/>
    <s v="01520.01"/>
    <x v="7"/>
    <n v="2021"/>
    <x v="6"/>
    <s v="ha"/>
    <n v="0"/>
    <s v="M"/>
    <s v="Missing value (data cannot exist, not applicable)"/>
  </r>
  <r>
    <s v="QCL"/>
    <s v="Crops and livestock products"/>
    <n v="729"/>
    <s v="Sudan"/>
    <n v="5312"/>
    <s v="Area harvested"/>
    <s v="01447"/>
    <x v="8"/>
    <n v="2015"/>
    <x v="0"/>
    <s v="ha"/>
    <n v="2000"/>
    <s v="T"/>
    <s v="Unofficial figure"/>
  </r>
  <r>
    <s v="QCL"/>
    <s v="Crops and livestock products"/>
    <n v="729"/>
    <s v="Sudan"/>
    <n v="5312"/>
    <s v="Area harvested"/>
    <s v="01447"/>
    <x v="8"/>
    <n v="2016"/>
    <x v="1"/>
    <s v="ha"/>
    <n v="2000"/>
    <s v="T"/>
    <s v="Unofficial figure"/>
  </r>
  <r>
    <s v="QCL"/>
    <s v="Crops and livestock products"/>
    <n v="729"/>
    <s v="Sudan"/>
    <n v="5312"/>
    <s v="Area harvested"/>
    <s v="01447"/>
    <x v="8"/>
    <n v="2017"/>
    <x v="2"/>
    <s v="ha"/>
    <n v="2000"/>
    <s v="T"/>
    <s v="Unofficial figure"/>
  </r>
  <r>
    <s v="QCL"/>
    <s v="Crops and livestock products"/>
    <n v="729"/>
    <s v="Sudan"/>
    <n v="5312"/>
    <s v="Area harvested"/>
    <s v="01447"/>
    <x v="8"/>
    <n v="2018"/>
    <x v="3"/>
    <s v="ha"/>
    <n v="2000"/>
    <s v="T"/>
    <s v="Unofficial figure"/>
  </r>
  <r>
    <s v="QCL"/>
    <s v="Crops and livestock products"/>
    <n v="729"/>
    <s v="Sudan"/>
    <n v="5312"/>
    <s v="Area harvested"/>
    <s v="01447"/>
    <x v="8"/>
    <n v="2019"/>
    <x v="4"/>
    <s v="ha"/>
    <n v="2000"/>
    <s v="T"/>
    <s v="Unofficial figure"/>
  </r>
  <r>
    <s v="QCL"/>
    <s v="Crops and livestock products"/>
    <n v="729"/>
    <s v="Sudan"/>
    <n v="5312"/>
    <s v="Area harvested"/>
    <s v="01447"/>
    <x v="8"/>
    <n v="2020"/>
    <x v="5"/>
    <s v="ha"/>
    <n v="2000"/>
    <s v="T"/>
    <s v="Unofficial figure"/>
  </r>
  <r>
    <s v="QCL"/>
    <s v="Crops and livestock products"/>
    <n v="729"/>
    <s v="Sudan"/>
    <n v="5312"/>
    <s v="Area harvested"/>
    <s v="01447"/>
    <x v="8"/>
    <n v="2021"/>
    <x v="6"/>
    <s v="ha"/>
    <n v="2000"/>
    <s v="T"/>
    <s v="Unofficial figure"/>
  </r>
  <r>
    <s v="QCL"/>
    <s v="Crops and livestock products"/>
    <n v="729"/>
    <s v="Sudan"/>
    <n v="5419"/>
    <s v="Yield"/>
    <s v="01447"/>
    <x v="8"/>
    <n v="2015"/>
    <x v="0"/>
    <s v="hg/ha"/>
    <n v="5000"/>
    <s v="E"/>
    <s v="Estimated value"/>
  </r>
  <r>
    <s v="QCL"/>
    <s v="Crops and livestock products"/>
    <n v="729"/>
    <s v="Sudan"/>
    <n v="5419"/>
    <s v="Yield"/>
    <s v="01447"/>
    <x v="8"/>
    <n v="2016"/>
    <x v="1"/>
    <s v="hg/ha"/>
    <n v="5000"/>
    <s v="E"/>
    <s v="Estimated value"/>
  </r>
  <r>
    <s v="QCL"/>
    <s v="Crops and livestock products"/>
    <n v="729"/>
    <s v="Sudan"/>
    <n v="5419"/>
    <s v="Yield"/>
    <s v="01447"/>
    <x v="8"/>
    <n v="2017"/>
    <x v="2"/>
    <s v="hg/ha"/>
    <n v="5000"/>
    <s v="E"/>
    <s v="Estimated value"/>
  </r>
  <r>
    <s v="QCL"/>
    <s v="Crops and livestock products"/>
    <n v="729"/>
    <s v="Sudan"/>
    <n v="5419"/>
    <s v="Yield"/>
    <s v="01447"/>
    <x v="8"/>
    <n v="2018"/>
    <x v="3"/>
    <s v="hg/ha"/>
    <n v="5000"/>
    <s v="E"/>
    <s v="Estimated value"/>
  </r>
  <r>
    <s v="QCL"/>
    <s v="Crops and livestock products"/>
    <n v="729"/>
    <s v="Sudan"/>
    <n v="5419"/>
    <s v="Yield"/>
    <s v="01447"/>
    <x v="8"/>
    <n v="2019"/>
    <x v="4"/>
    <s v="hg/ha"/>
    <n v="5000"/>
    <s v="E"/>
    <s v="Estimated value"/>
  </r>
  <r>
    <s v="QCL"/>
    <s v="Crops and livestock products"/>
    <n v="729"/>
    <s v="Sudan"/>
    <n v="5419"/>
    <s v="Yield"/>
    <s v="01447"/>
    <x v="8"/>
    <n v="2020"/>
    <x v="5"/>
    <s v="hg/ha"/>
    <n v="5000"/>
    <s v="E"/>
    <s v="Estimated value"/>
  </r>
  <r>
    <s v="QCL"/>
    <s v="Crops and livestock products"/>
    <n v="729"/>
    <s v="Sudan"/>
    <n v="5419"/>
    <s v="Yield"/>
    <s v="01447"/>
    <x v="8"/>
    <n v="2021"/>
    <x v="6"/>
    <s v="hg/ha"/>
    <n v="5000"/>
    <s v="E"/>
    <s v="Estimated value"/>
  </r>
  <r>
    <s v="QCL"/>
    <s v="Crops and livestock products"/>
    <n v="729"/>
    <s v="Sudan"/>
    <n v="5312"/>
    <s v="Area harvested"/>
    <s v="01213"/>
    <x v="9"/>
    <n v="2015"/>
    <x v="0"/>
    <s v="ha"/>
    <n v="36"/>
    <s v="A"/>
    <s v="Official figure"/>
  </r>
  <r>
    <s v="QCL"/>
    <s v="Crops and livestock products"/>
    <n v="729"/>
    <s v="Sudan"/>
    <n v="5312"/>
    <s v="Area harvested"/>
    <s v="01213"/>
    <x v="9"/>
    <n v="2016"/>
    <x v="1"/>
    <s v="ha"/>
    <n v="38"/>
    <s v="A"/>
    <s v="Official figure"/>
  </r>
  <r>
    <s v="QCL"/>
    <s v="Crops and livestock products"/>
    <n v="729"/>
    <s v="Sudan"/>
    <n v="5312"/>
    <s v="Area harvested"/>
    <s v="01213"/>
    <x v="9"/>
    <n v="2017"/>
    <x v="2"/>
    <s v="ha"/>
    <n v="37"/>
    <s v="I"/>
    <s v="Imputed value"/>
  </r>
  <r>
    <s v="QCL"/>
    <s v="Crops and livestock products"/>
    <n v="729"/>
    <s v="Sudan"/>
    <n v="5312"/>
    <s v="Area harvested"/>
    <s v="01213"/>
    <x v="9"/>
    <n v="2018"/>
    <x v="3"/>
    <s v="ha"/>
    <n v="37"/>
    <s v="I"/>
    <s v="Imputed value"/>
  </r>
  <r>
    <s v="QCL"/>
    <s v="Crops and livestock products"/>
    <n v="729"/>
    <s v="Sudan"/>
    <n v="5312"/>
    <s v="Area harvested"/>
    <s v="01213"/>
    <x v="9"/>
    <n v="2019"/>
    <x v="4"/>
    <s v="ha"/>
    <n v="37"/>
    <s v="I"/>
    <s v="Imputed value"/>
  </r>
  <r>
    <s v="QCL"/>
    <s v="Crops and livestock products"/>
    <n v="729"/>
    <s v="Sudan"/>
    <n v="5312"/>
    <s v="Area harvested"/>
    <s v="01213"/>
    <x v="9"/>
    <n v="2020"/>
    <x v="5"/>
    <s v="ha"/>
    <n v="37"/>
    <s v="I"/>
    <s v="Imputed value"/>
  </r>
  <r>
    <s v="QCL"/>
    <s v="Crops and livestock products"/>
    <n v="729"/>
    <s v="Sudan"/>
    <n v="5312"/>
    <s v="Area harvested"/>
    <s v="01213"/>
    <x v="9"/>
    <n v="2021"/>
    <x v="6"/>
    <s v="ha"/>
    <n v="36"/>
    <s v="I"/>
    <s v="Imputed value"/>
  </r>
  <r>
    <s v="QCL"/>
    <s v="Crops and livestock products"/>
    <n v="729"/>
    <s v="Sudan"/>
    <n v="5419"/>
    <s v="Yield"/>
    <s v="01213"/>
    <x v="9"/>
    <n v="2015"/>
    <x v="0"/>
    <s v="hg/ha"/>
    <n v="212222"/>
    <s v="A"/>
    <s v="Official figure"/>
  </r>
  <r>
    <s v="QCL"/>
    <s v="Crops and livestock products"/>
    <n v="729"/>
    <s v="Sudan"/>
    <n v="5419"/>
    <s v="Yield"/>
    <s v="01213"/>
    <x v="9"/>
    <n v="2016"/>
    <x v="1"/>
    <s v="hg/ha"/>
    <n v="207105"/>
    <s v="A"/>
    <s v="Official figure"/>
  </r>
  <r>
    <s v="QCL"/>
    <s v="Crops and livestock products"/>
    <n v="729"/>
    <s v="Sudan"/>
    <n v="5419"/>
    <s v="Yield"/>
    <s v="01213"/>
    <x v="9"/>
    <n v="2017"/>
    <x v="2"/>
    <s v="hg/ha"/>
    <n v="208807"/>
    <s v="E"/>
    <s v="Estimated value"/>
  </r>
  <r>
    <s v="QCL"/>
    <s v="Crops and livestock products"/>
    <n v="729"/>
    <s v="Sudan"/>
    <n v="5419"/>
    <s v="Yield"/>
    <s v="01213"/>
    <x v="9"/>
    <n v="2018"/>
    <x v="3"/>
    <s v="hg/ha"/>
    <n v="210383"/>
    <s v="E"/>
    <s v="Estimated value"/>
  </r>
  <r>
    <s v="QCL"/>
    <s v="Crops and livestock products"/>
    <n v="729"/>
    <s v="Sudan"/>
    <n v="5419"/>
    <s v="Yield"/>
    <s v="01213"/>
    <x v="9"/>
    <n v="2019"/>
    <x v="4"/>
    <s v="hg/ha"/>
    <n v="209985"/>
    <s v="E"/>
    <s v="Estimated value"/>
  </r>
  <r>
    <s v="QCL"/>
    <s v="Crops and livestock products"/>
    <n v="729"/>
    <s v="Sudan"/>
    <n v="5419"/>
    <s v="Yield"/>
    <s v="01213"/>
    <x v="9"/>
    <n v="2020"/>
    <x v="5"/>
    <s v="hg/ha"/>
    <n v="211092"/>
    <s v="E"/>
    <s v="Estimated value"/>
  </r>
  <r>
    <s v="QCL"/>
    <s v="Crops and livestock products"/>
    <n v="729"/>
    <s v="Sudan"/>
    <n v="5419"/>
    <s v="Yield"/>
    <s v="01213"/>
    <x v="9"/>
    <n v="2021"/>
    <x v="6"/>
    <s v="hg/ha"/>
    <n v="212200"/>
    <s v="E"/>
    <s v="Estimated value"/>
  </r>
  <r>
    <s v="QCL"/>
    <s v="Crops and livestock products"/>
    <n v="729"/>
    <s v="Sudan"/>
    <n v="5312"/>
    <s v="Area harvested"/>
    <s v="01703"/>
    <x v="10"/>
    <n v="2015"/>
    <x v="0"/>
    <s v="ha"/>
    <n v="7014"/>
    <s v="A"/>
    <s v="Official figure"/>
  </r>
  <r>
    <s v="QCL"/>
    <s v="Crops and livestock products"/>
    <n v="729"/>
    <s v="Sudan"/>
    <n v="5312"/>
    <s v="Area harvested"/>
    <s v="01703"/>
    <x v="10"/>
    <n v="2016"/>
    <x v="1"/>
    <s v="ha"/>
    <n v="7098"/>
    <s v="A"/>
    <s v="Official figure"/>
  </r>
  <r>
    <s v="QCL"/>
    <s v="Crops and livestock products"/>
    <n v="729"/>
    <s v="Sudan"/>
    <n v="5312"/>
    <s v="Area harvested"/>
    <s v="01703"/>
    <x v="10"/>
    <n v="2017"/>
    <x v="2"/>
    <s v="ha"/>
    <n v="14333"/>
    <s v="A"/>
    <s v="Official figure"/>
  </r>
  <r>
    <s v="QCL"/>
    <s v="Crops and livestock products"/>
    <n v="729"/>
    <s v="Sudan"/>
    <n v="5312"/>
    <s v="Area harvested"/>
    <s v="01703"/>
    <x v="10"/>
    <n v="2018"/>
    <x v="3"/>
    <s v="ha"/>
    <n v="15766"/>
    <s v="A"/>
    <s v="Official figure"/>
  </r>
  <r>
    <s v="QCL"/>
    <s v="Crops and livestock products"/>
    <n v="729"/>
    <s v="Sudan"/>
    <n v="5312"/>
    <s v="Area harvested"/>
    <s v="01703"/>
    <x v="10"/>
    <n v="2019"/>
    <x v="4"/>
    <s v="ha"/>
    <n v="18131"/>
    <s v="A"/>
    <s v="Official figure"/>
  </r>
  <r>
    <s v="QCL"/>
    <s v="Crops and livestock products"/>
    <n v="729"/>
    <s v="Sudan"/>
    <n v="5312"/>
    <s v="Area harvested"/>
    <s v="01703"/>
    <x v="10"/>
    <n v="2020"/>
    <x v="5"/>
    <s v="ha"/>
    <n v="20851"/>
    <s v="A"/>
    <s v="Official figure"/>
  </r>
  <r>
    <s v="QCL"/>
    <s v="Crops and livestock products"/>
    <n v="729"/>
    <s v="Sudan"/>
    <n v="5312"/>
    <s v="Area harvested"/>
    <s v="01703"/>
    <x v="10"/>
    <n v="2021"/>
    <x v="6"/>
    <s v="ha"/>
    <n v="22490"/>
    <s v="I"/>
    <s v="Imputed value"/>
  </r>
  <r>
    <s v="QCL"/>
    <s v="Crops and livestock products"/>
    <n v="729"/>
    <s v="Sudan"/>
    <n v="5419"/>
    <s v="Yield"/>
    <s v="01703"/>
    <x v="10"/>
    <n v="2015"/>
    <x v="0"/>
    <s v="hg/ha"/>
    <n v="17251"/>
    <s v="A"/>
    <s v="Official figure"/>
  </r>
  <r>
    <s v="QCL"/>
    <s v="Crops and livestock products"/>
    <n v="729"/>
    <s v="Sudan"/>
    <n v="5419"/>
    <s v="Yield"/>
    <s v="01703"/>
    <x v="10"/>
    <n v="2016"/>
    <x v="1"/>
    <s v="hg/ha"/>
    <n v="17385"/>
    <s v="A"/>
    <s v="Official figure"/>
  </r>
  <r>
    <s v="QCL"/>
    <s v="Crops and livestock products"/>
    <n v="729"/>
    <s v="Sudan"/>
    <n v="5419"/>
    <s v="Yield"/>
    <s v="01703"/>
    <x v="10"/>
    <n v="2017"/>
    <x v="2"/>
    <s v="hg/ha"/>
    <n v="40476"/>
    <s v="A"/>
    <s v="Official figure"/>
  </r>
  <r>
    <s v="QCL"/>
    <s v="Crops and livestock products"/>
    <n v="729"/>
    <s v="Sudan"/>
    <n v="5419"/>
    <s v="Yield"/>
    <s v="01703"/>
    <x v="10"/>
    <n v="2018"/>
    <x v="3"/>
    <s v="hg/ha"/>
    <n v="40475"/>
    <s v="A"/>
    <s v="Official figure"/>
  </r>
  <r>
    <s v="QCL"/>
    <s v="Crops and livestock products"/>
    <n v="729"/>
    <s v="Sudan"/>
    <n v="5419"/>
    <s v="Yield"/>
    <s v="01703"/>
    <x v="10"/>
    <n v="2019"/>
    <x v="4"/>
    <s v="hg/ha"/>
    <n v="40475"/>
    <s v="A"/>
    <s v="Official figure"/>
  </r>
  <r>
    <s v="QCL"/>
    <s v="Crops and livestock products"/>
    <n v="729"/>
    <s v="Sudan"/>
    <n v="5419"/>
    <s v="Yield"/>
    <s v="01703"/>
    <x v="10"/>
    <n v="2020"/>
    <x v="5"/>
    <s v="hg/ha"/>
    <n v="40475"/>
    <s v="A"/>
    <s v="Official figure"/>
  </r>
  <r>
    <s v="QCL"/>
    <s v="Crops and livestock products"/>
    <n v="729"/>
    <s v="Sudan"/>
    <n v="5419"/>
    <s v="Yield"/>
    <s v="01703"/>
    <x v="10"/>
    <n v="2021"/>
    <x v="6"/>
    <s v="hg/ha"/>
    <n v="43207"/>
    <s v="E"/>
    <s v="Estimated value"/>
  </r>
  <r>
    <s v="QCL"/>
    <s v="Crops and livestock products"/>
    <n v="729"/>
    <s v="Sudan"/>
    <n v="5312"/>
    <s v="Area harvested"/>
    <s v="01652"/>
    <x v="11"/>
    <n v="2015"/>
    <x v="0"/>
    <s v="ha"/>
    <n v="3300"/>
    <s v="I"/>
    <s v="Imputed value"/>
  </r>
  <r>
    <s v="QCL"/>
    <s v="Crops and livestock products"/>
    <n v="729"/>
    <s v="Sudan"/>
    <n v="5312"/>
    <s v="Area harvested"/>
    <s v="01652"/>
    <x v="11"/>
    <n v="2016"/>
    <x v="1"/>
    <s v="ha"/>
    <n v="2933"/>
    <s v="E"/>
    <s v="Estimated value"/>
  </r>
  <r>
    <s v="QCL"/>
    <s v="Crops and livestock products"/>
    <n v="729"/>
    <s v="Sudan"/>
    <n v="5312"/>
    <s v="Area harvested"/>
    <s v="01652"/>
    <x v="11"/>
    <n v="2017"/>
    <x v="2"/>
    <s v="ha"/>
    <n v="3109"/>
    <s v="I"/>
    <s v="Imputed value"/>
  </r>
  <r>
    <s v="QCL"/>
    <s v="Crops and livestock products"/>
    <n v="729"/>
    <s v="Sudan"/>
    <n v="5312"/>
    <s v="Area harvested"/>
    <s v="01652"/>
    <x v="11"/>
    <n v="2018"/>
    <x v="3"/>
    <s v="ha"/>
    <n v="3114"/>
    <s v="E"/>
    <s v="Estimated value"/>
  </r>
  <r>
    <s v="QCL"/>
    <s v="Crops and livestock products"/>
    <n v="729"/>
    <s v="Sudan"/>
    <n v="5312"/>
    <s v="Area harvested"/>
    <s v="01652"/>
    <x v="11"/>
    <n v="2019"/>
    <x v="4"/>
    <s v="ha"/>
    <n v="3052"/>
    <s v="E"/>
    <s v="Estimated value"/>
  </r>
  <r>
    <s v="QCL"/>
    <s v="Crops and livestock products"/>
    <n v="729"/>
    <s v="Sudan"/>
    <n v="5312"/>
    <s v="Area harvested"/>
    <s v="01652"/>
    <x v="11"/>
    <n v="2020"/>
    <x v="5"/>
    <s v="ha"/>
    <n v="3092"/>
    <s v="E"/>
    <s v="Estimated value"/>
  </r>
  <r>
    <s v="QCL"/>
    <s v="Crops and livestock products"/>
    <n v="729"/>
    <s v="Sudan"/>
    <n v="5312"/>
    <s v="Area harvested"/>
    <s v="01652"/>
    <x v="11"/>
    <n v="2021"/>
    <x v="6"/>
    <s v="ha"/>
    <n v="3086"/>
    <s v="E"/>
    <s v="Estimated value"/>
  </r>
  <r>
    <s v="QCL"/>
    <s v="Crops and livestock products"/>
    <n v="729"/>
    <s v="Sudan"/>
    <n v="5419"/>
    <s v="Yield"/>
    <s v="01652"/>
    <x v="11"/>
    <n v="2015"/>
    <x v="0"/>
    <s v="hg/ha"/>
    <n v="32105"/>
    <s v="E"/>
    <s v="Estimated value"/>
  </r>
  <r>
    <s v="QCL"/>
    <s v="Crops and livestock products"/>
    <n v="729"/>
    <s v="Sudan"/>
    <n v="5419"/>
    <s v="Yield"/>
    <s v="01652"/>
    <x v="11"/>
    <n v="2016"/>
    <x v="1"/>
    <s v="hg/ha"/>
    <n v="34198"/>
    <s v="E"/>
    <s v="Estimated value"/>
  </r>
  <r>
    <s v="QCL"/>
    <s v="Crops and livestock products"/>
    <n v="729"/>
    <s v="Sudan"/>
    <n v="5419"/>
    <s v="Yield"/>
    <s v="01652"/>
    <x v="11"/>
    <n v="2017"/>
    <x v="2"/>
    <s v="hg/ha"/>
    <n v="33236"/>
    <s v="E"/>
    <s v="Estimated value"/>
  </r>
  <r>
    <s v="QCL"/>
    <s v="Crops and livestock products"/>
    <n v="729"/>
    <s v="Sudan"/>
    <n v="5419"/>
    <s v="Yield"/>
    <s v="01652"/>
    <x v="11"/>
    <n v="2018"/>
    <x v="3"/>
    <s v="hg/ha"/>
    <n v="33139"/>
    <s v="E"/>
    <s v="Estimated value"/>
  </r>
  <r>
    <s v="QCL"/>
    <s v="Crops and livestock products"/>
    <n v="729"/>
    <s v="Sudan"/>
    <n v="5419"/>
    <s v="Yield"/>
    <s v="01652"/>
    <x v="11"/>
    <n v="2019"/>
    <x v="4"/>
    <s v="hg/ha"/>
    <n v="33511"/>
    <s v="E"/>
    <s v="Estimated value"/>
  </r>
  <r>
    <s v="QCL"/>
    <s v="Crops and livestock products"/>
    <n v="729"/>
    <s v="Sudan"/>
    <n v="5419"/>
    <s v="Yield"/>
    <s v="01652"/>
    <x v="11"/>
    <n v="2020"/>
    <x v="5"/>
    <s v="hg/ha"/>
    <n v="33294"/>
    <s v="E"/>
    <s v="Estimated value"/>
  </r>
  <r>
    <s v="QCL"/>
    <s v="Crops and livestock products"/>
    <n v="729"/>
    <s v="Sudan"/>
    <n v="5419"/>
    <s v="Yield"/>
    <s v="01652"/>
    <x v="11"/>
    <n v="2021"/>
    <x v="6"/>
    <s v="hg/ha"/>
    <n v="33313"/>
    <s v="E"/>
    <s v="Estimated value"/>
  </r>
  <r>
    <s v="QCL"/>
    <s v="Crops and livestock products"/>
    <n v="729"/>
    <s v="Sudan"/>
    <n v="5312"/>
    <s v="Area harvested"/>
    <s v="01231"/>
    <x v="12"/>
    <n v="2015"/>
    <x v="0"/>
    <s v="ha"/>
    <n v="4620"/>
    <s v="A"/>
    <s v="Official figure"/>
  </r>
  <r>
    <s v="QCL"/>
    <s v="Crops and livestock products"/>
    <n v="729"/>
    <s v="Sudan"/>
    <n v="5312"/>
    <s v="Area harvested"/>
    <s v="01231"/>
    <x v="12"/>
    <n v="2016"/>
    <x v="1"/>
    <s v="ha"/>
    <n v="5145"/>
    <s v="A"/>
    <s v="Official figure"/>
  </r>
  <r>
    <s v="QCL"/>
    <s v="Crops and livestock products"/>
    <n v="729"/>
    <s v="Sudan"/>
    <n v="5312"/>
    <s v="Area harvested"/>
    <s v="01231"/>
    <x v="12"/>
    <n v="2017"/>
    <x v="2"/>
    <s v="ha"/>
    <n v="5172"/>
    <s v="A"/>
    <s v="Official figure"/>
  </r>
  <r>
    <s v="QCL"/>
    <s v="Crops and livestock products"/>
    <n v="729"/>
    <s v="Sudan"/>
    <n v="5312"/>
    <s v="Area harvested"/>
    <s v="01231"/>
    <x v="12"/>
    <n v="2018"/>
    <x v="3"/>
    <s v="ha"/>
    <n v="6036"/>
    <s v="I"/>
    <s v="Imputed value"/>
  </r>
  <r>
    <s v="QCL"/>
    <s v="Crops and livestock products"/>
    <n v="729"/>
    <s v="Sudan"/>
    <n v="5312"/>
    <s v="Area harvested"/>
    <s v="01231"/>
    <x v="12"/>
    <n v="2019"/>
    <x v="4"/>
    <s v="ha"/>
    <n v="7487"/>
    <s v="I"/>
    <s v="Imputed value"/>
  </r>
  <r>
    <s v="QCL"/>
    <s v="Crops and livestock products"/>
    <n v="729"/>
    <s v="Sudan"/>
    <n v="5312"/>
    <s v="Area harvested"/>
    <s v="01231"/>
    <x v="12"/>
    <n v="2020"/>
    <x v="5"/>
    <s v="ha"/>
    <n v="7828"/>
    <s v="I"/>
    <s v="Imputed value"/>
  </r>
  <r>
    <s v="QCL"/>
    <s v="Crops and livestock products"/>
    <n v="729"/>
    <s v="Sudan"/>
    <n v="5312"/>
    <s v="Area harvested"/>
    <s v="01231"/>
    <x v="12"/>
    <n v="2021"/>
    <x v="6"/>
    <s v="ha"/>
    <n v="8548"/>
    <s v="I"/>
    <s v="Imputed value"/>
  </r>
  <r>
    <s v="QCL"/>
    <s v="Crops and livestock products"/>
    <n v="729"/>
    <s v="Sudan"/>
    <n v="5419"/>
    <s v="Yield"/>
    <s v="01231"/>
    <x v="12"/>
    <n v="2015"/>
    <x v="0"/>
    <s v="hg/ha"/>
    <n v="61688"/>
    <s v="A"/>
    <s v="Official figure"/>
  </r>
  <r>
    <s v="QCL"/>
    <s v="Crops and livestock products"/>
    <n v="729"/>
    <s v="Sudan"/>
    <n v="5419"/>
    <s v="Yield"/>
    <s v="01231"/>
    <x v="12"/>
    <n v="2016"/>
    <x v="1"/>
    <s v="hg/ha"/>
    <n v="74052"/>
    <s v="A"/>
    <s v="Official figure"/>
  </r>
  <r>
    <s v="QCL"/>
    <s v="Crops and livestock products"/>
    <n v="729"/>
    <s v="Sudan"/>
    <n v="5419"/>
    <s v="Yield"/>
    <s v="01231"/>
    <x v="12"/>
    <n v="2017"/>
    <x v="2"/>
    <s v="hg/ha"/>
    <n v="74246"/>
    <s v="A"/>
    <s v="Official figure"/>
  </r>
  <r>
    <s v="QCL"/>
    <s v="Crops and livestock products"/>
    <n v="729"/>
    <s v="Sudan"/>
    <n v="5419"/>
    <s v="Yield"/>
    <s v="01231"/>
    <x v="12"/>
    <n v="2018"/>
    <x v="3"/>
    <s v="hg/ha"/>
    <n v="72608"/>
    <s v="E"/>
    <s v="Estimated value"/>
  </r>
  <r>
    <s v="QCL"/>
    <s v="Crops and livestock products"/>
    <n v="729"/>
    <s v="Sudan"/>
    <n v="5419"/>
    <s v="Yield"/>
    <s v="01231"/>
    <x v="12"/>
    <n v="2019"/>
    <x v="4"/>
    <s v="hg/ha"/>
    <n v="70010"/>
    <s v="E"/>
    <s v="Estimated value"/>
  </r>
  <r>
    <s v="QCL"/>
    <s v="Crops and livestock products"/>
    <n v="729"/>
    <s v="Sudan"/>
    <n v="5419"/>
    <s v="Yield"/>
    <s v="01231"/>
    <x v="12"/>
    <n v="2020"/>
    <x v="5"/>
    <s v="hg/ha"/>
    <n v="70363"/>
    <s v="E"/>
    <s v="Estimated value"/>
  </r>
  <r>
    <s v="QCL"/>
    <s v="Crops and livestock products"/>
    <n v="729"/>
    <s v="Sudan"/>
    <n v="5419"/>
    <s v="Yield"/>
    <s v="01231"/>
    <x v="12"/>
    <n v="2021"/>
    <x v="6"/>
    <s v="hg/ha"/>
    <n v="70273"/>
    <s v="E"/>
    <s v="Estimated value"/>
  </r>
  <r>
    <s v="QCL"/>
    <s v="Crops and livestock products"/>
    <n v="729"/>
    <s v="Sudan"/>
    <n v="5312"/>
    <s v="Area harvested"/>
    <s v="01706"/>
    <x v="13"/>
    <n v="2015"/>
    <x v="0"/>
    <s v="ha"/>
    <n v="169260"/>
    <s v="A"/>
    <s v="Official figure"/>
  </r>
  <r>
    <s v="QCL"/>
    <s v="Crops and livestock products"/>
    <n v="729"/>
    <s v="Sudan"/>
    <n v="5312"/>
    <s v="Area harvested"/>
    <s v="01706"/>
    <x v="13"/>
    <n v="2016"/>
    <x v="1"/>
    <s v="ha"/>
    <n v="307860"/>
    <s v="A"/>
    <s v="Official figure"/>
  </r>
  <r>
    <s v="QCL"/>
    <s v="Crops and livestock products"/>
    <n v="729"/>
    <s v="Sudan"/>
    <n v="5312"/>
    <s v="Area harvested"/>
    <s v="01706"/>
    <x v="13"/>
    <n v="2017"/>
    <x v="2"/>
    <s v="ha"/>
    <n v="158936"/>
    <s v="A"/>
    <s v="Official figure"/>
  </r>
  <r>
    <s v="QCL"/>
    <s v="Crops and livestock products"/>
    <n v="729"/>
    <s v="Sudan"/>
    <n v="5312"/>
    <s v="Area harvested"/>
    <s v="01706"/>
    <x v="13"/>
    <n v="2018"/>
    <x v="3"/>
    <s v="ha"/>
    <n v="135332"/>
    <s v="A"/>
    <s v="Official figure"/>
  </r>
  <r>
    <s v="QCL"/>
    <s v="Crops and livestock products"/>
    <n v="729"/>
    <s v="Sudan"/>
    <n v="5312"/>
    <s v="Area harvested"/>
    <s v="01706"/>
    <x v="13"/>
    <n v="2019"/>
    <x v="4"/>
    <s v="ha"/>
    <n v="339780"/>
    <s v="A"/>
    <s v="Official figure"/>
  </r>
  <r>
    <s v="QCL"/>
    <s v="Crops and livestock products"/>
    <n v="729"/>
    <s v="Sudan"/>
    <n v="5312"/>
    <s v="Area harvested"/>
    <s v="01706"/>
    <x v="13"/>
    <n v="2020"/>
    <x v="5"/>
    <s v="ha"/>
    <n v="853088"/>
    <s v="A"/>
    <s v="Official figure"/>
  </r>
  <r>
    <s v="QCL"/>
    <s v="Crops and livestock products"/>
    <n v="729"/>
    <s v="Sudan"/>
    <n v="5312"/>
    <s v="Area harvested"/>
    <s v="01706"/>
    <x v="13"/>
    <n v="2021"/>
    <x v="6"/>
    <s v="ha"/>
    <n v="221353"/>
    <s v="E"/>
    <s v="Estimated value"/>
  </r>
  <r>
    <s v="QCL"/>
    <s v="Crops and livestock products"/>
    <n v="729"/>
    <s v="Sudan"/>
    <n v="5419"/>
    <s v="Yield"/>
    <s v="01706"/>
    <x v="13"/>
    <n v="2015"/>
    <x v="0"/>
    <s v="hg/ha"/>
    <n v="2777"/>
    <s v="A"/>
    <s v="Official figure"/>
  </r>
  <r>
    <s v="QCL"/>
    <s v="Crops and livestock products"/>
    <n v="729"/>
    <s v="Sudan"/>
    <n v="5419"/>
    <s v="Yield"/>
    <s v="01706"/>
    <x v="13"/>
    <n v="2016"/>
    <x v="1"/>
    <s v="hg/ha"/>
    <n v="5360"/>
    <s v="A"/>
    <s v="Official figure"/>
  </r>
  <r>
    <s v="QCL"/>
    <s v="Crops and livestock products"/>
    <n v="729"/>
    <s v="Sudan"/>
    <n v="5419"/>
    <s v="Yield"/>
    <s v="01706"/>
    <x v="13"/>
    <n v="2017"/>
    <x v="2"/>
    <s v="hg/ha"/>
    <n v="10382"/>
    <s v="A"/>
    <s v="Official figure"/>
  </r>
  <r>
    <s v="QCL"/>
    <s v="Crops and livestock products"/>
    <n v="729"/>
    <s v="Sudan"/>
    <n v="5419"/>
    <s v="Yield"/>
    <s v="01706"/>
    <x v="13"/>
    <n v="2018"/>
    <x v="3"/>
    <s v="hg/ha"/>
    <n v="12924"/>
    <s v="A"/>
    <s v="Official figure"/>
  </r>
  <r>
    <s v="QCL"/>
    <s v="Crops and livestock products"/>
    <n v="729"/>
    <s v="Sudan"/>
    <n v="5419"/>
    <s v="Yield"/>
    <s v="01706"/>
    <x v="13"/>
    <n v="2019"/>
    <x v="4"/>
    <s v="hg/ha"/>
    <n v="4738"/>
    <s v="A"/>
    <s v="Official figure"/>
  </r>
  <r>
    <s v="QCL"/>
    <s v="Crops and livestock products"/>
    <n v="729"/>
    <s v="Sudan"/>
    <n v="5419"/>
    <s v="Yield"/>
    <s v="01706"/>
    <x v="13"/>
    <n v="2020"/>
    <x v="5"/>
    <s v="hg/ha"/>
    <n v="1737"/>
    <s v="A"/>
    <s v="Official figure"/>
  </r>
  <r>
    <s v="QCL"/>
    <s v="Crops and livestock products"/>
    <n v="729"/>
    <s v="Sudan"/>
    <n v="5419"/>
    <s v="Yield"/>
    <s v="01706"/>
    <x v="13"/>
    <n v="2021"/>
    <x v="6"/>
    <s v="hg/ha"/>
    <n v="7445"/>
    <s v="E"/>
    <s v="Estimated value"/>
  </r>
  <r>
    <s v="QCL"/>
    <s v="Crops and livestock products"/>
    <n v="729"/>
    <s v="Sudan"/>
    <n v="5312"/>
    <s v="Area harvested"/>
    <s v="01232"/>
    <x v="14"/>
    <n v="2015"/>
    <x v="0"/>
    <s v="ha"/>
    <n v="14826"/>
    <s v="A"/>
    <s v="Official figure"/>
  </r>
  <r>
    <s v="QCL"/>
    <s v="Crops and livestock products"/>
    <n v="729"/>
    <s v="Sudan"/>
    <n v="5312"/>
    <s v="Area harvested"/>
    <s v="01232"/>
    <x v="14"/>
    <n v="2016"/>
    <x v="1"/>
    <s v="ha"/>
    <n v="28308"/>
    <s v="A"/>
    <s v="Official figure"/>
  </r>
  <r>
    <s v="QCL"/>
    <s v="Crops and livestock products"/>
    <n v="729"/>
    <s v="Sudan"/>
    <n v="5312"/>
    <s v="Area harvested"/>
    <s v="01232"/>
    <x v="14"/>
    <n v="2017"/>
    <x v="2"/>
    <s v="ha"/>
    <n v="11226"/>
    <s v="A"/>
    <s v="Official figure"/>
  </r>
  <r>
    <s v="QCL"/>
    <s v="Crops and livestock products"/>
    <n v="729"/>
    <s v="Sudan"/>
    <n v="5312"/>
    <s v="Area harvested"/>
    <s v="01232"/>
    <x v="14"/>
    <n v="2018"/>
    <x v="3"/>
    <s v="ha"/>
    <n v="14476"/>
    <s v="I"/>
    <s v="Imputed value"/>
  </r>
  <r>
    <s v="QCL"/>
    <s v="Crops and livestock products"/>
    <n v="729"/>
    <s v="Sudan"/>
    <n v="5312"/>
    <s v="Area harvested"/>
    <s v="01232"/>
    <x v="14"/>
    <n v="2019"/>
    <x v="4"/>
    <s v="ha"/>
    <n v="19030"/>
    <s v="I"/>
    <s v="Imputed value"/>
  </r>
  <r>
    <s v="QCL"/>
    <s v="Crops and livestock products"/>
    <n v="729"/>
    <s v="Sudan"/>
    <n v="5312"/>
    <s v="Area harvested"/>
    <s v="01232"/>
    <x v="14"/>
    <n v="2020"/>
    <x v="5"/>
    <s v="ha"/>
    <n v="19841"/>
    <s v="I"/>
    <s v="Imputed value"/>
  </r>
  <r>
    <s v="QCL"/>
    <s v="Crops and livestock products"/>
    <n v="729"/>
    <s v="Sudan"/>
    <n v="5312"/>
    <s v="Area harvested"/>
    <s v="01232"/>
    <x v="14"/>
    <n v="2021"/>
    <x v="6"/>
    <s v="ha"/>
    <n v="21063"/>
    <s v="I"/>
    <s v="Imputed value"/>
  </r>
  <r>
    <s v="QCL"/>
    <s v="Crops and livestock products"/>
    <n v="729"/>
    <s v="Sudan"/>
    <n v="5419"/>
    <s v="Yield"/>
    <s v="01232"/>
    <x v="14"/>
    <n v="2015"/>
    <x v="0"/>
    <s v="hg/ha"/>
    <n v="158573"/>
    <s v="A"/>
    <s v="Official figure"/>
  </r>
  <r>
    <s v="QCL"/>
    <s v="Crops and livestock products"/>
    <n v="729"/>
    <s v="Sudan"/>
    <n v="5419"/>
    <s v="Yield"/>
    <s v="01232"/>
    <x v="14"/>
    <n v="2016"/>
    <x v="1"/>
    <s v="hg/ha"/>
    <n v="87890"/>
    <s v="A"/>
    <s v="Official figure"/>
  </r>
  <r>
    <s v="QCL"/>
    <s v="Crops and livestock products"/>
    <n v="729"/>
    <s v="Sudan"/>
    <n v="5419"/>
    <s v="Yield"/>
    <s v="01232"/>
    <x v="14"/>
    <n v="2017"/>
    <x v="2"/>
    <s v="hg/ha"/>
    <n v="192558"/>
    <s v="A"/>
    <s v="Official figure"/>
  </r>
  <r>
    <s v="QCL"/>
    <s v="Crops and livestock products"/>
    <n v="729"/>
    <s v="Sudan"/>
    <n v="5419"/>
    <s v="Yield"/>
    <s v="01232"/>
    <x v="14"/>
    <n v="2018"/>
    <x v="3"/>
    <s v="hg/ha"/>
    <n v="156024"/>
    <s v="E"/>
    <s v="Estimated value"/>
  </r>
  <r>
    <s v="QCL"/>
    <s v="Crops and livestock products"/>
    <n v="729"/>
    <s v="Sudan"/>
    <n v="5419"/>
    <s v="Yield"/>
    <s v="01232"/>
    <x v="14"/>
    <n v="2019"/>
    <x v="4"/>
    <s v="hg/ha"/>
    <n v="153896"/>
    <s v="E"/>
    <s v="Estimated value"/>
  </r>
  <r>
    <s v="QCL"/>
    <s v="Crops and livestock products"/>
    <n v="729"/>
    <s v="Sudan"/>
    <n v="5419"/>
    <s v="Yield"/>
    <s v="01232"/>
    <x v="14"/>
    <n v="2020"/>
    <x v="5"/>
    <s v="hg/ha"/>
    <n v="154857"/>
    <s v="E"/>
    <s v="Estimated value"/>
  </r>
  <r>
    <s v="QCL"/>
    <s v="Crops and livestock products"/>
    <n v="729"/>
    <s v="Sudan"/>
    <n v="5419"/>
    <s v="Yield"/>
    <s v="01232"/>
    <x v="14"/>
    <n v="2021"/>
    <x v="6"/>
    <s v="hg/ha"/>
    <n v="157338"/>
    <s v="E"/>
    <s v="Estimated value"/>
  </r>
  <r>
    <s v="QCL"/>
    <s v="Crops and livestock products"/>
    <n v="729"/>
    <s v="Sudan"/>
    <n v="5312"/>
    <s v="Area harvested"/>
    <s v="01314"/>
    <x v="15"/>
    <n v="2015"/>
    <x v="0"/>
    <s v="ha"/>
    <n v="37086"/>
    <s v="A"/>
    <s v="Official figure"/>
  </r>
  <r>
    <s v="QCL"/>
    <s v="Crops and livestock products"/>
    <n v="729"/>
    <s v="Sudan"/>
    <n v="5312"/>
    <s v="Area harvested"/>
    <s v="01314"/>
    <x v="15"/>
    <n v="2016"/>
    <x v="1"/>
    <s v="ha"/>
    <n v="37212"/>
    <s v="A"/>
    <s v="Official figure"/>
  </r>
  <r>
    <s v="QCL"/>
    <s v="Crops and livestock products"/>
    <n v="729"/>
    <s v="Sudan"/>
    <n v="5312"/>
    <s v="Area harvested"/>
    <s v="01314"/>
    <x v="15"/>
    <n v="2017"/>
    <x v="2"/>
    <s v="ha"/>
    <n v="37000"/>
    <s v="A"/>
    <s v="Official figure"/>
  </r>
  <r>
    <s v="QCL"/>
    <s v="Crops and livestock products"/>
    <n v="729"/>
    <s v="Sudan"/>
    <n v="5312"/>
    <s v="Area harvested"/>
    <s v="01314"/>
    <x v="15"/>
    <n v="2018"/>
    <x v="3"/>
    <s v="ha"/>
    <n v="37000"/>
    <s v="A"/>
    <s v="Official figure"/>
  </r>
  <r>
    <s v="QCL"/>
    <s v="Crops and livestock products"/>
    <n v="729"/>
    <s v="Sudan"/>
    <n v="5312"/>
    <s v="Area harvested"/>
    <s v="01314"/>
    <x v="15"/>
    <n v="2019"/>
    <x v="4"/>
    <s v="ha"/>
    <n v="37000"/>
    <s v="A"/>
    <s v="Official figure"/>
  </r>
  <r>
    <s v="QCL"/>
    <s v="Crops and livestock products"/>
    <n v="729"/>
    <s v="Sudan"/>
    <n v="5312"/>
    <s v="Area harvested"/>
    <s v="01314"/>
    <x v="15"/>
    <n v="2020"/>
    <x v="5"/>
    <s v="ha"/>
    <n v="37000"/>
    <s v="A"/>
    <s v="Official figure"/>
  </r>
  <r>
    <s v="QCL"/>
    <s v="Crops and livestock products"/>
    <n v="729"/>
    <s v="Sudan"/>
    <n v="5312"/>
    <s v="Area harvested"/>
    <s v="01314"/>
    <x v="15"/>
    <n v="2021"/>
    <x v="6"/>
    <s v="ha"/>
    <n v="37249"/>
    <s v="I"/>
    <s v="Imputed value"/>
  </r>
  <r>
    <s v="QCL"/>
    <s v="Crops and livestock products"/>
    <n v="729"/>
    <s v="Sudan"/>
    <n v="5419"/>
    <s v="Yield"/>
    <s v="01314"/>
    <x v="15"/>
    <n v="2015"/>
    <x v="0"/>
    <s v="hg/ha"/>
    <n v="118400"/>
    <s v="A"/>
    <s v="Official figure"/>
  </r>
  <r>
    <s v="QCL"/>
    <s v="Crops and livestock products"/>
    <n v="729"/>
    <s v="Sudan"/>
    <n v="5419"/>
    <s v="Yield"/>
    <s v="01314"/>
    <x v="15"/>
    <n v="2016"/>
    <x v="1"/>
    <s v="hg/ha"/>
    <n v="118005"/>
    <s v="A"/>
    <s v="Official figure"/>
  </r>
  <r>
    <s v="QCL"/>
    <s v="Crops and livestock products"/>
    <n v="729"/>
    <s v="Sudan"/>
    <n v="5419"/>
    <s v="Yield"/>
    <s v="01314"/>
    <x v="15"/>
    <n v="2017"/>
    <x v="2"/>
    <s v="hg/ha"/>
    <n v="119459"/>
    <s v="A"/>
    <s v="Official figure"/>
  </r>
  <r>
    <s v="QCL"/>
    <s v="Crops and livestock products"/>
    <n v="729"/>
    <s v="Sudan"/>
    <n v="5419"/>
    <s v="Yield"/>
    <s v="01314"/>
    <x v="15"/>
    <n v="2018"/>
    <x v="3"/>
    <s v="hg/ha"/>
    <n v="111784"/>
    <s v="A"/>
    <s v="Official figure"/>
  </r>
  <r>
    <s v="QCL"/>
    <s v="Crops and livestock products"/>
    <n v="729"/>
    <s v="Sudan"/>
    <n v="5419"/>
    <s v="Yield"/>
    <s v="01314"/>
    <x v="15"/>
    <n v="2019"/>
    <x v="4"/>
    <s v="hg/ha"/>
    <n v="118568"/>
    <s v="A"/>
    <s v="Official figure"/>
  </r>
  <r>
    <s v="QCL"/>
    <s v="Crops and livestock products"/>
    <n v="729"/>
    <s v="Sudan"/>
    <n v="5419"/>
    <s v="Yield"/>
    <s v="01314"/>
    <x v="15"/>
    <n v="2020"/>
    <x v="5"/>
    <s v="hg/ha"/>
    <n v="125763"/>
    <s v="A"/>
    <s v="Official figure"/>
  </r>
  <r>
    <s v="QCL"/>
    <s v="Crops and livestock products"/>
    <n v="729"/>
    <s v="Sudan"/>
    <n v="5419"/>
    <s v="Yield"/>
    <s v="01314"/>
    <x v="15"/>
    <n v="2021"/>
    <x v="6"/>
    <s v="hg/ha"/>
    <n v="123519"/>
    <s v="E"/>
    <s v="Estimated value"/>
  </r>
  <r>
    <s v="QCL"/>
    <s v="Crops and livestock products"/>
    <n v="729"/>
    <s v="Sudan"/>
    <n v="5312"/>
    <s v="Area harvested"/>
    <s v="01233"/>
    <x v="16"/>
    <n v="2015"/>
    <x v="0"/>
    <s v="ha"/>
    <n v="5166"/>
    <s v="A"/>
    <s v="Official figure"/>
  </r>
  <r>
    <s v="QCL"/>
    <s v="Crops and livestock products"/>
    <n v="729"/>
    <s v="Sudan"/>
    <n v="5312"/>
    <s v="Area harvested"/>
    <s v="01233"/>
    <x v="16"/>
    <n v="2016"/>
    <x v="1"/>
    <s v="ha"/>
    <n v="12810"/>
    <s v="A"/>
    <s v="Official figure"/>
  </r>
  <r>
    <s v="QCL"/>
    <s v="Crops and livestock products"/>
    <n v="729"/>
    <s v="Sudan"/>
    <n v="5312"/>
    <s v="Area harvested"/>
    <s v="01233"/>
    <x v="16"/>
    <n v="2017"/>
    <x v="2"/>
    <s v="ha"/>
    <n v="13066"/>
    <s v="A"/>
    <s v="Official figure"/>
  </r>
  <r>
    <s v="QCL"/>
    <s v="Crops and livestock products"/>
    <n v="729"/>
    <s v="Sudan"/>
    <n v="5312"/>
    <s v="Area harvested"/>
    <s v="01233"/>
    <x v="16"/>
    <n v="2018"/>
    <x v="3"/>
    <s v="ha"/>
    <n v="8611"/>
    <s v="E"/>
    <s v="Estimated value"/>
  </r>
  <r>
    <s v="QCL"/>
    <s v="Crops and livestock products"/>
    <n v="729"/>
    <s v="Sudan"/>
    <n v="5312"/>
    <s v="Area harvested"/>
    <s v="01233"/>
    <x v="16"/>
    <n v="2019"/>
    <x v="4"/>
    <s v="ha"/>
    <n v="8855"/>
    <s v="E"/>
    <s v="Estimated value"/>
  </r>
  <r>
    <s v="QCL"/>
    <s v="Crops and livestock products"/>
    <n v="729"/>
    <s v="Sudan"/>
    <n v="5312"/>
    <s v="Area harvested"/>
    <s v="01233"/>
    <x v="16"/>
    <n v="2020"/>
    <x v="5"/>
    <s v="ha"/>
    <n v="9072"/>
    <s v="E"/>
    <s v="Estimated value"/>
  </r>
  <r>
    <s v="QCL"/>
    <s v="Crops and livestock products"/>
    <n v="729"/>
    <s v="Sudan"/>
    <n v="5312"/>
    <s v="Area harvested"/>
    <s v="01233"/>
    <x v="16"/>
    <n v="2021"/>
    <x v="6"/>
    <s v="ha"/>
    <n v="9296"/>
    <s v="E"/>
    <s v="Estimated value"/>
  </r>
  <r>
    <s v="QCL"/>
    <s v="Crops and livestock products"/>
    <n v="729"/>
    <s v="Sudan"/>
    <n v="5419"/>
    <s v="Yield"/>
    <s v="01233"/>
    <x v="16"/>
    <n v="2015"/>
    <x v="0"/>
    <s v="hg/ha"/>
    <n v="164731"/>
    <s v="A"/>
    <s v="Official figure"/>
  </r>
  <r>
    <s v="QCL"/>
    <s v="Crops and livestock products"/>
    <n v="729"/>
    <s v="Sudan"/>
    <n v="5419"/>
    <s v="Yield"/>
    <s v="01233"/>
    <x v="16"/>
    <n v="2016"/>
    <x v="1"/>
    <s v="hg/ha"/>
    <n v="68150"/>
    <s v="A"/>
    <s v="Official figure"/>
  </r>
  <r>
    <s v="QCL"/>
    <s v="Crops and livestock products"/>
    <n v="729"/>
    <s v="Sudan"/>
    <n v="5419"/>
    <s v="Yield"/>
    <s v="01233"/>
    <x v="16"/>
    <n v="2017"/>
    <x v="2"/>
    <s v="hg/ha"/>
    <n v="68151"/>
    <s v="A"/>
    <s v="Official figure"/>
  </r>
  <r>
    <s v="QCL"/>
    <s v="Crops and livestock products"/>
    <n v="729"/>
    <s v="Sudan"/>
    <n v="5419"/>
    <s v="Yield"/>
    <s v="01233"/>
    <x v="16"/>
    <n v="2018"/>
    <x v="3"/>
    <s v="hg/ha"/>
    <n v="106800"/>
    <s v="E"/>
    <s v="Estimated value"/>
  </r>
  <r>
    <s v="QCL"/>
    <s v="Crops and livestock products"/>
    <n v="729"/>
    <s v="Sudan"/>
    <n v="5419"/>
    <s v="Yield"/>
    <s v="01233"/>
    <x v="16"/>
    <n v="2019"/>
    <x v="4"/>
    <s v="hg/ha"/>
    <n v="106800"/>
    <s v="E"/>
    <s v="Estimated value"/>
  </r>
  <r>
    <s v="QCL"/>
    <s v="Crops and livestock products"/>
    <n v="729"/>
    <s v="Sudan"/>
    <n v="5419"/>
    <s v="Yield"/>
    <s v="01233"/>
    <x v="16"/>
    <n v="2020"/>
    <x v="5"/>
    <s v="hg/ha"/>
    <n v="106800"/>
    <s v="E"/>
    <s v="Estimated value"/>
  </r>
  <r>
    <s v="QCL"/>
    <s v="Crops and livestock products"/>
    <n v="729"/>
    <s v="Sudan"/>
    <n v="5419"/>
    <s v="Yield"/>
    <s v="01233"/>
    <x v="16"/>
    <n v="2021"/>
    <x v="6"/>
    <s v="hg/ha"/>
    <n v="106800"/>
    <s v="E"/>
    <s v="Estimated value"/>
  </r>
  <r>
    <s v="QCL"/>
    <s v="Crops and livestock products"/>
    <n v="729"/>
    <s v="Sudan"/>
    <n v="5312"/>
    <s v="Area harvested"/>
    <s v="01252"/>
    <x v="17"/>
    <n v="2015"/>
    <x v="0"/>
    <s v="ha"/>
    <n v="6505"/>
    <s v="I"/>
    <s v="Imputed value"/>
  </r>
  <r>
    <s v="QCL"/>
    <s v="Crops and livestock products"/>
    <n v="729"/>
    <s v="Sudan"/>
    <n v="5312"/>
    <s v="Area harvested"/>
    <s v="01252"/>
    <x v="17"/>
    <n v="2016"/>
    <x v="1"/>
    <s v="ha"/>
    <n v="4006"/>
    <s v="I"/>
    <s v="Imputed value"/>
  </r>
  <r>
    <s v="QCL"/>
    <s v="Crops and livestock products"/>
    <n v="729"/>
    <s v="Sudan"/>
    <n v="5312"/>
    <s v="Area harvested"/>
    <s v="01252"/>
    <x v="17"/>
    <n v="2017"/>
    <x v="2"/>
    <s v="ha"/>
    <n v="1714"/>
    <s v="A"/>
    <s v="Official figure"/>
  </r>
  <r>
    <s v="QCL"/>
    <s v="Crops and livestock products"/>
    <n v="729"/>
    <s v="Sudan"/>
    <n v="5312"/>
    <s v="Area harvested"/>
    <s v="01252"/>
    <x v="17"/>
    <n v="2018"/>
    <x v="3"/>
    <s v="ha"/>
    <n v="618"/>
    <s v="I"/>
    <s v="Imputed value"/>
  </r>
  <r>
    <s v="QCL"/>
    <s v="Crops and livestock products"/>
    <n v="729"/>
    <s v="Sudan"/>
    <n v="5312"/>
    <s v="Area harvested"/>
    <s v="01252"/>
    <x v="17"/>
    <n v="2019"/>
    <x v="4"/>
    <s v="ha"/>
    <n v="2820"/>
    <s v="I"/>
    <s v="Imputed value"/>
  </r>
  <r>
    <s v="QCL"/>
    <s v="Crops and livestock products"/>
    <n v="729"/>
    <s v="Sudan"/>
    <n v="5312"/>
    <s v="Area harvested"/>
    <s v="01252"/>
    <x v="17"/>
    <n v="2020"/>
    <x v="5"/>
    <s v="ha"/>
    <n v="2936"/>
    <s v="I"/>
    <s v="Imputed value"/>
  </r>
  <r>
    <s v="QCL"/>
    <s v="Crops and livestock products"/>
    <n v="729"/>
    <s v="Sudan"/>
    <n v="5312"/>
    <s v="Area harvested"/>
    <s v="01252"/>
    <x v="17"/>
    <n v="2021"/>
    <x v="6"/>
    <s v="ha"/>
    <n v="2704"/>
    <s v="I"/>
    <s v="Imputed value"/>
  </r>
  <r>
    <s v="QCL"/>
    <s v="Crops and livestock products"/>
    <n v="729"/>
    <s v="Sudan"/>
    <n v="5419"/>
    <s v="Yield"/>
    <s v="01252"/>
    <x v="17"/>
    <n v="2015"/>
    <x v="0"/>
    <s v="hg/ha"/>
    <n v="73155"/>
    <s v="E"/>
    <s v="Estimated value"/>
  </r>
  <r>
    <s v="QCL"/>
    <s v="Crops and livestock products"/>
    <n v="729"/>
    <s v="Sudan"/>
    <n v="5419"/>
    <s v="Yield"/>
    <s v="01252"/>
    <x v="17"/>
    <n v="2016"/>
    <x v="1"/>
    <s v="hg/ha"/>
    <n v="86736"/>
    <s v="E"/>
    <s v="Estimated value"/>
  </r>
  <r>
    <s v="QCL"/>
    <s v="Crops and livestock products"/>
    <n v="729"/>
    <s v="Sudan"/>
    <n v="5419"/>
    <s v="Yield"/>
    <s v="01252"/>
    <x v="17"/>
    <n v="2017"/>
    <x v="2"/>
    <s v="hg/ha"/>
    <n v="105648"/>
    <s v="A"/>
    <s v="Official figure"/>
  </r>
  <r>
    <s v="QCL"/>
    <s v="Crops and livestock products"/>
    <n v="729"/>
    <s v="Sudan"/>
    <n v="5419"/>
    <s v="Yield"/>
    <s v="01252"/>
    <x v="17"/>
    <n v="2018"/>
    <x v="3"/>
    <s v="hg/ha"/>
    <n v="118823"/>
    <s v="E"/>
    <s v="Estimated value"/>
  </r>
  <r>
    <s v="QCL"/>
    <s v="Crops and livestock products"/>
    <n v="729"/>
    <s v="Sudan"/>
    <n v="5419"/>
    <s v="Yield"/>
    <s v="01252"/>
    <x v="17"/>
    <n v="2019"/>
    <x v="4"/>
    <s v="hg/ha"/>
    <n v="133946"/>
    <s v="E"/>
    <s v="Estimated value"/>
  </r>
  <r>
    <s v="QCL"/>
    <s v="Crops and livestock products"/>
    <n v="729"/>
    <s v="Sudan"/>
    <n v="5419"/>
    <s v="Yield"/>
    <s v="01252"/>
    <x v="17"/>
    <n v="2020"/>
    <x v="5"/>
    <s v="hg/ha"/>
    <n v="130197"/>
    <s v="E"/>
    <s v="Estimated value"/>
  </r>
  <r>
    <s v="QCL"/>
    <s v="Crops and livestock products"/>
    <n v="729"/>
    <s v="Sudan"/>
    <n v="5419"/>
    <s v="Yield"/>
    <s v="01252"/>
    <x v="17"/>
    <n v="2021"/>
    <x v="6"/>
    <s v="hg/ha"/>
    <n v="140999"/>
    <s v="E"/>
    <s v="Estimated value"/>
  </r>
  <r>
    <s v="QCL"/>
    <s v="Crops and livestock products"/>
    <n v="729"/>
    <s v="Sudan"/>
    <n v="5312"/>
    <s v="Area harvested"/>
    <s v="0142"/>
    <x v="18"/>
    <n v="2015"/>
    <x v="0"/>
    <s v="ha"/>
    <n v="1464960"/>
    <s v="A"/>
    <s v="Official figure"/>
  </r>
  <r>
    <s v="QCL"/>
    <s v="Crops and livestock products"/>
    <n v="729"/>
    <s v="Sudan"/>
    <n v="5312"/>
    <s v="Area harvested"/>
    <s v="0142"/>
    <x v="18"/>
    <n v="2016"/>
    <x v="1"/>
    <s v="ha"/>
    <n v="2315040"/>
    <s v="A"/>
    <s v="Official figure"/>
  </r>
  <r>
    <s v="QCL"/>
    <s v="Crops and livestock products"/>
    <n v="729"/>
    <s v="Sudan"/>
    <n v="5312"/>
    <s v="Area harvested"/>
    <s v="0142"/>
    <x v="18"/>
    <n v="2017"/>
    <x v="2"/>
    <s v="ha"/>
    <n v="2215000"/>
    <s v="T"/>
    <s v="Unofficial figure"/>
  </r>
  <r>
    <s v="QCL"/>
    <s v="Crops and livestock products"/>
    <n v="729"/>
    <s v="Sudan"/>
    <n v="5312"/>
    <s v="Area harvested"/>
    <s v="0142"/>
    <x v="18"/>
    <n v="2018"/>
    <x v="3"/>
    <s v="ha"/>
    <n v="3064740"/>
    <s v="A"/>
    <s v="Official figure"/>
  </r>
  <r>
    <s v="QCL"/>
    <s v="Crops and livestock products"/>
    <n v="729"/>
    <s v="Sudan"/>
    <n v="5312"/>
    <s v="Area harvested"/>
    <s v="0142"/>
    <x v="18"/>
    <n v="2019"/>
    <x v="4"/>
    <s v="ha"/>
    <n v="3130260"/>
    <s v="A"/>
    <s v="Official figure"/>
  </r>
  <r>
    <s v="QCL"/>
    <s v="Crops and livestock products"/>
    <n v="729"/>
    <s v="Sudan"/>
    <n v="5312"/>
    <s v="Area harvested"/>
    <s v="0142"/>
    <x v="18"/>
    <n v="2020"/>
    <x v="5"/>
    <s v="ha"/>
    <n v="3197181"/>
    <s v="A"/>
    <s v="Official figure"/>
  </r>
  <r>
    <s v="QCL"/>
    <s v="Crops and livestock products"/>
    <n v="729"/>
    <s v="Sudan"/>
    <n v="5312"/>
    <s v="Area harvested"/>
    <s v="0142"/>
    <x v="18"/>
    <n v="2021"/>
    <x v="6"/>
    <s v="ha"/>
    <n v="3936000"/>
    <s v="T"/>
    <s v="Unofficial figure"/>
  </r>
  <r>
    <s v="QCL"/>
    <s v="Crops and livestock products"/>
    <n v="729"/>
    <s v="Sudan"/>
    <n v="5419"/>
    <s v="Yield"/>
    <s v="0142"/>
    <x v="18"/>
    <n v="2015"/>
    <x v="0"/>
    <s v="hg/ha"/>
    <n v="7113"/>
    <s v="A"/>
    <s v="Official figure"/>
  </r>
  <r>
    <s v="QCL"/>
    <s v="Crops and livestock products"/>
    <n v="729"/>
    <s v="Sudan"/>
    <n v="5419"/>
    <s v="Yield"/>
    <s v="0142"/>
    <x v="18"/>
    <n v="2016"/>
    <x v="1"/>
    <s v="hg/ha"/>
    <n v="7888"/>
    <s v="A"/>
    <s v="Official figure"/>
  </r>
  <r>
    <s v="QCL"/>
    <s v="Crops and livestock products"/>
    <n v="729"/>
    <s v="Sudan"/>
    <n v="5419"/>
    <s v="Yield"/>
    <s v="0142"/>
    <x v="18"/>
    <n v="2017"/>
    <x v="2"/>
    <s v="hg/ha"/>
    <n v="7440"/>
    <s v="E"/>
    <s v="Estimated value"/>
  </r>
  <r>
    <s v="QCL"/>
    <s v="Crops and livestock products"/>
    <n v="729"/>
    <s v="Sudan"/>
    <n v="5419"/>
    <s v="Yield"/>
    <s v="0142"/>
    <x v="18"/>
    <n v="2018"/>
    <x v="3"/>
    <s v="hg/ha"/>
    <n v="9410"/>
    <s v="A"/>
    <s v="Official figure"/>
  </r>
  <r>
    <s v="QCL"/>
    <s v="Crops and livestock products"/>
    <n v="729"/>
    <s v="Sudan"/>
    <n v="5419"/>
    <s v="Yield"/>
    <s v="0142"/>
    <x v="18"/>
    <n v="2019"/>
    <x v="4"/>
    <s v="hg/ha"/>
    <n v="9034"/>
    <s v="A"/>
    <s v="Official figure"/>
  </r>
  <r>
    <s v="QCL"/>
    <s v="Crops and livestock products"/>
    <n v="729"/>
    <s v="Sudan"/>
    <n v="5419"/>
    <s v="Yield"/>
    <s v="0142"/>
    <x v="18"/>
    <n v="2020"/>
    <x v="5"/>
    <s v="hg/ha"/>
    <n v="8674"/>
    <s v="A"/>
    <s v="Official figure"/>
  </r>
  <r>
    <s v="QCL"/>
    <s v="Crops and livestock products"/>
    <n v="729"/>
    <s v="Sudan"/>
    <n v="5419"/>
    <s v="Yield"/>
    <s v="0142"/>
    <x v="18"/>
    <n v="2021"/>
    <x v="6"/>
    <s v="hg/ha"/>
    <n v="5983"/>
    <s v="E"/>
    <s v="Estimated value"/>
  </r>
  <r>
    <s v="QCL"/>
    <s v="Crops and livestock products"/>
    <n v="729"/>
    <s v="Sudan"/>
    <n v="5312"/>
    <s v="Area harvested"/>
    <s v="01322"/>
    <x v="19"/>
    <n v="2015"/>
    <x v="0"/>
    <s v="ha"/>
    <n v="23646"/>
    <s v="A"/>
    <s v="Official figure"/>
  </r>
  <r>
    <s v="QCL"/>
    <s v="Crops and livestock products"/>
    <n v="729"/>
    <s v="Sudan"/>
    <n v="5312"/>
    <s v="Area harvested"/>
    <s v="01322"/>
    <x v="19"/>
    <n v="2016"/>
    <x v="1"/>
    <s v="ha"/>
    <n v="30870"/>
    <s v="A"/>
    <s v="Official figure"/>
  </r>
  <r>
    <s v="QCL"/>
    <s v="Crops and livestock products"/>
    <n v="729"/>
    <s v="Sudan"/>
    <n v="5312"/>
    <s v="Area harvested"/>
    <s v="01322"/>
    <x v="19"/>
    <n v="2017"/>
    <x v="2"/>
    <s v="ha"/>
    <n v="32000"/>
    <s v="A"/>
    <s v="Official figure"/>
  </r>
  <r>
    <s v="QCL"/>
    <s v="Crops and livestock products"/>
    <n v="729"/>
    <s v="Sudan"/>
    <n v="5312"/>
    <s v="Area harvested"/>
    <s v="01322"/>
    <x v="19"/>
    <n v="2018"/>
    <x v="3"/>
    <s v="ha"/>
    <n v="32000"/>
    <s v="A"/>
    <s v="Official figure"/>
  </r>
  <r>
    <s v="QCL"/>
    <s v="Crops and livestock products"/>
    <n v="729"/>
    <s v="Sudan"/>
    <n v="5312"/>
    <s v="Area harvested"/>
    <s v="01322"/>
    <x v="19"/>
    <n v="2019"/>
    <x v="4"/>
    <s v="ha"/>
    <n v="32000"/>
    <s v="A"/>
    <s v="Official figure"/>
  </r>
  <r>
    <s v="QCL"/>
    <s v="Crops and livestock products"/>
    <n v="729"/>
    <s v="Sudan"/>
    <n v="5312"/>
    <s v="Area harvested"/>
    <s v="01322"/>
    <x v="19"/>
    <n v="2020"/>
    <x v="5"/>
    <s v="ha"/>
    <n v="32000"/>
    <s v="A"/>
    <s v="Official figure"/>
  </r>
  <r>
    <s v="QCL"/>
    <s v="Crops and livestock products"/>
    <n v="729"/>
    <s v="Sudan"/>
    <n v="5312"/>
    <s v="Area harvested"/>
    <s v="01322"/>
    <x v="19"/>
    <n v="2021"/>
    <x v="6"/>
    <s v="ha"/>
    <n v="32521"/>
    <s v="I"/>
    <s v="Imputed value"/>
  </r>
  <r>
    <s v="QCL"/>
    <s v="Crops and livestock products"/>
    <n v="729"/>
    <s v="Sudan"/>
    <n v="5419"/>
    <s v="Yield"/>
    <s v="01322"/>
    <x v="19"/>
    <n v="2015"/>
    <x v="0"/>
    <s v="hg/ha"/>
    <n v="113973"/>
    <s v="A"/>
    <s v="Official figure"/>
  </r>
  <r>
    <s v="QCL"/>
    <s v="Crops and livestock products"/>
    <n v="729"/>
    <s v="Sudan"/>
    <n v="5419"/>
    <s v="Yield"/>
    <s v="01322"/>
    <x v="19"/>
    <n v="2016"/>
    <x v="1"/>
    <s v="hg/ha"/>
    <n v="87483"/>
    <s v="A"/>
    <s v="Official figure"/>
  </r>
  <r>
    <s v="QCL"/>
    <s v="Crops and livestock products"/>
    <n v="729"/>
    <s v="Sudan"/>
    <n v="5419"/>
    <s v="Yield"/>
    <s v="01322"/>
    <x v="19"/>
    <n v="2017"/>
    <x v="2"/>
    <s v="hg/ha"/>
    <n v="87781"/>
    <s v="A"/>
    <s v="Official figure"/>
  </r>
  <r>
    <s v="QCL"/>
    <s v="Crops and livestock products"/>
    <n v="729"/>
    <s v="Sudan"/>
    <n v="5419"/>
    <s v="Yield"/>
    <s v="01322"/>
    <x v="19"/>
    <n v="2018"/>
    <x v="3"/>
    <s v="hg/ha"/>
    <n v="96559"/>
    <s v="A"/>
    <s v="Official figure"/>
  </r>
  <r>
    <s v="QCL"/>
    <s v="Crops and livestock products"/>
    <n v="729"/>
    <s v="Sudan"/>
    <n v="5419"/>
    <s v="Yield"/>
    <s v="01322"/>
    <x v="19"/>
    <n v="2019"/>
    <x v="4"/>
    <s v="hg/ha"/>
    <n v="101387"/>
    <s v="A"/>
    <s v="Official figure"/>
  </r>
  <r>
    <s v="QCL"/>
    <s v="Crops and livestock products"/>
    <n v="729"/>
    <s v="Sudan"/>
    <n v="5419"/>
    <s v="Yield"/>
    <s v="01322"/>
    <x v="19"/>
    <n v="2020"/>
    <x v="5"/>
    <s v="hg/ha"/>
    <n v="106457"/>
    <s v="A"/>
    <s v="Official figure"/>
  </r>
  <r>
    <s v="QCL"/>
    <s v="Crops and livestock products"/>
    <n v="729"/>
    <s v="Sudan"/>
    <n v="5419"/>
    <s v="Yield"/>
    <s v="01322"/>
    <x v="19"/>
    <n v="2021"/>
    <x v="6"/>
    <s v="hg/ha"/>
    <n v="109939"/>
    <s v="E"/>
    <s v="Estimated value"/>
  </r>
  <r>
    <s v="QCL"/>
    <s v="Crops and livestock products"/>
    <n v="729"/>
    <s v="Sudan"/>
    <n v="5312"/>
    <s v="Area harvested"/>
    <s v="0112"/>
    <x v="20"/>
    <n v="2015"/>
    <x v="0"/>
    <s v="ha"/>
    <n v="38640"/>
    <s v="A"/>
    <s v="Official figure"/>
  </r>
  <r>
    <s v="QCL"/>
    <s v="Crops and livestock products"/>
    <n v="729"/>
    <s v="Sudan"/>
    <n v="5312"/>
    <s v="Area harvested"/>
    <s v="0112"/>
    <x v="20"/>
    <n v="2016"/>
    <x v="1"/>
    <s v="ha"/>
    <n v="36120"/>
    <s v="A"/>
    <s v="Official figure"/>
  </r>
  <r>
    <s v="QCL"/>
    <s v="Crops and livestock products"/>
    <n v="729"/>
    <s v="Sudan"/>
    <n v="5312"/>
    <s v="Area harvested"/>
    <s v="0112"/>
    <x v="20"/>
    <n v="2017"/>
    <x v="2"/>
    <s v="ha"/>
    <n v="12745"/>
    <s v="I"/>
    <s v="Imputed value"/>
  </r>
  <r>
    <s v="QCL"/>
    <s v="Crops and livestock products"/>
    <n v="729"/>
    <s v="Sudan"/>
    <n v="5312"/>
    <s v="Area harvested"/>
    <s v="0112"/>
    <x v="20"/>
    <n v="2018"/>
    <x v="3"/>
    <s v="ha"/>
    <n v="30660"/>
    <s v="A"/>
    <s v="Official figure"/>
  </r>
  <r>
    <s v="QCL"/>
    <s v="Crops and livestock products"/>
    <n v="729"/>
    <s v="Sudan"/>
    <n v="5312"/>
    <s v="Area harvested"/>
    <s v="0112"/>
    <x v="20"/>
    <n v="2019"/>
    <x v="4"/>
    <s v="ha"/>
    <n v="24360"/>
    <s v="A"/>
    <s v="Official figure"/>
  </r>
  <r>
    <s v="QCL"/>
    <s v="Crops and livestock products"/>
    <n v="729"/>
    <s v="Sudan"/>
    <n v="5312"/>
    <s v="Area harvested"/>
    <s v="0112"/>
    <x v="20"/>
    <n v="2020"/>
    <x v="5"/>
    <s v="ha"/>
    <n v="19355"/>
    <s v="A"/>
    <s v="Official figure"/>
  </r>
  <r>
    <s v="QCL"/>
    <s v="Crops and livestock products"/>
    <n v="729"/>
    <s v="Sudan"/>
    <n v="5312"/>
    <s v="Area harvested"/>
    <s v="0112"/>
    <x v="20"/>
    <n v="2021"/>
    <x v="6"/>
    <s v="ha"/>
    <n v="30034"/>
    <s v="I"/>
    <s v="Imputed value"/>
  </r>
  <r>
    <s v="QCL"/>
    <s v="Crops and livestock products"/>
    <n v="729"/>
    <s v="Sudan"/>
    <n v="5419"/>
    <s v="Yield"/>
    <s v="0112"/>
    <x v="20"/>
    <n v="2015"/>
    <x v="0"/>
    <s v="hg/ha"/>
    <n v="12422"/>
    <s v="A"/>
    <s v="Official figure"/>
  </r>
  <r>
    <s v="QCL"/>
    <s v="Crops and livestock products"/>
    <n v="729"/>
    <s v="Sudan"/>
    <n v="5419"/>
    <s v="Yield"/>
    <s v="0112"/>
    <x v="20"/>
    <n v="2016"/>
    <x v="1"/>
    <s v="hg/ha"/>
    <n v="13843"/>
    <s v="A"/>
    <s v="Official figure"/>
  </r>
  <r>
    <s v="QCL"/>
    <s v="Crops and livestock products"/>
    <n v="729"/>
    <s v="Sudan"/>
    <n v="5419"/>
    <s v="Yield"/>
    <s v="0112"/>
    <x v="20"/>
    <n v="2017"/>
    <x v="2"/>
    <s v="hg/ha"/>
    <n v="13339"/>
    <s v="E"/>
    <s v="Estimated value"/>
  </r>
  <r>
    <s v="QCL"/>
    <s v="Crops and livestock products"/>
    <n v="729"/>
    <s v="Sudan"/>
    <n v="5419"/>
    <s v="Yield"/>
    <s v="0112"/>
    <x v="20"/>
    <n v="2018"/>
    <x v="3"/>
    <s v="hg/ha"/>
    <n v="15003"/>
    <s v="A"/>
    <s v="Official figure"/>
  </r>
  <r>
    <s v="QCL"/>
    <s v="Crops and livestock products"/>
    <n v="729"/>
    <s v="Sudan"/>
    <n v="5419"/>
    <s v="Yield"/>
    <s v="0112"/>
    <x v="20"/>
    <n v="2019"/>
    <x v="4"/>
    <s v="hg/ha"/>
    <n v="10263"/>
    <s v="A"/>
    <s v="Official figure"/>
  </r>
  <r>
    <s v="QCL"/>
    <s v="Crops and livestock products"/>
    <n v="729"/>
    <s v="Sudan"/>
    <n v="5419"/>
    <s v="Yield"/>
    <s v="0112"/>
    <x v="20"/>
    <n v="2020"/>
    <x v="5"/>
    <s v="hg/ha"/>
    <n v="7020"/>
    <s v="A"/>
    <s v="Official figure"/>
  </r>
  <r>
    <s v="QCL"/>
    <s v="Crops and livestock products"/>
    <n v="729"/>
    <s v="Sudan"/>
    <n v="5419"/>
    <s v="Yield"/>
    <s v="0112"/>
    <x v="20"/>
    <n v="2021"/>
    <x v="6"/>
    <s v="hg/ha"/>
    <n v="7779"/>
    <s v="E"/>
    <s v="Estimated value"/>
  </r>
  <r>
    <s v="QCL"/>
    <s v="Crops and livestock products"/>
    <n v="729"/>
    <s v="Sudan"/>
    <n v="5312"/>
    <s v="Area harvested"/>
    <s v="01316"/>
    <x v="21"/>
    <n v="2015"/>
    <x v="0"/>
    <s v="ha"/>
    <n v="44856"/>
    <s v="A"/>
    <s v="Official figure"/>
  </r>
  <r>
    <s v="QCL"/>
    <s v="Crops and livestock products"/>
    <n v="729"/>
    <s v="Sudan"/>
    <n v="5312"/>
    <s v="Area harvested"/>
    <s v="01316"/>
    <x v="21"/>
    <n v="2016"/>
    <x v="1"/>
    <s v="ha"/>
    <n v="45528"/>
    <s v="A"/>
    <s v="Official figure"/>
  </r>
  <r>
    <s v="QCL"/>
    <s v="Crops and livestock products"/>
    <n v="729"/>
    <s v="Sudan"/>
    <n v="5312"/>
    <s v="Area harvested"/>
    <s v="01316"/>
    <x v="21"/>
    <n v="2017"/>
    <x v="2"/>
    <s v="ha"/>
    <n v="32000"/>
    <s v="A"/>
    <s v="Official figure"/>
  </r>
  <r>
    <s v="QCL"/>
    <s v="Crops and livestock products"/>
    <n v="729"/>
    <s v="Sudan"/>
    <n v="5312"/>
    <s v="Area harvested"/>
    <s v="01316"/>
    <x v="21"/>
    <n v="2018"/>
    <x v="3"/>
    <s v="ha"/>
    <n v="32000"/>
    <s v="A"/>
    <s v="Official figure"/>
  </r>
  <r>
    <s v="QCL"/>
    <s v="Crops and livestock products"/>
    <n v="729"/>
    <s v="Sudan"/>
    <n v="5312"/>
    <s v="Area harvested"/>
    <s v="01316"/>
    <x v="21"/>
    <n v="2019"/>
    <x v="4"/>
    <s v="ha"/>
    <n v="32000"/>
    <s v="A"/>
    <s v="Official figure"/>
  </r>
  <r>
    <s v="QCL"/>
    <s v="Crops and livestock products"/>
    <n v="729"/>
    <s v="Sudan"/>
    <n v="5312"/>
    <s v="Area harvested"/>
    <s v="01316"/>
    <x v="21"/>
    <n v="2020"/>
    <x v="5"/>
    <s v="ha"/>
    <n v="32000"/>
    <s v="A"/>
    <s v="Official figure"/>
  </r>
  <r>
    <s v="QCL"/>
    <s v="Crops and livestock products"/>
    <n v="729"/>
    <s v="Sudan"/>
    <n v="5312"/>
    <s v="Area harvested"/>
    <s v="01316"/>
    <x v="21"/>
    <n v="2021"/>
    <x v="6"/>
    <s v="ha"/>
    <n v="34419"/>
    <s v="I"/>
    <s v="Imputed value"/>
  </r>
  <r>
    <s v="QCL"/>
    <s v="Crops and livestock products"/>
    <n v="729"/>
    <s v="Sudan"/>
    <n v="5419"/>
    <s v="Yield"/>
    <s v="01316"/>
    <x v="21"/>
    <n v="2015"/>
    <x v="0"/>
    <s v="hg/ha"/>
    <n v="242086"/>
    <s v="A"/>
    <s v="Official figure"/>
  </r>
  <r>
    <s v="QCL"/>
    <s v="Crops and livestock products"/>
    <n v="729"/>
    <s v="Sudan"/>
    <n v="5419"/>
    <s v="Yield"/>
    <s v="01316"/>
    <x v="21"/>
    <n v="2016"/>
    <x v="1"/>
    <s v="hg/ha"/>
    <n v="172628"/>
    <s v="A"/>
    <s v="Official figure"/>
  </r>
  <r>
    <s v="QCL"/>
    <s v="Crops and livestock products"/>
    <n v="729"/>
    <s v="Sudan"/>
    <n v="5419"/>
    <s v="Yield"/>
    <s v="01316"/>
    <x v="21"/>
    <n v="2017"/>
    <x v="2"/>
    <s v="hg/ha"/>
    <n v="201125"/>
    <s v="A"/>
    <s v="Official figure"/>
  </r>
  <r>
    <s v="QCL"/>
    <s v="Crops and livestock products"/>
    <n v="729"/>
    <s v="Sudan"/>
    <n v="5419"/>
    <s v="Yield"/>
    <s v="01316"/>
    <x v="21"/>
    <n v="2018"/>
    <x v="3"/>
    <s v="hg/ha"/>
    <n v="205148"/>
    <s v="A"/>
    <s v="Official figure"/>
  </r>
  <r>
    <s v="QCL"/>
    <s v="Crops and livestock products"/>
    <n v="729"/>
    <s v="Sudan"/>
    <n v="5419"/>
    <s v="Yield"/>
    <s v="01316"/>
    <x v="21"/>
    <n v="2019"/>
    <x v="4"/>
    <s v="hg/ha"/>
    <n v="207199"/>
    <s v="A"/>
    <s v="Official figure"/>
  </r>
  <r>
    <s v="QCL"/>
    <s v="Crops and livestock products"/>
    <n v="729"/>
    <s v="Sudan"/>
    <n v="5419"/>
    <s v="Yield"/>
    <s v="01316"/>
    <x v="21"/>
    <n v="2020"/>
    <x v="5"/>
    <s v="hg/ha"/>
    <n v="209271"/>
    <s v="A"/>
    <s v="Official figure"/>
  </r>
  <r>
    <s v="QCL"/>
    <s v="Crops and livestock products"/>
    <n v="729"/>
    <s v="Sudan"/>
    <n v="5419"/>
    <s v="Yield"/>
    <s v="01316"/>
    <x v="21"/>
    <n v="2021"/>
    <x v="6"/>
    <s v="hg/ha"/>
    <n v="205036"/>
    <s v="E"/>
    <s v="Estimated value"/>
  </r>
  <r>
    <s v="QCL"/>
    <s v="Crops and livestock products"/>
    <n v="729"/>
    <s v="Sudan"/>
    <n v="5312"/>
    <s v="Area harvested"/>
    <s v="01449.01"/>
    <x v="22"/>
    <n v="2015"/>
    <x v="0"/>
    <s v="ha"/>
    <n v="716100"/>
    <s v="A"/>
    <s v="Official figure"/>
  </r>
  <r>
    <s v="QCL"/>
    <s v="Crops and livestock products"/>
    <n v="729"/>
    <s v="Sudan"/>
    <n v="5312"/>
    <s v="Area harvested"/>
    <s v="01449.01"/>
    <x v="22"/>
    <n v="2016"/>
    <x v="1"/>
    <s v="ha"/>
    <n v="575820"/>
    <s v="A"/>
    <s v="Official figure"/>
  </r>
  <r>
    <s v="QCL"/>
    <s v="Crops and livestock products"/>
    <n v="729"/>
    <s v="Sudan"/>
    <n v="5312"/>
    <s v="Area harvested"/>
    <s v="01449.01"/>
    <x v="22"/>
    <n v="2017"/>
    <x v="2"/>
    <s v="ha"/>
    <n v="575820"/>
    <s v="A"/>
    <s v="Official figure"/>
  </r>
  <r>
    <s v="QCL"/>
    <s v="Crops and livestock products"/>
    <n v="729"/>
    <s v="Sudan"/>
    <n v="5312"/>
    <s v="Area harvested"/>
    <s v="01449.01"/>
    <x v="22"/>
    <n v="2018"/>
    <x v="3"/>
    <s v="ha"/>
    <n v="803880"/>
    <s v="A"/>
    <s v="Official figure"/>
  </r>
  <r>
    <s v="QCL"/>
    <s v="Crops and livestock products"/>
    <n v="729"/>
    <s v="Sudan"/>
    <n v="5312"/>
    <s v="Area harvested"/>
    <s v="01449.01"/>
    <x v="22"/>
    <n v="2019"/>
    <x v="4"/>
    <s v="ha"/>
    <n v="574140"/>
    <s v="A"/>
    <s v="Official figure"/>
  </r>
  <r>
    <s v="QCL"/>
    <s v="Crops and livestock products"/>
    <n v="729"/>
    <s v="Sudan"/>
    <n v="5312"/>
    <s v="Area harvested"/>
    <s v="01449.01"/>
    <x v="22"/>
    <n v="2020"/>
    <x v="5"/>
    <s v="ha"/>
    <n v="410057"/>
    <s v="A"/>
    <s v="Official figure"/>
  </r>
  <r>
    <s v="QCL"/>
    <s v="Crops and livestock products"/>
    <n v="729"/>
    <s v="Sudan"/>
    <n v="5312"/>
    <s v="Area harvested"/>
    <s v="01449.01"/>
    <x v="22"/>
    <n v="2021"/>
    <x v="6"/>
    <s v="ha"/>
    <n v="486600"/>
    <s v="I"/>
    <s v="Imputed value"/>
  </r>
  <r>
    <s v="QCL"/>
    <s v="Crops and livestock products"/>
    <n v="729"/>
    <s v="Sudan"/>
    <n v="5419"/>
    <s v="Yield"/>
    <s v="01449.01"/>
    <x v="22"/>
    <n v="2015"/>
    <x v="0"/>
    <s v="hg/ha"/>
    <n v="950"/>
    <s v="A"/>
    <s v="Official figure"/>
  </r>
  <r>
    <s v="QCL"/>
    <s v="Crops and livestock products"/>
    <n v="729"/>
    <s v="Sudan"/>
    <n v="5419"/>
    <s v="Yield"/>
    <s v="01449.01"/>
    <x v="22"/>
    <n v="2016"/>
    <x v="1"/>
    <s v="hg/ha"/>
    <n v="851"/>
    <s v="A"/>
    <s v="Official figure"/>
  </r>
  <r>
    <s v="QCL"/>
    <s v="Crops and livestock products"/>
    <n v="729"/>
    <s v="Sudan"/>
    <n v="5419"/>
    <s v="Yield"/>
    <s v="01449.01"/>
    <x v="22"/>
    <n v="2017"/>
    <x v="2"/>
    <s v="hg/ha"/>
    <n v="851"/>
    <s v="A"/>
    <s v="Official figure"/>
  </r>
  <r>
    <s v="QCL"/>
    <s v="Crops and livestock products"/>
    <n v="729"/>
    <s v="Sudan"/>
    <n v="5419"/>
    <s v="Yield"/>
    <s v="01449.01"/>
    <x v="22"/>
    <n v="2018"/>
    <x v="3"/>
    <s v="hg/ha"/>
    <n v="1605"/>
    <s v="A"/>
    <s v="Official figure"/>
  </r>
  <r>
    <s v="QCL"/>
    <s v="Crops and livestock products"/>
    <n v="729"/>
    <s v="Sudan"/>
    <n v="5419"/>
    <s v="Yield"/>
    <s v="01449.01"/>
    <x v="22"/>
    <n v="2019"/>
    <x v="4"/>
    <s v="hg/ha"/>
    <n v="1672"/>
    <s v="A"/>
    <s v="Official figure"/>
  </r>
  <r>
    <s v="QCL"/>
    <s v="Crops and livestock products"/>
    <n v="729"/>
    <s v="Sudan"/>
    <n v="5419"/>
    <s v="Yield"/>
    <s v="01449.01"/>
    <x v="22"/>
    <n v="2020"/>
    <x v="5"/>
    <s v="hg/ha"/>
    <n v="1742"/>
    <s v="A"/>
    <s v="Official figure"/>
  </r>
  <r>
    <s v="QCL"/>
    <s v="Crops and livestock products"/>
    <n v="729"/>
    <s v="Sudan"/>
    <n v="5419"/>
    <s v="Yield"/>
    <s v="01449.01"/>
    <x v="22"/>
    <n v="2021"/>
    <x v="6"/>
    <s v="hg/ha"/>
    <n v="1698"/>
    <s v="E"/>
    <s v="Estimated value"/>
  </r>
  <r>
    <s v="QCL"/>
    <s v="Crops and livestock products"/>
    <n v="729"/>
    <s v="Sudan"/>
    <n v="5312"/>
    <s v="Area harvested"/>
    <s v="0118"/>
    <x v="23"/>
    <n v="2015"/>
    <x v="0"/>
    <s v="ha"/>
    <n v="1704360"/>
    <s v="A"/>
    <s v="Official figure"/>
  </r>
  <r>
    <s v="QCL"/>
    <s v="Crops and livestock products"/>
    <n v="729"/>
    <s v="Sudan"/>
    <n v="5312"/>
    <s v="Area harvested"/>
    <s v="0118"/>
    <x v="23"/>
    <n v="2016"/>
    <x v="1"/>
    <s v="ha"/>
    <n v="3007200"/>
    <s v="A"/>
    <s v="Official figure"/>
  </r>
  <r>
    <s v="QCL"/>
    <s v="Crops and livestock products"/>
    <n v="729"/>
    <s v="Sudan"/>
    <n v="5312"/>
    <s v="Area harvested"/>
    <s v="0118"/>
    <x v="23"/>
    <n v="2017"/>
    <x v="2"/>
    <s v="ha"/>
    <n v="2512020"/>
    <s v="A"/>
    <s v="Official figure"/>
  </r>
  <r>
    <s v="QCL"/>
    <s v="Crops and livestock products"/>
    <n v="729"/>
    <s v="Sudan"/>
    <n v="5312"/>
    <s v="Area harvested"/>
    <s v="0118"/>
    <x v="23"/>
    <n v="2018"/>
    <x v="3"/>
    <s v="ha"/>
    <n v="3752700"/>
    <s v="A"/>
    <s v="Official figure"/>
  </r>
  <r>
    <s v="QCL"/>
    <s v="Crops and livestock products"/>
    <n v="729"/>
    <s v="Sudan"/>
    <n v="5312"/>
    <s v="Area harvested"/>
    <s v="0118"/>
    <x v="23"/>
    <n v="2019"/>
    <x v="4"/>
    <s v="ha"/>
    <n v="3016440"/>
    <s v="A"/>
    <s v="Official figure"/>
  </r>
  <r>
    <s v="QCL"/>
    <s v="Crops and livestock products"/>
    <n v="729"/>
    <s v="Sudan"/>
    <n v="5312"/>
    <s v="Area harvested"/>
    <s v="0118"/>
    <x v="23"/>
    <n v="2020"/>
    <x v="5"/>
    <s v="ha"/>
    <n v="2424630"/>
    <s v="A"/>
    <s v="Official figure"/>
  </r>
  <r>
    <s v="QCL"/>
    <s v="Crops and livestock products"/>
    <n v="729"/>
    <s v="Sudan"/>
    <n v="5312"/>
    <s v="Area harvested"/>
    <s v="0118"/>
    <x v="23"/>
    <n v="2021"/>
    <x v="6"/>
    <s v="ha"/>
    <n v="2800000"/>
    <s v="T"/>
    <s v="Unofficial figure"/>
  </r>
  <r>
    <s v="QCL"/>
    <s v="Crops and livestock products"/>
    <n v="729"/>
    <s v="Sudan"/>
    <n v="5419"/>
    <s v="Yield"/>
    <s v="0118"/>
    <x v="23"/>
    <n v="2015"/>
    <x v="0"/>
    <s v="hg/ha"/>
    <n v="2852"/>
    <s v="A"/>
    <s v="Official figure"/>
  </r>
  <r>
    <s v="QCL"/>
    <s v="Crops and livestock products"/>
    <n v="729"/>
    <s v="Sudan"/>
    <n v="5419"/>
    <s v="Yield"/>
    <s v="0118"/>
    <x v="23"/>
    <n v="2016"/>
    <x v="1"/>
    <s v="hg/ha"/>
    <n v="4818"/>
    <s v="A"/>
    <s v="Official figure"/>
  </r>
  <r>
    <s v="QCL"/>
    <s v="Crops and livestock products"/>
    <n v="729"/>
    <s v="Sudan"/>
    <n v="5419"/>
    <s v="Yield"/>
    <s v="0118"/>
    <x v="23"/>
    <n v="2017"/>
    <x v="2"/>
    <s v="hg/ha"/>
    <n v="3495"/>
    <s v="A"/>
    <s v="Official figure"/>
  </r>
  <r>
    <s v="QCL"/>
    <s v="Crops and livestock products"/>
    <n v="729"/>
    <s v="Sudan"/>
    <n v="5419"/>
    <s v="Yield"/>
    <s v="0118"/>
    <x v="23"/>
    <n v="2018"/>
    <x v="3"/>
    <s v="hg/ha"/>
    <n v="7054"/>
    <s v="A"/>
    <s v="Official figure"/>
  </r>
  <r>
    <s v="QCL"/>
    <s v="Crops and livestock products"/>
    <n v="729"/>
    <s v="Sudan"/>
    <n v="5419"/>
    <s v="Yield"/>
    <s v="0118"/>
    <x v="23"/>
    <n v="2019"/>
    <x v="4"/>
    <s v="hg/ha"/>
    <n v="3756"/>
    <s v="A"/>
    <s v="Official figure"/>
  </r>
  <r>
    <s v="QCL"/>
    <s v="Crops and livestock products"/>
    <n v="729"/>
    <s v="Sudan"/>
    <n v="5419"/>
    <s v="Yield"/>
    <s v="0118"/>
    <x v="23"/>
    <n v="2020"/>
    <x v="5"/>
    <s v="hg/ha"/>
    <n v="1741"/>
    <s v="A"/>
    <s v="Official figure"/>
  </r>
  <r>
    <s v="QCL"/>
    <s v="Crops and livestock products"/>
    <n v="729"/>
    <s v="Sudan"/>
    <n v="5419"/>
    <s v="Yield"/>
    <s v="0118"/>
    <x v="23"/>
    <n v="2021"/>
    <x v="6"/>
    <s v="hg/ha"/>
    <n v="5357"/>
    <s v="E"/>
    <s v="Estimated value"/>
  </r>
  <r>
    <s v="QCL"/>
    <s v="Crops and livestock products"/>
    <n v="729"/>
    <s v="Sudan"/>
    <n v="5312"/>
    <s v="Area harvested"/>
    <s v="01239.01"/>
    <x v="24"/>
    <n v="2015"/>
    <x v="0"/>
    <s v="ha"/>
    <n v="24906"/>
    <s v="A"/>
    <s v="Official figure"/>
  </r>
  <r>
    <s v="QCL"/>
    <s v="Crops and livestock products"/>
    <n v="729"/>
    <s v="Sudan"/>
    <n v="5312"/>
    <s v="Area harvested"/>
    <s v="01239.01"/>
    <x v="24"/>
    <n v="2016"/>
    <x v="1"/>
    <s v="ha"/>
    <n v="26754"/>
    <s v="A"/>
    <s v="Official figure"/>
  </r>
  <r>
    <s v="QCL"/>
    <s v="Crops and livestock products"/>
    <n v="729"/>
    <s v="Sudan"/>
    <n v="5312"/>
    <s v="Area harvested"/>
    <s v="01239.01"/>
    <x v="24"/>
    <n v="2017"/>
    <x v="2"/>
    <s v="ha"/>
    <n v="27289"/>
    <s v="A"/>
    <s v="Official figure"/>
  </r>
  <r>
    <s v="QCL"/>
    <s v="Crops and livestock products"/>
    <n v="729"/>
    <s v="Sudan"/>
    <n v="5312"/>
    <s v="Area harvested"/>
    <s v="01239.01"/>
    <x v="24"/>
    <n v="2018"/>
    <x v="3"/>
    <s v="ha"/>
    <n v="28592"/>
    <s v="I"/>
    <s v="Imputed value"/>
  </r>
  <r>
    <s v="QCL"/>
    <s v="Crops and livestock products"/>
    <n v="729"/>
    <s v="Sudan"/>
    <n v="5312"/>
    <s v="Area harvested"/>
    <s v="01239.01"/>
    <x v="24"/>
    <n v="2019"/>
    <x v="4"/>
    <s v="ha"/>
    <n v="29357"/>
    <s v="I"/>
    <s v="Imputed value"/>
  </r>
  <r>
    <s v="QCL"/>
    <s v="Crops and livestock products"/>
    <n v="729"/>
    <s v="Sudan"/>
    <n v="5312"/>
    <s v="Area harvested"/>
    <s v="01239.01"/>
    <x v="24"/>
    <n v="2020"/>
    <x v="5"/>
    <s v="ha"/>
    <n v="29777"/>
    <s v="I"/>
    <s v="Imputed value"/>
  </r>
  <r>
    <s v="QCL"/>
    <s v="Crops and livestock products"/>
    <n v="729"/>
    <s v="Sudan"/>
    <n v="5312"/>
    <s v="Area harvested"/>
    <s v="01239.01"/>
    <x v="24"/>
    <n v="2021"/>
    <x v="6"/>
    <s v="ha"/>
    <n v="30661"/>
    <s v="I"/>
    <s v="Imputed value"/>
  </r>
  <r>
    <s v="QCL"/>
    <s v="Crops and livestock products"/>
    <n v="729"/>
    <s v="Sudan"/>
    <n v="5419"/>
    <s v="Yield"/>
    <s v="01239.01"/>
    <x v="24"/>
    <n v="2015"/>
    <x v="0"/>
    <s v="hg/ha"/>
    <n v="115033"/>
    <s v="A"/>
    <s v="Official figure"/>
  </r>
  <r>
    <s v="QCL"/>
    <s v="Crops and livestock products"/>
    <n v="729"/>
    <s v="Sudan"/>
    <n v="5419"/>
    <s v="Yield"/>
    <s v="01239.01"/>
    <x v="24"/>
    <n v="2016"/>
    <x v="1"/>
    <s v="hg/ha"/>
    <n v="107386"/>
    <s v="A"/>
    <s v="Official figure"/>
  </r>
  <r>
    <s v="QCL"/>
    <s v="Crops and livestock products"/>
    <n v="729"/>
    <s v="Sudan"/>
    <n v="5419"/>
    <s v="Yield"/>
    <s v="01239.01"/>
    <x v="24"/>
    <n v="2017"/>
    <x v="2"/>
    <s v="hg/ha"/>
    <n v="107386"/>
    <s v="A"/>
    <s v="Official figure"/>
  </r>
  <r>
    <s v="QCL"/>
    <s v="Crops and livestock products"/>
    <n v="729"/>
    <s v="Sudan"/>
    <n v="5419"/>
    <s v="Yield"/>
    <s v="01239.01"/>
    <x v="24"/>
    <n v="2018"/>
    <x v="3"/>
    <s v="hg/ha"/>
    <n v="105525"/>
    <s v="E"/>
    <s v="Estimated value"/>
  </r>
  <r>
    <s v="QCL"/>
    <s v="Crops and livestock products"/>
    <n v="729"/>
    <s v="Sudan"/>
    <n v="5419"/>
    <s v="Yield"/>
    <s v="01239.01"/>
    <x v="24"/>
    <n v="2019"/>
    <x v="4"/>
    <s v="hg/ha"/>
    <n v="105377"/>
    <s v="E"/>
    <s v="Estimated value"/>
  </r>
  <r>
    <s v="QCL"/>
    <s v="Crops and livestock products"/>
    <n v="729"/>
    <s v="Sudan"/>
    <n v="5419"/>
    <s v="Yield"/>
    <s v="01239.01"/>
    <x v="24"/>
    <n v="2020"/>
    <x v="5"/>
    <s v="hg/ha"/>
    <n v="106045"/>
    <s v="E"/>
    <s v="Estimated value"/>
  </r>
  <r>
    <s v="QCL"/>
    <s v="Crops and livestock products"/>
    <n v="729"/>
    <s v="Sudan"/>
    <n v="5419"/>
    <s v="Yield"/>
    <s v="01239.01"/>
    <x v="24"/>
    <n v="2021"/>
    <x v="6"/>
    <s v="hg/ha"/>
    <n v="105150"/>
    <s v="E"/>
    <s v="Estimated value"/>
  </r>
  <r>
    <s v="QCL"/>
    <s v="Crops and livestock products"/>
    <n v="729"/>
    <s v="Sudan"/>
    <n v="5312"/>
    <s v="Area harvested"/>
    <s v="01253.02"/>
    <x v="25"/>
    <n v="2015"/>
    <x v="0"/>
    <s v="ha"/>
    <n v="85974"/>
    <s v="A"/>
    <s v="Official figure"/>
  </r>
  <r>
    <s v="QCL"/>
    <s v="Crops and livestock products"/>
    <n v="729"/>
    <s v="Sudan"/>
    <n v="5312"/>
    <s v="Area harvested"/>
    <s v="01253.02"/>
    <x v="25"/>
    <n v="2016"/>
    <x v="1"/>
    <s v="ha"/>
    <n v="87696"/>
    <s v="A"/>
    <s v="Official figure"/>
  </r>
  <r>
    <s v="QCL"/>
    <s v="Crops and livestock products"/>
    <n v="729"/>
    <s v="Sudan"/>
    <n v="5312"/>
    <s v="Area harvested"/>
    <s v="01253.02"/>
    <x v="25"/>
    <n v="2017"/>
    <x v="2"/>
    <s v="ha"/>
    <n v="89450"/>
    <s v="A"/>
    <s v="Official figure"/>
  </r>
  <r>
    <s v="QCL"/>
    <s v="Crops and livestock products"/>
    <n v="729"/>
    <s v="Sudan"/>
    <n v="5312"/>
    <s v="Area harvested"/>
    <s v="01253.02"/>
    <x v="25"/>
    <n v="2018"/>
    <x v="3"/>
    <s v="ha"/>
    <n v="95090"/>
    <s v="I"/>
    <s v="Imputed value"/>
  </r>
  <r>
    <s v="QCL"/>
    <s v="Crops and livestock products"/>
    <n v="729"/>
    <s v="Sudan"/>
    <n v="5312"/>
    <s v="Area harvested"/>
    <s v="01253.02"/>
    <x v="25"/>
    <n v="2019"/>
    <x v="4"/>
    <s v="ha"/>
    <n v="104413"/>
    <s v="I"/>
    <s v="Imputed value"/>
  </r>
  <r>
    <s v="QCL"/>
    <s v="Crops and livestock products"/>
    <n v="729"/>
    <s v="Sudan"/>
    <n v="5312"/>
    <s v="Area harvested"/>
    <s v="01253.02"/>
    <x v="25"/>
    <n v="2020"/>
    <x v="5"/>
    <s v="ha"/>
    <n v="105736"/>
    <s v="I"/>
    <s v="Imputed value"/>
  </r>
  <r>
    <s v="QCL"/>
    <s v="Crops and livestock products"/>
    <n v="729"/>
    <s v="Sudan"/>
    <n v="5312"/>
    <s v="Area harvested"/>
    <s v="01253.02"/>
    <x v="25"/>
    <n v="2021"/>
    <x v="6"/>
    <s v="ha"/>
    <n v="110720"/>
    <s v="I"/>
    <s v="Imputed value"/>
  </r>
  <r>
    <s v="QCL"/>
    <s v="Crops and livestock products"/>
    <n v="729"/>
    <s v="Sudan"/>
    <n v="5419"/>
    <s v="Yield"/>
    <s v="01253.02"/>
    <x v="25"/>
    <n v="2015"/>
    <x v="0"/>
    <s v="hg/ha"/>
    <n v="184172"/>
    <s v="A"/>
    <s v="Official figure"/>
  </r>
  <r>
    <s v="QCL"/>
    <s v="Crops and livestock products"/>
    <n v="729"/>
    <s v="Sudan"/>
    <n v="5419"/>
    <s v="Yield"/>
    <s v="01253.02"/>
    <x v="25"/>
    <n v="2016"/>
    <x v="1"/>
    <s v="hg/ha"/>
    <n v="180613"/>
    <s v="A"/>
    <s v="Official figure"/>
  </r>
  <r>
    <s v="QCL"/>
    <s v="Crops and livestock products"/>
    <n v="729"/>
    <s v="Sudan"/>
    <n v="5419"/>
    <s v="Yield"/>
    <s v="01253.02"/>
    <x v="25"/>
    <n v="2017"/>
    <x v="2"/>
    <s v="hg/ha"/>
    <n v="178841"/>
    <s v="A"/>
    <s v="Official figure"/>
  </r>
  <r>
    <s v="QCL"/>
    <s v="Crops and livestock products"/>
    <n v="729"/>
    <s v="Sudan"/>
    <n v="5419"/>
    <s v="Yield"/>
    <s v="01253.02"/>
    <x v="25"/>
    <n v="2018"/>
    <x v="3"/>
    <s v="hg/ha"/>
    <n v="180571"/>
    <s v="E"/>
    <s v="Estimated value"/>
  </r>
  <r>
    <s v="QCL"/>
    <s v="Crops and livestock products"/>
    <n v="729"/>
    <s v="Sudan"/>
    <n v="5419"/>
    <s v="Yield"/>
    <s v="01253.02"/>
    <x v="25"/>
    <n v="2019"/>
    <x v="4"/>
    <s v="hg/ha"/>
    <n v="183741"/>
    <s v="E"/>
    <s v="Estimated value"/>
  </r>
  <r>
    <s v="QCL"/>
    <s v="Crops and livestock products"/>
    <n v="729"/>
    <s v="Sudan"/>
    <n v="5419"/>
    <s v="Yield"/>
    <s v="01253.02"/>
    <x v="25"/>
    <n v="2020"/>
    <x v="5"/>
    <s v="hg/ha"/>
    <n v="184316"/>
    <s v="E"/>
    <s v="Estimated value"/>
  </r>
  <r>
    <s v="QCL"/>
    <s v="Crops and livestock products"/>
    <n v="729"/>
    <s v="Sudan"/>
    <n v="5419"/>
    <s v="Yield"/>
    <s v="01253.02"/>
    <x v="25"/>
    <n v="2021"/>
    <x v="6"/>
    <s v="hg/ha"/>
    <n v="185221"/>
    <s v="E"/>
    <s v="Estimated value"/>
  </r>
  <r>
    <s v="QCL"/>
    <s v="Crops and livestock products"/>
    <n v="729"/>
    <s v="Sudan"/>
    <n v="5312"/>
    <s v="Area harvested"/>
    <s v="01253.01"/>
    <x v="26"/>
    <n v="2015"/>
    <x v="0"/>
    <s v="ha"/>
    <n v="0"/>
    <s v="M"/>
    <s v="Missing value (data cannot exist, not applicable)"/>
  </r>
  <r>
    <s v="QCL"/>
    <s v="Crops and livestock products"/>
    <n v="729"/>
    <s v="Sudan"/>
    <n v="5312"/>
    <s v="Area harvested"/>
    <s v="01253.01"/>
    <x v="26"/>
    <n v="2016"/>
    <x v="1"/>
    <s v="ha"/>
    <n v="0"/>
    <s v="M"/>
    <s v="Missing value (data cannot exist, not applicable)"/>
  </r>
  <r>
    <s v="QCL"/>
    <s v="Crops and livestock products"/>
    <n v="729"/>
    <s v="Sudan"/>
    <n v="5312"/>
    <s v="Area harvested"/>
    <s v="01253.01"/>
    <x v="26"/>
    <n v="2017"/>
    <x v="2"/>
    <s v="ha"/>
    <n v="0"/>
    <s v="M"/>
    <s v="Missing value (data cannot exist, not applicable)"/>
  </r>
  <r>
    <s v="QCL"/>
    <s v="Crops and livestock products"/>
    <n v="729"/>
    <s v="Sudan"/>
    <n v="5312"/>
    <s v="Area harvested"/>
    <s v="01253.01"/>
    <x v="26"/>
    <n v="2018"/>
    <x v="3"/>
    <s v="ha"/>
    <n v="0"/>
    <s v="M"/>
    <s v="Missing value (data cannot exist, not applicable)"/>
  </r>
  <r>
    <s v="QCL"/>
    <s v="Crops and livestock products"/>
    <n v="729"/>
    <s v="Sudan"/>
    <n v="5312"/>
    <s v="Area harvested"/>
    <s v="01253.01"/>
    <x v="26"/>
    <n v="2019"/>
    <x v="4"/>
    <s v="ha"/>
    <n v="0"/>
    <s v="M"/>
    <s v="Missing value (data cannot exist, not applicable)"/>
  </r>
  <r>
    <s v="QCL"/>
    <s v="Crops and livestock products"/>
    <n v="729"/>
    <s v="Sudan"/>
    <n v="5312"/>
    <s v="Area harvested"/>
    <s v="01253.01"/>
    <x v="26"/>
    <n v="2020"/>
    <x v="5"/>
    <s v="ha"/>
    <n v="0"/>
    <s v="M"/>
    <s v="Missing value (data cannot exist, not applicable)"/>
  </r>
  <r>
    <s v="QCL"/>
    <s v="Crops and livestock products"/>
    <n v="729"/>
    <s v="Sudan"/>
    <n v="5312"/>
    <s v="Area harvested"/>
    <s v="01253.01"/>
    <x v="26"/>
    <n v="2021"/>
    <x v="6"/>
    <s v="ha"/>
    <n v="0"/>
    <s v="M"/>
    <s v="Missing value (data cannot exist, not applicable)"/>
  </r>
  <r>
    <s v="QCL"/>
    <s v="Crops and livestock products"/>
    <n v="729"/>
    <s v="Sudan"/>
    <n v="5312"/>
    <s v="Area harvested"/>
    <s v="01323"/>
    <x v="27"/>
    <n v="2015"/>
    <x v="0"/>
    <s v="ha"/>
    <n v="18270"/>
    <s v="A"/>
    <s v="Official figure"/>
  </r>
  <r>
    <s v="QCL"/>
    <s v="Crops and livestock products"/>
    <n v="729"/>
    <s v="Sudan"/>
    <n v="5312"/>
    <s v="Area harvested"/>
    <s v="01323"/>
    <x v="27"/>
    <n v="2016"/>
    <x v="1"/>
    <s v="ha"/>
    <n v="18774"/>
    <s v="A"/>
    <s v="Official figure"/>
  </r>
  <r>
    <s v="QCL"/>
    <s v="Crops and livestock products"/>
    <n v="729"/>
    <s v="Sudan"/>
    <n v="5312"/>
    <s v="Area harvested"/>
    <s v="01323"/>
    <x v="27"/>
    <n v="2017"/>
    <x v="2"/>
    <s v="ha"/>
    <n v="19000"/>
    <s v="A"/>
    <s v="Official figure"/>
  </r>
  <r>
    <s v="QCL"/>
    <s v="Crops and livestock products"/>
    <n v="729"/>
    <s v="Sudan"/>
    <n v="5312"/>
    <s v="Area harvested"/>
    <s v="01323"/>
    <x v="27"/>
    <n v="2018"/>
    <x v="3"/>
    <s v="ha"/>
    <n v="20520"/>
    <s v="A"/>
    <s v="Official figure"/>
  </r>
  <r>
    <s v="QCL"/>
    <s v="Crops and livestock products"/>
    <n v="729"/>
    <s v="Sudan"/>
    <n v="5312"/>
    <s v="Area harvested"/>
    <s v="01323"/>
    <x v="27"/>
    <n v="2019"/>
    <x v="4"/>
    <s v="ha"/>
    <n v="20520"/>
    <s v="A"/>
    <s v="Official figure"/>
  </r>
  <r>
    <s v="QCL"/>
    <s v="Crops and livestock products"/>
    <n v="729"/>
    <s v="Sudan"/>
    <n v="5312"/>
    <s v="Area harvested"/>
    <s v="01323"/>
    <x v="27"/>
    <n v="2020"/>
    <x v="5"/>
    <s v="ha"/>
    <n v="20520"/>
    <s v="A"/>
    <s v="Official figure"/>
  </r>
  <r>
    <s v="QCL"/>
    <s v="Crops and livestock products"/>
    <n v="729"/>
    <s v="Sudan"/>
    <n v="5312"/>
    <s v="Area harvested"/>
    <s v="01323"/>
    <x v="27"/>
    <n v="2021"/>
    <x v="6"/>
    <s v="ha"/>
    <n v="21806"/>
    <s v="I"/>
    <s v="Imputed value"/>
  </r>
  <r>
    <s v="QCL"/>
    <s v="Crops and livestock products"/>
    <n v="729"/>
    <s v="Sudan"/>
    <n v="5419"/>
    <s v="Yield"/>
    <s v="01323"/>
    <x v="27"/>
    <n v="2015"/>
    <x v="0"/>
    <s v="hg/ha"/>
    <n v="83196"/>
    <s v="A"/>
    <s v="Official figure"/>
  </r>
  <r>
    <s v="QCL"/>
    <s v="Crops and livestock products"/>
    <n v="729"/>
    <s v="Sudan"/>
    <n v="5419"/>
    <s v="Yield"/>
    <s v="01323"/>
    <x v="27"/>
    <n v="2016"/>
    <x v="1"/>
    <s v="hg/ha"/>
    <n v="81139"/>
    <s v="A"/>
    <s v="Official figure"/>
  </r>
  <r>
    <s v="QCL"/>
    <s v="Crops and livestock products"/>
    <n v="729"/>
    <s v="Sudan"/>
    <n v="5419"/>
    <s v="Yield"/>
    <s v="01323"/>
    <x v="27"/>
    <n v="2017"/>
    <x v="2"/>
    <s v="hg/ha"/>
    <n v="81737"/>
    <s v="A"/>
    <s v="Official figure"/>
  </r>
  <r>
    <s v="QCL"/>
    <s v="Crops and livestock products"/>
    <n v="729"/>
    <s v="Sudan"/>
    <n v="5419"/>
    <s v="Yield"/>
    <s v="01323"/>
    <x v="27"/>
    <n v="2018"/>
    <x v="3"/>
    <s v="hg/ha"/>
    <n v="77953"/>
    <s v="A"/>
    <s v="Official figure"/>
  </r>
  <r>
    <s v="QCL"/>
    <s v="Crops and livestock products"/>
    <n v="729"/>
    <s v="Sudan"/>
    <n v="5419"/>
    <s v="Yield"/>
    <s v="01323"/>
    <x v="27"/>
    <n v="2019"/>
    <x v="4"/>
    <s v="hg/ha"/>
    <n v="81071"/>
    <s v="A"/>
    <s v="Official figure"/>
  </r>
  <r>
    <s v="QCL"/>
    <s v="Crops and livestock products"/>
    <n v="729"/>
    <s v="Sudan"/>
    <n v="5419"/>
    <s v="Yield"/>
    <s v="01323"/>
    <x v="27"/>
    <n v="2020"/>
    <x v="5"/>
    <s v="hg/ha"/>
    <n v="84314"/>
    <s v="A"/>
    <s v="Official figure"/>
  </r>
  <r>
    <s v="QCL"/>
    <s v="Crops and livestock products"/>
    <n v="729"/>
    <s v="Sudan"/>
    <n v="5419"/>
    <s v="Yield"/>
    <s v="01323"/>
    <x v="27"/>
    <n v="2021"/>
    <x v="6"/>
    <s v="hg/ha"/>
    <n v="80841"/>
    <s v="E"/>
    <s v="Estimated value"/>
  </r>
  <r>
    <s v="QCL"/>
    <s v="Crops and livestock products"/>
    <n v="729"/>
    <s v="Sudan"/>
    <n v="5312"/>
    <s v="Area harvested"/>
    <s v="01241.90"/>
    <x v="28"/>
    <n v="2015"/>
    <x v="0"/>
    <s v="ha"/>
    <n v="64"/>
    <s v="I"/>
    <s v="Imputed value"/>
  </r>
  <r>
    <s v="QCL"/>
    <s v="Crops and livestock products"/>
    <n v="729"/>
    <s v="Sudan"/>
    <n v="5312"/>
    <s v="Area harvested"/>
    <s v="01241.90"/>
    <x v="28"/>
    <n v="2016"/>
    <x v="1"/>
    <s v="ha"/>
    <n v="60"/>
    <s v="E"/>
    <s v="Estimated value"/>
  </r>
  <r>
    <s v="QCL"/>
    <s v="Crops and livestock products"/>
    <n v="729"/>
    <s v="Sudan"/>
    <n v="5312"/>
    <s v="Area harvested"/>
    <s v="01241.90"/>
    <x v="28"/>
    <n v="2017"/>
    <x v="2"/>
    <s v="ha"/>
    <n v="62"/>
    <s v="I"/>
    <s v="Imputed value"/>
  </r>
  <r>
    <s v="QCL"/>
    <s v="Crops and livestock products"/>
    <n v="729"/>
    <s v="Sudan"/>
    <n v="5312"/>
    <s v="Area harvested"/>
    <s v="01241.90"/>
    <x v="28"/>
    <n v="2018"/>
    <x v="3"/>
    <s v="ha"/>
    <n v="64"/>
    <s v="I"/>
    <s v="Imputed value"/>
  </r>
  <r>
    <s v="QCL"/>
    <s v="Crops and livestock products"/>
    <n v="729"/>
    <s v="Sudan"/>
    <n v="5312"/>
    <s v="Area harvested"/>
    <s v="01241.90"/>
    <x v="28"/>
    <n v="2019"/>
    <x v="4"/>
    <s v="ha"/>
    <n v="62"/>
    <s v="E"/>
    <s v="Estimated value"/>
  </r>
  <r>
    <s v="QCL"/>
    <s v="Crops and livestock products"/>
    <n v="729"/>
    <s v="Sudan"/>
    <n v="5312"/>
    <s v="Area harvested"/>
    <s v="01241.90"/>
    <x v="28"/>
    <n v="2020"/>
    <x v="5"/>
    <s v="ha"/>
    <n v="62"/>
    <s v="E"/>
    <s v="Estimated value"/>
  </r>
  <r>
    <s v="QCL"/>
    <s v="Crops and livestock products"/>
    <n v="729"/>
    <s v="Sudan"/>
    <n v="5312"/>
    <s v="Area harvested"/>
    <s v="01241.90"/>
    <x v="28"/>
    <n v="2021"/>
    <x v="6"/>
    <s v="ha"/>
    <n v="63"/>
    <s v="E"/>
    <s v="Estimated value"/>
  </r>
  <r>
    <s v="QCL"/>
    <s v="Crops and livestock products"/>
    <n v="729"/>
    <s v="Sudan"/>
    <n v="5419"/>
    <s v="Yield"/>
    <s v="01241.90"/>
    <x v="28"/>
    <n v="2015"/>
    <x v="0"/>
    <s v="hg/ha"/>
    <n v="62245"/>
    <s v="E"/>
    <s v="Estimated value"/>
  </r>
  <r>
    <s v="QCL"/>
    <s v="Crops and livestock products"/>
    <n v="729"/>
    <s v="Sudan"/>
    <n v="5419"/>
    <s v="Yield"/>
    <s v="01241.90"/>
    <x v="28"/>
    <n v="2016"/>
    <x v="1"/>
    <s v="hg/ha"/>
    <n v="58573"/>
    <s v="E"/>
    <s v="Estimated value"/>
  </r>
  <r>
    <s v="QCL"/>
    <s v="Crops and livestock products"/>
    <n v="729"/>
    <s v="Sudan"/>
    <n v="5419"/>
    <s v="Yield"/>
    <s v="01241.90"/>
    <x v="28"/>
    <n v="2017"/>
    <x v="2"/>
    <s v="hg/ha"/>
    <n v="59956"/>
    <s v="E"/>
    <s v="Estimated value"/>
  </r>
  <r>
    <s v="QCL"/>
    <s v="Crops and livestock products"/>
    <n v="729"/>
    <s v="Sudan"/>
    <n v="5419"/>
    <s v="Yield"/>
    <s v="01241.90"/>
    <x v="28"/>
    <n v="2018"/>
    <x v="3"/>
    <s v="hg/ha"/>
    <n v="58682"/>
    <s v="E"/>
    <s v="Estimated value"/>
  </r>
  <r>
    <s v="QCL"/>
    <s v="Crops and livestock products"/>
    <n v="729"/>
    <s v="Sudan"/>
    <n v="5419"/>
    <s v="Yield"/>
    <s v="01241.90"/>
    <x v="28"/>
    <n v="2019"/>
    <x v="4"/>
    <s v="hg/ha"/>
    <n v="59073"/>
    <s v="E"/>
    <s v="Estimated value"/>
  </r>
  <r>
    <s v="QCL"/>
    <s v="Crops and livestock products"/>
    <n v="729"/>
    <s v="Sudan"/>
    <n v="5419"/>
    <s v="Yield"/>
    <s v="01241.90"/>
    <x v="28"/>
    <n v="2020"/>
    <x v="5"/>
    <s v="hg/ha"/>
    <n v="59232"/>
    <s v="E"/>
    <s v="Estimated value"/>
  </r>
  <r>
    <s v="QCL"/>
    <s v="Crops and livestock products"/>
    <n v="729"/>
    <s v="Sudan"/>
    <n v="5419"/>
    <s v="Yield"/>
    <s v="01241.90"/>
    <x v="28"/>
    <n v="2021"/>
    <x v="6"/>
    <s v="hg/ha"/>
    <n v="58993"/>
    <s v="E"/>
    <s v="Estimated value"/>
  </r>
  <r>
    <s v="QCL"/>
    <s v="Crops and livestock products"/>
    <n v="729"/>
    <s v="Sudan"/>
    <n v="5312"/>
    <s v="Area harvested"/>
    <s v="01359.90"/>
    <x v="29"/>
    <n v="2015"/>
    <x v="0"/>
    <s v="ha"/>
    <n v="52932"/>
    <s v="I"/>
    <s v="Imputed value"/>
  </r>
  <r>
    <s v="QCL"/>
    <s v="Crops and livestock products"/>
    <n v="729"/>
    <s v="Sudan"/>
    <n v="5312"/>
    <s v="Area harvested"/>
    <s v="01359.90"/>
    <x v="29"/>
    <n v="2016"/>
    <x v="1"/>
    <s v="ha"/>
    <n v="49977"/>
    <s v="E"/>
    <s v="Estimated value"/>
  </r>
  <r>
    <s v="QCL"/>
    <s v="Crops and livestock products"/>
    <n v="729"/>
    <s v="Sudan"/>
    <n v="5312"/>
    <s v="Area harvested"/>
    <s v="01359.90"/>
    <x v="29"/>
    <n v="2017"/>
    <x v="2"/>
    <s v="ha"/>
    <n v="51257"/>
    <s v="I"/>
    <s v="Imputed value"/>
  </r>
  <r>
    <s v="QCL"/>
    <s v="Crops and livestock products"/>
    <n v="729"/>
    <s v="Sudan"/>
    <n v="5312"/>
    <s v="Area harvested"/>
    <s v="01359.90"/>
    <x v="29"/>
    <n v="2018"/>
    <x v="3"/>
    <s v="ha"/>
    <n v="52230"/>
    <s v="I"/>
    <s v="Imputed value"/>
  </r>
  <r>
    <s v="QCL"/>
    <s v="Crops and livestock products"/>
    <n v="729"/>
    <s v="Sudan"/>
    <n v="5312"/>
    <s v="Area harvested"/>
    <s v="01359.90"/>
    <x v="29"/>
    <n v="2019"/>
    <x v="4"/>
    <s v="ha"/>
    <n v="52395"/>
    <s v="I"/>
    <s v="Imputed value"/>
  </r>
  <r>
    <s v="QCL"/>
    <s v="Crops and livestock products"/>
    <n v="729"/>
    <s v="Sudan"/>
    <n v="5312"/>
    <s v="Area harvested"/>
    <s v="01359.90"/>
    <x v="29"/>
    <n v="2020"/>
    <x v="5"/>
    <s v="ha"/>
    <n v="52974"/>
    <s v="I"/>
    <s v="Imputed value"/>
  </r>
  <r>
    <s v="QCL"/>
    <s v="Crops and livestock products"/>
    <n v="729"/>
    <s v="Sudan"/>
    <n v="5312"/>
    <s v="Area harvested"/>
    <s v="01359.90"/>
    <x v="29"/>
    <n v="2021"/>
    <x v="6"/>
    <s v="ha"/>
    <n v="52533"/>
    <s v="E"/>
    <s v="Estimated value"/>
  </r>
  <r>
    <s v="QCL"/>
    <s v="Crops and livestock products"/>
    <n v="729"/>
    <s v="Sudan"/>
    <n v="5419"/>
    <s v="Yield"/>
    <s v="01359.90"/>
    <x v="29"/>
    <n v="2015"/>
    <x v="0"/>
    <s v="hg/ha"/>
    <n v="61399"/>
    <s v="E"/>
    <s v="Estimated value"/>
  </r>
  <r>
    <s v="QCL"/>
    <s v="Crops and livestock products"/>
    <n v="729"/>
    <s v="Sudan"/>
    <n v="5419"/>
    <s v="Yield"/>
    <s v="01359.90"/>
    <x v="29"/>
    <n v="2016"/>
    <x v="1"/>
    <s v="hg/ha"/>
    <n v="60027"/>
    <s v="E"/>
    <s v="Estimated value"/>
  </r>
  <r>
    <s v="QCL"/>
    <s v="Crops and livestock products"/>
    <n v="729"/>
    <s v="Sudan"/>
    <n v="5419"/>
    <s v="Yield"/>
    <s v="01359.90"/>
    <x v="29"/>
    <n v="2017"/>
    <x v="2"/>
    <s v="hg/ha"/>
    <n v="60768"/>
    <s v="E"/>
    <s v="Estimated value"/>
  </r>
  <r>
    <s v="QCL"/>
    <s v="Crops and livestock products"/>
    <n v="729"/>
    <s v="Sudan"/>
    <n v="5419"/>
    <s v="Yield"/>
    <s v="01359.90"/>
    <x v="29"/>
    <n v="2018"/>
    <x v="3"/>
    <s v="hg/ha"/>
    <n v="59767"/>
    <s v="E"/>
    <s v="Estimated value"/>
  </r>
  <r>
    <s v="QCL"/>
    <s v="Crops and livestock products"/>
    <n v="729"/>
    <s v="Sudan"/>
    <n v="5419"/>
    <s v="Yield"/>
    <s v="01359.90"/>
    <x v="29"/>
    <n v="2019"/>
    <x v="4"/>
    <s v="hg/ha"/>
    <n v="58761"/>
    <s v="E"/>
    <s v="Estimated value"/>
  </r>
  <r>
    <s v="QCL"/>
    <s v="Crops and livestock products"/>
    <n v="729"/>
    <s v="Sudan"/>
    <n v="5419"/>
    <s v="Yield"/>
    <s v="01359.90"/>
    <x v="29"/>
    <n v="2020"/>
    <x v="5"/>
    <s v="hg/ha"/>
    <n v="58615"/>
    <s v="E"/>
    <s v="Estimated value"/>
  </r>
  <r>
    <s v="QCL"/>
    <s v="Crops and livestock products"/>
    <n v="729"/>
    <s v="Sudan"/>
    <n v="5419"/>
    <s v="Yield"/>
    <s v="01359.90"/>
    <x v="29"/>
    <n v="2021"/>
    <x v="6"/>
    <s v="hg/ha"/>
    <n v="59045"/>
    <s v="E"/>
    <s v="Estimated value"/>
  </r>
  <r>
    <s v="QCL"/>
    <s v="Crops and livestock products"/>
    <n v="729"/>
    <s v="Sudan"/>
    <n v="5312"/>
    <s v="Area harvested"/>
    <s v="01449.90"/>
    <x v="30"/>
    <n v="2015"/>
    <x v="0"/>
    <s v="ha"/>
    <n v="11300"/>
    <s v="E"/>
    <s v="Estimated value"/>
  </r>
  <r>
    <s v="QCL"/>
    <s v="Crops and livestock products"/>
    <n v="729"/>
    <s v="Sudan"/>
    <n v="5312"/>
    <s v="Area harvested"/>
    <s v="01449.90"/>
    <x v="30"/>
    <n v="2016"/>
    <x v="1"/>
    <s v="ha"/>
    <n v="11400"/>
    <s v="E"/>
    <s v="Estimated value"/>
  </r>
  <r>
    <s v="QCL"/>
    <s v="Crops and livestock products"/>
    <n v="729"/>
    <s v="Sudan"/>
    <n v="5312"/>
    <s v="Area harvested"/>
    <s v="01449.90"/>
    <x v="30"/>
    <n v="2017"/>
    <x v="2"/>
    <s v="ha"/>
    <n v="11700"/>
    <s v="E"/>
    <s v="Estimated value"/>
  </r>
  <r>
    <s v="QCL"/>
    <s v="Crops and livestock products"/>
    <n v="729"/>
    <s v="Sudan"/>
    <n v="5312"/>
    <s v="Area harvested"/>
    <s v="01449.90"/>
    <x v="30"/>
    <n v="2018"/>
    <x v="3"/>
    <s v="ha"/>
    <n v="12000"/>
    <s v="E"/>
    <s v="Estimated value"/>
  </r>
  <r>
    <s v="QCL"/>
    <s v="Crops and livestock products"/>
    <n v="729"/>
    <s v="Sudan"/>
    <n v="5312"/>
    <s v="Area harvested"/>
    <s v="01449.90"/>
    <x v="30"/>
    <n v="2019"/>
    <x v="4"/>
    <s v="ha"/>
    <n v="12800"/>
    <s v="E"/>
    <s v="Estimated value"/>
  </r>
  <r>
    <s v="QCL"/>
    <s v="Crops and livestock products"/>
    <n v="729"/>
    <s v="Sudan"/>
    <n v="5312"/>
    <s v="Area harvested"/>
    <s v="01449.90"/>
    <x v="30"/>
    <n v="2020"/>
    <x v="5"/>
    <s v="ha"/>
    <n v="13500"/>
    <s v="E"/>
    <s v="Estimated value"/>
  </r>
  <r>
    <s v="QCL"/>
    <s v="Crops and livestock products"/>
    <n v="729"/>
    <s v="Sudan"/>
    <n v="5312"/>
    <s v="Area harvested"/>
    <s v="01449.90"/>
    <x v="30"/>
    <n v="2021"/>
    <x v="6"/>
    <s v="ha"/>
    <n v="14100"/>
    <s v="E"/>
    <s v="Estimated value"/>
  </r>
  <r>
    <s v="QCL"/>
    <s v="Crops and livestock products"/>
    <n v="729"/>
    <s v="Sudan"/>
    <n v="5419"/>
    <s v="Yield"/>
    <s v="01449.90"/>
    <x v="30"/>
    <n v="2015"/>
    <x v="0"/>
    <s v="hg/ha"/>
    <n v="7522"/>
    <s v="E"/>
    <s v="Estimated value"/>
  </r>
  <r>
    <s v="QCL"/>
    <s v="Crops and livestock products"/>
    <n v="729"/>
    <s v="Sudan"/>
    <n v="5419"/>
    <s v="Yield"/>
    <s v="01449.90"/>
    <x v="30"/>
    <n v="2016"/>
    <x v="1"/>
    <s v="hg/ha"/>
    <n v="7895"/>
    <s v="E"/>
    <s v="Estimated value"/>
  </r>
  <r>
    <s v="QCL"/>
    <s v="Crops and livestock products"/>
    <n v="729"/>
    <s v="Sudan"/>
    <n v="5419"/>
    <s v="Yield"/>
    <s v="01449.90"/>
    <x v="30"/>
    <n v="2017"/>
    <x v="2"/>
    <s v="hg/ha"/>
    <n v="8120"/>
    <s v="E"/>
    <s v="Estimated value"/>
  </r>
  <r>
    <s v="QCL"/>
    <s v="Crops and livestock products"/>
    <n v="729"/>
    <s v="Sudan"/>
    <n v="5419"/>
    <s v="Yield"/>
    <s v="01449.90"/>
    <x v="30"/>
    <n v="2018"/>
    <x v="3"/>
    <s v="hg/ha"/>
    <n v="8333"/>
    <s v="E"/>
    <s v="Estimated value"/>
  </r>
  <r>
    <s v="QCL"/>
    <s v="Crops and livestock products"/>
    <n v="729"/>
    <s v="Sudan"/>
    <n v="5419"/>
    <s v="Yield"/>
    <s v="01449.90"/>
    <x v="30"/>
    <n v="2019"/>
    <x v="4"/>
    <s v="hg/ha"/>
    <n v="8203"/>
    <s v="E"/>
    <s v="Estimated value"/>
  </r>
  <r>
    <s v="QCL"/>
    <s v="Crops and livestock products"/>
    <n v="729"/>
    <s v="Sudan"/>
    <n v="5419"/>
    <s v="Yield"/>
    <s v="01449.90"/>
    <x v="30"/>
    <n v="2020"/>
    <x v="5"/>
    <s v="hg/ha"/>
    <n v="8148"/>
    <s v="E"/>
    <s v="Estimated value"/>
  </r>
  <r>
    <s v="QCL"/>
    <s v="Crops and livestock products"/>
    <n v="729"/>
    <s v="Sudan"/>
    <n v="5419"/>
    <s v="Yield"/>
    <s v="01449.90"/>
    <x v="30"/>
    <n v="2021"/>
    <x v="6"/>
    <s v="hg/ha"/>
    <n v="8156"/>
    <s v="E"/>
    <s v="Estimated value"/>
  </r>
  <r>
    <s v="QCL"/>
    <s v="Crops and livestock products"/>
    <n v="729"/>
    <s v="Sudan"/>
    <n v="5312"/>
    <s v="Area harvested"/>
    <s v="01709.90"/>
    <x v="31"/>
    <n v="2015"/>
    <x v="0"/>
    <s v="ha"/>
    <n v="103892"/>
    <s v="I"/>
    <s v="Imputed value"/>
  </r>
  <r>
    <s v="QCL"/>
    <s v="Crops and livestock products"/>
    <n v="729"/>
    <s v="Sudan"/>
    <n v="5312"/>
    <s v="Area harvested"/>
    <s v="01709.90"/>
    <x v="31"/>
    <n v="2016"/>
    <x v="1"/>
    <s v="ha"/>
    <n v="100964"/>
    <s v="E"/>
    <s v="Estimated value"/>
  </r>
  <r>
    <s v="QCL"/>
    <s v="Crops and livestock products"/>
    <n v="729"/>
    <s v="Sudan"/>
    <n v="5312"/>
    <s v="Area harvested"/>
    <s v="01709.90"/>
    <x v="31"/>
    <n v="2017"/>
    <x v="2"/>
    <s v="ha"/>
    <n v="103760"/>
    <s v="I"/>
    <s v="Imputed value"/>
  </r>
  <r>
    <s v="QCL"/>
    <s v="Crops and livestock products"/>
    <n v="729"/>
    <s v="Sudan"/>
    <n v="5312"/>
    <s v="Area harvested"/>
    <s v="01709.90"/>
    <x v="31"/>
    <n v="2018"/>
    <x v="3"/>
    <s v="ha"/>
    <n v="107380"/>
    <s v="I"/>
    <s v="Imputed value"/>
  </r>
  <r>
    <s v="QCL"/>
    <s v="Crops and livestock products"/>
    <n v="729"/>
    <s v="Sudan"/>
    <n v="5312"/>
    <s v="Area harvested"/>
    <s v="01709.90"/>
    <x v="31"/>
    <n v="2019"/>
    <x v="4"/>
    <s v="ha"/>
    <n v="104035"/>
    <s v="E"/>
    <s v="Estimated value"/>
  </r>
  <r>
    <s v="QCL"/>
    <s v="Crops and livestock products"/>
    <n v="729"/>
    <s v="Sudan"/>
    <n v="5312"/>
    <s v="Area harvested"/>
    <s v="01709.90"/>
    <x v="31"/>
    <n v="2020"/>
    <x v="5"/>
    <s v="ha"/>
    <n v="105058"/>
    <s v="E"/>
    <s v="Estimated value"/>
  </r>
  <r>
    <s v="QCL"/>
    <s v="Crops and livestock products"/>
    <n v="729"/>
    <s v="Sudan"/>
    <n v="5312"/>
    <s v="Area harvested"/>
    <s v="01709.90"/>
    <x v="31"/>
    <n v="2021"/>
    <x v="6"/>
    <s v="ha"/>
    <n v="105491"/>
    <s v="E"/>
    <s v="Estimated value"/>
  </r>
  <r>
    <s v="QCL"/>
    <s v="Crops and livestock products"/>
    <n v="729"/>
    <s v="Sudan"/>
    <n v="5419"/>
    <s v="Yield"/>
    <s v="01709.90"/>
    <x v="31"/>
    <n v="2015"/>
    <x v="0"/>
    <s v="hg/ha"/>
    <n v="8874"/>
    <s v="E"/>
    <s v="Estimated value"/>
  </r>
  <r>
    <s v="QCL"/>
    <s v="Crops and livestock products"/>
    <n v="729"/>
    <s v="Sudan"/>
    <n v="5419"/>
    <s v="Yield"/>
    <s v="01709.90"/>
    <x v="31"/>
    <n v="2016"/>
    <x v="1"/>
    <s v="hg/ha"/>
    <n v="8821"/>
    <s v="E"/>
    <s v="Estimated value"/>
  </r>
  <r>
    <s v="QCL"/>
    <s v="Crops and livestock products"/>
    <n v="729"/>
    <s v="Sudan"/>
    <n v="5419"/>
    <s v="Yield"/>
    <s v="01709.90"/>
    <x v="31"/>
    <n v="2017"/>
    <x v="2"/>
    <s v="hg/ha"/>
    <n v="8680"/>
    <s v="E"/>
    <s v="Estimated value"/>
  </r>
  <r>
    <s v="QCL"/>
    <s v="Crops and livestock products"/>
    <n v="729"/>
    <s v="Sudan"/>
    <n v="5419"/>
    <s v="Yield"/>
    <s v="01709.90"/>
    <x v="31"/>
    <n v="2018"/>
    <x v="3"/>
    <s v="hg/ha"/>
    <n v="8589"/>
    <s v="E"/>
    <s v="Estimated value"/>
  </r>
  <r>
    <s v="QCL"/>
    <s v="Crops and livestock products"/>
    <n v="729"/>
    <s v="Sudan"/>
    <n v="5419"/>
    <s v="Yield"/>
    <s v="01709.90"/>
    <x v="31"/>
    <n v="2019"/>
    <x v="4"/>
    <s v="hg/ha"/>
    <n v="8821"/>
    <s v="E"/>
    <s v="Estimated value"/>
  </r>
  <r>
    <s v="QCL"/>
    <s v="Crops and livestock products"/>
    <n v="729"/>
    <s v="Sudan"/>
    <n v="5419"/>
    <s v="Yield"/>
    <s v="01709.90"/>
    <x v="31"/>
    <n v="2020"/>
    <x v="5"/>
    <s v="hg/ha"/>
    <n v="8800"/>
    <s v="E"/>
    <s v="Estimated value"/>
  </r>
  <r>
    <s v="QCL"/>
    <s v="Crops and livestock products"/>
    <n v="729"/>
    <s v="Sudan"/>
    <n v="5419"/>
    <s v="Yield"/>
    <s v="01709.90"/>
    <x v="31"/>
    <n v="2021"/>
    <x v="6"/>
    <s v="hg/ha"/>
    <n v="8828"/>
    <s v="E"/>
    <s v="Estimated value"/>
  </r>
  <r>
    <s v="QCL"/>
    <s v="Crops and livestock products"/>
    <n v="729"/>
    <s v="Sudan"/>
    <n v="5312"/>
    <s v="Area harvested"/>
    <s v="01290.90"/>
    <x v="32"/>
    <n v="2015"/>
    <x v="0"/>
    <s v="ha"/>
    <n v="48919"/>
    <s v="I"/>
    <s v="Imputed value"/>
  </r>
  <r>
    <s v="QCL"/>
    <s v="Crops and livestock products"/>
    <n v="729"/>
    <s v="Sudan"/>
    <n v="5312"/>
    <s v="Area harvested"/>
    <s v="01290.90"/>
    <x v="32"/>
    <n v="2016"/>
    <x v="1"/>
    <s v="ha"/>
    <n v="44640"/>
    <s v="E"/>
    <s v="Estimated value"/>
  </r>
  <r>
    <s v="QCL"/>
    <s v="Crops and livestock products"/>
    <n v="729"/>
    <s v="Sudan"/>
    <n v="5312"/>
    <s v="Area harvested"/>
    <s v="01290.90"/>
    <x v="32"/>
    <n v="2017"/>
    <x v="2"/>
    <s v="ha"/>
    <n v="46002"/>
    <s v="I"/>
    <s v="Imputed value"/>
  </r>
  <r>
    <s v="QCL"/>
    <s v="Crops and livestock products"/>
    <n v="729"/>
    <s v="Sudan"/>
    <n v="5312"/>
    <s v="Area harvested"/>
    <s v="01290.90"/>
    <x v="32"/>
    <n v="2018"/>
    <x v="3"/>
    <s v="ha"/>
    <n v="46520"/>
    <s v="E"/>
    <s v="Estimated value"/>
  </r>
  <r>
    <s v="QCL"/>
    <s v="Crops and livestock products"/>
    <n v="729"/>
    <s v="Sudan"/>
    <n v="5312"/>
    <s v="Area harvested"/>
    <s v="01290.90"/>
    <x v="32"/>
    <n v="2019"/>
    <x v="4"/>
    <s v="ha"/>
    <n v="45721"/>
    <s v="E"/>
    <s v="Estimated value"/>
  </r>
  <r>
    <s v="QCL"/>
    <s v="Crops and livestock products"/>
    <n v="729"/>
    <s v="Sudan"/>
    <n v="5312"/>
    <s v="Area harvested"/>
    <s v="01290.90"/>
    <x v="32"/>
    <n v="2020"/>
    <x v="5"/>
    <s v="ha"/>
    <n v="46081"/>
    <s v="E"/>
    <s v="Estimated value"/>
  </r>
  <r>
    <s v="QCL"/>
    <s v="Crops and livestock products"/>
    <n v="729"/>
    <s v="Sudan"/>
    <n v="5312"/>
    <s v="Area harvested"/>
    <s v="01290.90"/>
    <x v="32"/>
    <n v="2021"/>
    <x v="6"/>
    <s v="ha"/>
    <n v="46107"/>
    <s v="E"/>
    <s v="Estimated value"/>
  </r>
  <r>
    <s v="QCL"/>
    <s v="Crops and livestock products"/>
    <n v="729"/>
    <s v="Sudan"/>
    <n v="5419"/>
    <s v="Yield"/>
    <s v="01290.90"/>
    <x v="32"/>
    <n v="2015"/>
    <x v="0"/>
    <s v="hg/ha"/>
    <n v="64139"/>
    <s v="E"/>
    <s v="Estimated value"/>
  </r>
  <r>
    <s v="QCL"/>
    <s v="Crops and livestock products"/>
    <n v="729"/>
    <s v="Sudan"/>
    <n v="5419"/>
    <s v="Yield"/>
    <s v="01290.90"/>
    <x v="32"/>
    <n v="2016"/>
    <x v="1"/>
    <s v="hg/ha"/>
    <n v="66366"/>
    <s v="E"/>
    <s v="Estimated value"/>
  </r>
  <r>
    <s v="QCL"/>
    <s v="Crops and livestock products"/>
    <n v="729"/>
    <s v="Sudan"/>
    <n v="5419"/>
    <s v="Yield"/>
    <s v="01290.90"/>
    <x v="32"/>
    <n v="2017"/>
    <x v="2"/>
    <s v="hg/ha"/>
    <n v="65974"/>
    <s v="E"/>
    <s v="Estimated value"/>
  </r>
  <r>
    <s v="QCL"/>
    <s v="Crops and livestock products"/>
    <n v="729"/>
    <s v="Sudan"/>
    <n v="5419"/>
    <s v="Yield"/>
    <s v="01290.90"/>
    <x v="32"/>
    <n v="2018"/>
    <x v="3"/>
    <s v="hg/ha"/>
    <n v="65456"/>
    <s v="E"/>
    <s v="Estimated value"/>
  </r>
  <r>
    <s v="QCL"/>
    <s v="Crops and livestock products"/>
    <n v="729"/>
    <s v="Sudan"/>
    <n v="5419"/>
    <s v="Yield"/>
    <s v="01290.90"/>
    <x v="32"/>
    <n v="2019"/>
    <x v="4"/>
    <s v="hg/ha"/>
    <n v="65926"/>
    <s v="E"/>
    <s v="Estimated value"/>
  </r>
  <r>
    <s v="QCL"/>
    <s v="Crops and livestock products"/>
    <n v="729"/>
    <s v="Sudan"/>
    <n v="5419"/>
    <s v="Yield"/>
    <s v="01290.90"/>
    <x v="32"/>
    <n v="2020"/>
    <x v="5"/>
    <s v="hg/ha"/>
    <n v="65784"/>
    <s v="E"/>
    <s v="Estimated value"/>
  </r>
  <r>
    <s v="QCL"/>
    <s v="Crops and livestock products"/>
    <n v="729"/>
    <s v="Sudan"/>
    <n v="5419"/>
    <s v="Yield"/>
    <s v="01290.90"/>
    <x v="32"/>
    <n v="2021"/>
    <x v="6"/>
    <s v="hg/ha"/>
    <n v="65720"/>
    <s v="E"/>
    <s v="Estimated value"/>
  </r>
  <r>
    <s v="QCL"/>
    <s v="Crops and livestock products"/>
    <n v="729"/>
    <s v="Sudan"/>
    <n v="5312"/>
    <s v="Area harvested"/>
    <s v="01242"/>
    <x v="33"/>
    <n v="2015"/>
    <x v="0"/>
    <s v="ha"/>
    <n v="0"/>
    <s v="M"/>
    <s v="Missing value (data cannot exist, not applicable)"/>
  </r>
  <r>
    <s v="QCL"/>
    <s v="Crops and livestock products"/>
    <n v="729"/>
    <s v="Sudan"/>
    <n v="5312"/>
    <s v="Area harvested"/>
    <s v="01242"/>
    <x v="33"/>
    <n v="2016"/>
    <x v="1"/>
    <s v="ha"/>
    <n v="0"/>
    <s v="M"/>
    <s v="Missing value (data cannot exist, not applicable)"/>
  </r>
  <r>
    <s v="QCL"/>
    <s v="Crops and livestock products"/>
    <n v="729"/>
    <s v="Sudan"/>
    <n v="5312"/>
    <s v="Area harvested"/>
    <s v="01242"/>
    <x v="33"/>
    <n v="2017"/>
    <x v="2"/>
    <s v="ha"/>
    <n v="0"/>
    <s v="M"/>
    <s v="Missing value (data cannot exist, not applicable)"/>
  </r>
  <r>
    <s v="QCL"/>
    <s v="Crops and livestock products"/>
    <n v="729"/>
    <s v="Sudan"/>
    <n v="5312"/>
    <s v="Area harvested"/>
    <s v="01242"/>
    <x v="33"/>
    <n v="2018"/>
    <x v="3"/>
    <s v="ha"/>
    <n v="0"/>
    <s v="M"/>
    <s v="Missing value (data cannot exist, not applicable)"/>
  </r>
  <r>
    <s v="QCL"/>
    <s v="Crops and livestock products"/>
    <n v="729"/>
    <s v="Sudan"/>
    <n v="5312"/>
    <s v="Area harvested"/>
    <s v="01242"/>
    <x v="33"/>
    <n v="2019"/>
    <x v="4"/>
    <s v="ha"/>
    <n v="0"/>
    <s v="M"/>
    <s v="Missing value (data cannot exist, not applicable)"/>
  </r>
  <r>
    <s v="QCL"/>
    <s v="Crops and livestock products"/>
    <n v="729"/>
    <s v="Sudan"/>
    <n v="5312"/>
    <s v="Area harvested"/>
    <s v="01242"/>
    <x v="33"/>
    <n v="2020"/>
    <x v="5"/>
    <s v="ha"/>
    <n v="0"/>
    <s v="M"/>
    <s v="Missing value (data cannot exist, not applicable)"/>
  </r>
  <r>
    <s v="QCL"/>
    <s v="Crops and livestock products"/>
    <n v="729"/>
    <s v="Sudan"/>
    <n v="5312"/>
    <s v="Area harvested"/>
    <s v="01242"/>
    <x v="33"/>
    <n v="2021"/>
    <x v="6"/>
    <s v="ha"/>
    <n v="0"/>
    <s v="M"/>
    <s v="Missing value (data cannot exist, not applicable)"/>
  </r>
  <r>
    <s v="QCL"/>
    <s v="Crops and livestock products"/>
    <n v="729"/>
    <s v="Sudan"/>
    <n v="5312"/>
    <s v="Area harvested"/>
    <s v="01318"/>
    <x v="34"/>
    <n v="2015"/>
    <x v="0"/>
    <s v="ha"/>
    <n v="789"/>
    <s v="I"/>
    <s v="Imputed value"/>
  </r>
  <r>
    <s v="QCL"/>
    <s v="Crops and livestock products"/>
    <n v="729"/>
    <s v="Sudan"/>
    <n v="5312"/>
    <s v="Area harvested"/>
    <s v="01318"/>
    <x v="34"/>
    <n v="2016"/>
    <x v="1"/>
    <s v="ha"/>
    <n v="896"/>
    <s v="E"/>
    <s v="Estimated value"/>
  </r>
  <r>
    <s v="QCL"/>
    <s v="Crops and livestock products"/>
    <n v="729"/>
    <s v="Sudan"/>
    <n v="5312"/>
    <s v="Area harvested"/>
    <s v="01318"/>
    <x v="34"/>
    <n v="2017"/>
    <x v="2"/>
    <s v="ha"/>
    <n v="895"/>
    <s v="I"/>
    <s v="Imputed value"/>
  </r>
  <r>
    <s v="QCL"/>
    <s v="Crops and livestock products"/>
    <n v="729"/>
    <s v="Sudan"/>
    <n v="5312"/>
    <s v="Area harvested"/>
    <s v="01318"/>
    <x v="34"/>
    <n v="2018"/>
    <x v="3"/>
    <s v="ha"/>
    <n v="860"/>
    <s v="E"/>
    <s v="Estimated value"/>
  </r>
  <r>
    <s v="QCL"/>
    <s v="Crops and livestock products"/>
    <n v="729"/>
    <s v="Sudan"/>
    <n v="5312"/>
    <s v="Area harvested"/>
    <s v="01318"/>
    <x v="34"/>
    <n v="2019"/>
    <x v="4"/>
    <s v="ha"/>
    <n v="884"/>
    <s v="E"/>
    <s v="Estimated value"/>
  </r>
  <r>
    <s v="QCL"/>
    <s v="Crops and livestock products"/>
    <n v="729"/>
    <s v="Sudan"/>
    <n v="5312"/>
    <s v="Area harvested"/>
    <s v="01318"/>
    <x v="34"/>
    <n v="2020"/>
    <x v="5"/>
    <s v="ha"/>
    <n v="880"/>
    <s v="E"/>
    <s v="Estimated value"/>
  </r>
  <r>
    <s v="QCL"/>
    <s v="Crops and livestock products"/>
    <n v="729"/>
    <s v="Sudan"/>
    <n v="5312"/>
    <s v="Area harvested"/>
    <s v="01318"/>
    <x v="34"/>
    <n v="2021"/>
    <x v="6"/>
    <s v="ha"/>
    <n v="875"/>
    <s v="E"/>
    <s v="Estimated value"/>
  </r>
  <r>
    <s v="QCL"/>
    <s v="Crops and livestock products"/>
    <n v="729"/>
    <s v="Sudan"/>
    <n v="5419"/>
    <s v="Yield"/>
    <s v="01318"/>
    <x v="34"/>
    <n v="2015"/>
    <x v="0"/>
    <s v="hg/ha"/>
    <n v="44358"/>
    <s v="E"/>
    <s v="Estimated value"/>
  </r>
  <r>
    <s v="QCL"/>
    <s v="Crops and livestock products"/>
    <n v="729"/>
    <s v="Sudan"/>
    <n v="5419"/>
    <s v="Yield"/>
    <s v="01318"/>
    <x v="34"/>
    <n v="2016"/>
    <x v="1"/>
    <s v="hg/ha"/>
    <n v="44626"/>
    <s v="E"/>
    <s v="Estimated value"/>
  </r>
  <r>
    <s v="QCL"/>
    <s v="Crops and livestock products"/>
    <n v="729"/>
    <s v="Sudan"/>
    <n v="5419"/>
    <s v="Yield"/>
    <s v="01318"/>
    <x v="34"/>
    <n v="2017"/>
    <x v="2"/>
    <s v="hg/ha"/>
    <n v="44490"/>
    <s v="E"/>
    <s v="Estimated value"/>
  </r>
  <r>
    <s v="QCL"/>
    <s v="Crops and livestock products"/>
    <n v="729"/>
    <s v="Sudan"/>
    <n v="5419"/>
    <s v="Yield"/>
    <s v="01318"/>
    <x v="34"/>
    <n v="2018"/>
    <x v="3"/>
    <s v="hg/ha"/>
    <n v="44496"/>
    <s v="E"/>
    <s v="Estimated value"/>
  </r>
  <r>
    <s v="QCL"/>
    <s v="Crops and livestock products"/>
    <n v="729"/>
    <s v="Sudan"/>
    <n v="5419"/>
    <s v="Yield"/>
    <s v="01318"/>
    <x v="34"/>
    <n v="2019"/>
    <x v="4"/>
    <s v="hg/ha"/>
    <n v="44538"/>
    <s v="E"/>
    <s v="Estimated value"/>
  </r>
  <r>
    <s v="QCL"/>
    <s v="Crops and livestock products"/>
    <n v="729"/>
    <s v="Sudan"/>
    <n v="5419"/>
    <s v="Yield"/>
    <s v="01318"/>
    <x v="34"/>
    <n v="2020"/>
    <x v="5"/>
    <s v="hg/ha"/>
    <n v="44508"/>
    <s v="E"/>
    <s v="Estimated value"/>
  </r>
  <r>
    <s v="QCL"/>
    <s v="Crops and livestock products"/>
    <n v="729"/>
    <s v="Sudan"/>
    <n v="5419"/>
    <s v="Yield"/>
    <s v="01318"/>
    <x v="34"/>
    <n v="2021"/>
    <x v="6"/>
    <s v="hg/ha"/>
    <n v="44514"/>
    <s v="E"/>
    <s v="Estimated value"/>
  </r>
  <r>
    <s v="QCL"/>
    <s v="Crops and livestock products"/>
    <n v="729"/>
    <s v="Sudan"/>
    <n v="5312"/>
    <s v="Area harvested"/>
    <s v="01321"/>
    <x v="35"/>
    <n v="2015"/>
    <x v="0"/>
    <s v="ha"/>
    <n v="21042"/>
    <s v="A"/>
    <s v="Official figure"/>
  </r>
  <r>
    <s v="QCL"/>
    <s v="Crops and livestock products"/>
    <n v="729"/>
    <s v="Sudan"/>
    <n v="5312"/>
    <s v="Area harvested"/>
    <s v="01321"/>
    <x v="35"/>
    <n v="2016"/>
    <x v="1"/>
    <s v="ha"/>
    <n v="21924"/>
    <s v="A"/>
    <s v="Official figure"/>
  </r>
  <r>
    <s v="QCL"/>
    <s v="Crops and livestock products"/>
    <n v="729"/>
    <s v="Sudan"/>
    <n v="5312"/>
    <s v="Area harvested"/>
    <s v="01321"/>
    <x v="35"/>
    <n v="2017"/>
    <x v="2"/>
    <s v="ha"/>
    <n v="22000"/>
    <s v="A"/>
    <s v="Official figure"/>
  </r>
  <r>
    <s v="QCL"/>
    <s v="Crops and livestock products"/>
    <n v="729"/>
    <s v="Sudan"/>
    <n v="5312"/>
    <s v="Area harvested"/>
    <s v="01321"/>
    <x v="35"/>
    <n v="2018"/>
    <x v="3"/>
    <s v="ha"/>
    <n v="22000"/>
    <s v="A"/>
    <s v="Official figure"/>
  </r>
  <r>
    <s v="QCL"/>
    <s v="Crops and livestock products"/>
    <n v="729"/>
    <s v="Sudan"/>
    <n v="5312"/>
    <s v="Area harvested"/>
    <s v="01321"/>
    <x v="35"/>
    <n v="2019"/>
    <x v="4"/>
    <s v="ha"/>
    <n v="22000"/>
    <s v="A"/>
    <s v="Official figure"/>
  </r>
  <r>
    <s v="QCL"/>
    <s v="Crops and livestock products"/>
    <n v="729"/>
    <s v="Sudan"/>
    <n v="5312"/>
    <s v="Area harvested"/>
    <s v="01321"/>
    <x v="35"/>
    <n v="2020"/>
    <x v="5"/>
    <s v="ha"/>
    <n v="22000"/>
    <s v="A"/>
    <s v="Official figure"/>
  </r>
  <r>
    <s v="QCL"/>
    <s v="Crops and livestock products"/>
    <n v="729"/>
    <s v="Sudan"/>
    <n v="5312"/>
    <s v="Area harvested"/>
    <s v="01321"/>
    <x v="35"/>
    <n v="2021"/>
    <x v="6"/>
    <s v="ha"/>
    <n v="23090"/>
    <s v="I"/>
    <s v="Imputed value"/>
  </r>
  <r>
    <s v="QCL"/>
    <s v="Crops and livestock products"/>
    <n v="729"/>
    <s v="Sudan"/>
    <n v="5419"/>
    <s v="Yield"/>
    <s v="01321"/>
    <x v="35"/>
    <n v="2015"/>
    <x v="0"/>
    <s v="hg/ha"/>
    <n v="104125"/>
    <s v="A"/>
    <s v="Official figure"/>
  </r>
  <r>
    <s v="QCL"/>
    <s v="Crops and livestock products"/>
    <n v="729"/>
    <s v="Sudan"/>
    <n v="5419"/>
    <s v="Yield"/>
    <s v="01321"/>
    <x v="35"/>
    <n v="2016"/>
    <x v="1"/>
    <s v="hg/ha"/>
    <n v="100420"/>
    <s v="A"/>
    <s v="Official figure"/>
  </r>
  <r>
    <s v="QCL"/>
    <s v="Crops and livestock products"/>
    <n v="729"/>
    <s v="Sudan"/>
    <n v="5419"/>
    <s v="Yield"/>
    <s v="01321"/>
    <x v="35"/>
    <n v="2017"/>
    <x v="2"/>
    <s v="hg/ha"/>
    <n v="102091"/>
    <s v="A"/>
    <s v="Official figure"/>
  </r>
  <r>
    <s v="QCL"/>
    <s v="Crops and livestock products"/>
    <n v="729"/>
    <s v="Sudan"/>
    <n v="5419"/>
    <s v="Yield"/>
    <s v="01321"/>
    <x v="35"/>
    <n v="2018"/>
    <x v="3"/>
    <s v="hg/ha"/>
    <n v="108216"/>
    <s v="A"/>
    <s v="Official figure"/>
  </r>
  <r>
    <s v="QCL"/>
    <s v="Crops and livestock products"/>
    <n v="729"/>
    <s v="Sudan"/>
    <n v="5419"/>
    <s v="Yield"/>
    <s v="01321"/>
    <x v="35"/>
    <n v="2019"/>
    <x v="4"/>
    <s v="hg/ha"/>
    <n v="114709"/>
    <s v="A"/>
    <s v="Official figure"/>
  </r>
  <r>
    <s v="QCL"/>
    <s v="Crops and livestock products"/>
    <n v="729"/>
    <s v="Sudan"/>
    <n v="5419"/>
    <s v="Yield"/>
    <s v="01321"/>
    <x v="35"/>
    <n v="2020"/>
    <x v="5"/>
    <s v="hg/ha"/>
    <n v="121592"/>
    <s v="A"/>
    <s v="Official figure"/>
  </r>
  <r>
    <s v="QCL"/>
    <s v="Crops and livestock products"/>
    <n v="729"/>
    <s v="Sudan"/>
    <n v="5419"/>
    <s v="Yield"/>
    <s v="01321"/>
    <x v="35"/>
    <n v="2021"/>
    <x v="6"/>
    <s v="hg/ha"/>
    <n v="120345"/>
    <s v="E"/>
    <s v="Estimated value"/>
  </r>
  <r>
    <s v="QCL"/>
    <s v="Crops and livestock products"/>
    <n v="729"/>
    <s v="Sudan"/>
    <n v="5312"/>
    <s v="Area harvested"/>
    <s v="01510"/>
    <x v="36"/>
    <n v="2015"/>
    <x v="0"/>
    <s v="ha"/>
    <n v="27006"/>
    <s v="A"/>
    <s v="Official figure"/>
  </r>
  <r>
    <s v="QCL"/>
    <s v="Crops and livestock products"/>
    <n v="729"/>
    <s v="Sudan"/>
    <n v="5312"/>
    <s v="Area harvested"/>
    <s v="01510"/>
    <x v="36"/>
    <n v="2016"/>
    <x v="1"/>
    <s v="ha"/>
    <n v="31374"/>
    <s v="A"/>
    <s v="Official figure"/>
  </r>
  <r>
    <s v="QCL"/>
    <s v="Crops and livestock products"/>
    <n v="729"/>
    <s v="Sudan"/>
    <n v="5312"/>
    <s v="Area harvested"/>
    <s v="01510"/>
    <x v="36"/>
    <n v="2017"/>
    <x v="2"/>
    <s v="ha"/>
    <n v="31625"/>
    <s v="A"/>
    <s v="Official figure"/>
  </r>
  <r>
    <s v="QCL"/>
    <s v="Crops and livestock products"/>
    <n v="729"/>
    <s v="Sudan"/>
    <n v="5312"/>
    <s v="Area harvested"/>
    <s v="01510"/>
    <x v="36"/>
    <n v="2018"/>
    <x v="3"/>
    <s v="ha"/>
    <n v="33206"/>
    <s v="A"/>
    <s v="Official figure"/>
  </r>
  <r>
    <s v="QCL"/>
    <s v="Crops and livestock products"/>
    <n v="729"/>
    <s v="Sudan"/>
    <n v="5312"/>
    <s v="Area harvested"/>
    <s v="01510"/>
    <x v="36"/>
    <n v="2019"/>
    <x v="4"/>
    <s v="ha"/>
    <n v="35199"/>
    <s v="A"/>
    <s v="Official figure"/>
  </r>
  <r>
    <s v="QCL"/>
    <s v="Crops and livestock products"/>
    <n v="729"/>
    <s v="Sudan"/>
    <n v="5312"/>
    <s v="Area harvested"/>
    <s v="01510"/>
    <x v="36"/>
    <n v="2020"/>
    <x v="5"/>
    <s v="ha"/>
    <n v="37311"/>
    <s v="A"/>
    <s v="Official figure"/>
  </r>
  <r>
    <s v="QCL"/>
    <s v="Crops and livestock products"/>
    <n v="729"/>
    <s v="Sudan"/>
    <n v="5312"/>
    <s v="Area harvested"/>
    <s v="01510"/>
    <x v="36"/>
    <n v="2021"/>
    <x v="6"/>
    <s v="ha"/>
    <n v="38423"/>
    <s v="I"/>
    <s v="Imputed value"/>
  </r>
  <r>
    <s v="QCL"/>
    <s v="Crops and livestock products"/>
    <n v="729"/>
    <s v="Sudan"/>
    <n v="5419"/>
    <s v="Yield"/>
    <s v="01510"/>
    <x v="36"/>
    <n v="2015"/>
    <x v="0"/>
    <s v="hg/ha"/>
    <n v="153225"/>
    <s v="A"/>
    <s v="Official figure"/>
  </r>
  <r>
    <s v="QCL"/>
    <s v="Crops and livestock products"/>
    <n v="729"/>
    <s v="Sudan"/>
    <n v="5419"/>
    <s v="Yield"/>
    <s v="01510"/>
    <x v="36"/>
    <n v="2016"/>
    <x v="1"/>
    <s v="hg/ha"/>
    <n v="132371"/>
    <s v="A"/>
    <s v="Official figure"/>
  </r>
  <r>
    <s v="QCL"/>
    <s v="Crops and livestock products"/>
    <n v="729"/>
    <s v="Sudan"/>
    <n v="5419"/>
    <s v="Yield"/>
    <s v="01510"/>
    <x v="36"/>
    <n v="2017"/>
    <x v="2"/>
    <s v="hg/ha"/>
    <n v="132371"/>
    <s v="A"/>
    <s v="Official figure"/>
  </r>
  <r>
    <s v="QCL"/>
    <s v="Crops and livestock products"/>
    <n v="729"/>
    <s v="Sudan"/>
    <n v="5419"/>
    <s v="Yield"/>
    <s v="01510"/>
    <x v="36"/>
    <n v="2018"/>
    <x v="3"/>
    <s v="hg/ha"/>
    <n v="132371"/>
    <s v="A"/>
    <s v="Official figure"/>
  </r>
  <r>
    <s v="QCL"/>
    <s v="Crops and livestock products"/>
    <n v="729"/>
    <s v="Sudan"/>
    <n v="5419"/>
    <s v="Yield"/>
    <s v="01510"/>
    <x v="36"/>
    <n v="2019"/>
    <x v="4"/>
    <s v="hg/ha"/>
    <n v="132371"/>
    <s v="A"/>
    <s v="Official figure"/>
  </r>
  <r>
    <s v="QCL"/>
    <s v="Crops and livestock products"/>
    <n v="729"/>
    <s v="Sudan"/>
    <n v="5419"/>
    <s v="Yield"/>
    <s v="01510"/>
    <x v="36"/>
    <n v="2020"/>
    <x v="5"/>
    <s v="hg/ha"/>
    <n v="132371"/>
    <s v="A"/>
    <s v="Official figure"/>
  </r>
  <r>
    <s v="QCL"/>
    <s v="Crops and livestock products"/>
    <n v="729"/>
    <s v="Sudan"/>
    <n v="5419"/>
    <s v="Yield"/>
    <s v="01510"/>
    <x v="36"/>
    <n v="2021"/>
    <x v="6"/>
    <s v="hg/ha"/>
    <n v="131259"/>
    <s v="E"/>
    <s v="Estimated value"/>
  </r>
  <r>
    <s v="QCL"/>
    <s v="Crops and livestock products"/>
    <n v="729"/>
    <s v="Sudan"/>
    <n v="5312"/>
    <s v="Area harvested"/>
    <s v="01235"/>
    <x v="37"/>
    <n v="2015"/>
    <x v="0"/>
    <s v="ha"/>
    <n v="2294"/>
    <s v="I"/>
    <s v="Imputed value"/>
  </r>
  <r>
    <s v="QCL"/>
    <s v="Crops and livestock products"/>
    <n v="729"/>
    <s v="Sudan"/>
    <n v="5312"/>
    <s v="Area harvested"/>
    <s v="01235"/>
    <x v="37"/>
    <n v="2016"/>
    <x v="1"/>
    <s v="ha"/>
    <n v="1998"/>
    <s v="E"/>
    <s v="Estimated value"/>
  </r>
  <r>
    <s v="QCL"/>
    <s v="Crops and livestock products"/>
    <n v="729"/>
    <s v="Sudan"/>
    <n v="5312"/>
    <s v="Area harvested"/>
    <s v="01235"/>
    <x v="37"/>
    <n v="2017"/>
    <x v="2"/>
    <s v="ha"/>
    <n v="2114"/>
    <s v="I"/>
    <s v="Imputed value"/>
  </r>
  <r>
    <s v="QCL"/>
    <s v="Crops and livestock products"/>
    <n v="729"/>
    <s v="Sudan"/>
    <n v="5312"/>
    <s v="Area harvested"/>
    <s v="01235"/>
    <x v="37"/>
    <n v="2018"/>
    <x v="3"/>
    <s v="ha"/>
    <n v="2135"/>
    <s v="E"/>
    <s v="Estimated value"/>
  </r>
  <r>
    <s v="QCL"/>
    <s v="Crops and livestock products"/>
    <n v="729"/>
    <s v="Sudan"/>
    <n v="5312"/>
    <s v="Area harvested"/>
    <s v="01235"/>
    <x v="37"/>
    <n v="2019"/>
    <x v="4"/>
    <s v="ha"/>
    <n v="2082"/>
    <s v="E"/>
    <s v="Estimated value"/>
  </r>
  <r>
    <s v="QCL"/>
    <s v="Crops and livestock products"/>
    <n v="729"/>
    <s v="Sudan"/>
    <n v="5312"/>
    <s v="Area harvested"/>
    <s v="01235"/>
    <x v="37"/>
    <n v="2020"/>
    <x v="5"/>
    <s v="ha"/>
    <n v="2111"/>
    <s v="E"/>
    <s v="Estimated value"/>
  </r>
  <r>
    <s v="QCL"/>
    <s v="Crops and livestock products"/>
    <n v="729"/>
    <s v="Sudan"/>
    <n v="5312"/>
    <s v="Area harvested"/>
    <s v="01235"/>
    <x v="37"/>
    <n v="2021"/>
    <x v="6"/>
    <s v="ha"/>
    <n v="2109"/>
    <s v="E"/>
    <s v="Estimated value"/>
  </r>
  <r>
    <s v="QCL"/>
    <s v="Crops and livestock products"/>
    <n v="729"/>
    <s v="Sudan"/>
    <n v="5419"/>
    <s v="Yield"/>
    <s v="01235"/>
    <x v="37"/>
    <n v="2015"/>
    <x v="0"/>
    <s v="hg/ha"/>
    <n v="157031"/>
    <s v="E"/>
    <s v="Estimated value"/>
  </r>
  <r>
    <s v="QCL"/>
    <s v="Crops and livestock products"/>
    <n v="729"/>
    <s v="Sudan"/>
    <n v="5419"/>
    <s v="Yield"/>
    <s v="01235"/>
    <x v="37"/>
    <n v="2016"/>
    <x v="1"/>
    <s v="hg/ha"/>
    <n v="160198"/>
    <s v="E"/>
    <s v="Estimated value"/>
  </r>
  <r>
    <s v="QCL"/>
    <s v="Crops and livestock products"/>
    <n v="729"/>
    <s v="Sudan"/>
    <n v="5419"/>
    <s v="Yield"/>
    <s v="01235"/>
    <x v="37"/>
    <n v="2017"/>
    <x v="2"/>
    <s v="hg/ha"/>
    <n v="160151"/>
    <s v="E"/>
    <s v="Estimated value"/>
  </r>
  <r>
    <s v="QCL"/>
    <s v="Crops and livestock products"/>
    <n v="729"/>
    <s v="Sudan"/>
    <n v="5419"/>
    <s v="Yield"/>
    <s v="01235"/>
    <x v="37"/>
    <n v="2018"/>
    <x v="3"/>
    <s v="hg/ha"/>
    <n v="159048"/>
    <s v="E"/>
    <s v="Estimated value"/>
  </r>
  <r>
    <s v="QCL"/>
    <s v="Crops and livestock products"/>
    <n v="729"/>
    <s v="Sudan"/>
    <n v="5419"/>
    <s v="Yield"/>
    <s v="01235"/>
    <x v="37"/>
    <n v="2019"/>
    <x v="4"/>
    <s v="hg/ha"/>
    <n v="159789"/>
    <s v="E"/>
    <s v="Estimated value"/>
  </r>
  <r>
    <s v="QCL"/>
    <s v="Crops and livestock products"/>
    <n v="729"/>
    <s v="Sudan"/>
    <n v="5419"/>
    <s v="Yield"/>
    <s v="01235"/>
    <x v="37"/>
    <n v="2020"/>
    <x v="5"/>
    <s v="hg/ha"/>
    <n v="159660"/>
    <s v="E"/>
    <s v="Estimated value"/>
  </r>
  <r>
    <s v="QCL"/>
    <s v="Crops and livestock products"/>
    <n v="729"/>
    <s v="Sudan"/>
    <n v="5419"/>
    <s v="Yield"/>
    <s v="01235"/>
    <x v="37"/>
    <n v="2021"/>
    <x v="6"/>
    <s v="hg/ha"/>
    <n v="159496"/>
    <s v="E"/>
    <s v="Estimated value"/>
  </r>
  <r>
    <s v="QCL"/>
    <s v="Crops and livestock products"/>
    <n v="729"/>
    <s v="Sudan"/>
    <n v="5312"/>
    <s v="Area harvested"/>
    <s v="0113"/>
    <x v="38"/>
    <n v="2015"/>
    <x v="0"/>
    <s v="ha"/>
    <n v="7560"/>
    <s v="A"/>
    <s v="Official figure"/>
  </r>
  <r>
    <s v="QCL"/>
    <s v="Crops and livestock products"/>
    <n v="729"/>
    <s v="Sudan"/>
    <n v="5312"/>
    <s v="Area harvested"/>
    <s v="0113"/>
    <x v="38"/>
    <n v="2016"/>
    <x v="1"/>
    <s v="ha"/>
    <n v="7140"/>
    <s v="A"/>
    <s v="Official figure"/>
  </r>
  <r>
    <s v="QCL"/>
    <s v="Crops and livestock products"/>
    <n v="729"/>
    <s v="Sudan"/>
    <n v="5312"/>
    <s v="Area harvested"/>
    <s v="0113"/>
    <x v="38"/>
    <n v="2017"/>
    <x v="2"/>
    <s v="ha"/>
    <n v="11760"/>
    <s v="A"/>
    <s v="Official figure"/>
  </r>
  <r>
    <s v="QCL"/>
    <s v="Crops and livestock products"/>
    <n v="729"/>
    <s v="Sudan"/>
    <n v="5312"/>
    <s v="Area harvested"/>
    <s v="0113"/>
    <x v="38"/>
    <n v="2018"/>
    <x v="3"/>
    <s v="ha"/>
    <n v="11370"/>
    <s v="A"/>
    <s v="Official figure"/>
  </r>
  <r>
    <s v="QCL"/>
    <s v="Crops and livestock products"/>
    <n v="729"/>
    <s v="Sudan"/>
    <n v="5312"/>
    <s v="Area harvested"/>
    <s v="0113"/>
    <x v="38"/>
    <n v="2019"/>
    <x v="4"/>
    <s v="ha"/>
    <n v="11540"/>
    <s v="A"/>
    <s v="Official figure"/>
  </r>
  <r>
    <s v="QCL"/>
    <s v="Crops and livestock products"/>
    <n v="729"/>
    <s v="Sudan"/>
    <n v="5312"/>
    <s v="Area harvested"/>
    <s v="0113"/>
    <x v="38"/>
    <n v="2020"/>
    <x v="5"/>
    <s v="ha"/>
    <n v="11713"/>
    <s v="A"/>
    <s v="Official figure"/>
  </r>
  <r>
    <s v="QCL"/>
    <s v="Crops and livestock products"/>
    <n v="729"/>
    <s v="Sudan"/>
    <n v="5312"/>
    <s v="Area harvested"/>
    <s v="0113"/>
    <x v="38"/>
    <n v="2021"/>
    <x v="6"/>
    <s v="ha"/>
    <n v="8513"/>
    <s v="I"/>
    <s v="Imputed value"/>
  </r>
  <r>
    <s v="QCL"/>
    <s v="Crops and livestock products"/>
    <n v="729"/>
    <s v="Sudan"/>
    <n v="5419"/>
    <s v="Yield"/>
    <s v="0113"/>
    <x v="38"/>
    <n v="2015"/>
    <x v="0"/>
    <s v="hg/ha"/>
    <n v="42328"/>
    <s v="A"/>
    <s v="Official figure"/>
  </r>
  <r>
    <s v="QCL"/>
    <s v="Crops and livestock products"/>
    <n v="729"/>
    <s v="Sudan"/>
    <n v="5419"/>
    <s v="Yield"/>
    <s v="0113"/>
    <x v="38"/>
    <n v="2016"/>
    <x v="1"/>
    <s v="hg/ha"/>
    <n v="39216"/>
    <s v="A"/>
    <s v="Official figure"/>
  </r>
  <r>
    <s v="QCL"/>
    <s v="Crops and livestock products"/>
    <n v="729"/>
    <s v="Sudan"/>
    <n v="5419"/>
    <s v="Yield"/>
    <s v="0113"/>
    <x v="38"/>
    <n v="2017"/>
    <x v="2"/>
    <s v="hg/ha"/>
    <n v="27211"/>
    <s v="A"/>
    <s v="Official figure"/>
  </r>
  <r>
    <s v="QCL"/>
    <s v="Crops and livestock products"/>
    <n v="729"/>
    <s v="Sudan"/>
    <n v="5419"/>
    <s v="Yield"/>
    <s v="0113"/>
    <x v="38"/>
    <n v="2018"/>
    <x v="3"/>
    <s v="hg/ha"/>
    <n v="26385"/>
    <s v="A"/>
    <s v="Official figure"/>
  </r>
  <r>
    <s v="QCL"/>
    <s v="Crops and livestock products"/>
    <n v="729"/>
    <s v="Sudan"/>
    <n v="5419"/>
    <s v="Yield"/>
    <s v="0113"/>
    <x v="38"/>
    <n v="2019"/>
    <x v="4"/>
    <s v="hg/ha"/>
    <n v="27730"/>
    <s v="A"/>
    <s v="Official figure"/>
  </r>
  <r>
    <s v="QCL"/>
    <s v="Crops and livestock products"/>
    <n v="729"/>
    <s v="Sudan"/>
    <n v="5419"/>
    <s v="Yield"/>
    <s v="0113"/>
    <x v="38"/>
    <n v="2020"/>
    <x v="5"/>
    <s v="hg/ha"/>
    <n v="29143"/>
    <s v="A"/>
    <s v="Official figure"/>
  </r>
  <r>
    <s v="QCL"/>
    <s v="Crops and livestock products"/>
    <n v="729"/>
    <s v="Sudan"/>
    <n v="5419"/>
    <s v="Yield"/>
    <s v="0113"/>
    <x v="38"/>
    <n v="2021"/>
    <x v="6"/>
    <s v="hg/ha"/>
    <n v="29367"/>
    <s v="E"/>
    <s v="Estimated value"/>
  </r>
  <r>
    <s v="QCL"/>
    <s v="Crops and livestock products"/>
    <n v="729"/>
    <s v="Sudan"/>
    <n v="5312"/>
    <s v="Area harvested"/>
    <s v="01921.01"/>
    <x v="39"/>
    <n v="2015"/>
    <x v="0"/>
    <s v="ha"/>
    <n v="85680"/>
    <s v="A"/>
    <s v="Official figure"/>
  </r>
  <r>
    <s v="QCL"/>
    <s v="Crops and livestock products"/>
    <n v="729"/>
    <s v="Sudan"/>
    <n v="5312"/>
    <s v="Area harvested"/>
    <s v="01921.01"/>
    <x v="39"/>
    <n v="2016"/>
    <x v="1"/>
    <s v="ha"/>
    <n v="66360"/>
    <s v="A"/>
    <s v="Official figure"/>
  </r>
  <r>
    <s v="QCL"/>
    <s v="Crops and livestock products"/>
    <n v="729"/>
    <s v="Sudan"/>
    <n v="5312"/>
    <s v="Area harvested"/>
    <s v="01921.01"/>
    <x v="39"/>
    <n v="2017"/>
    <x v="2"/>
    <s v="ha"/>
    <n v="173000"/>
    <s v="T"/>
    <s v="Unofficial figure"/>
  </r>
  <r>
    <s v="QCL"/>
    <s v="Crops and livestock products"/>
    <n v="729"/>
    <s v="Sudan"/>
    <n v="5312"/>
    <s v="Area harvested"/>
    <s v="01921.01"/>
    <x v="39"/>
    <n v="2018"/>
    <x v="3"/>
    <s v="ha"/>
    <n v="191940"/>
    <s v="A"/>
    <s v="Official figure"/>
  </r>
  <r>
    <s v="QCL"/>
    <s v="Crops and livestock products"/>
    <n v="729"/>
    <s v="Sudan"/>
    <n v="5312"/>
    <s v="Area harvested"/>
    <s v="01921.01"/>
    <x v="39"/>
    <n v="2019"/>
    <x v="4"/>
    <s v="ha"/>
    <n v="196980"/>
    <s v="A"/>
    <s v="Official figure"/>
  </r>
  <r>
    <s v="QCL"/>
    <s v="Crops and livestock products"/>
    <n v="729"/>
    <s v="Sudan"/>
    <n v="5312"/>
    <s v="Area harvested"/>
    <s v="01921.01"/>
    <x v="39"/>
    <n v="2020"/>
    <x v="5"/>
    <s v="ha"/>
    <n v="202152"/>
    <s v="A"/>
    <s v="Official figure"/>
  </r>
  <r>
    <s v="QCL"/>
    <s v="Crops and livestock products"/>
    <n v="729"/>
    <s v="Sudan"/>
    <n v="5312"/>
    <s v="Area harvested"/>
    <s v="01921.01"/>
    <x v="39"/>
    <n v="2021"/>
    <x v="6"/>
    <s v="ha"/>
    <n v="196739"/>
    <s v="I"/>
    <s v="Imputed value"/>
  </r>
  <r>
    <s v="QCL"/>
    <s v="Crops and livestock products"/>
    <n v="729"/>
    <s v="Sudan"/>
    <n v="5419"/>
    <s v="Yield"/>
    <s v="01921.01"/>
    <x v="39"/>
    <n v="2015"/>
    <x v="0"/>
    <s v="hg/ha"/>
    <n v="15313"/>
    <s v="A"/>
    <s v="Official figure"/>
  </r>
  <r>
    <s v="QCL"/>
    <s v="Crops and livestock products"/>
    <n v="729"/>
    <s v="Sudan"/>
    <n v="5419"/>
    <s v="Yield"/>
    <s v="01921.01"/>
    <x v="39"/>
    <n v="2016"/>
    <x v="1"/>
    <s v="hg/ha"/>
    <n v="16395"/>
    <s v="A"/>
    <s v="Official figure"/>
  </r>
  <r>
    <s v="QCL"/>
    <s v="Crops and livestock products"/>
    <n v="729"/>
    <s v="Sudan"/>
    <n v="5419"/>
    <s v="Yield"/>
    <s v="01921.01"/>
    <x v="39"/>
    <n v="2017"/>
    <x v="2"/>
    <s v="hg/ha"/>
    <n v="18793"/>
    <s v="E"/>
    <s v="Estimated value"/>
  </r>
  <r>
    <s v="QCL"/>
    <s v="Crops and livestock products"/>
    <n v="729"/>
    <s v="Sudan"/>
    <n v="5419"/>
    <s v="Yield"/>
    <s v="01921.01"/>
    <x v="39"/>
    <n v="2018"/>
    <x v="3"/>
    <s v="hg/ha"/>
    <n v="18372"/>
    <s v="A"/>
    <s v="Official figure"/>
  </r>
  <r>
    <s v="QCL"/>
    <s v="Crops and livestock products"/>
    <n v="729"/>
    <s v="Sudan"/>
    <n v="5419"/>
    <s v="Yield"/>
    <s v="01921.01"/>
    <x v="39"/>
    <n v="2019"/>
    <x v="4"/>
    <s v="hg/ha"/>
    <n v="14328"/>
    <s v="A"/>
    <s v="Official figure"/>
  </r>
  <r>
    <s v="QCL"/>
    <s v="Crops and livestock products"/>
    <n v="729"/>
    <s v="Sudan"/>
    <n v="5419"/>
    <s v="Yield"/>
    <s v="01921.01"/>
    <x v="39"/>
    <n v="2020"/>
    <x v="5"/>
    <s v="hg/ha"/>
    <n v="15856"/>
    <s v="E"/>
    <s v="Estimated value"/>
  </r>
  <r>
    <s v="QCL"/>
    <s v="Crops and livestock products"/>
    <n v="729"/>
    <s v="Sudan"/>
    <n v="5419"/>
    <s v="Yield"/>
    <s v="01921.01"/>
    <x v="39"/>
    <n v="2021"/>
    <x v="6"/>
    <s v="hg/ha"/>
    <n v="17894"/>
    <s v="E"/>
    <s v="Estimated value"/>
  </r>
  <r>
    <s v="QCL"/>
    <s v="Crops and livestock products"/>
    <n v="729"/>
    <s v="Sudan"/>
    <n v="5312"/>
    <s v="Area harvested"/>
    <s v="01444"/>
    <x v="40"/>
    <n v="2015"/>
    <x v="0"/>
    <s v="ha"/>
    <n v="1450260"/>
    <s v="A"/>
    <s v="Official figure"/>
  </r>
  <r>
    <s v="QCL"/>
    <s v="Crops and livestock products"/>
    <n v="729"/>
    <s v="Sudan"/>
    <n v="5312"/>
    <s v="Area harvested"/>
    <s v="01444"/>
    <x v="40"/>
    <n v="2016"/>
    <x v="1"/>
    <s v="ha"/>
    <n v="2134860"/>
    <s v="A"/>
    <s v="Official figure"/>
  </r>
  <r>
    <s v="QCL"/>
    <s v="Crops and livestock products"/>
    <n v="729"/>
    <s v="Sudan"/>
    <n v="5312"/>
    <s v="Area harvested"/>
    <s v="01444"/>
    <x v="40"/>
    <n v="2017"/>
    <x v="2"/>
    <s v="ha"/>
    <n v="2704000"/>
    <s v="T"/>
    <s v="Unofficial figure"/>
  </r>
  <r>
    <s v="QCL"/>
    <s v="Crops and livestock products"/>
    <n v="729"/>
    <s v="Sudan"/>
    <n v="5312"/>
    <s v="Area harvested"/>
    <s v="01444"/>
    <x v="40"/>
    <n v="2018"/>
    <x v="3"/>
    <s v="ha"/>
    <n v="3480960"/>
    <s v="A"/>
    <s v="Official figure"/>
  </r>
  <r>
    <s v="QCL"/>
    <s v="Crops and livestock products"/>
    <n v="729"/>
    <s v="Sudan"/>
    <n v="5312"/>
    <s v="Area harvested"/>
    <s v="01444"/>
    <x v="40"/>
    <n v="2019"/>
    <x v="4"/>
    <s v="ha"/>
    <n v="4243680"/>
    <s v="A"/>
    <s v="Official figure"/>
  </r>
  <r>
    <s v="QCL"/>
    <s v="Crops and livestock products"/>
    <n v="729"/>
    <s v="Sudan"/>
    <n v="5312"/>
    <s v="Area harvested"/>
    <s v="01444"/>
    <x v="40"/>
    <n v="2020"/>
    <x v="5"/>
    <s v="ha"/>
    <n v="5173521"/>
    <s v="A"/>
    <s v="Official figure"/>
  </r>
  <r>
    <s v="QCL"/>
    <s v="Crops and livestock products"/>
    <n v="729"/>
    <s v="Sudan"/>
    <n v="5312"/>
    <s v="Area harvested"/>
    <s v="01444"/>
    <x v="40"/>
    <n v="2021"/>
    <x v="6"/>
    <s v="ha"/>
    <n v="3815933"/>
    <s v="E"/>
    <s v="Estimated value"/>
  </r>
  <r>
    <s v="QCL"/>
    <s v="Crops and livestock products"/>
    <n v="729"/>
    <s v="Sudan"/>
    <n v="5419"/>
    <s v="Yield"/>
    <s v="01444"/>
    <x v="40"/>
    <n v="2015"/>
    <x v="0"/>
    <s v="hg/ha"/>
    <n v="2269"/>
    <s v="A"/>
    <s v="Official figure"/>
  </r>
  <r>
    <s v="QCL"/>
    <s v="Crops and livestock products"/>
    <n v="729"/>
    <s v="Sudan"/>
    <n v="5419"/>
    <s v="Yield"/>
    <s v="01444"/>
    <x v="40"/>
    <n v="2016"/>
    <x v="1"/>
    <s v="hg/ha"/>
    <n v="2459"/>
    <s v="A"/>
    <s v="Official figure"/>
  </r>
  <r>
    <s v="QCL"/>
    <s v="Crops and livestock products"/>
    <n v="729"/>
    <s v="Sudan"/>
    <n v="5419"/>
    <s v="Yield"/>
    <s v="01444"/>
    <x v="40"/>
    <n v="2017"/>
    <x v="2"/>
    <s v="hg/ha"/>
    <n v="2888"/>
    <s v="E"/>
    <s v="Estimated value"/>
  </r>
  <r>
    <s v="QCL"/>
    <s v="Crops and livestock products"/>
    <n v="729"/>
    <s v="Sudan"/>
    <n v="5419"/>
    <s v="Yield"/>
    <s v="01444"/>
    <x v="40"/>
    <n v="2018"/>
    <x v="3"/>
    <s v="hg/ha"/>
    <n v="2758"/>
    <s v="A"/>
    <s v="Official figure"/>
  </r>
  <r>
    <s v="QCL"/>
    <s v="Crops and livestock products"/>
    <n v="729"/>
    <s v="Sudan"/>
    <n v="5419"/>
    <s v="Yield"/>
    <s v="01444"/>
    <x v="40"/>
    <n v="2019"/>
    <x v="4"/>
    <s v="hg/ha"/>
    <n v="2851"/>
    <s v="A"/>
    <s v="Official figure"/>
  </r>
  <r>
    <s v="QCL"/>
    <s v="Crops and livestock products"/>
    <n v="729"/>
    <s v="Sudan"/>
    <n v="5419"/>
    <s v="Yield"/>
    <s v="01444"/>
    <x v="40"/>
    <n v="2020"/>
    <x v="5"/>
    <s v="hg/ha"/>
    <n v="2948"/>
    <s v="A"/>
    <s v="Official figure"/>
  </r>
  <r>
    <s v="QCL"/>
    <s v="Crops and livestock products"/>
    <n v="729"/>
    <s v="Sudan"/>
    <n v="5419"/>
    <s v="Yield"/>
    <s v="01444"/>
    <x v="40"/>
    <n v="2021"/>
    <x v="6"/>
    <s v="hg/ha"/>
    <n v="2933"/>
    <s v="E"/>
    <s v="Estimated value"/>
  </r>
  <r>
    <s v="QCL"/>
    <s v="Crops and livestock products"/>
    <n v="729"/>
    <s v="Sudan"/>
    <n v="5312"/>
    <s v="Area harvested"/>
    <s v="0114"/>
    <x v="41"/>
    <n v="2015"/>
    <x v="0"/>
    <s v="ha"/>
    <n v="5197080"/>
    <s v="A"/>
    <s v="Official figure"/>
  </r>
  <r>
    <s v="QCL"/>
    <s v="Crops and livestock products"/>
    <n v="729"/>
    <s v="Sudan"/>
    <n v="5312"/>
    <s v="Area harvested"/>
    <s v="0114"/>
    <x v="41"/>
    <n v="2016"/>
    <x v="1"/>
    <s v="ha"/>
    <n v="9157680"/>
    <s v="A"/>
    <s v="Official figure"/>
  </r>
  <r>
    <s v="QCL"/>
    <s v="Crops and livestock products"/>
    <n v="729"/>
    <s v="Sudan"/>
    <n v="5312"/>
    <s v="Area harvested"/>
    <s v="0114"/>
    <x v="41"/>
    <n v="2017"/>
    <x v="2"/>
    <s v="ha"/>
    <n v="6476820"/>
    <s v="A"/>
    <s v="Official figure"/>
  </r>
  <r>
    <s v="QCL"/>
    <s v="Crops and livestock products"/>
    <n v="729"/>
    <s v="Sudan"/>
    <n v="5312"/>
    <s v="Area harvested"/>
    <s v="0114"/>
    <x v="41"/>
    <n v="2018"/>
    <x v="3"/>
    <s v="ha"/>
    <n v="8045940"/>
    <s v="A"/>
    <s v="Official figure"/>
  </r>
  <r>
    <s v="QCL"/>
    <s v="Crops and livestock products"/>
    <n v="729"/>
    <s v="Sudan"/>
    <n v="5312"/>
    <s v="Area harvested"/>
    <s v="0114"/>
    <x v="41"/>
    <n v="2019"/>
    <x v="4"/>
    <s v="ha"/>
    <n v="6827520"/>
    <s v="A"/>
    <s v="Official figure"/>
  </r>
  <r>
    <s v="QCL"/>
    <s v="Crops and livestock products"/>
    <n v="729"/>
    <s v="Sudan"/>
    <n v="5312"/>
    <s v="Area harvested"/>
    <s v="0114"/>
    <x v="41"/>
    <n v="2020"/>
    <x v="5"/>
    <s v="ha"/>
    <n v="5793609"/>
    <s v="A"/>
    <s v="Official figure"/>
  </r>
  <r>
    <s v="QCL"/>
    <s v="Crops and livestock products"/>
    <n v="729"/>
    <s v="Sudan"/>
    <n v="5312"/>
    <s v="Area harvested"/>
    <s v="0114"/>
    <x v="41"/>
    <n v="2021"/>
    <x v="6"/>
    <s v="ha"/>
    <n v="6920000"/>
    <s v="T"/>
    <s v="Unofficial figure"/>
  </r>
  <r>
    <s v="QCL"/>
    <s v="Crops and livestock products"/>
    <n v="729"/>
    <s v="Sudan"/>
    <n v="5419"/>
    <s v="Yield"/>
    <s v="0114"/>
    <x v="41"/>
    <n v="2015"/>
    <x v="0"/>
    <s v="hg/ha"/>
    <n v="5280"/>
    <s v="A"/>
    <s v="Official figure"/>
  </r>
  <r>
    <s v="QCL"/>
    <s v="Crops and livestock products"/>
    <n v="729"/>
    <s v="Sudan"/>
    <n v="5419"/>
    <s v="Yield"/>
    <s v="0114"/>
    <x v="41"/>
    <n v="2016"/>
    <x v="1"/>
    <s v="hg/ha"/>
    <n v="7061"/>
    <s v="A"/>
    <s v="Official figure"/>
  </r>
  <r>
    <s v="QCL"/>
    <s v="Crops and livestock products"/>
    <n v="729"/>
    <s v="Sudan"/>
    <n v="5419"/>
    <s v="Yield"/>
    <s v="0114"/>
    <x v="41"/>
    <n v="2017"/>
    <x v="2"/>
    <s v="hg/ha"/>
    <n v="6352"/>
    <s v="E"/>
    <s v="Estimated value"/>
  </r>
  <r>
    <s v="QCL"/>
    <s v="Crops and livestock products"/>
    <n v="729"/>
    <s v="Sudan"/>
    <n v="5419"/>
    <s v="Yield"/>
    <s v="0114"/>
    <x v="41"/>
    <n v="2018"/>
    <x v="3"/>
    <s v="hg/ha"/>
    <n v="6755"/>
    <s v="A"/>
    <s v="Official figure"/>
  </r>
  <r>
    <s v="QCL"/>
    <s v="Crops and livestock products"/>
    <n v="729"/>
    <s v="Sudan"/>
    <n v="5419"/>
    <s v="Yield"/>
    <s v="0114"/>
    <x v="41"/>
    <n v="2019"/>
    <x v="4"/>
    <s v="hg/ha"/>
    <n v="5440"/>
    <s v="A"/>
    <s v="Official figure"/>
  </r>
  <r>
    <s v="QCL"/>
    <s v="Crops and livestock products"/>
    <n v="729"/>
    <s v="Sudan"/>
    <n v="5419"/>
    <s v="Yield"/>
    <s v="0114"/>
    <x v="41"/>
    <n v="2020"/>
    <x v="5"/>
    <s v="hg/ha"/>
    <n v="5193"/>
    <s v="A"/>
    <s v="Official figure"/>
  </r>
  <r>
    <s v="QCL"/>
    <s v="Crops and livestock products"/>
    <n v="729"/>
    <s v="Sudan"/>
    <n v="5419"/>
    <s v="Yield"/>
    <s v="0114"/>
    <x v="41"/>
    <n v="2021"/>
    <x v="6"/>
    <s v="hg/ha"/>
    <n v="5101"/>
    <s v="E"/>
    <s v="Estimated value"/>
  </r>
  <r>
    <s v="QCL"/>
    <s v="Crops and livestock products"/>
    <n v="729"/>
    <s v="Sudan"/>
    <n v="5312"/>
    <s v="Area harvested"/>
    <s v="01802"/>
    <x v="42"/>
    <n v="2015"/>
    <x v="0"/>
    <s v="ha"/>
    <n v="69876"/>
    <s v="A"/>
    <s v="Official figure"/>
  </r>
  <r>
    <s v="QCL"/>
    <s v="Crops and livestock products"/>
    <n v="729"/>
    <s v="Sudan"/>
    <n v="5312"/>
    <s v="Area harvested"/>
    <s v="01802"/>
    <x v="42"/>
    <n v="2016"/>
    <x v="1"/>
    <s v="ha"/>
    <n v="71919"/>
    <s v="I"/>
    <s v="Imputed value"/>
  </r>
  <r>
    <s v="QCL"/>
    <s v="Crops and livestock products"/>
    <n v="729"/>
    <s v="Sudan"/>
    <n v="5312"/>
    <s v="Area harvested"/>
    <s v="01802"/>
    <x v="42"/>
    <n v="2017"/>
    <x v="2"/>
    <s v="ha"/>
    <n v="82200"/>
    <s v="A"/>
    <s v="Official figure"/>
  </r>
  <r>
    <s v="QCL"/>
    <s v="Crops and livestock products"/>
    <n v="729"/>
    <s v="Sudan"/>
    <n v="5312"/>
    <s v="Area harvested"/>
    <s v="01802"/>
    <x v="42"/>
    <n v="2018"/>
    <x v="3"/>
    <s v="ha"/>
    <n v="72800"/>
    <s v="A"/>
    <s v="Official figure"/>
  </r>
  <r>
    <s v="QCL"/>
    <s v="Crops and livestock products"/>
    <n v="729"/>
    <s v="Sudan"/>
    <n v="5312"/>
    <s v="Area harvested"/>
    <s v="01802"/>
    <x v="42"/>
    <n v="2019"/>
    <x v="4"/>
    <s v="ha"/>
    <n v="71100"/>
    <s v="A"/>
    <s v="Official figure"/>
  </r>
  <r>
    <s v="QCL"/>
    <s v="Crops and livestock products"/>
    <n v="729"/>
    <s v="Sudan"/>
    <n v="5312"/>
    <s v="Area harvested"/>
    <s v="01802"/>
    <x v="42"/>
    <n v="2020"/>
    <x v="5"/>
    <s v="ha"/>
    <n v="69440"/>
    <s v="A"/>
    <s v="Official figure"/>
  </r>
  <r>
    <s v="QCL"/>
    <s v="Crops and livestock products"/>
    <n v="729"/>
    <s v="Sudan"/>
    <n v="5312"/>
    <s v="Area harvested"/>
    <s v="01802"/>
    <x v="42"/>
    <n v="2021"/>
    <x v="6"/>
    <s v="ha"/>
    <n v="73369"/>
    <s v="I"/>
    <s v="Imputed value"/>
  </r>
  <r>
    <s v="QCL"/>
    <s v="Crops and livestock products"/>
    <n v="729"/>
    <s v="Sudan"/>
    <n v="5419"/>
    <s v="Yield"/>
    <s v="01802"/>
    <x v="42"/>
    <n v="2015"/>
    <x v="0"/>
    <s v="hg/ha"/>
    <n v="844353"/>
    <s v="E"/>
    <s v="Estimated value"/>
  </r>
  <r>
    <s v="QCL"/>
    <s v="Crops and livestock products"/>
    <n v="729"/>
    <s v="Sudan"/>
    <n v="5419"/>
    <s v="Yield"/>
    <s v="01802"/>
    <x v="42"/>
    <n v="2016"/>
    <x v="1"/>
    <s v="hg/ha"/>
    <n v="834274"/>
    <s v="E"/>
    <s v="Estimated value"/>
  </r>
  <r>
    <s v="QCL"/>
    <s v="Crops and livestock products"/>
    <n v="729"/>
    <s v="Sudan"/>
    <n v="5419"/>
    <s v="Yield"/>
    <s v="01802"/>
    <x v="42"/>
    <n v="2017"/>
    <x v="2"/>
    <s v="hg/ha"/>
    <n v="788564"/>
    <s v="E"/>
    <s v="Estimated value"/>
  </r>
  <r>
    <s v="QCL"/>
    <s v="Crops and livestock products"/>
    <n v="729"/>
    <s v="Sudan"/>
    <n v="5419"/>
    <s v="Yield"/>
    <s v="01802"/>
    <x v="42"/>
    <n v="2018"/>
    <x v="3"/>
    <s v="hg/ha"/>
    <n v="835714"/>
    <s v="E"/>
    <s v="Estimated value"/>
  </r>
  <r>
    <s v="QCL"/>
    <s v="Crops and livestock products"/>
    <n v="729"/>
    <s v="Sudan"/>
    <n v="5419"/>
    <s v="Yield"/>
    <s v="01802"/>
    <x v="42"/>
    <n v="2019"/>
    <x v="4"/>
    <s v="hg/ha"/>
    <n v="766385"/>
    <s v="E"/>
    <s v="Estimated value"/>
  </r>
  <r>
    <s v="QCL"/>
    <s v="Crops and livestock products"/>
    <n v="729"/>
    <s v="Sudan"/>
    <n v="5419"/>
    <s v="Yield"/>
    <s v="01802"/>
    <x v="42"/>
    <n v="2020"/>
    <x v="5"/>
    <s v="hg/ha"/>
    <n v="739615"/>
    <s v="E"/>
    <s v="Estimated value"/>
  </r>
  <r>
    <s v="QCL"/>
    <s v="Crops and livestock products"/>
    <n v="729"/>
    <s v="Sudan"/>
    <n v="5419"/>
    <s v="Yield"/>
    <s v="01802"/>
    <x v="42"/>
    <n v="2021"/>
    <x v="6"/>
    <s v="hg/ha"/>
    <n v="726670"/>
    <s v="E"/>
    <s v="Estimated value"/>
  </r>
  <r>
    <s v="QCL"/>
    <s v="Crops and livestock products"/>
    <n v="729"/>
    <s v="Sudan"/>
    <n v="5312"/>
    <s v="Area harvested"/>
    <s v="01445"/>
    <x v="43"/>
    <n v="2015"/>
    <x v="0"/>
    <s v="ha"/>
    <n v="92400"/>
    <s v="A"/>
    <s v="Official figure"/>
  </r>
  <r>
    <s v="QCL"/>
    <s v="Crops and livestock products"/>
    <n v="729"/>
    <s v="Sudan"/>
    <n v="5312"/>
    <s v="Area harvested"/>
    <s v="01445"/>
    <x v="43"/>
    <n v="2016"/>
    <x v="1"/>
    <s v="ha"/>
    <n v="122220"/>
    <s v="A"/>
    <s v="Official figure"/>
  </r>
  <r>
    <s v="QCL"/>
    <s v="Crops and livestock products"/>
    <n v="729"/>
    <s v="Sudan"/>
    <n v="5312"/>
    <s v="Area harvested"/>
    <s v="01445"/>
    <x v="43"/>
    <n v="2017"/>
    <x v="2"/>
    <s v="ha"/>
    <n v="202000"/>
    <s v="T"/>
    <s v="Unofficial figure"/>
  </r>
  <r>
    <s v="QCL"/>
    <s v="Crops and livestock products"/>
    <n v="729"/>
    <s v="Sudan"/>
    <n v="5312"/>
    <s v="Area harvested"/>
    <s v="01445"/>
    <x v="43"/>
    <n v="2018"/>
    <x v="3"/>
    <s v="ha"/>
    <n v="207900"/>
    <s v="A"/>
    <s v="Official figure"/>
  </r>
  <r>
    <s v="QCL"/>
    <s v="Crops and livestock products"/>
    <n v="729"/>
    <s v="Sudan"/>
    <n v="5312"/>
    <s v="Area harvested"/>
    <s v="01445"/>
    <x v="43"/>
    <n v="2019"/>
    <x v="4"/>
    <s v="ha"/>
    <n v="206220"/>
    <s v="A"/>
    <s v="Official figure"/>
  </r>
  <r>
    <s v="QCL"/>
    <s v="Crops and livestock products"/>
    <n v="729"/>
    <s v="Sudan"/>
    <n v="5312"/>
    <s v="Area harvested"/>
    <s v="01445"/>
    <x v="43"/>
    <n v="2020"/>
    <x v="5"/>
    <s v="ha"/>
    <n v="204554"/>
    <s v="A"/>
    <s v="Official figure"/>
  </r>
  <r>
    <s v="QCL"/>
    <s v="Crops and livestock products"/>
    <n v="729"/>
    <s v="Sudan"/>
    <n v="5312"/>
    <s v="Area harvested"/>
    <s v="01445"/>
    <x v="43"/>
    <n v="2021"/>
    <x v="6"/>
    <s v="ha"/>
    <n v="231656"/>
    <s v="I"/>
    <s v="Imputed value"/>
  </r>
  <r>
    <s v="QCL"/>
    <s v="Crops and livestock products"/>
    <n v="729"/>
    <s v="Sudan"/>
    <n v="5419"/>
    <s v="Yield"/>
    <s v="01445"/>
    <x v="43"/>
    <n v="2015"/>
    <x v="0"/>
    <s v="hg/ha"/>
    <n v="7576"/>
    <s v="A"/>
    <s v="Official figure"/>
  </r>
  <r>
    <s v="QCL"/>
    <s v="Crops and livestock products"/>
    <n v="729"/>
    <s v="Sudan"/>
    <n v="5419"/>
    <s v="Yield"/>
    <s v="01445"/>
    <x v="43"/>
    <n v="2016"/>
    <x v="1"/>
    <s v="hg/ha"/>
    <n v="7118"/>
    <s v="A"/>
    <s v="Official figure"/>
  </r>
  <r>
    <s v="QCL"/>
    <s v="Crops and livestock products"/>
    <n v="729"/>
    <s v="Sudan"/>
    <n v="5419"/>
    <s v="Yield"/>
    <s v="01445"/>
    <x v="43"/>
    <n v="2017"/>
    <x v="2"/>
    <s v="hg/ha"/>
    <n v="7574"/>
    <s v="E"/>
    <s v="Estimated value"/>
  </r>
  <r>
    <s v="QCL"/>
    <s v="Crops and livestock products"/>
    <n v="729"/>
    <s v="Sudan"/>
    <n v="5419"/>
    <s v="Yield"/>
    <s v="01445"/>
    <x v="43"/>
    <n v="2018"/>
    <x v="3"/>
    <s v="hg/ha"/>
    <n v="5195"/>
    <s v="A"/>
    <s v="Official figure"/>
  </r>
  <r>
    <s v="QCL"/>
    <s v="Crops and livestock products"/>
    <n v="729"/>
    <s v="Sudan"/>
    <n v="5419"/>
    <s v="Yield"/>
    <s v="01445"/>
    <x v="43"/>
    <n v="2019"/>
    <x v="4"/>
    <s v="hg/ha"/>
    <n v="5189"/>
    <s v="A"/>
    <s v="Official figure"/>
  </r>
  <r>
    <s v="QCL"/>
    <s v="Crops and livestock products"/>
    <n v="729"/>
    <s v="Sudan"/>
    <n v="5419"/>
    <s v="Yield"/>
    <s v="01445"/>
    <x v="43"/>
    <n v="2020"/>
    <x v="5"/>
    <s v="hg/ha"/>
    <n v="5182"/>
    <s v="A"/>
    <s v="Official figure"/>
  </r>
  <r>
    <s v="QCL"/>
    <s v="Crops and livestock products"/>
    <n v="729"/>
    <s v="Sudan"/>
    <n v="5419"/>
    <s v="Yield"/>
    <s v="01445"/>
    <x v="43"/>
    <n v="2021"/>
    <x v="6"/>
    <s v="hg/ha"/>
    <n v="4771"/>
    <s v="E"/>
    <s v="Estimated value"/>
  </r>
  <r>
    <s v="QCL"/>
    <s v="Crops and livestock products"/>
    <n v="729"/>
    <s v="Sudan"/>
    <n v="5312"/>
    <s v="Area harvested"/>
    <s v="01530"/>
    <x v="44"/>
    <n v="2015"/>
    <x v="0"/>
    <s v="ha"/>
    <n v="16380"/>
    <s v="A"/>
    <s v="Official figure"/>
  </r>
  <r>
    <s v="QCL"/>
    <s v="Crops and livestock products"/>
    <n v="729"/>
    <s v="Sudan"/>
    <n v="5312"/>
    <s v="Area harvested"/>
    <s v="01530"/>
    <x v="44"/>
    <n v="2016"/>
    <x v="1"/>
    <s v="ha"/>
    <n v="24024"/>
    <s v="A"/>
    <s v="Official figure"/>
  </r>
  <r>
    <s v="QCL"/>
    <s v="Crops and livestock products"/>
    <n v="729"/>
    <s v="Sudan"/>
    <n v="5312"/>
    <s v="Area harvested"/>
    <s v="01530"/>
    <x v="44"/>
    <n v="2017"/>
    <x v="2"/>
    <s v="ha"/>
    <n v="24144"/>
    <s v="A"/>
    <s v="Official figure"/>
  </r>
  <r>
    <s v="QCL"/>
    <s v="Crops and livestock products"/>
    <n v="729"/>
    <s v="Sudan"/>
    <n v="5312"/>
    <s v="Area harvested"/>
    <s v="01530"/>
    <x v="44"/>
    <n v="2018"/>
    <x v="3"/>
    <s v="ha"/>
    <n v="24163"/>
    <s v="A"/>
    <s v="Official figure"/>
  </r>
  <r>
    <s v="QCL"/>
    <s v="Crops and livestock products"/>
    <n v="729"/>
    <s v="Sudan"/>
    <n v="5312"/>
    <s v="Area harvested"/>
    <s v="01530"/>
    <x v="44"/>
    <n v="2019"/>
    <x v="4"/>
    <s v="ha"/>
    <n v="25130"/>
    <s v="A"/>
    <s v="Official figure"/>
  </r>
  <r>
    <s v="QCL"/>
    <s v="Crops and livestock products"/>
    <n v="729"/>
    <s v="Sudan"/>
    <n v="5312"/>
    <s v="Area harvested"/>
    <s v="01530"/>
    <x v="44"/>
    <n v="2020"/>
    <x v="5"/>
    <s v="ha"/>
    <n v="26135"/>
    <s v="A"/>
    <s v="Official figure"/>
  </r>
  <r>
    <s v="QCL"/>
    <s v="Crops and livestock products"/>
    <n v="729"/>
    <s v="Sudan"/>
    <n v="5312"/>
    <s v="Area harvested"/>
    <s v="01530"/>
    <x v="44"/>
    <n v="2021"/>
    <x v="6"/>
    <s v="ha"/>
    <n v="26911"/>
    <s v="I"/>
    <s v="Imputed value"/>
  </r>
  <r>
    <s v="QCL"/>
    <s v="Crops and livestock products"/>
    <n v="729"/>
    <s v="Sudan"/>
    <n v="5419"/>
    <s v="Yield"/>
    <s v="01530"/>
    <x v="44"/>
    <n v="2015"/>
    <x v="0"/>
    <s v="hg/ha"/>
    <n v="144689"/>
    <s v="A"/>
    <s v="Official figure"/>
  </r>
  <r>
    <s v="QCL"/>
    <s v="Crops and livestock products"/>
    <n v="729"/>
    <s v="Sudan"/>
    <n v="5419"/>
    <s v="Yield"/>
    <s v="01530"/>
    <x v="44"/>
    <n v="2016"/>
    <x v="1"/>
    <s v="hg/ha"/>
    <n v="99692"/>
    <s v="A"/>
    <s v="Official figure"/>
  </r>
  <r>
    <s v="QCL"/>
    <s v="Crops and livestock products"/>
    <n v="729"/>
    <s v="Sudan"/>
    <n v="5419"/>
    <s v="Yield"/>
    <s v="01530"/>
    <x v="44"/>
    <n v="2017"/>
    <x v="2"/>
    <s v="hg/ha"/>
    <n v="99792"/>
    <s v="A"/>
    <s v="Official figure"/>
  </r>
  <r>
    <s v="QCL"/>
    <s v="Crops and livestock products"/>
    <n v="729"/>
    <s v="Sudan"/>
    <n v="5419"/>
    <s v="Yield"/>
    <s v="01530"/>
    <x v="44"/>
    <n v="2018"/>
    <x v="3"/>
    <s v="hg/ha"/>
    <n v="100928"/>
    <s v="A"/>
    <s v="Official figure"/>
  </r>
  <r>
    <s v="QCL"/>
    <s v="Crops and livestock products"/>
    <n v="729"/>
    <s v="Sudan"/>
    <n v="5419"/>
    <s v="Yield"/>
    <s v="01530"/>
    <x v="44"/>
    <n v="2019"/>
    <x v="4"/>
    <s v="hg/ha"/>
    <n v="100928"/>
    <s v="A"/>
    <s v="Official figure"/>
  </r>
  <r>
    <s v="QCL"/>
    <s v="Crops and livestock products"/>
    <n v="729"/>
    <s v="Sudan"/>
    <n v="5419"/>
    <s v="Yield"/>
    <s v="01530"/>
    <x v="44"/>
    <n v="2020"/>
    <x v="5"/>
    <s v="hg/ha"/>
    <n v="100928"/>
    <s v="A"/>
    <s v="Official figure"/>
  </r>
  <r>
    <s v="QCL"/>
    <s v="Crops and livestock products"/>
    <n v="729"/>
    <s v="Sudan"/>
    <n v="5419"/>
    <s v="Yield"/>
    <s v="01530"/>
    <x v="44"/>
    <n v="2021"/>
    <x v="6"/>
    <s v="hg/ha"/>
    <n v="100439"/>
    <s v="E"/>
    <s v="Estimated value"/>
  </r>
  <r>
    <s v="QCL"/>
    <s v="Crops and livestock products"/>
    <n v="729"/>
    <s v="Sudan"/>
    <n v="5312"/>
    <s v="Area harvested"/>
    <s v="01324"/>
    <x v="45"/>
    <n v="2015"/>
    <x v="0"/>
    <s v="ha"/>
    <n v="0"/>
    <s v="M"/>
    <s v="Missing value (data cannot exist, not applicable)"/>
  </r>
  <r>
    <s v="QCL"/>
    <s v="Crops and livestock products"/>
    <n v="729"/>
    <s v="Sudan"/>
    <n v="5312"/>
    <s v="Area harvested"/>
    <s v="01324"/>
    <x v="45"/>
    <n v="2016"/>
    <x v="1"/>
    <s v="ha"/>
    <n v="0"/>
    <s v="M"/>
    <s v="Missing value (data cannot exist, not applicable)"/>
  </r>
  <r>
    <s v="QCL"/>
    <s v="Crops and livestock products"/>
    <n v="729"/>
    <s v="Sudan"/>
    <n v="5312"/>
    <s v="Area harvested"/>
    <s v="01324"/>
    <x v="45"/>
    <n v="2017"/>
    <x v="2"/>
    <s v="ha"/>
    <n v="0"/>
    <s v="M"/>
    <s v="Missing value (data cannot exist, not applicable)"/>
  </r>
  <r>
    <s v="QCL"/>
    <s v="Crops and livestock products"/>
    <n v="729"/>
    <s v="Sudan"/>
    <n v="5312"/>
    <s v="Area harvested"/>
    <s v="01324"/>
    <x v="45"/>
    <n v="2018"/>
    <x v="3"/>
    <s v="ha"/>
    <n v="0"/>
    <s v="M"/>
    <s v="Missing value (data cannot exist, not applicable)"/>
  </r>
  <r>
    <s v="QCL"/>
    <s v="Crops and livestock products"/>
    <n v="729"/>
    <s v="Sudan"/>
    <n v="5312"/>
    <s v="Area harvested"/>
    <s v="01324"/>
    <x v="45"/>
    <n v="2019"/>
    <x v="4"/>
    <s v="ha"/>
    <n v="0"/>
    <s v="M"/>
    <s v="Missing value (data cannot exist, not applicable)"/>
  </r>
  <r>
    <s v="QCL"/>
    <s v="Crops and livestock products"/>
    <n v="729"/>
    <s v="Sudan"/>
    <n v="5312"/>
    <s v="Area harvested"/>
    <s v="01324"/>
    <x v="45"/>
    <n v="2020"/>
    <x v="5"/>
    <s v="ha"/>
    <n v="0"/>
    <s v="M"/>
    <s v="Missing value (data cannot exist, not applicable)"/>
  </r>
  <r>
    <s v="QCL"/>
    <s v="Crops and livestock products"/>
    <n v="729"/>
    <s v="Sudan"/>
    <n v="5312"/>
    <s v="Area harvested"/>
    <s v="01324"/>
    <x v="45"/>
    <n v="2021"/>
    <x v="6"/>
    <s v="ha"/>
    <n v="0"/>
    <s v="M"/>
    <s v="Missing value (data cannot exist, not applicable)"/>
  </r>
  <r>
    <s v="QCL"/>
    <s v="Crops and livestock products"/>
    <n v="729"/>
    <s v="Sudan"/>
    <n v="5312"/>
    <s v="Area harvested"/>
    <s v="01234"/>
    <x v="46"/>
    <n v="2015"/>
    <x v="0"/>
    <s v="ha"/>
    <n v="44814"/>
    <s v="A"/>
    <s v="Official figure"/>
  </r>
  <r>
    <s v="QCL"/>
    <s v="Crops and livestock products"/>
    <n v="729"/>
    <s v="Sudan"/>
    <n v="5312"/>
    <s v="Area harvested"/>
    <s v="01234"/>
    <x v="46"/>
    <n v="2016"/>
    <x v="1"/>
    <s v="ha"/>
    <n v="46746"/>
    <s v="A"/>
    <s v="Official figure"/>
  </r>
  <r>
    <s v="QCL"/>
    <s v="Crops and livestock products"/>
    <n v="729"/>
    <s v="Sudan"/>
    <n v="5312"/>
    <s v="Area harvested"/>
    <s v="01234"/>
    <x v="46"/>
    <n v="2017"/>
    <x v="2"/>
    <s v="ha"/>
    <n v="47681"/>
    <s v="A"/>
    <s v="Official figure"/>
  </r>
  <r>
    <s v="QCL"/>
    <s v="Crops and livestock products"/>
    <n v="729"/>
    <s v="Sudan"/>
    <n v="5312"/>
    <s v="Area harvested"/>
    <s v="01234"/>
    <x v="46"/>
    <n v="2018"/>
    <x v="3"/>
    <s v="ha"/>
    <n v="51322"/>
    <s v="I"/>
    <s v="Imputed value"/>
  </r>
  <r>
    <s v="QCL"/>
    <s v="Crops and livestock products"/>
    <n v="729"/>
    <s v="Sudan"/>
    <n v="5312"/>
    <s v="Area harvested"/>
    <s v="01234"/>
    <x v="46"/>
    <n v="2019"/>
    <x v="4"/>
    <s v="ha"/>
    <n v="53009"/>
    <s v="I"/>
    <s v="Imputed value"/>
  </r>
  <r>
    <s v="QCL"/>
    <s v="Crops and livestock products"/>
    <n v="729"/>
    <s v="Sudan"/>
    <n v="5312"/>
    <s v="Area harvested"/>
    <s v="01234"/>
    <x v="46"/>
    <n v="2020"/>
    <x v="5"/>
    <s v="ha"/>
    <n v="54516"/>
    <s v="I"/>
    <s v="Imputed value"/>
  </r>
  <r>
    <s v="QCL"/>
    <s v="Crops and livestock products"/>
    <n v="729"/>
    <s v="Sudan"/>
    <n v="5312"/>
    <s v="Area harvested"/>
    <s v="01234"/>
    <x v="46"/>
    <n v="2021"/>
    <x v="6"/>
    <s v="ha"/>
    <n v="56883"/>
    <s v="I"/>
    <s v="Imputed value"/>
  </r>
  <r>
    <s v="QCL"/>
    <s v="Crops and livestock products"/>
    <n v="729"/>
    <s v="Sudan"/>
    <n v="5419"/>
    <s v="Yield"/>
    <s v="01234"/>
    <x v="46"/>
    <n v="2015"/>
    <x v="0"/>
    <s v="hg/ha"/>
    <n v="137613"/>
    <s v="A"/>
    <s v="Official figure"/>
  </r>
  <r>
    <s v="QCL"/>
    <s v="Crops and livestock products"/>
    <n v="729"/>
    <s v="Sudan"/>
    <n v="5419"/>
    <s v="Yield"/>
    <s v="01234"/>
    <x v="46"/>
    <n v="2016"/>
    <x v="1"/>
    <s v="hg/ha"/>
    <n v="132075"/>
    <s v="A"/>
    <s v="Official figure"/>
  </r>
  <r>
    <s v="QCL"/>
    <s v="Crops and livestock products"/>
    <n v="729"/>
    <s v="Sudan"/>
    <n v="5419"/>
    <s v="Yield"/>
    <s v="01234"/>
    <x v="46"/>
    <n v="2017"/>
    <x v="2"/>
    <s v="hg/ha"/>
    <n v="130132"/>
    <s v="A"/>
    <s v="Official figure"/>
  </r>
  <r>
    <s v="QCL"/>
    <s v="Crops and livestock products"/>
    <n v="729"/>
    <s v="Sudan"/>
    <n v="5419"/>
    <s v="Yield"/>
    <s v="01234"/>
    <x v="46"/>
    <n v="2018"/>
    <x v="3"/>
    <s v="hg/ha"/>
    <n v="126362"/>
    <s v="E"/>
    <s v="Estimated value"/>
  </r>
  <r>
    <s v="QCL"/>
    <s v="Crops and livestock products"/>
    <n v="729"/>
    <s v="Sudan"/>
    <n v="5419"/>
    <s v="Yield"/>
    <s v="01234"/>
    <x v="46"/>
    <n v="2019"/>
    <x v="4"/>
    <s v="hg/ha"/>
    <n v="127661"/>
    <s v="E"/>
    <s v="Estimated value"/>
  </r>
  <r>
    <s v="QCL"/>
    <s v="Crops and livestock products"/>
    <n v="729"/>
    <s v="Sudan"/>
    <n v="5419"/>
    <s v="Yield"/>
    <s v="01234"/>
    <x v="46"/>
    <n v="2020"/>
    <x v="5"/>
    <s v="hg/ha"/>
    <n v="126947"/>
    <s v="E"/>
    <s v="Estimated value"/>
  </r>
  <r>
    <s v="QCL"/>
    <s v="Crops and livestock products"/>
    <n v="729"/>
    <s v="Sudan"/>
    <n v="5419"/>
    <s v="Yield"/>
    <s v="01234"/>
    <x v="46"/>
    <n v="2021"/>
    <x v="6"/>
    <s v="hg/ha"/>
    <n v="124970"/>
    <s v="E"/>
    <s v="Estimated value"/>
  </r>
  <r>
    <s v="QCL"/>
    <s v="Crops and livestock products"/>
    <n v="729"/>
    <s v="Sudan"/>
    <n v="5312"/>
    <s v="Area harvested"/>
    <s v="01221"/>
    <x v="47"/>
    <n v="2015"/>
    <x v="0"/>
    <s v="ha"/>
    <n v="36456"/>
    <s v="A"/>
    <s v="Official figure"/>
  </r>
  <r>
    <s v="QCL"/>
    <s v="Crops and livestock products"/>
    <n v="729"/>
    <s v="Sudan"/>
    <n v="5312"/>
    <s v="Area harvested"/>
    <s v="01221"/>
    <x v="47"/>
    <n v="2016"/>
    <x v="1"/>
    <s v="ha"/>
    <n v="37716"/>
    <s v="A"/>
    <s v="Official figure"/>
  </r>
  <r>
    <s v="QCL"/>
    <s v="Crops and livestock products"/>
    <n v="729"/>
    <s v="Sudan"/>
    <n v="5312"/>
    <s v="Area harvested"/>
    <s v="01221"/>
    <x v="47"/>
    <n v="2017"/>
    <x v="2"/>
    <s v="ha"/>
    <n v="38000"/>
    <s v="E"/>
    <s v="Estimated value"/>
  </r>
  <r>
    <s v="QCL"/>
    <s v="Crops and livestock products"/>
    <n v="729"/>
    <s v="Sudan"/>
    <n v="5312"/>
    <s v="Area harvested"/>
    <s v="01221"/>
    <x v="47"/>
    <n v="2018"/>
    <x v="3"/>
    <s v="ha"/>
    <n v="30564"/>
    <s v="E"/>
    <s v="Estimated value"/>
  </r>
  <r>
    <s v="QCL"/>
    <s v="Crops and livestock products"/>
    <n v="729"/>
    <s v="Sudan"/>
    <n v="5312"/>
    <s v="Area harvested"/>
    <s v="01221"/>
    <x v="47"/>
    <n v="2019"/>
    <x v="4"/>
    <s v="ha"/>
    <n v="24286"/>
    <s v="E"/>
    <s v="Estimated value"/>
  </r>
  <r>
    <s v="QCL"/>
    <s v="Crops and livestock products"/>
    <n v="729"/>
    <s v="Sudan"/>
    <n v="5312"/>
    <s v="Area harvested"/>
    <s v="01221"/>
    <x v="47"/>
    <n v="2020"/>
    <x v="5"/>
    <s v="ha"/>
    <n v="17491"/>
    <s v="E"/>
    <s v="Estimated value"/>
  </r>
  <r>
    <s v="QCL"/>
    <s v="Crops and livestock products"/>
    <n v="729"/>
    <s v="Sudan"/>
    <n v="5312"/>
    <s v="Area harvested"/>
    <s v="01221"/>
    <x v="47"/>
    <n v="2021"/>
    <x v="6"/>
    <s v="ha"/>
    <n v="37858"/>
    <s v="E"/>
    <s v="Estimated value"/>
  </r>
  <r>
    <s v="QCL"/>
    <s v="Crops and livestock products"/>
    <n v="729"/>
    <s v="Sudan"/>
    <n v="5419"/>
    <s v="Yield"/>
    <s v="01221"/>
    <x v="47"/>
    <n v="2015"/>
    <x v="0"/>
    <s v="hg/ha"/>
    <n v="46906"/>
    <s v="A"/>
    <s v="Official figure"/>
  </r>
  <r>
    <s v="QCL"/>
    <s v="Crops and livestock products"/>
    <n v="729"/>
    <s v="Sudan"/>
    <n v="5419"/>
    <s v="Yield"/>
    <s v="01221"/>
    <x v="47"/>
    <n v="2016"/>
    <x v="1"/>
    <s v="hg/ha"/>
    <n v="45763"/>
    <s v="A"/>
    <s v="Official figure"/>
  </r>
  <r>
    <s v="QCL"/>
    <s v="Crops and livestock products"/>
    <n v="729"/>
    <s v="Sudan"/>
    <n v="5419"/>
    <s v="Yield"/>
    <s v="01221"/>
    <x v="47"/>
    <n v="2017"/>
    <x v="2"/>
    <s v="hg/ha"/>
    <n v="46053"/>
    <s v="E"/>
    <s v="Estimated value"/>
  </r>
  <r>
    <s v="QCL"/>
    <s v="Crops and livestock products"/>
    <n v="729"/>
    <s v="Sudan"/>
    <n v="5419"/>
    <s v="Yield"/>
    <s v="01221"/>
    <x v="47"/>
    <n v="2018"/>
    <x v="3"/>
    <s v="hg/ha"/>
    <n v="56559"/>
    <s v="E"/>
    <s v="Estimated value"/>
  </r>
  <r>
    <s v="QCL"/>
    <s v="Crops and livestock products"/>
    <n v="729"/>
    <s v="Sudan"/>
    <n v="5419"/>
    <s v="Yield"/>
    <s v="01221"/>
    <x v="47"/>
    <n v="2019"/>
    <x v="4"/>
    <s v="hg/ha"/>
    <n v="87907"/>
    <s v="E"/>
    <s v="Estimated value"/>
  </r>
  <r>
    <s v="QCL"/>
    <s v="Crops and livestock products"/>
    <n v="729"/>
    <s v="Sudan"/>
    <n v="5419"/>
    <s v="Yield"/>
    <s v="01221"/>
    <x v="47"/>
    <n v="2020"/>
    <x v="5"/>
    <s v="hg/ha"/>
    <n v="120062"/>
    <s v="E"/>
    <s v="Estimated value"/>
  </r>
  <r>
    <s v="QCL"/>
    <s v="Crops and livestock products"/>
    <n v="729"/>
    <s v="Sudan"/>
    <n v="5419"/>
    <s v="Yield"/>
    <s v="01221"/>
    <x v="47"/>
    <n v="2021"/>
    <x v="6"/>
    <s v="hg/ha"/>
    <n v="45908"/>
    <s v="E"/>
    <s v="Estimated value"/>
  </r>
  <r>
    <s v="QCL"/>
    <s v="Crops and livestock products"/>
    <n v="729"/>
    <s v="Sudan"/>
    <n v="5312"/>
    <s v="Area harvested"/>
    <s v="0111"/>
    <x v="48"/>
    <n v="2015"/>
    <x v="0"/>
    <s v="ha"/>
    <n v="226380"/>
    <s v="A"/>
    <s v="Official figure"/>
  </r>
  <r>
    <s v="QCL"/>
    <s v="Crops and livestock products"/>
    <n v="729"/>
    <s v="Sudan"/>
    <n v="5312"/>
    <s v="Area harvested"/>
    <s v="0111"/>
    <x v="48"/>
    <n v="2016"/>
    <x v="1"/>
    <s v="ha"/>
    <n v="216720"/>
    <s v="A"/>
    <s v="Official figure"/>
  </r>
  <r>
    <s v="QCL"/>
    <s v="Crops and livestock products"/>
    <n v="729"/>
    <s v="Sudan"/>
    <n v="5312"/>
    <s v="Area harvested"/>
    <s v="0111"/>
    <x v="48"/>
    <n v="2017"/>
    <x v="2"/>
    <s v="ha"/>
    <n v="172200"/>
    <s v="A"/>
    <s v="Official figure"/>
  </r>
  <r>
    <s v="QCL"/>
    <s v="Crops and livestock products"/>
    <n v="729"/>
    <s v="Sudan"/>
    <n v="5312"/>
    <s v="Area harvested"/>
    <s v="0111"/>
    <x v="48"/>
    <n v="2018"/>
    <x v="3"/>
    <s v="ha"/>
    <n v="286860"/>
    <s v="A"/>
    <s v="Official figure"/>
  </r>
  <r>
    <s v="QCL"/>
    <s v="Crops and livestock products"/>
    <n v="729"/>
    <s v="Sudan"/>
    <n v="5312"/>
    <s v="Area harvested"/>
    <s v="0111"/>
    <x v="48"/>
    <n v="2019"/>
    <x v="4"/>
    <s v="ha"/>
    <n v="303660"/>
    <s v="A"/>
    <s v="Official figure"/>
  </r>
  <r>
    <s v="QCL"/>
    <s v="Crops and livestock products"/>
    <n v="729"/>
    <s v="Sudan"/>
    <n v="5312"/>
    <s v="Area harvested"/>
    <s v="0111"/>
    <x v="48"/>
    <n v="2020"/>
    <x v="5"/>
    <s v="ha"/>
    <n v="321444"/>
    <s v="A"/>
    <s v="Official figure"/>
  </r>
  <r>
    <s v="QCL"/>
    <s v="Crops and livestock products"/>
    <n v="729"/>
    <s v="Sudan"/>
    <n v="5312"/>
    <s v="Area harvested"/>
    <s v="0111"/>
    <x v="48"/>
    <n v="2021"/>
    <x v="6"/>
    <s v="ha"/>
    <n v="260000"/>
    <s v="T"/>
    <s v="Unofficial figure"/>
  </r>
  <r>
    <s v="QCL"/>
    <s v="Crops and livestock products"/>
    <n v="729"/>
    <s v="Sudan"/>
    <n v="5419"/>
    <s v="Yield"/>
    <s v="0111"/>
    <x v="48"/>
    <n v="2015"/>
    <x v="0"/>
    <s v="hg/ha"/>
    <n v="34393"/>
    <s v="A"/>
    <s v="Official figure"/>
  </r>
  <r>
    <s v="QCL"/>
    <s v="Crops and livestock products"/>
    <n v="729"/>
    <s v="Sudan"/>
    <n v="5419"/>
    <s v="Yield"/>
    <s v="0111"/>
    <x v="48"/>
    <n v="2016"/>
    <x v="1"/>
    <s v="hg/ha"/>
    <n v="23810"/>
    <s v="A"/>
    <s v="Official figure"/>
  </r>
  <r>
    <s v="QCL"/>
    <s v="Crops and livestock products"/>
    <n v="729"/>
    <s v="Sudan"/>
    <n v="5419"/>
    <s v="Yield"/>
    <s v="0111"/>
    <x v="48"/>
    <n v="2017"/>
    <x v="2"/>
    <s v="hg/ha"/>
    <n v="26887"/>
    <s v="A"/>
    <s v="Official figure"/>
  </r>
  <r>
    <s v="QCL"/>
    <s v="Crops and livestock products"/>
    <n v="729"/>
    <s v="Sudan"/>
    <n v="5419"/>
    <s v="Yield"/>
    <s v="0111"/>
    <x v="48"/>
    <n v="2018"/>
    <x v="3"/>
    <s v="hg/ha"/>
    <n v="24472"/>
    <s v="A"/>
    <s v="Official figure"/>
  </r>
  <r>
    <s v="QCL"/>
    <s v="Crops and livestock products"/>
    <n v="729"/>
    <s v="Sudan"/>
    <n v="5419"/>
    <s v="Yield"/>
    <s v="0111"/>
    <x v="48"/>
    <n v="2019"/>
    <x v="4"/>
    <s v="hg/ha"/>
    <n v="23908"/>
    <s v="A"/>
    <s v="Official figure"/>
  </r>
  <r>
    <s v="QCL"/>
    <s v="Crops and livestock products"/>
    <n v="729"/>
    <s v="Sudan"/>
    <n v="5419"/>
    <s v="Yield"/>
    <s v="0111"/>
    <x v="48"/>
    <n v="2020"/>
    <x v="5"/>
    <s v="hg/ha"/>
    <n v="22324"/>
    <s v="A"/>
    <s v="Official figure"/>
  </r>
  <r>
    <s v="QCL"/>
    <s v="Crops and livestock products"/>
    <n v="729"/>
    <s v="Sudan"/>
    <n v="5419"/>
    <s v="Yield"/>
    <s v="0111"/>
    <x v="48"/>
    <n v="2021"/>
    <x v="6"/>
    <s v="hg/ha"/>
    <n v="23077"/>
    <s v="E"/>
    <s v="Estimated value"/>
  </r>
  <r>
    <s v="QCL"/>
    <s v="Crops and livestock products"/>
    <n v="729"/>
    <s v="Sudan"/>
    <n v="5312"/>
    <s v="Area harvested"/>
    <s v="01540"/>
    <x v="49"/>
    <n v="2015"/>
    <x v="0"/>
    <s v="ha"/>
    <n v="81762"/>
    <s v="I"/>
    <s v="Imputed value"/>
  </r>
  <r>
    <s v="QCL"/>
    <s v="Crops and livestock products"/>
    <n v="729"/>
    <s v="Sudan"/>
    <n v="5312"/>
    <s v="Area harvested"/>
    <s v="01540"/>
    <x v="49"/>
    <n v="2016"/>
    <x v="1"/>
    <s v="ha"/>
    <n v="79254"/>
    <s v="E"/>
    <s v="Estimated value"/>
  </r>
  <r>
    <s v="QCL"/>
    <s v="Crops and livestock products"/>
    <n v="729"/>
    <s v="Sudan"/>
    <n v="5312"/>
    <s v="Area harvested"/>
    <s v="01540"/>
    <x v="49"/>
    <n v="2017"/>
    <x v="2"/>
    <s v="ha"/>
    <n v="80604"/>
    <s v="I"/>
    <s v="Imputed value"/>
  </r>
  <r>
    <s v="QCL"/>
    <s v="Crops and livestock products"/>
    <n v="729"/>
    <s v="Sudan"/>
    <n v="5312"/>
    <s v="Area harvested"/>
    <s v="01540"/>
    <x v="49"/>
    <n v="2018"/>
    <x v="3"/>
    <s v="ha"/>
    <n v="83215"/>
    <s v="I"/>
    <s v="Imputed value"/>
  </r>
  <r>
    <s v="QCL"/>
    <s v="Crops and livestock products"/>
    <n v="729"/>
    <s v="Sudan"/>
    <n v="5312"/>
    <s v="Area harvested"/>
    <s v="01540"/>
    <x v="49"/>
    <n v="2019"/>
    <x v="4"/>
    <s v="ha"/>
    <n v="84349"/>
    <s v="I"/>
    <s v="Imputed value"/>
  </r>
  <r>
    <s v="QCL"/>
    <s v="Crops and livestock products"/>
    <n v="729"/>
    <s v="Sudan"/>
    <n v="5312"/>
    <s v="Area harvested"/>
    <s v="01540"/>
    <x v="49"/>
    <n v="2020"/>
    <x v="5"/>
    <s v="ha"/>
    <n v="82723"/>
    <s v="E"/>
    <s v="Estimated value"/>
  </r>
  <r>
    <s v="QCL"/>
    <s v="Crops and livestock products"/>
    <n v="729"/>
    <s v="Sudan"/>
    <n v="5312"/>
    <s v="Area harvested"/>
    <s v="01540"/>
    <x v="49"/>
    <n v="2021"/>
    <x v="6"/>
    <s v="ha"/>
    <n v="83429"/>
    <s v="E"/>
    <s v="Estimated value"/>
  </r>
  <r>
    <s v="QCL"/>
    <s v="Crops and livestock products"/>
    <n v="729"/>
    <s v="Sudan"/>
    <n v="5419"/>
    <s v="Yield"/>
    <s v="01540"/>
    <x v="49"/>
    <n v="2015"/>
    <x v="0"/>
    <s v="hg/ha"/>
    <n v="20820"/>
    <s v="E"/>
    <s v="Estimated value"/>
  </r>
  <r>
    <s v="QCL"/>
    <s v="Crops and livestock products"/>
    <n v="729"/>
    <s v="Sudan"/>
    <n v="5419"/>
    <s v="Yield"/>
    <s v="01540"/>
    <x v="49"/>
    <n v="2016"/>
    <x v="1"/>
    <s v="hg/ha"/>
    <n v="20829"/>
    <s v="E"/>
    <s v="Estimated value"/>
  </r>
  <r>
    <s v="QCL"/>
    <s v="Crops and livestock products"/>
    <n v="729"/>
    <s v="Sudan"/>
    <n v="5419"/>
    <s v="Yield"/>
    <s v="01540"/>
    <x v="49"/>
    <n v="2017"/>
    <x v="2"/>
    <s v="hg/ha"/>
    <n v="21036"/>
    <s v="E"/>
    <s v="Estimated value"/>
  </r>
  <r>
    <s v="QCL"/>
    <s v="Crops and livestock products"/>
    <n v="729"/>
    <s v="Sudan"/>
    <n v="5419"/>
    <s v="Yield"/>
    <s v="01540"/>
    <x v="49"/>
    <n v="2018"/>
    <x v="3"/>
    <s v="hg/ha"/>
    <n v="20223"/>
    <s v="E"/>
    <s v="Estimated value"/>
  </r>
  <r>
    <s v="QCL"/>
    <s v="Crops and livestock products"/>
    <n v="729"/>
    <s v="Sudan"/>
    <n v="5419"/>
    <s v="Yield"/>
    <s v="01540"/>
    <x v="49"/>
    <n v="2019"/>
    <x v="4"/>
    <s v="hg/ha"/>
    <n v="19875"/>
    <s v="E"/>
    <s v="Estimated value"/>
  </r>
  <r>
    <s v="QCL"/>
    <s v="Crops and livestock products"/>
    <n v="729"/>
    <s v="Sudan"/>
    <n v="5419"/>
    <s v="Yield"/>
    <s v="01540"/>
    <x v="49"/>
    <n v="2020"/>
    <x v="5"/>
    <s v="hg/ha"/>
    <n v="20369"/>
    <s v="E"/>
    <s v="Estimated value"/>
  </r>
  <r>
    <s v="QCL"/>
    <s v="Crops and livestock products"/>
    <n v="729"/>
    <s v="Sudan"/>
    <n v="5419"/>
    <s v="Yield"/>
    <s v="01540"/>
    <x v="49"/>
    <n v="2021"/>
    <x v="6"/>
    <s v="hg/ha"/>
    <n v="20154"/>
    <s v="E"/>
    <s v="Estimated val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412FD-09FC-495F-9ABB-2C449DD40CA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W41" firstHeaderRow="1" firstDataRow="2" firstDataCol="1"/>
  <pivotFields count="14">
    <pivotField showAll="0"/>
    <pivotField showAll="0"/>
    <pivotField showAll="0"/>
    <pivotField showAll="0"/>
    <pivotField showAll="0"/>
    <pivotField showAll="0"/>
    <pivotField showAll="0"/>
    <pivotField axis="axisRow" showAll="0" sortType="descending">
      <items count="51">
        <item x="0"/>
        <item h="1" x="1"/>
        <item x="2"/>
        <item x="3"/>
        <item h="1" x="4"/>
        <item x="5"/>
        <item h="1" x="6"/>
        <item h="1" x="7"/>
        <item h="1" x="8"/>
        <item x="9"/>
        <item x="10"/>
        <item h="1" x="11"/>
        <item h="1" x="12"/>
        <item x="13"/>
        <item x="14"/>
        <item x="15"/>
        <item h="1" x="16"/>
        <item x="17"/>
        <item x="18"/>
        <item x="19"/>
        <item h="1" x="20"/>
        <item x="21"/>
        <item x="22"/>
        <item x="23"/>
        <item x="24"/>
        <item x="25"/>
        <item h="1" x="26"/>
        <item h="1" x="27"/>
        <item h="1" x="28"/>
        <item x="29"/>
        <item h="1" x="30"/>
        <item x="31"/>
        <item x="32"/>
        <item h="1" x="33"/>
        <item h="1" x="34"/>
        <item x="35"/>
        <item x="36"/>
        <item x="37"/>
        <item h="1" x="38"/>
        <item x="39"/>
        <item x="40"/>
        <item x="41"/>
        <item x="42"/>
        <item x="43"/>
        <item x="44"/>
        <item h="1" x="45"/>
        <item x="46"/>
        <item h="1" x="47"/>
        <item x="48"/>
        <item h="1" x="49"/>
        <item t="default"/>
      </items>
      <autoSortScope>
        <pivotArea dataOnly="0" outline="0" fieldPosition="0">
          <references count="1">
            <reference field="4294967294" count="1" selected="0">
              <x v="0"/>
            </reference>
          </references>
        </pivotArea>
      </autoSortScope>
    </pivotField>
    <pivotField showAll="0"/>
    <pivotField axis="axisCol"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7"/>
  </rowFields>
  <rowItems count="32">
    <i>
      <x v="41"/>
    </i>
    <i>
      <x v="40"/>
    </i>
    <i>
      <x v="18"/>
    </i>
    <i>
      <x v="23"/>
    </i>
    <i>
      <x v="42"/>
    </i>
    <i>
      <x v="22"/>
    </i>
    <i>
      <x v="13"/>
    </i>
    <i>
      <x v="48"/>
    </i>
    <i>
      <x v="25"/>
    </i>
    <i>
      <x/>
    </i>
    <i>
      <x v="21"/>
    </i>
    <i>
      <x v="5"/>
    </i>
    <i>
      <x v="9"/>
    </i>
    <i>
      <x v="43"/>
    </i>
    <i>
      <x v="46"/>
    </i>
    <i>
      <x v="39"/>
    </i>
    <i>
      <x v="14"/>
    </i>
    <i>
      <x v="36"/>
    </i>
    <i>
      <x v="37"/>
    </i>
    <i>
      <x v="15"/>
    </i>
    <i>
      <x v="24"/>
    </i>
    <i>
      <x v="35"/>
    </i>
    <i>
      <x v="19"/>
    </i>
    <i>
      <x v="44"/>
    </i>
    <i>
      <x v="17"/>
    </i>
    <i>
      <x v="31"/>
    </i>
    <i>
      <x v="32"/>
    </i>
    <i>
      <x v="29"/>
    </i>
    <i>
      <x v="3"/>
    </i>
    <i>
      <x v="10"/>
    </i>
    <i>
      <x v="2"/>
    </i>
    <i t="grand">
      <x/>
    </i>
  </rowItems>
  <colFields count="1">
    <field x="9"/>
  </colFields>
  <colItems count="8">
    <i>
      <x/>
    </i>
    <i>
      <x v="2"/>
    </i>
    <i>
      <x v="1"/>
    </i>
    <i>
      <x v="5"/>
    </i>
    <i>
      <x v="4"/>
    </i>
    <i>
      <x v="6"/>
    </i>
    <i>
      <x v="3"/>
    </i>
    <i t="grand">
      <x/>
    </i>
  </colItems>
  <dataFields count="1">
    <dataField name="Sum of Value" fld="11" showDataAs="percentOfCo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57D18-AEBD-4FAF-B05E-60A708DE8B6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K41" firstHeaderRow="1" firstDataRow="2" firstDataCol="1"/>
  <pivotFields count="14">
    <pivotField showAll="0"/>
    <pivotField showAll="0"/>
    <pivotField showAll="0"/>
    <pivotField showAll="0"/>
    <pivotField showAll="0"/>
    <pivotField showAll="0"/>
    <pivotField showAll="0"/>
    <pivotField axis="axisRow" showAll="0" sortType="descending">
      <items count="51">
        <item x="0"/>
        <item h="1" x="1"/>
        <item x="2"/>
        <item x="3"/>
        <item h="1" x="4"/>
        <item x="5"/>
        <item h="1" x="6"/>
        <item h="1" x="7"/>
        <item h="1" x="8"/>
        <item x="9"/>
        <item x="10"/>
        <item h="1" x="11"/>
        <item h="1" x="12"/>
        <item x="13"/>
        <item x="14"/>
        <item x="15"/>
        <item h="1" x="16"/>
        <item x="17"/>
        <item x="18"/>
        <item x="19"/>
        <item h="1" x="20"/>
        <item x="21"/>
        <item x="22"/>
        <item x="23"/>
        <item x="24"/>
        <item x="25"/>
        <item h="1" x="26"/>
        <item h="1" x="27"/>
        <item h="1" x="28"/>
        <item x="29"/>
        <item h="1" x="30"/>
        <item x="31"/>
        <item x="32"/>
        <item h="1" x="33"/>
        <item h="1" x="34"/>
        <item x="35"/>
        <item x="36"/>
        <item x="37"/>
        <item h="1" x="38"/>
        <item x="39"/>
        <item x="40"/>
        <item x="41"/>
        <item x="42"/>
        <item x="43"/>
        <item x="44"/>
        <item h="1" x="45"/>
        <item x="46"/>
        <item h="1" x="47"/>
        <item x="48"/>
        <item h="1" x="49"/>
        <item t="default"/>
      </items>
      <autoSortScope>
        <pivotArea dataOnly="0" outline="0" fieldPosition="0">
          <references count="1">
            <reference field="4294967294" count="1" selected="0">
              <x v="0"/>
            </reference>
          </references>
        </pivotArea>
      </autoSortScope>
    </pivotField>
    <pivotField showAll="0"/>
    <pivotField axis="axisCol" showAll="0">
      <items count="8">
        <item h="1" x="0"/>
        <item h="1" x="1"/>
        <item x="2"/>
        <item x="3"/>
        <item x="4"/>
        <item x="5"/>
        <item x="6"/>
        <item t="default"/>
      </items>
    </pivotField>
    <pivotField showAll="0"/>
    <pivotField dataField="1" showAll="0"/>
    <pivotField showAll="0"/>
    <pivotField showAll="0"/>
  </pivotFields>
  <rowFields count="1">
    <field x="7"/>
  </rowFields>
  <rowItems count="32">
    <i>
      <x v="41"/>
    </i>
    <i>
      <x v="40"/>
    </i>
    <i>
      <x v="18"/>
    </i>
    <i>
      <x v="23"/>
    </i>
    <i>
      <x v="42"/>
    </i>
    <i>
      <x v="22"/>
    </i>
    <i>
      <x v="13"/>
    </i>
    <i>
      <x v="48"/>
    </i>
    <i>
      <x v="25"/>
    </i>
    <i>
      <x/>
    </i>
    <i>
      <x v="21"/>
    </i>
    <i>
      <x v="5"/>
    </i>
    <i>
      <x v="43"/>
    </i>
    <i>
      <x v="9"/>
    </i>
    <i>
      <x v="39"/>
    </i>
    <i>
      <x v="14"/>
    </i>
    <i>
      <x v="46"/>
    </i>
    <i>
      <x v="36"/>
    </i>
    <i>
      <x v="37"/>
    </i>
    <i>
      <x v="15"/>
    </i>
    <i>
      <x v="35"/>
    </i>
    <i>
      <x v="24"/>
    </i>
    <i>
      <x v="19"/>
    </i>
    <i>
      <x v="17"/>
    </i>
    <i>
      <x v="44"/>
    </i>
    <i>
      <x v="31"/>
    </i>
    <i>
      <x v="32"/>
    </i>
    <i>
      <x v="29"/>
    </i>
    <i>
      <x v="3"/>
    </i>
    <i>
      <x v="10"/>
    </i>
    <i>
      <x v="2"/>
    </i>
    <i t="grand">
      <x/>
    </i>
  </rowItems>
  <colFields count="1">
    <field x="9"/>
  </colFields>
  <colItems count="6">
    <i>
      <x v="2"/>
    </i>
    <i>
      <x v="3"/>
    </i>
    <i>
      <x v="4"/>
    </i>
    <i>
      <x v="5"/>
    </i>
    <i>
      <x v="6"/>
    </i>
    <i t="grand">
      <x/>
    </i>
  </colItems>
  <dataFields count="1">
    <dataField name="Sum of Value" fld="11" baseField="0" baseItem="0"/>
  </dataFields>
  <formats count="2">
    <format dxfId="1">
      <pivotArea collapsedLevelsAreSubtotals="1" fieldPosition="0">
        <references count="1">
          <reference field="7" count="0"/>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52E87-682F-44AA-B828-285F9003FBC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3:K95" firstHeaderRow="1" firstDataRow="2" firstDataCol="1"/>
  <pivotFields count="14">
    <pivotField showAll="0"/>
    <pivotField showAll="0"/>
    <pivotField showAll="0"/>
    <pivotField showAll="0"/>
    <pivotField showAll="0"/>
    <pivotField showAll="0"/>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Col" showAll="0">
      <items count="8">
        <item h="1" x="0"/>
        <item h="1" x="1"/>
        <item x="2"/>
        <item x="3"/>
        <item x="4"/>
        <item x="5"/>
        <item x="6"/>
        <item t="default"/>
      </items>
    </pivotField>
    <pivotField showAll="0"/>
    <pivotField dataField="1" showAll="0"/>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9"/>
  </colFields>
  <colItems count="6">
    <i>
      <x v="2"/>
    </i>
    <i>
      <x v="3"/>
    </i>
    <i>
      <x v="4"/>
    </i>
    <i>
      <x v="5"/>
    </i>
    <i>
      <x v="6"/>
    </i>
    <i t="grand">
      <x/>
    </i>
  </colItems>
  <dataFields count="1">
    <dataField name="Sum of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202207_Thème Office BCG">
  <a:themeElements>
    <a:clrScheme name="The Boston Consulting Group">
      <a:dk1>
        <a:srgbClr val="575757"/>
      </a:dk1>
      <a:lt1>
        <a:sysClr val="window" lastClr="FFFFFF"/>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2E3558"/>
      </a:hlink>
      <a:folHlink>
        <a:srgbClr val="2E3558"/>
      </a:folHlink>
    </a:clrScheme>
    <a:fontScheme name="BCG Trebuchet">
      <a:majorFont>
        <a:latin typeface="Trebuchet MS"/>
        <a:ea typeface=""/>
        <a:cs typeface=""/>
      </a:majorFont>
      <a:minorFont>
        <a:latin typeface="Trebuchet MS"/>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29BA74"/>
        </a:solidFill>
        <a:ln w="9525" cap="rnd" cmpd="sng" algn="ctr">
          <a:solidFill>
            <a:srgbClr val="29BA74"/>
          </a:solidFill>
          <a:prstDash val="solid"/>
          <a:round/>
          <a:headEnd type="none" w="med" len="med"/>
          <a:tailEnd type="none" w="med" len="med"/>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sz="1200" dirty="0" smtClean="0">
            <a:solidFill>
              <a:srgbClr val="FFFFFF"/>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cap="rnd">
          <a:solidFill>
            <a:schemeClr val="tx1">
              <a:lumMod val="60000"/>
              <a:lumOff val="40000"/>
            </a:schemeClr>
          </a:solidFill>
          <a:prstDash val="solid"/>
          <a:round/>
        </a:ln>
      </a:spPr>
      <a:bodyPr/>
      <a:lstStyle/>
      <a:style>
        <a:lnRef idx="1">
          <a:schemeClr val="accent1"/>
        </a:lnRef>
        <a:fillRef idx="0">
          <a:schemeClr val="accent1"/>
        </a:fillRef>
        <a:effectRef idx="0">
          <a:schemeClr val="accent1"/>
        </a:effectRef>
        <a:fontRef idx="minor">
          <a:schemeClr val="tx1"/>
        </a:fontRef>
      </a:style>
    </a:lnDef>
    <a:txDef>
      <a:spPr>
        <a:noFill/>
        <a:ln w="9525" cap="rnd">
          <a:noFill/>
          <a:prstDash val="solid"/>
          <a:round/>
        </a:ln>
        <a:extLst>
          <a:ext uri="{909E8E84-426E-40DD-AFC4-6F175D3DCCD1}">
            <a14:hiddenFill xmlns:a14="http://schemas.microsoft.com/office/drawing/2010/main">
              <a:solidFill>
                <a:srgbClr val="29BA74"/>
              </a:solidFill>
            </a14:hiddenFill>
          </a:ext>
        </a:extLst>
      </a:spPr>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defPPr algn="ctr">
          <a:defRPr dirty="0" err="1" smtClean="0">
            <a:solidFill>
              <a:srgbClr val="575757"/>
            </a:solidFill>
          </a:defRPr>
        </a:defPPr>
      </a:lstStyle>
      <a:style>
        <a:lnRef idx="2">
          <a:schemeClr val="accent1">
            <a:shade val="50000"/>
          </a:schemeClr>
        </a:lnRef>
        <a:fillRef idx="1">
          <a:schemeClr val="accent1"/>
        </a:fillRef>
        <a:effectRef idx="0">
          <a:schemeClr val="accent1"/>
        </a:effectRef>
        <a:fontRef idx="minor">
          <a:schemeClr val="lt1"/>
        </a:fontRef>
      </a:style>
    </a:txDef>
  </a:objectDefaults>
  <a:extraClrSchemeLst/>
  <a:custClrLst>
    <a:custClr name="Custom Color">
      <a:srgbClr val="37373A"/>
    </a:custClr>
    <a:custClr name="Custom Color">
      <a:srgbClr val="2E3558"/>
    </a:custClr>
    <a:custClr name="Custom Color">
      <a:srgbClr val="30C1D7"/>
    </a:custClr>
    <a:custClr name="Custom Color">
      <a:srgbClr val="670F31"/>
    </a:custClr>
    <a:custClr name="Custom Color">
      <a:srgbClr val="E71C57"/>
    </a:custClr>
  </a:custClrLst>
  <a:extLst>
    <a:ext uri="{05A4C25C-085E-4340-85A3-A5531E510DB2}">
      <thm15:themeFamily xmlns:thm15="http://schemas.microsoft.com/office/thememl/2012/main" name="202207_Thème Office BCG" id="{C38D97F7-B6FF-4155-B383-6558208F276D}" vid="{525C28D3-6468-4332-BFB5-D18BAB716765}"/>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8.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A1:Q19"/>
  <sheetViews>
    <sheetView showGridLines="0" zoomScale="40" zoomScaleNormal="40" workbookViewId="0">
      <pane ySplit="5" topLeftCell="A6" activePane="bottomLeft" state="frozen"/>
      <selection pane="bottomLeft" activeCell="C11" sqref="C11"/>
    </sheetView>
  </sheetViews>
  <sheetFormatPr defaultRowHeight="12.5" x14ac:dyDescent="0.25"/>
  <cols>
    <col min="1" max="1" width="1.7265625" customWidth="1"/>
    <col min="2" max="2" width="38.81640625" customWidth="1"/>
    <col min="3" max="10" width="11" customWidth="1"/>
    <col min="11" max="11" width="1.26953125" style="2" customWidth="1"/>
    <col min="12" max="12" width="0.81640625" customWidth="1"/>
    <col min="13" max="13" width="16.81640625" customWidth="1"/>
    <col min="14" max="14" width="2.1796875" customWidth="1"/>
    <col min="15" max="15" width="10" bestFit="1" customWidth="1"/>
  </cols>
  <sheetData>
    <row r="1" spans="1:17" s="7" customFormat="1" ht="11.25" customHeight="1" x14ac:dyDescent="0.25">
      <c r="A1" s="5"/>
      <c r="B1" s="6"/>
      <c r="C1" s="25"/>
      <c r="E1" s="6"/>
      <c r="F1" s="6"/>
      <c r="G1" s="6"/>
      <c r="H1" s="6"/>
      <c r="I1" s="6"/>
      <c r="J1" s="6"/>
      <c r="K1" s="6"/>
      <c r="L1" s="6"/>
      <c r="M1" s="6"/>
      <c r="N1" s="6"/>
      <c r="O1" s="6"/>
      <c r="P1" s="6"/>
    </row>
    <row r="2" spans="1:17" s="7" customFormat="1" ht="15.75" customHeight="1" x14ac:dyDescent="0.25">
      <c r="A2" s="5"/>
      <c r="B2" s="6"/>
      <c r="C2" s="26" t="str">
        <f>C9&amp;" - "&amp;C11</f>
        <v>OCP Africa - Sudan P205</v>
      </c>
      <c r="E2" s="6"/>
      <c r="F2" s="6"/>
      <c r="G2" s="6"/>
      <c r="H2" s="6"/>
      <c r="I2" s="6"/>
      <c r="J2" s="6"/>
      <c r="K2" s="6"/>
      <c r="L2" s="6"/>
      <c r="M2" s="6"/>
      <c r="N2" s="6"/>
      <c r="O2" s="6"/>
      <c r="P2" s="6"/>
    </row>
    <row r="3" spans="1:17" s="7" customFormat="1" ht="12.75" customHeight="1" x14ac:dyDescent="0.25">
      <c r="A3" s="5"/>
      <c r="B3" s="6"/>
      <c r="C3" s="27" t="str">
        <f ca="1">MID(CELL("filename",C3),FIND("]",CELL("filename",C3))+1,256)</f>
        <v>Couverture</v>
      </c>
      <c r="E3" s="6"/>
      <c r="F3" s="6"/>
      <c r="G3" s="6"/>
      <c r="H3" s="6"/>
      <c r="I3" s="6"/>
      <c r="J3" s="6"/>
      <c r="K3" s="6"/>
      <c r="L3" s="6"/>
      <c r="M3" s="6"/>
      <c r="N3" s="6"/>
      <c r="O3" s="6"/>
      <c r="P3" s="6"/>
    </row>
    <row r="4" spans="1:17" s="7" customFormat="1" ht="15.75" customHeight="1" x14ac:dyDescent="0.25">
      <c r="A4" s="5"/>
      <c r="B4" s="6"/>
      <c r="C4" s="25"/>
      <c r="E4" s="6"/>
      <c r="F4" s="6"/>
      <c r="G4" s="6"/>
      <c r="H4" s="6"/>
      <c r="I4" s="6"/>
      <c r="J4" s="6"/>
      <c r="K4" s="6"/>
      <c r="L4" s="6"/>
      <c r="M4" s="6"/>
      <c r="N4" s="6"/>
      <c r="O4" s="6"/>
      <c r="P4" s="6"/>
    </row>
    <row r="5" spans="1:17" s="11" customFormat="1" ht="9" customHeight="1" x14ac:dyDescent="0.3">
      <c r="A5" s="8"/>
      <c r="B5" s="9"/>
      <c r="C5" s="10"/>
      <c r="D5" s="10"/>
      <c r="E5" s="10"/>
      <c r="F5" s="10"/>
      <c r="G5" s="10"/>
      <c r="H5" s="10"/>
      <c r="I5" s="10"/>
      <c r="J5" s="10"/>
      <c r="K5" s="10"/>
      <c r="L5" s="10"/>
      <c r="M5" s="10"/>
      <c r="N5" s="10"/>
      <c r="O5" s="10"/>
      <c r="P5" s="10"/>
    </row>
    <row r="6" spans="1:17" x14ac:dyDescent="0.25">
      <c r="Q6" s="2"/>
    </row>
    <row r="7" spans="1:17" s="2" customFormat="1" ht="13" thickBot="1" x14ac:dyDescent="0.3">
      <c r="Q7" s="7"/>
    </row>
    <row r="8" spans="1:17" ht="15.5" x14ac:dyDescent="0.35">
      <c r="B8" s="12" t="s">
        <v>0</v>
      </c>
      <c r="C8" s="13"/>
      <c r="D8" s="14"/>
      <c r="E8" s="14"/>
      <c r="F8" s="14"/>
      <c r="G8" s="14"/>
      <c r="H8" s="14"/>
      <c r="I8" s="14"/>
      <c r="J8" s="15"/>
      <c r="L8" s="12" t="s">
        <v>1</v>
      </c>
      <c r="M8" s="22"/>
      <c r="N8" s="14"/>
      <c r="O8" s="14"/>
      <c r="P8" s="15"/>
    </row>
    <row r="9" spans="1:17" x14ac:dyDescent="0.25">
      <c r="B9" s="16" t="s">
        <v>2</v>
      </c>
      <c r="C9" s="1" t="s">
        <v>3</v>
      </c>
      <c r="D9" s="2"/>
      <c r="E9" s="2"/>
      <c r="F9" s="2"/>
      <c r="G9" s="2"/>
      <c r="H9" s="2"/>
      <c r="I9" s="2"/>
      <c r="J9" s="17"/>
      <c r="L9" s="23"/>
      <c r="M9" s="144" t="s">
        <v>4</v>
      </c>
      <c r="N9" s="2"/>
      <c r="O9" s="2" t="s">
        <v>5</v>
      </c>
      <c r="P9" s="17"/>
    </row>
    <row r="10" spans="1:17" x14ac:dyDescent="0.25">
      <c r="B10" s="16"/>
      <c r="C10" s="1"/>
      <c r="D10" s="2"/>
      <c r="E10" s="2"/>
      <c r="F10" s="2"/>
      <c r="G10" s="2"/>
      <c r="H10" s="2"/>
      <c r="I10" s="2"/>
      <c r="J10" s="17"/>
      <c r="L10" s="23"/>
      <c r="M10" s="3" t="s">
        <v>4</v>
      </c>
      <c r="N10" s="2"/>
      <c r="O10" s="2" t="s">
        <v>6</v>
      </c>
      <c r="P10" s="17"/>
    </row>
    <row r="11" spans="1:17" x14ac:dyDescent="0.25">
      <c r="B11" s="16" t="s">
        <v>7</v>
      </c>
      <c r="C11" s="1" t="s">
        <v>205</v>
      </c>
      <c r="D11" s="2"/>
      <c r="E11" s="2"/>
      <c r="F11" s="2"/>
      <c r="G11" s="2"/>
      <c r="H11" s="2"/>
      <c r="I11" s="2"/>
      <c r="J11" s="17"/>
      <c r="L11" s="23"/>
      <c r="M11" s="4" t="s">
        <v>4</v>
      </c>
      <c r="N11" s="2"/>
      <c r="O11" s="2" t="s">
        <v>8</v>
      </c>
      <c r="P11" s="17"/>
    </row>
    <row r="12" spans="1:17" x14ac:dyDescent="0.25">
      <c r="B12" s="16"/>
      <c r="C12" s="1"/>
      <c r="D12" s="2"/>
      <c r="E12" s="2"/>
      <c r="F12" s="2"/>
      <c r="G12" s="2"/>
      <c r="H12" s="2"/>
      <c r="I12" s="2"/>
      <c r="J12" s="17"/>
      <c r="L12" s="23"/>
      <c r="M12" s="80"/>
      <c r="N12" s="2"/>
      <c r="O12" s="1" t="s">
        <v>9</v>
      </c>
      <c r="P12" s="17"/>
    </row>
    <row r="13" spans="1:17" ht="13" thickBot="1" x14ac:dyDescent="0.3">
      <c r="B13" s="18"/>
      <c r="C13" s="19"/>
      <c r="D13" s="20"/>
      <c r="E13" s="20"/>
      <c r="F13" s="20"/>
      <c r="G13" s="20"/>
      <c r="H13" s="20"/>
      <c r="I13" s="20"/>
      <c r="J13" s="21"/>
      <c r="L13" s="24"/>
      <c r="M13" s="81"/>
      <c r="N13" s="20"/>
      <c r="O13" s="19"/>
      <c r="P13" s="21"/>
    </row>
    <row r="14" spans="1:17" ht="4.75" customHeight="1" x14ac:dyDescent="0.25"/>
    <row r="15" spans="1:17" x14ac:dyDescent="0.25">
      <c r="K15"/>
    </row>
    <row r="16" spans="1:17" x14ac:dyDescent="0.25">
      <c r="K16"/>
    </row>
    <row r="17" spans="11:11" x14ac:dyDescent="0.25">
      <c r="K17"/>
    </row>
    <row r="18" spans="11:11" x14ac:dyDescent="0.25">
      <c r="K18"/>
    </row>
    <row r="19" spans="11:11" x14ac:dyDescent="0.25">
      <c r="K19"/>
    </row>
  </sheetData>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F746-AC73-414D-89B7-4F912D92B078}">
  <dimension ref="A1:T672"/>
  <sheetViews>
    <sheetView showGridLines="0" topLeftCell="A7" zoomScaleNormal="100" workbookViewId="0">
      <selection activeCell="E7" sqref="E7:R672"/>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19.1796875" style="2" bestFit="1" customWidth="1"/>
    <col min="6" max="6" width="30.54296875" style="2" bestFit="1" customWidth="1"/>
    <col min="7"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Sudan P205</v>
      </c>
    </row>
    <row r="3" spans="1:18" s="7" customFormat="1" ht="13.5" customHeight="1" x14ac:dyDescent="0.25">
      <c r="A3" s="5"/>
      <c r="B3" s="5"/>
      <c r="C3" s="5"/>
      <c r="D3" s="6"/>
      <c r="E3" s="27" t="str">
        <f ca="1">MID(CELL("filename",E3),FIND("]",CELL("filename",E3))+1,256)</f>
        <v>HarvestedAreas</v>
      </c>
    </row>
    <row r="4" spans="1:18" s="7" customFormat="1" ht="13.5" customHeight="1" x14ac:dyDescent="0.25">
      <c r="A4" s="5"/>
      <c r="B4" s="5"/>
      <c r="C4" s="5"/>
      <c r="D4" s="6"/>
      <c r="E4" s="27" t="s">
        <v>138</v>
      </c>
    </row>
    <row r="5" spans="1:18" s="11" customFormat="1" ht="13.5" customHeight="1" x14ac:dyDescent="0.3">
      <c r="A5" s="8"/>
      <c r="B5" s="8"/>
      <c r="C5" s="8"/>
      <c r="D5" s="9"/>
      <c r="E5" s="10"/>
    </row>
    <row r="6" spans="1:18" ht="13.5" customHeight="1" x14ac:dyDescent="0.25">
      <c r="B6" s="7"/>
      <c r="C6" s="7"/>
      <c r="D6" s="7"/>
      <c r="E6" s="7"/>
      <c r="F6" s="7"/>
      <c r="G6" s="7"/>
      <c r="H6" s="7"/>
      <c r="I6" s="7"/>
      <c r="J6" s="7"/>
      <c r="K6" s="7"/>
      <c r="L6" s="7"/>
      <c r="M6" s="7"/>
      <c r="N6" s="7"/>
    </row>
    <row r="7" spans="1:18" ht="13.5" customHeight="1" x14ac:dyDescent="0.35">
      <c r="B7" s="51"/>
      <c r="C7" s="7"/>
      <c r="D7" s="52"/>
      <c r="E7" s="60" t="s">
        <v>93</v>
      </c>
      <c r="F7" s="57" t="s">
        <v>94</v>
      </c>
      <c r="G7" s="57" t="s">
        <v>95</v>
      </c>
      <c r="H7" s="57" t="s">
        <v>96</v>
      </c>
      <c r="I7" s="57" t="s">
        <v>97</v>
      </c>
      <c r="J7" s="57" t="s">
        <v>98</v>
      </c>
      <c r="K7" s="57" t="s">
        <v>139</v>
      </c>
      <c r="L7" s="57" t="s">
        <v>100</v>
      </c>
      <c r="M7" s="57" t="s">
        <v>101</v>
      </c>
      <c r="N7" s="57" t="s">
        <v>102</v>
      </c>
      <c r="O7" s="57" t="s">
        <v>103</v>
      </c>
      <c r="P7" s="58" t="s">
        <v>104</v>
      </c>
      <c r="Q7" s="57" t="s">
        <v>105</v>
      </c>
      <c r="R7" s="57" t="s">
        <v>106</v>
      </c>
    </row>
    <row r="8" spans="1:18" ht="13.5" customHeight="1" x14ac:dyDescent="0.25">
      <c r="B8" s="7"/>
      <c r="C8" s="7"/>
      <c r="D8" s="7"/>
      <c r="E8" s="57" t="s">
        <v>140</v>
      </c>
      <c r="F8" s="57" t="s">
        <v>141</v>
      </c>
      <c r="G8" s="57">
        <v>729</v>
      </c>
      <c r="H8" s="57" t="s">
        <v>206</v>
      </c>
      <c r="I8" s="57">
        <v>5312</v>
      </c>
      <c r="J8" s="57" t="s">
        <v>142</v>
      </c>
      <c r="K8" s="57" t="s">
        <v>207</v>
      </c>
      <c r="L8" s="57" t="s">
        <v>208</v>
      </c>
      <c r="M8" s="57">
        <v>2015</v>
      </c>
      <c r="N8" s="57">
        <v>2015</v>
      </c>
      <c r="O8" s="57" t="s">
        <v>23</v>
      </c>
      <c r="P8" s="58">
        <v>39774</v>
      </c>
      <c r="Q8" s="57" t="s">
        <v>143</v>
      </c>
      <c r="R8" s="57" t="s">
        <v>144</v>
      </c>
    </row>
    <row r="9" spans="1:18" ht="13.5" customHeight="1" x14ac:dyDescent="0.3">
      <c r="B9" s="7"/>
      <c r="C9" s="7"/>
      <c r="D9" s="35"/>
      <c r="E9" s="57" t="s">
        <v>140</v>
      </c>
      <c r="F9" s="57" t="s">
        <v>141</v>
      </c>
      <c r="G9" s="57">
        <v>729</v>
      </c>
      <c r="H9" s="57" t="s">
        <v>206</v>
      </c>
      <c r="I9" s="57">
        <v>5312</v>
      </c>
      <c r="J9" s="57" t="s">
        <v>142</v>
      </c>
      <c r="K9" s="57" t="s">
        <v>207</v>
      </c>
      <c r="L9" s="57" t="s">
        <v>208</v>
      </c>
      <c r="M9" s="57">
        <v>2016</v>
      </c>
      <c r="N9" s="57">
        <v>2016</v>
      </c>
      <c r="O9" s="57" t="s">
        <v>23</v>
      </c>
      <c r="P9" s="58">
        <v>45108</v>
      </c>
      <c r="Q9" s="57" t="s">
        <v>143</v>
      </c>
      <c r="R9" s="57" t="s">
        <v>144</v>
      </c>
    </row>
    <row r="10" spans="1:18" ht="13.5" customHeight="1" x14ac:dyDescent="0.3">
      <c r="B10" s="7"/>
      <c r="C10" s="7"/>
      <c r="D10" s="36"/>
      <c r="E10" s="57" t="s">
        <v>140</v>
      </c>
      <c r="F10" s="57" t="s">
        <v>141</v>
      </c>
      <c r="G10" s="57">
        <v>729</v>
      </c>
      <c r="H10" s="57" t="s">
        <v>206</v>
      </c>
      <c r="I10" s="57">
        <v>5312</v>
      </c>
      <c r="J10" s="57" t="s">
        <v>142</v>
      </c>
      <c r="K10" s="57" t="s">
        <v>207</v>
      </c>
      <c r="L10" s="57" t="s">
        <v>208</v>
      </c>
      <c r="M10" s="57">
        <v>2017</v>
      </c>
      <c r="N10" s="57">
        <v>2017</v>
      </c>
      <c r="O10" s="57" t="s">
        <v>23</v>
      </c>
      <c r="P10" s="58">
        <v>47000</v>
      </c>
      <c r="Q10" s="57" t="s">
        <v>143</v>
      </c>
      <c r="R10" s="57" t="s">
        <v>144</v>
      </c>
    </row>
    <row r="11" spans="1:18" ht="13.5" customHeight="1" x14ac:dyDescent="0.25">
      <c r="B11" s="7"/>
      <c r="C11" s="7"/>
      <c r="D11" s="7"/>
      <c r="E11" s="57" t="s">
        <v>140</v>
      </c>
      <c r="F11" s="57" t="s">
        <v>141</v>
      </c>
      <c r="G11" s="57">
        <v>729</v>
      </c>
      <c r="H11" s="57" t="s">
        <v>206</v>
      </c>
      <c r="I11" s="57">
        <v>5312</v>
      </c>
      <c r="J11" s="57" t="s">
        <v>142</v>
      </c>
      <c r="K11" s="57" t="s">
        <v>207</v>
      </c>
      <c r="L11" s="57" t="s">
        <v>208</v>
      </c>
      <c r="M11" s="57">
        <v>2018</v>
      </c>
      <c r="N11" s="57">
        <v>2018</v>
      </c>
      <c r="O11" s="57" t="s">
        <v>23</v>
      </c>
      <c r="P11" s="58">
        <v>47000</v>
      </c>
      <c r="Q11" s="57" t="s">
        <v>143</v>
      </c>
      <c r="R11" s="57" t="s">
        <v>144</v>
      </c>
    </row>
    <row r="12" spans="1:18" ht="13.5" customHeight="1" x14ac:dyDescent="0.3">
      <c r="B12" s="7"/>
      <c r="C12" s="7"/>
      <c r="D12" s="35"/>
      <c r="E12" s="57" t="s">
        <v>140</v>
      </c>
      <c r="F12" s="57" t="s">
        <v>141</v>
      </c>
      <c r="G12" s="57">
        <v>729</v>
      </c>
      <c r="H12" s="57" t="s">
        <v>206</v>
      </c>
      <c r="I12" s="57">
        <v>5312</v>
      </c>
      <c r="J12" s="57" t="s">
        <v>142</v>
      </c>
      <c r="K12" s="57" t="s">
        <v>207</v>
      </c>
      <c r="L12" s="57" t="s">
        <v>208</v>
      </c>
      <c r="M12" s="57">
        <v>2019</v>
      </c>
      <c r="N12" s="57">
        <v>2019</v>
      </c>
      <c r="O12" s="57" t="s">
        <v>23</v>
      </c>
      <c r="P12" s="58">
        <v>47000</v>
      </c>
      <c r="Q12" s="57" t="s">
        <v>143</v>
      </c>
      <c r="R12" s="57" t="s">
        <v>144</v>
      </c>
    </row>
    <row r="13" spans="1:18" ht="13.5" customHeight="1" outlineLevel="1" x14ac:dyDescent="0.25">
      <c r="B13" s="7"/>
      <c r="C13" s="7"/>
      <c r="D13" s="7"/>
      <c r="E13" s="57" t="s">
        <v>140</v>
      </c>
      <c r="F13" s="57" t="s">
        <v>141</v>
      </c>
      <c r="G13" s="57">
        <v>729</v>
      </c>
      <c r="H13" s="57" t="s">
        <v>206</v>
      </c>
      <c r="I13" s="57">
        <v>5312</v>
      </c>
      <c r="J13" s="57" t="s">
        <v>142</v>
      </c>
      <c r="K13" s="57" t="s">
        <v>207</v>
      </c>
      <c r="L13" s="57" t="s">
        <v>208</v>
      </c>
      <c r="M13" s="57">
        <v>2020</v>
      </c>
      <c r="N13" s="57">
        <v>2020</v>
      </c>
      <c r="O13" s="57" t="s">
        <v>23</v>
      </c>
      <c r="P13" s="58">
        <v>47000</v>
      </c>
      <c r="Q13" s="57" t="s">
        <v>143</v>
      </c>
      <c r="R13" s="57" t="s">
        <v>144</v>
      </c>
    </row>
    <row r="14" spans="1:18" ht="13.5" customHeight="1" outlineLevel="1" x14ac:dyDescent="0.25">
      <c r="B14" s="7"/>
      <c r="C14" s="7"/>
      <c r="D14" s="7"/>
      <c r="E14" s="57" t="s">
        <v>140</v>
      </c>
      <c r="F14" s="57" t="s">
        <v>141</v>
      </c>
      <c r="G14" s="57">
        <v>729</v>
      </c>
      <c r="H14" s="57" t="s">
        <v>206</v>
      </c>
      <c r="I14" s="57">
        <v>5312</v>
      </c>
      <c r="J14" s="57" t="s">
        <v>142</v>
      </c>
      <c r="K14" s="57" t="s">
        <v>207</v>
      </c>
      <c r="L14" s="57" t="s">
        <v>208</v>
      </c>
      <c r="M14" s="57">
        <v>2021</v>
      </c>
      <c r="N14" s="57">
        <v>2021</v>
      </c>
      <c r="O14" s="57" t="s">
        <v>23</v>
      </c>
      <c r="P14" s="58">
        <v>48025</v>
      </c>
      <c r="Q14" s="57" t="s">
        <v>145</v>
      </c>
      <c r="R14" s="57" t="s">
        <v>146</v>
      </c>
    </row>
    <row r="15" spans="1:18" ht="13.5" customHeight="1" outlineLevel="1" x14ac:dyDescent="0.25">
      <c r="B15" s="7"/>
      <c r="C15" s="7"/>
      <c r="D15" s="7"/>
      <c r="E15" s="57" t="s">
        <v>140</v>
      </c>
      <c r="F15" s="57" t="s">
        <v>141</v>
      </c>
      <c r="G15" s="57">
        <v>729</v>
      </c>
      <c r="H15" s="57" t="s">
        <v>206</v>
      </c>
      <c r="I15" s="57">
        <v>5419</v>
      </c>
      <c r="J15" s="57" t="s">
        <v>209</v>
      </c>
      <c r="K15" s="57" t="s">
        <v>207</v>
      </c>
      <c r="L15" s="57" t="s">
        <v>208</v>
      </c>
      <c r="M15" s="57">
        <v>2015</v>
      </c>
      <c r="N15" s="57">
        <v>2015</v>
      </c>
      <c r="O15" s="57" t="s">
        <v>210</v>
      </c>
      <c r="P15" s="58">
        <v>228793</v>
      </c>
      <c r="Q15" s="57" t="s">
        <v>143</v>
      </c>
      <c r="R15" s="57" t="s">
        <v>144</v>
      </c>
    </row>
    <row r="16" spans="1:18" ht="13.5" customHeight="1" outlineLevel="1" x14ac:dyDescent="0.25">
      <c r="B16" s="7"/>
      <c r="C16" s="7"/>
      <c r="D16" s="7"/>
      <c r="E16" s="57" t="s">
        <v>140</v>
      </c>
      <c r="F16" s="57" t="s">
        <v>141</v>
      </c>
      <c r="G16" s="57">
        <v>729</v>
      </c>
      <c r="H16" s="57" t="s">
        <v>206</v>
      </c>
      <c r="I16" s="57">
        <v>5419</v>
      </c>
      <c r="J16" s="57" t="s">
        <v>209</v>
      </c>
      <c r="K16" s="57" t="s">
        <v>207</v>
      </c>
      <c r="L16" s="57" t="s">
        <v>208</v>
      </c>
      <c r="M16" s="57">
        <v>2016</v>
      </c>
      <c r="N16" s="57">
        <v>2016</v>
      </c>
      <c r="O16" s="57" t="s">
        <v>210</v>
      </c>
      <c r="P16" s="58">
        <v>201762</v>
      </c>
      <c r="Q16" s="57" t="s">
        <v>143</v>
      </c>
      <c r="R16" s="57" t="s">
        <v>144</v>
      </c>
    </row>
    <row r="17" spans="2:18" ht="13.5" customHeight="1" outlineLevel="1" x14ac:dyDescent="0.25">
      <c r="B17" s="7"/>
      <c r="C17" s="7"/>
      <c r="D17" s="7"/>
      <c r="E17" s="57" t="s">
        <v>140</v>
      </c>
      <c r="F17" s="57" t="s">
        <v>141</v>
      </c>
      <c r="G17" s="57">
        <v>729</v>
      </c>
      <c r="H17" s="57" t="s">
        <v>206</v>
      </c>
      <c r="I17" s="57">
        <v>5419</v>
      </c>
      <c r="J17" s="57" t="s">
        <v>209</v>
      </c>
      <c r="K17" s="57" t="s">
        <v>207</v>
      </c>
      <c r="L17" s="57" t="s">
        <v>208</v>
      </c>
      <c r="M17" s="57">
        <v>2017</v>
      </c>
      <c r="N17" s="57">
        <v>2017</v>
      </c>
      <c r="O17" s="57" t="s">
        <v>210</v>
      </c>
      <c r="P17" s="58">
        <v>197511</v>
      </c>
      <c r="Q17" s="57" t="s">
        <v>143</v>
      </c>
      <c r="R17" s="57" t="s">
        <v>144</v>
      </c>
    </row>
    <row r="18" spans="2:18" ht="13.5" customHeight="1" outlineLevel="1" x14ac:dyDescent="0.25">
      <c r="B18" s="7"/>
      <c r="C18" s="7"/>
      <c r="D18" s="7"/>
      <c r="E18" s="57" t="s">
        <v>140</v>
      </c>
      <c r="F18" s="57" t="s">
        <v>141</v>
      </c>
      <c r="G18" s="57">
        <v>729</v>
      </c>
      <c r="H18" s="57" t="s">
        <v>206</v>
      </c>
      <c r="I18" s="57">
        <v>5419</v>
      </c>
      <c r="J18" s="57" t="s">
        <v>209</v>
      </c>
      <c r="K18" s="57" t="s">
        <v>207</v>
      </c>
      <c r="L18" s="57" t="s">
        <v>208</v>
      </c>
      <c r="M18" s="57">
        <v>2018</v>
      </c>
      <c r="N18" s="57">
        <v>2018</v>
      </c>
      <c r="O18" s="57" t="s">
        <v>210</v>
      </c>
      <c r="P18" s="58">
        <v>194301</v>
      </c>
      <c r="Q18" s="57" t="s">
        <v>143</v>
      </c>
      <c r="R18" s="57" t="s">
        <v>144</v>
      </c>
    </row>
    <row r="19" spans="2:18" ht="13.5" customHeight="1" outlineLevel="1" x14ac:dyDescent="0.25">
      <c r="B19" s="7"/>
      <c r="C19" s="7"/>
      <c r="D19" s="7"/>
      <c r="E19" s="57" t="s">
        <v>140</v>
      </c>
      <c r="F19" s="57" t="s">
        <v>141</v>
      </c>
      <c r="G19" s="57">
        <v>729</v>
      </c>
      <c r="H19" s="57" t="s">
        <v>206</v>
      </c>
      <c r="I19" s="57">
        <v>5419</v>
      </c>
      <c r="J19" s="57" t="s">
        <v>209</v>
      </c>
      <c r="K19" s="57" t="s">
        <v>207</v>
      </c>
      <c r="L19" s="57" t="s">
        <v>208</v>
      </c>
      <c r="M19" s="57">
        <v>2019</v>
      </c>
      <c r="N19" s="57">
        <v>2019</v>
      </c>
      <c r="O19" s="57" t="s">
        <v>210</v>
      </c>
      <c r="P19" s="58">
        <v>195439</v>
      </c>
      <c r="Q19" s="57" t="s">
        <v>143</v>
      </c>
      <c r="R19" s="57" t="s">
        <v>144</v>
      </c>
    </row>
    <row r="20" spans="2:18" ht="13.5" customHeight="1" outlineLevel="1" x14ac:dyDescent="0.25">
      <c r="B20" s="7"/>
      <c r="C20" s="7"/>
      <c r="D20" s="7"/>
      <c r="E20" s="57" t="s">
        <v>140</v>
      </c>
      <c r="F20" s="57" t="s">
        <v>141</v>
      </c>
      <c r="G20" s="57">
        <v>729</v>
      </c>
      <c r="H20" s="57" t="s">
        <v>206</v>
      </c>
      <c r="I20" s="57">
        <v>5419</v>
      </c>
      <c r="J20" s="57" t="s">
        <v>209</v>
      </c>
      <c r="K20" s="57" t="s">
        <v>207</v>
      </c>
      <c r="L20" s="57" t="s">
        <v>208</v>
      </c>
      <c r="M20" s="57">
        <v>2020</v>
      </c>
      <c r="N20" s="57">
        <v>2020</v>
      </c>
      <c r="O20" s="57" t="s">
        <v>210</v>
      </c>
      <c r="P20" s="58">
        <v>196583</v>
      </c>
      <c r="Q20" s="57" t="s">
        <v>143</v>
      </c>
      <c r="R20" s="57" t="s">
        <v>144</v>
      </c>
    </row>
    <row r="21" spans="2:18" ht="13.5" customHeight="1" outlineLevel="1" x14ac:dyDescent="0.25">
      <c r="B21" s="7"/>
      <c r="C21" s="7"/>
      <c r="D21" s="7"/>
      <c r="E21" s="57" t="s">
        <v>140</v>
      </c>
      <c r="F21" s="57" t="s">
        <v>141</v>
      </c>
      <c r="G21" s="57">
        <v>729</v>
      </c>
      <c r="H21" s="57" t="s">
        <v>206</v>
      </c>
      <c r="I21" s="57">
        <v>5419</v>
      </c>
      <c r="J21" s="57" t="s">
        <v>209</v>
      </c>
      <c r="K21" s="57" t="s">
        <v>207</v>
      </c>
      <c r="L21" s="57" t="s">
        <v>208</v>
      </c>
      <c r="M21" s="57">
        <v>2021</v>
      </c>
      <c r="N21" s="57">
        <v>2021</v>
      </c>
      <c r="O21" s="57" t="s">
        <v>210</v>
      </c>
      <c r="P21" s="58">
        <v>194546</v>
      </c>
      <c r="Q21" s="57" t="s">
        <v>115</v>
      </c>
      <c r="R21" s="57" t="s">
        <v>116</v>
      </c>
    </row>
    <row r="22" spans="2:18" ht="13.5" customHeight="1" outlineLevel="1" x14ac:dyDescent="0.25">
      <c r="B22" s="7"/>
      <c r="C22" s="7"/>
      <c r="D22" s="7"/>
      <c r="E22" s="57" t="s">
        <v>140</v>
      </c>
      <c r="F22" s="57" t="s">
        <v>141</v>
      </c>
      <c r="G22" s="57">
        <v>729</v>
      </c>
      <c r="H22" s="57" t="s">
        <v>206</v>
      </c>
      <c r="I22" s="57">
        <v>5312</v>
      </c>
      <c r="J22" s="57" t="s">
        <v>142</v>
      </c>
      <c r="K22" s="57" t="s">
        <v>211</v>
      </c>
      <c r="L22" s="57" t="s">
        <v>212</v>
      </c>
      <c r="M22" s="57">
        <v>2015</v>
      </c>
      <c r="N22" s="57">
        <v>2015</v>
      </c>
      <c r="O22" s="57" t="s">
        <v>23</v>
      </c>
      <c r="P22" s="58">
        <v>0</v>
      </c>
      <c r="Q22" s="57" t="s">
        <v>178</v>
      </c>
      <c r="R22" s="57" t="s">
        <v>179</v>
      </c>
    </row>
    <row r="23" spans="2:18" ht="13.5" customHeight="1" outlineLevel="1" x14ac:dyDescent="0.25">
      <c r="B23" s="7"/>
      <c r="C23" s="7"/>
      <c r="D23" s="7"/>
      <c r="E23" s="57" t="s">
        <v>140</v>
      </c>
      <c r="F23" s="57" t="s">
        <v>141</v>
      </c>
      <c r="G23" s="57">
        <v>729</v>
      </c>
      <c r="H23" s="57" t="s">
        <v>206</v>
      </c>
      <c r="I23" s="57">
        <v>5312</v>
      </c>
      <c r="J23" s="57" t="s">
        <v>142</v>
      </c>
      <c r="K23" s="57" t="s">
        <v>211</v>
      </c>
      <c r="L23" s="57" t="s">
        <v>212</v>
      </c>
      <c r="M23" s="57">
        <v>2016</v>
      </c>
      <c r="N23" s="57">
        <v>2016</v>
      </c>
      <c r="O23" s="57" t="s">
        <v>23</v>
      </c>
      <c r="P23" s="58">
        <v>0</v>
      </c>
      <c r="Q23" s="57" t="s">
        <v>178</v>
      </c>
      <c r="R23" s="57" t="s">
        <v>179</v>
      </c>
    </row>
    <row r="24" spans="2:18" ht="13.5" customHeight="1" outlineLevel="1" x14ac:dyDescent="0.35">
      <c r="B24" s="51"/>
      <c r="C24" s="7"/>
      <c r="D24" s="52"/>
      <c r="E24" s="57" t="s">
        <v>140</v>
      </c>
      <c r="F24" s="57" t="s">
        <v>141</v>
      </c>
      <c r="G24" s="57">
        <v>729</v>
      </c>
      <c r="H24" s="57" t="s">
        <v>206</v>
      </c>
      <c r="I24" s="57">
        <v>5312</v>
      </c>
      <c r="J24" s="57" t="s">
        <v>142</v>
      </c>
      <c r="K24" s="57" t="s">
        <v>211</v>
      </c>
      <c r="L24" s="57" t="s">
        <v>212</v>
      </c>
      <c r="M24" s="57">
        <v>2017</v>
      </c>
      <c r="N24" s="57">
        <v>2017</v>
      </c>
      <c r="O24" s="57" t="s">
        <v>23</v>
      </c>
      <c r="P24" s="58">
        <v>0</v>
      </c>
      <c r="Q24" s="57" t="s">
        <v>178</v>
      </c>
      <c r="R24" s="57" t="s">
        <v>179</v>
      </c>
    </row>
    <row r="25" spans="2:18" ht="13.5" customHeight="1" outlineLevel="1" x14ac:dyDescent="0.25">
      <c r="B25" s="7"/>
      <c r="C25" s="7"/>
      <c r="D25" s="7"/>
      <c r="E25" s="57" t="s">
        <v>140</v>
      </c>
      <c r="F25" s="57" t="s">
        <v>141</v>
      </c>
      <c r="G25" s="57">
        <v>729</v>
      </c>
      <c r="H25" s="57" t="s">
        <v>206</v>
      </c>
      <c r="I25" s="57">
        <v>5312</v>
      </c>
      <c r="J25" s="57" t="s">
        <v>142</v>
      </c>
      <c r="K25" s="57" t="s">
        <v>211</v>
      </c>
      <c r="L25" s="57" t="s">
        <v>212</v>
      </c>
      <c r="M25" s="57">
        <v>2018</v>
      </c>
      <c r="N25" s="57">
        <v>2018</v>
      </c>
      <c r="O25" s="57" t="s">
        <v>23</v>
      </c>
      <c r="P25" s="58">
        <v>0</v>
      </c>
      <c r="Q25" s="57" t="s">
        <v>178</v>
      </c>
      <c r="R25" s="57" t="s">
        <v>179</v>
      </c>
    </row>
    <row r="26" spans="2:18" ht="13.5" customHeight="1" outlineLevel="1" x14ac:dyDescent="0.25">
      <c r="B26" s="7"/>
      <c r="C26" s="7"/>
      <c r="D26" s="7"/>
      <c r="E26" s="57" t="s">
        <v>140</v>
      </c>
      <c r="F26" s="57" t="s">
        <v>141</v>
      </c>
      <c r="G26" s="57">
        <v>729</v>
      </c>
      <c r="H26" s="57" t="s">
        <v>206</v>
      </c>
      <c r="I26" s="57">
        <v>5312</v>
      </c>
      <c r="J26" s="57" t="s">
        <v>142</v>
      </c>
      <c r="K26" s="57" t="s">
        <v>211</v>
      </c>
      <c r="L26" s="57" t="s">
        <v>212</v>
      </c>
      <c r="M26" s="57">
        <v>2019</v>
      </c>
      <c r="N26" s="57">
        <v>2019</v>
      </c>
      <c r="O26" s="57" t="s">
        <v>23</v>
      </c>
      <c r="P26" s="58">
        <v>0</v>
      </c>
      <c r="Q26" s="57" t="s">
        <v>178</v>
      </c>
      <c r="R26" s="57" t="s">
        <v>179</v>
      </c>
    </row>
    <row r="27" spans="2:18" ht="13.5" customHeight="1" outlineLevel="1" x14ac:dyDescent="0.25">
      <c r="B27" s="7"/>
      <c r="C27" s="7"/>
      <c r="D27" s="7"/>
      <c r="E27" s="57" t="s">
        <v>140</v>
      </c>
      <c r="F27" s="57" t="s">
        <v>141</v>
      </c>
      <c r="G27" s="57">
        <v>729</v>
      </c>
      <c r="H27" s="57" t="s">
        <v>206</v>
      </c>
      <c r="I27" s="57">
        <v>5312</v>
      </c>
      <c r="J27" s="57" t="s">
        <v>142</v>
      </c>
      <c r="K27" s="57" t="s">
        <v>211</v>
      </c>
      <c r="L27" s="57" t="s">
        <v>212</v>
      </c>
      <c r="M27" s="57">
        <v>2020</v>
      </c>
      <c r="N27" s="57">
        <v>2020</v>
      </c>
      <c r="O27" s="57" t="s">
        <v>23</v>
      </c>
      <c r="P27" s="58">
        <v>0</v>
      </c>
      <c r="Q27" s="57" t="s">
        <v>178</v>
      </c>
      <c r="R27" s="57" t="s">
        <v>179</v>
      </c>
    </row>
    <row r="28" spans="2:18" ht="13.5" customHeight="1" outlineLevel="1" x14ac:dyDescent="0.25">
      <c r="B28" s="7"/>
      <c r="C28" s="7"/>
      <c r="D28" s="7"/>
      <c r="E28" s="57" t="s">
        <v>140</v>
      </c>
      <c r="F28" s="57" t="s">
        <v>141</v>
      </c>
      <c r="G28" s="57">
        <v>729</v>
      </c>
      <c r="H28" s="57" t="s">
        <v>206</v>
      </c>
      <c r="I28" s="57">
        <v>5312</v>
      </c>
      <c r="J28" s="57" t="s">
        <v>142</v>
      </c>
      <c r="K28" s="57" t="s">
        <v>211</v>
      </c>
      <c r="L28" s="57" t="s">
        <v>212</v>
      </c>
      <c r="M28" s="57">
        <v>2021</v>
      </c>
      <c r="N28" s="57">
        <v>2021</v>
      </c>
      <c r="O28" s="57" t="s">
        <v>23</v>
      </c>
      <c r="P28" s="58">
        <v>0</v>
      </c>
      <c r="Q28" s="57" t="s">
        <v>178</v>
      </c>
      <c r="R28" s="57" t="s">
        <v>179</v>
      </c>
    </row>
    <row r="29" spans="2:18" ht="13.5" customHeight="1" outlineLevel="1" x14ac:dyDescent="0.25">
      <c r="B29" s="7"/>
      <c r="C29" s="7"/>
      <c r="D29" s="7"/>
      <c r="E29" s="57" t="s">
        <v>140</v>
      </c>
      <c r="F29" s="57" t="s">
        <v>141</v>
      </c>
      <c r="G29" s="57">
        <v>729</v>
      </c>
      <c r="H29" s="57" t="s">
        <v>206</v>
      </c>
      <c r="I29" s="57">
        <v>5312</v>
      </c>
      <c r="J29" s="57" t="s">
        <v>142</v>
      </c>
      <c r="K29" s="57" t="s">
        <v>147</v>
      </c>
      <c r="L29" s="57" t="s">
        <v>148</v>
      </c>
      <c r="M29" s="57">
        <v>2015</v>
      </c>
      <c r="N29" s="57">
        <v>2015</v>
      </c>
      <c r="O29" s="57" t="s">
        <v>23</v>
      </c>
      <c r="P29" s="58">
        <v>3599</v>
      </c>
      <c r="Q29" s="57" t="s">
        <v>145</v>
      </c>
      <c r="R29" s="57" t="s">
        <v>146</v>
      </c>
    </row>
    <row r="30" spans="2:18" ht="13.5" customHeight="1" outlineLevel="1" x14ac:dyDescent="0.25">
      <c r="B30" s="7"/>
      <c r="C30" s="7"/>
      <c r="D30" s="7"/>
      <c r="E30" s="57" t="s">
        <v>140</v>
      </c>
      <c r="F30" s="57" t="s">
        <v>141</v>
      </c>
      <c r="G30" s="57">
        <v>729</v>
      </c>
      <c r="H30" s="57" t="s">
        <v>206</v>
      </c>
      <c r="I30" s="57">
        <v>5312</v>
      </c>
      <c r="J30" s="57" t="s">
        <v>142</v>
      </c>
      <c r="K30" s="57" t="s">
        <v>147</v>
      </c>
      <c r="L30" s="57" t="s">
        <v>148</v>
      </c>
      <c r="M30" s="57">
        <v>2016</v>
      </c>
      <c r="N30" s="57">
        <v>2016</v>
      </c>
      <c r="O30" s="57" t="s">
        <v>23</v>
      </c>
      <c r="P30" s="58">
        <v>3500</v>
      </c>
      <c r="Q30" s="57" t="s">
        <v>115</v>
      </c>
      <c r="R30" s="57" t="s">
        <v>116</v>
      </c>
    </row>
    <row r="31" spans="2:18" ht="13.5" customHeight="1" outlineLevel="1" x14ac:dyDescent="0.25">
      <c r="B31" s="7"/>
      <c r="C31" s="7"/>
      <c r="D31" s="7"/>
      <c r="E31" s="57" t="s">
        <v>140</v>
      </c>
      <c r="F31" s="57" t="s">
        <v>141</v>
      </c>
      <c r="G31" s="57">
        <v>729</v>
      </c>
      <c r="H31" s="57" t="s">
        <v>206</v>
      </c>
      <c r="I31" s="57">
        <v>5312</v>
      </c>
      <c r="J31" s="57" t="s">
        <v>142</v>
      </c>
      <c r="K31" s="57" t="s">
        <v>147</v>
      </c>
      <c r="L31" s="57" t="s">
        <v>148</v>
      </c>
      <c r="M31" s="57">
        <v>2017</v>
      </c>
      <c r="N31" s="57">
        <v>2017</v>
      </c>
      <c r="O31" s="57" t="s">
        <v>23</v>
      </c>
      <c r="P31" s="58">
        <v>3548</v>
      </c>
      <c r="Q31" s="57" t="s">
        <v>145</v>
      </c>
      <c r="R31" s="57" t="s">
        <v>146</v>
      </c>
    </row>
    <row r="32" spans="2:18" ht="13.5" customHeight="1" x14ac:dyDescent="0.25">
      <c r="B32" s="7"/>
      <c r="C32" s="7"/>
      <c r="D32" s="7"/>
      <c r="E32" s="57" t="s">
        <v>140</v>
      </c>
      <c r="F32" s="57" t="s">
        <v>141</v>
      </c>
      <c r="G32" s="57">
        <v>729</v>
      </c>
      <c r="H32" s="57" t="s">
        <v>206</v>
      </c>
      <c r="I32" s="57">
        <v>5312</v>
      </c>
      <c r="J32" s="57" t="s">
        <v>142</v>
      </c>
      <c r="K32" s="57" t="s">
        <v>147</v>
      </c>
      <c r="L32" s="57" t="s">
        <v>148</v>
      </c>
      <c r="M32" s="57">
        <v>2018</v>
      </c>
      <c r="N32" s="57">
        <v>2018</v>
      </c>
      <c r="O32" s="57" t="s">
        <v>23</v>
      </c>
      <c r="P32" s="58">
        <v>3507</v>
      </c>
      <c r="Q32" s="57" t="s">
        <v>145</v>
      </c>
      <c r="R32" s="57" t="s">
        <v>146</v>
      </c>
    </row>
    <row r="33" spans="2:18" ht="13.5" customHeight="1" x14ac:dyDescent="0.25">
      <c r="B33" s="7"/>
      <c r="C33" s="7"/>
      <c r="D33" s="7"/>
      <c r="E33" s="57" t="s">
        <v>140</v>
      </c>
      <c r="F33" s="57" t="s">
        <v>141</v>
      </c>
      <c r="G33" s="57">
        <v>729</v>
      </c>
      <c r="H33" s="57" t="s">
        <v>206</v>
      </c>
      <c r="I33" s="57">
        <v>5312</v>
      </c>
      <c r="J33" s="57" t="s">
        <v>142</v>
      </c>
      <c r="K33" s="57" t="s">
        <v>147</v>
      </c>
      <c r="L33" s="57" t="s">
        <v>148</v>
      </c>
      <c r="M33" s="57">
        <v>2019</v>
      </c>
      <c r="N33" s="57">
        <v>2019</v>
      </c>
      <c r="O33" s="57" t="s">
        <v>23</v>
      </c>
      <c r="P33" s="58">
        <v>3489</v>
      </c>
      <c r="Q33" s="57" t="s">
        <v>145</v>
      </c>
      <c r="R33" s="57" t="s">
        <v>146</v>
      </c>
    </row>
    <row r="34" spans="2:18" ht="13.5" customHeight="1" x14ac:dyDescent="0.25">
      <c r="E34" s="57" t="s">
        <v>140</v>
      </c>
      <c r="F34" s="57" t="s">
        <v>141</v>
      </c>
      <c r="G34" s="57">
        <v>729</v>
      </c>
      <c r="H34" s="57" t="s">
        <v>206</v>
      </c>
      <c r="I34" s="57">
        <v>5312</v>
      </c>
      <c r="J34" s="57" t="s">
        <v>142</v>
      </c>
      <c r="K34" s="57" t="s">
        <v>147</v>
      </c>
      <c r="L34" s="57" t="s">
        <v>148</v>
      </c>
      <c r="M34" s="57">
        <v>2020</v>
      </c>
      <c r="N34" s="57">
        <v>2020</v>
      </c>
      <c r="O34" s="57" t="s">
        <v>23</v>
      </c>
      <c r="P34" s="58">
        <v>3487</v>
      </c>
      <c r="Q34" s="57" t="s">
        <v>145</v>
      </c>
      <c r="R34" s="57" t="s">
        <v>146</v>
      </c>
    </row>
    <row r="35" spans="2:18" ht="13.5" customHeight="1" x14ac:dyDescent="0.25">
      <c r="E35" s="57" t="s">
        <v>140</v>
      </c>
      <c r="F35" s="57" t="s">
        <v>141</v>
      </c>
      <c r="G35" s="57">
        <v>729</v>
      </c>
      <c r="H35" s="57" t="s">
        <v>206</v>
      </c>
      <c r="I35" s="57">
        <v>5312</v>
      </c>
      <c r="J35" s="57" t="s">
        <v>142</v>
      </c>
      <c r="K35" s="57" t="s">
        <v>147</v>
      </c>
      <c r="L35" s="57" t="s">
        <v>148</v>
      </c>
      <c r="M35" s="57">
        <v>2021</v>
      </c>
      <c r="N35" s="57">
        <v>2021</v>
      </c>
      <c r="O35" s="57" t="s">
        <v>23</v>
      </c>
      <c r="P35" s="58">
        <v>3485</v>
      </c>
      <c r="Q35" s="57" t="s">
        <v>145</v>
      </c>
      <c r="R35" s="57" t="s">
        <v>146</v>
      </c>
    </row>
    <row r="36" spans="2:18" ht="13.5" customHeight="1" x14ac:dyDescent="0.25">
      <c r="E36" s="57" t="s">
        <v>140</v>
      </c>
      <c r="F36" s="57" t="s">
        <v>141</v>
      </c>
      <c r="G36" s="57">
        <v>729</v>
      </c>
      <c r="H36" s="57" t="s">
        <v>206</v>
      </c>
      <c r="I36" s="57">
        <v>5419</v>
      </c>
      <c r="J36" s="57" t="s">
        <v>209</v>
      </c>
      <c r="K36" s="57" t="s">
        <v>147</v>
      </c>
      <c r="L36" s="57" t="s">
        <v>148</v>
      </c>
      <c r="M36" s="57">
        <v>2015</v>
      </c>
      <c r="N36" s="57">
        <v>2015</v>
      </c>
      <c r="O36" s="57" t="s">
        <v>210</v>
      </c>
      <c r="P36" s="58">
        <v>36123</v>
      </c>
      <c r="Q36" s="57" t="s">
        <v>115</v>
      </c>
      <c r="R36" s="57" t="s">
        <v>116</v>
      </c>
    </row>
    <row r="37" spans="2:18" ht="13.5" customHeight="1" x14ac:dyDescent="0.25">
      <c r="E37" s="57" t="s">
        <v>140</v>
      </c>
      <c r="F37" s="57" t="s">
        <v>141</v>
      </c>
      <c r="G37" s="57">
        <v>729</v>
      </c>
      <c r="H37" s="57" t="s">
        <v>206</v>
      </c>
      <c r="I37" s="57">
        <v>5419</v>
      </c>
      <c r="J37" s="57" t="s">
        <v>209</v>
      </c>
      <c r="K37" s="57" t="s">
        <v>147</v>
      </c>
      <c r="L37" s="57" t="s">
        <v>148</v>
      </c>
      <c r="M37" s="57">
        <v>2016</v>
      </c>
      <c r="N37" s="57">
        <v>2016</v>
      </c>
      <c r="O37" s="57" t="s">
        <v>210</v>
      </c>
      <c r="P37" s="58">
        <v>34290</v>
      </c>
      <c r="Q37" s="57" t="s">
        <v>115</v>
      </c>
      <c r="R37" s="57" t="s">
        <v>116</v>
      </c>
    </row>
    <row r="38" spans="2:18" ht="13.5" customHeight="1" x14ac:dyDescent="0.25">
      <c r="E38" s="57" t="s">
        <v>140</v>
      </c>
      <c r="F38" s="57" t="s">
        <v>141</v>
      </c>
      <c r="G38" s="57">
        <v>729</v>
      </c>
      <c r="H38" s="57" t="s">
        <v>206</v>
      </c>
      <c r="I38" s="57">
        <v>5419</v>
      </c>
      <c r="J38" s="57" t="s">
        <v>209</v>
      </c>
      <c r="K38" s="57" t="s">
        <v>147</v>
      </c>
      <c r="L38" s="57" t="s">
        <v>148</v>
      </c>
      <c r="M38" s="57">
        <v>2017</v>
      </c>
      <c r="N38" s="57">
        <v>2017</v>
      </c>
      <c r="O38" s="57" t="s">
        <v>210</v>
      </c>
      <c r="P38" s="58">
        <v>34997</v>
      </c>
      <c r="Q38" s="57" t="s">
        <v>115</v>
      </c>
      <c r="R38" s="57" t="s">
        <v>116</v>
      </c>
    </row>
    <row r="39" spans="2:18" ht="13.5" customHeight="1" x14ac:dyDescent="0.25">
      <c r="E39" s="57" t="s">
        <v>140</v>
      </c>
      <c r="F39" s="57" t="s">
        <v>141</v>
      </c>
      <c r="G39" s="57">
        <v>729</v>
      </c>
      <c r="H39" s="57" t="s">
        <v>206</v>
      </c>
      <c r="I39" s="57">
        <v>5419</v>
      </c>
      <c r="J39" s="57" t="s">
        <v>209</v>
      </c>
      <c r="K39" s="57" t="s">
        <v>147</v>
      </c>
      <c r="L39" s="57" t="s">
        <v>148</v>
      </c>
      <c r="M39" s="57">
        <v>2018</v>
      </c>
      <c r="N39" s="57">
        <v>2018</v>
      </c>
      <c r="O39" s="57" t="s">
        <v>210</v>
      </c>
      <c r="P39" s="58">
        <v>36877</v>
      </c>
      <c r="Q39" s="57" t="s">
        <v>115</v>
      </c>
      <c r="R39" s="57" t="s">
        <v>116</v>
      </c>
    </row>
    <row r="40" spans="2:18" ht="13.5" customHeight="1" x14ac:dyDescent="0.25">
      <c r="E40" s="57" t="s">
        <v>140</v>
      </c>
      <c r="F40" s="57" t="s">
        <v>141</v>
      </c>
      <c r="G40" s="57">
        <v>729</v>
      </c>
      <c r="H40" s="57" t="s">
        <v>206</v>
      </c>
      <c r="I40" s="57">
        <v>5419</v>
      </c>
      <c r="J40" s="57" t="s">
        <v>209</v>
      </c>
      <c r="K40" s="57" t="s">
        <v>147</v>
      </c>
      <c r="L40" s="57" t="s">
        <v>148</v>
      </c>
      <c r="M40" s="57">
        <v>2019</v>
      </c>
      <c r="N40" s="57">
        <v>2019</v>
      </c>
      <c r="O40" s="57" t="s">
        <v>210</v>
      </c>
      <c r="P40" s="58">
        <v>37101</v>
      </c>
      <c r="Q40" s="57" t="s">
        <v>115</v>
      </c>
      <c r="R40" s="57" t="s">
        <v>116</v>
      </c>
    </row>
    <row r="41" spans="2:18" ht="13.5" customHeight="1" x14ac:dyDescent="0.25">
      <c r="E41" s="57" t="s">
        <v>140</v>
      </c>
      <c r="F41" s="57" t="s">
        <v>141</v>
      </c>
      <c r="G41" s="57">
        <v>729</v>
      </c>
      <c r="H41" s="57" t="s">
        <v>206</v>
      </c>
      <c r="I41" s="57">
        <v>5419</v>
      </c>
      <c r="J41" s="57" t="s">
        <v>209</v>
      </c>
      <c r="K41" s="57" t="s">
        <v>147</v>
      </c>
      <c r="L41" s="57" t="s">
        <v>148</v>
      </c>
      <c r="M41" s="57">
        <v>2020</v>
      </c>
      <c r="N41" s="57">
        <v>2020</v>
      </c>
      <c r="O41" s="57" t="s">
        <v>210</v>
      </c>
      <c r="P41" s="58">
        <v>36608</v>
      </c>
      <c r="Q41" s="57" t="s">
        <v>115</v>
      </c>
      <c r="R41" s="57" t="s">
        <v>116</v>
      </c>
    </row>
    <row r="42" spans="2:18" ht="13.5" customHeight="1" x14ac:dyDescent="0.25">
      <c r="E42" s="57" t="s">
        <v>140</v>
      </c>
      <c r="F42" s="57" t="s">
        <v>141</v>
      </c>
      <c r="G42" s="57">
        <v>729</v>
      </c>
      <c r="H42" s="57" t="s">
        <v>206</v>
      </c>
      <c r="I42" s="57">
        <v>5419</v>
      </c>
      <c r="J42" s="57" t="s">
        <v>209</v>
      </c>
      <c r="K42" s="57" t="s">
        <v>147</v>
      </c>
      <c r="L42" s="57" t="s">
        <v>148</v>
      </c>
      <c r="M42" s="57">
        <v>2021</v>
      </c>
      <c r="N42" s="57">
        <v>2021</v>
      </c>
      <c r="O42" s="57" t="s">
        <v>210</v>
      </c>
      <c r="P42" s="58">
        <v>36963</v>
      </c>
      <c r="Q42" s="57" t="s">
        <v>115</v>
      </c>
      <c r="R42" s="57" t="s">
        <v>116</v>
      </c>
    </row>
    <row r="43" spans="2:18" ht="13.5" customHeight="1" x14ac:dyDescent="0.25">
      <c r="E43" s="57" t="s">
        <v>140</v>
      </c>
      <c r="F43" s="57" t="s">
        <v>141</v>
      </c>
      <c r="G43" s="57">
        <v>729</v>
      </c>
      <c r="H43" s="57" t="s">
        <v>206</v>
      </c>
      <c r="I43" s="57">
        <v>5312</v>
      </c>
      <c r="J43" s="57" t="s">
        <v>142</v>
      </c>
      <c r="K43" s="57" t="s">
        <v>213</v>
      </c>
      <c r="L43" s="57" t="s">
        <v>214</v>
      </c>
      <c r="M43" s="57">
        <v>2015</v>
      </c>
      <c r="N43" s="57">
        <v>2015</v>
      </c>
      <c r="O43" s="57" t="s">
        <v>23</v>
      </c>
      <c r="P43" s="58">
        <v>60782</v>
      </c>
      <c r="Q43" s="57" t="s">
        <v>143</v>
      </c>
      <c r="R43" s="57" t="s">
        <v>144</v>
      </c>
    </row>
    <row r="44" spans="2:18" ht="13.5" customHeight="1" x14ac:dyDescent="0.25">
      <c r="E44" s="57" t="s">
        <v>140</v>
      </c>
      <c r="F44" s="57" t="s">
        <v>141</v>
      </c>
      <c r="G44" s="57">
        <v>729</v>
      </c>
      <c r="H44" s="57" t="s">
        <v>206</v>
      </c>
      <c r="I44" s="57">
        <v>5312</v>
      </c>
      <c r="J44" s="57" t="s">
        <v>142</v>
      </c>
      <c r="K44" s="57" t="s">
        <v>213</v>
      </c>
      <c r="L44" s="57" t="s">
        <v>214</v>
      </c>
      <c r="M44" s="57">
        <v>2016</v>
      </c>
      <c r="N44" s="57">
        <v>2016</v>
      </c>
      <c r="O44" s="57" t="s">
        <v>23</v>
      </c>
      <c r="P44" s="58">
        <v>70913</v>
      </c>
      <c r="Q44" s="57" t="s">
        <v>143</v>
      </c>
      <c r="R44" s="57" t="s">
        <v>144</v>
      </c>
    </row>
    <row r="45" spans="2:18" ht="13.5" customHeight="1" x14ac:dyDescent="0.25">
      <c r="E45" s="57" t="s">
        <v>140</v>
      </c>
      <c r="F45" s="57" t="s">
        <v>141</v>
      </c>
      <c r="G45" s="57">
        <v>729</v>
      </c>
      <c r="H45" s="57" t="s">
        <v>206</v>
      </c>
      <c r="I45" s="57">
        <v>5312</v>
      </c>
      <c r="J45" s="57" t="s">
        <v>142</v>
      </c>
      <c r="K45" s="57" t="s">
        <v>213</v>
      </c>
      <c r="L45" s="57" t="s">
        <v>214</v>
      </c>
      <c r="M45" s="57">
        <v>2017</v>
      </c>
      <c r="N45" s="57">
        <v>2017</v>
      </c>
      <c r="O45" s="57" t="s">
        <v>23</v>
      </c>
      <c r="P45" s="58">
        <v>30844</v>
      </c>
      <c r="Q45" s="57" t="s">
        <v>143</v>
      </c>
      <c r="R45" s="57" t="s">
        <v>144</v>
      </c>
    </row>
    <row r="46" spans="2:18" ht="13.5" customHeight="1" x14ac:dyDescent="0.25">
      <c r="E46" s="57" t="s">
        <v>140</v>
      </c>
      <c r="F46" s="57" t="s">
        <v>141</v>
      </c>
      <c r="G46" s="57">
        <v>729</v>
      </c>
      <c r="H46" s="57" t="s">
        <v>206</v>
      </c>
      <c r="I46" s="57">
        <v>5312</v>
      </c>
      <c r="J46" s="57" t="s">
        <v>142</v>
      </c>
      <c r="K46" s="57" t="s">
        <v>213</v>
      </c>
      <c r="L46" s="57" t="s">
        <v>214</v>
      </c>
      <c r="M46" s="57">
        <v>2018</v>
      </c>
      <c r="N46" s="57">
        <v>2018</v>
      </c>
      <c r="O46" s="57" t="s">
        <v>23</v>
      </c>
      <c r="P46" s="58">
        <v>32386</v>
      </c>
      <c r="Q46" s="57" t="s">
        <v>143</v>
      </c>
      <c r="R46" s="57" t="s">
        <v>144</v>
      </c>
    </row>
    <row r="47" spans="2:18" ht="13.5" customHeight="1" x14ac:dyDescent="0.25">
      <c r="E47" s="57" t="s">
        <v>140</v>
      </c>
      <c r="F47" s="57" t="s">
        <v>141</v>
      </c>
      <c r="G47" s="57">
        <v>729</v>
      </c>
      <c r="H47" s="57" t="s">
        <v>206</v>
      </c>
      <c r="I47" s="57">
        <v>5312</v>
      </c>
      <c r="J47" s="57" t="s">
        <v>142</v>
      </c>
      <c r="K47" s="57" t="s">
        <v>213</v>
      </c>
      <c r="L47" s="57" t="s">
        <v>214</v>
      </c>
      <c r="M47" s="57">
        <v>2019</v>
      </c>
      <c r="N47" s="57">
        <v>2019</v>
      </c>
      <c r="O47" s="57" t="s">
        <v>23</v>
      </c>
      <c r="P47" s="58">
        <v>34006</v>
      </c>
      <c r="Q47" s="57" t="s">
        <v>143</v>
      </c>
      <c r="R47" s="57" t="s">
        <v>144</v>
      </c>
    </row>
    <row r="48" spans="2:18" ht="13.5" customHeight="1" x14ac:dyDescent="0.25">
      <c r="E48" s="57" t="s">
        <v>140</v>
      </c>
      <c r="F48" s="57" t="s">
        <v>141</v>
      </c>
      <c r="G48" s="57">
        <v>729</v>
      </c>
      <c r="H48" s="57" t="s">
        <v>206</v>
      </c>
      <c r="I48" s="57">
        <v>5312</v>
      </c>
      <c r="J48" s="57" t="s">
        <v>142</v>
      </c>
      <c r="K48" s="57" t="s">
        <v>213</v>
      </c>
      <c r="L48" s="57" t="s">
        <v>214</v>
      </c>
      <c r="M48" s="57">
        <v>2020</v>
      </c>
      <c r="N48" s="57">
        <v>2020</v>
      </c>
      <c r="O48" s="57" t="s">
        <v>23</v>
      </c>
      <c r="P48" s="58">
        <v>35706</v>
      </c>
      <c r="Q48" s="57" t="s">
        <v>143</v>
      </c>
      <c r="R48" s="57" t="s">
        <v>144</v>
      </c>
    </row>
    <row r="49" spans="5:20" ht="13.5" customHeight="1" x14ac:dyDescent="0.25">
      <c r="E49" s="57" t="s">
        <v>140</v>
      </c>
      <c r="F49" s="57" t="s">
        <v>141</v>
      </c>
      <c r="G49" s="57">
        <v>729</v>
      </c>
      <c r="H49" s="57" t="s">
        <v>206</v>
      </c>
      <c r="I49" s="57">
        <v>5312</v>
      </c>
      <c r="J49" s="57" t="s">
        <v>142</v>
      </c>
      <c r="K49" s="57" t="s">
        <v>213</v>
      </c>
      <c r="L49" s="57" t="s">
        <v>214</v>
      </c>
      <c r="M49" s="57">
        <v>2021</v>
      </c>
      <c r="N49" s="57">
        <v>2021</v>
      </c>
      <c r="O49" s="57" t="s">
        <v>23</v>
      </c>
      <c r="P49" s="58">
        <v>34147</v>
      </c>
      <c r="Q49" s="57" t="s">
        <v>145</v>
      </c>
      <c r="R49" s="57" t="s">
        <v>146</v>
      </c>
    </row>
    <row r="50" spans="5:20" ht="13.5" customHeight="1" x14ac:dyDescent="0.25">
      <c r="E50" s="57" t="s">
        <v>140</v>
      </c>
      <c r="F50" s="57" t="s">
        <v>141</v>
      </c>
      <c r="G50" s="57">
        <v>729</v>
      </c>
      <c r="H50" s="57" t="s">
        <v>206</v>
      </c>
      <c r="I50" s="57">
        <v>5419</v>
      </c>
      <c r="J50" s="57" t="s">
        <v>209</v>
      </c>
      <c r="K50" s="57" t="s">
        <v>213</v>
      </c>
      <c r="L50" s="57" t="s">
        <v>214</v>
      </c>
      <c r="M50" s="57">
        <v>2015</v>
      </c>
      <c r="N50" s="57">
        <v>2015</v>
      </c>
      <c r="O50" s="57" t="s">
        <v>210</v>
      </c>
      <c r="P50" s="58">
        <v>17502</v>
      </c>
      <c r="Q50" s="57" t="s">
        <v>143</v>
      </c>
      <c r="R50" s="57" t="s">
        <v>144</v>
      </c>
    </row>
    <row r="51" spans="5:20" ht="13.5" customHeight="1" x14ac:dyDescent="0.25">
      <c r="E51" s="57" t="s">
        <v>140</v>
      </c>
      <c r="F51" s="57" t="s">
        <v>141</v>
      </c>
      <c r="G51" s="57">
        <v>729</v>
      </c>
      <c r="H51" s="57" t="s">
        <v>206</v>
      </c>
      <c r="I51" s="57">
        <v>5419</v>
      </c>
      <c r="J51" s="57" t="s">
        <v>209</v>
      </c>
      <c r="K51" s="57" t="s">
        <v>213</v>
      </c>
      <c r="L51" s="57" t="s">
        <v>214</v>
      </c>
      <c r="M51" s="57">
        <v>2016</v>
      </c>
      <c r="N51" s="57">
        <v>2016</v>
      </c>
      <c r="O51" s="57" t="s">
        <v>210</v>
      </c>
      <c r="P51" s="58">
        <v>17121</v>
      </c>
      <c r="Q51" s="57" t="s">
        <v>143</v>
      </c>
      <c r="R51" s="57" t="s">
        <v>144</v>
      </c>
    </row>
    <row r="52" spans="5:20" ht="13.5" customHeight="1" x14ac:dyDescent="0.25">
      <c r="E52" s="57" t="s">
        <v>140</v>
      </c>
      <c r="F52" s="57" t="s">
        <v>141</v>
      </c>
      <c r="G52" s="57">
        <v>729</v>
      </c>
      <c r="H52" s="57" t="s">
        <v>206</v>
      </c>
      <c r="I52" s="57">
        <v>5419</v>
      </c>
      <c r="J52" s="57" t="s">
        <v>209</v>
      </c>
      <c r="K52" s="57" t="s">
        <v>213</v>
      </c>
      <c r="L52" s="57" t="s">
        <v>214</v>
      </c>
      <c r="M52" s="57">
        <v>2017</v>
      </c>
      <c r="N52" s="57">
        <v>2017</v>
      </c>
      <c r="O52" s="57" t="s">
        <v>210</v>
      </c>
      <c r="P52" s="58">
        <v>47579</v>
      </c>
      <c r="Q52" s="57" t="s">
        <v>143</v>
      </c>
      <c r="R52" s="57" t="s">
        <v>144</v>
      </c>
    </row>
    <row r="53" spans="5:20" ht="13.5" customHeight="1" x14ac:dyDescent="0.25">
      <c r="E53" s="57" t="s">
        <v>140</v>
      </c>
      <c r="F53" s="57" t="s">
        <v>141</v>
      </c>
      <c r="G53" s="57">
        <v>729</v>
      </c>
      <c r="H53" s="57" t="s">
        <v>206</v>
      </c>
      <c r="I53" s="57">
        <v>5419</v>
      </c>
      <c r="J53" s="57" t="s">
        <v>209</v>
      </c>
      <c r="K53" s="57" t="s">
        <v>213</v>
      </c>
      <c r="L53" s="57" t="s">
        <v>214</v>
      </c>
      <c r="M53" s="57">
        <v>2018</v>
      </c>
      <c r="N53" s="57">
        <v>2018</v>
      </c>
      <c r="O53" s="57" t="s">
        <v>210</v>
      </c>
      <c r="P53" s="58">
        <v>48484</v>
      </c>
      <c r="Q53" s="57" t="s">
        <v>143</v>
      </c>
      <c r="R53" s="57" t="s">
        <v>144</v>
      </c>
    </row>
    <row r="54" spans="5:20" ht="13.5" customHeight="1" x14ac:dyDescent="0.25">
      <c r="E54" s="57" t="s">
        <v>140</v>
      </c>
      <c r="F54" s="57" t="s">
        <v>141</v>
      </c>
      <c r="G54" s="57">
        <v>729</v>
      </c>
      <c r="H54" s="57" t="s">
        <v>206</v>
      </c>
      <c r="I54" s="57">
        <v>5419</v>
      </c>
      <c r="J54" s="57" t="s">
        <v>209</v>
      </c>
      <c r="K54" s="57" t="s">
        <v>213</v>
      </c>
      <c r="L54" s="57" t="s">
        <v>214</v>
      </c>
      <c r="M54" s="57">
        <v>2019</v>
      </c>
      <c r="N54" s="57">
        <v>2019</v>
      </c>
      <c r="O54" s="57" t="s">
        <v>210</v>
      </c>
      <c r="P54" s="58">
        <v>48484</v>
      </c>
      <c r="Q54" s="57" t="s">
        <v>143</v>
      </c>
      <c r="R54" s="57" t="s">
        <v>144</v>
      </c>
    </row>
    <row r="55" spans="5:20" ht="13.5" customHeight="1" x14ac:dyDescent="0.25">
      <c r="E55" s="57" t="s">
        <v>140</v>
      </c>
      <c r="F55" s="57" t="s">
        <v>141</v>
      </c>
      <c r="G55" s="57">
        <v>729</v>
      </c>
      <c r="H55" s="57" t="s">
        <v>206</v>
      </c>
      <c r="I55" s="57">
        <v>5419</v>
      </c>
      <c r="J55" s="57" t="s">
        <v>209</v>
      </c>
      <c r="K55" s="57" t="s">
        <v>213</v>
      </c>
      <c r="L55" s="57" t="s">
        <v>214</v>
      </c>
      <c r="M55" s="57">
        <v>2020</v>
      </c>
      <c r="N55" s="57">
        <v>2020</v>
      </c>
      <c r="O55" s="57" t="s">
        <v>210</v>
      </c>
      <c r="P55" s="58">
        <v>48484</v>
      </c>
      <c r="Q55" s="57" t="s">
        <v>143</v>
      </c>
      <c r="R55" s="57" t="s">
        <v>144</v>
      </c>
    </row>
    <row r="56" spans="5:20" ht="13.5" customHeight="1" x14ac:dyDescent="0.25">
      <c r="E56" s="57" t="s">
        <v>140</v>
      </c>
      <c r="F56" s="57" t="s">
        <v>141</v>
      </c>
      <c r="G56" s="57">
        <v>729</v>
      </c>
      <c r="H56" s="57" t="s">
        <v>206</v>
      </c>
      <c r="I56" s="57">
        <v>5419</v>
      </c>
      <c r="J56" s="57" t="s">
        <v>209</v>
      </c>
      <c r="K56" s="57" t="s">
        <v>213</v>
      </c>
      <c r="L56" s="57" t="s">
        <v>214</v>
      </c>
      <c r="M56" s="57">
        <v>2021</v>
      </c>
      <c r="N56" s="57">
        <v>2021</v>
      </c>
      <c r="O56" s="57" t="s">
        <v>210</v>
      </c>
      <c r="P56" s="58">
        <v>51745</v>
      </c>
      <c r="Q56" s="57" t="s">
        <v>115</v>
      </c>
      <c r="R56" s="57" t="s">
        <v>116</v>
      </c>
    </row>
    <row r="57" spans="5:20" ht="13.5" customHeight="1" x14ac:dyDescent="0.25">
      <c r="E57" s="57" t="s">
        <v>140</v>
      </c>
      <c r="F57" s="57" t="s">
        <v>141</v>
      </c>
      <c r="G57" s="57">
        <v>729</v>
      </c>
      <c r="H57" s="57" t="s">
        <v>206</v>
      </c>
      <c r="I57" s="57">
        <v>5312</v>
      </c>
      <c r="J57" s="57" t="s">
        <v>142</v>
      </c>
      <c r="K57" s="57" t="s">
        <v>149</v>
      </c>
      <c r="L57" s="57" t="s">
        <v>126</v>
      </c>
      <c r="M57" s="57">
        <v>2015</v>
      </c>
      <c r="N57" s="57">
        <v>2015</v>
      </c>
      <c r="O57" s="57" t="s">
        <v>23</v>
      </c>
      <c r="P57" s="58">
        <v>384</v>
      </c>
      <c r="Q57" s="57" t="s">
        <v>143</v>
      </c>
      <c r="R57" s="57" t="s">
        <v>144</v>
      </c>
    </row>
    <row r="58" spans="5:20" ht="13.5" customHeight="1" x14ac:dyDescent="0.25">
      <c r="E58" s="57" t="s">
        <v>140</v>
      </c>
      <c r="F58" s="57" t="s">
        <v>141</v>
      </c>
      <c r="G58" s="57">
        <v>729</v>
      </c>
      <c r="H58" s="57" t="s">
        <v>206</v>
      </c>
      <c r="I58" s="57">
        <v>5312</v>
      </c>
      <c r="J58" s="57" t="s">
        <v>142</v>
      </c>
      <c r="K58" s="57" t="s">
        <v>149</v>
      </c>
      <c r="L58" s="57" t="s">
        <v>126</v>
      </c>
      <c r="M58" s="57">
        <v>2016</v>
      </c>
      <c r="N58" s="57">
        <v>2016</v>
      </c>
      <c r="O58" s="57" t="s">
        <v>23</v>
      </c>
      <c r="P58" s="58">
        <v>369</v>
      </c>
      <c r="Q58" s="57" t="s">
        <v>143</v>
      </c>
      <c r="R58" s="57" t="s">
        <v>144</v>
      </c>
    </row>
    <row r="59" spans="5:20" ht="13.5" customHeight="1" x14ac:dyDescent="0.25">
      <c r="E59" s="57" t="s">
        <v>140</v>
      </c>
      <c r="F59" s="57" t="s">
        <v>141</v>
      </c>
      <c r="G59" s="57">
        <v>729</v>
      </c>
      <c r="H59" s="57" t="s">
        <v>206</v>
      </c>
      <c r="I59" s="57">
        <v>5312</v>
      </c>
      <c r="J59" s="57" t="s">
        <v>142</v>
      </c>
      <c r="K59" s="57" t="s">
        <v>149</v>
      </c>
      <c r="L59" s="57" t="s">
        <v>126</v>
      </c>
      <c r="M59" s="57">
        <v>2017</v>
      </c>
      <c r="N59" s="57">
        <v>2017</v>
      </c>
      <c r="O59" s="57" t="s">
        <v>23</v>
      </c>
      <c r="P59" s="58">
        <v>420</v>
      </c>
      <c r="Q59" s="57" t="s">
        <v>143</v>
      </c>
      <c r="R59" s="57" t="s">
        <v>144</v>
      </c>
    </row>
    <row r="60" spans="5:20" ht="13.5" customHeight="1" x14ac:dyDescent="0.25">
      <c r="E60" s="57" t="s">
        <v>140</v>
      </c>
      <c r="F60" s="57" t="s">
        <v>141</v>
      </c>
      <c r="G60" s="57">
        <v>729</v>
      </c>
      <c r="H60" s="57" t="s">
        <v>206</v>
      </c>
      <c r="I60" s="57">
        <v>5312</v>
      </c>
      <c r="J60" s="57" t="s">
        <v>142</v>
      </c>
      <c r="K60" s="57" t="s">
        <v>149</v>
      </c>
      <c r="L60" s="57" t="s">
        <v>126</v>
      </c>
      <c r="M60" s="57">
        <v>2018</v>
      </c>
      <c r="N60" s="57">
        <v>2018</v>
      </c>
      <c r="O60" s="57" t="s">
        <v>23</v>
      </c>
      <c r="P60" s="58">
        <v>386</v>
      </c>
      <c r="Q60" s="57" t="s">
        <v>145</v>
      </c>
      <c r="R60" s="57" t="s">
        <v>146</v>
      </c>
    </row>
    <row r="61" spans="5:20" ht="13.5" customHeight="1" x14ac:dyDescent="0.25">
      <c r="E61" s="57" t="s">
        <v>140</v>
      </c>
      <c r="F61" s="57" t="s">
        <v>141</v>
      </c>
      <c r="G61" s="57">
        <v>729</v>
      </c>
      <c r="H61" s="57" t="s">
        <v>206</v>
      </c>
      <c r="I61" s="57">
        <v>5312</v>
      </c>
      <c r="J61" s="57" t="s">
        <v>142</v>
      </c>
      <c r="K61" s="57" t="s">
        <v>149</v>
      </c>
      <c r="L61" s="57" t="s">
        <v>126</v>
      </c>
      <c r="M61" s="57">
        <v>2019</v>
      </c>
      <c r="N61" s="57">
        <v>2019</v>
      </c>
      <c r="O61" s="57" t="s">
        <v>23</v>
      </c>
      <c r="P61" s="58">
        <v>394</v>
      </c>
      <c r="Q61" s="57" t="s">
        <v>145</v>
      </c>
      <c r="R61" s="57" t="s">
        <v>146</v>
      </c>
    </row>
    <row r="62" spans="5:20" ht="13.5" customHeight="1" x14ac:dyDescent="0.25">
      <c r="E62" s="57" t="s">
        <v>140</v>
      </c>
      <c r="F62" s="57" t="s">
        <v>141</v>
      </c>
      <c r="G62" s="57">
        <v>729</v>
      </c>
      <c r="H62" s="57" t="s">
        <v>206</v>
      </c>
      <c r="I62" s="57">
        <v>5312</v>
      </c>
      <c r="J62" s="57" t="s">
        <v>142</v>
      </c>
      <c r="K62" s="57" t="s">
        <v>149</v>
      </c>
      <c r="L62" s="57" t="s">
        <v>126</v>
      </c>
      <c r="M62" s="57">
        <v>2020</v>
      </c>
      <c r="N62" s="57">
        <v>2020</v>
      </c>
      <c r="O62" s="57" t="s">
        <v>23</v>
      </c>
      <c r="P62" s="58">
        <v>396</v>
      </c>
      <c r="Q62" s="57" t="s">
        <v>145</v>
      </c>
      <c r="R62" s="57" t="s">
        <v>146</v>
      </c>
    </row>
    <row r="63" spans="5:20" ht="13.5" customHeight="1" x14ac:dyDescent="0.25">
      <c r="E63" s="57" t="s">
        <v>140</v>
      </c>
      <c r="F63" s="57" t="s">
        <v>141</v>
      </c>
      <c r="G63" s="57">
        <v>729</v>
      </c>
      <c r="H63" s="57" t="s">
        <v>206</v>
      </c>
      <c r="I63" s="57">
        <v>5312</v>
      </c>
      <c r="J63" s="57" t="s">
        <v>142</v>
      </c>
      <c r="K63" s="57" t="s">
        <v>149</v>
      </c>
      <c r="L63" s="57" t="s">
        <v>126</v>
      </c>
      <c r="M63" s="57">
        <v>2021</v>
      </c>
      <c r="N63" s="57">
        <v>2021</v>
      </c>
      <c r="O63" s="57" t="s">
        <v>23</v>
      </c>
      <c r="P63" s="58">
        <v>397</v>
      </c>
      <c r="Q63" s="57" t="s">
        <v>145</v>
      </c>
      <c r="R63" s="57" t="s">
        <v>146</v>
      </c>
      <c r="T63" s="7"/>
    </row>
    <row r="64" spans="5:20" ht="13.5" customHeight="1" x14ac:dyDescent="0.25">
      <c r="E64" s="57" t="s">
        <v>140</v>
      </c>
      <c r="F64" s="57" t="s">
        <v>141</v>
      </c>
      <c r="G64" s="57">
        <v>729</v>
      </c>
      <c r="H64" s="57" t="s">
        <v>206</v>
      </c>
      <c r="I64" s="57">
        <v>5419</v>
      </c>
      <c r="J64" s="57" t="s">
        <v>209</v>
      </c>
      <c r="K64" s="57" t="s">
        <v>149</v>
      </c>
      <c r="L64" s="57" t="s">
        <v>126</v>
      </c>
      <c r="M64" s="57">
        <v>2015</v>
      </c>
      <c r="N64" s="57">
        <v>2015</v>
      </c>
      <c r="O64" s="57" t="s">
        <v>210</v>
      </c>
      <c r="P64" s="58">
        <v>66693</v>
      </c>
      <c r="Q64" s="57" t="s">
        <v>143</v>
      </c>
      <c r="R64" s="57" t="s">
        <v>144</v>
      </c>
      <c r="T64" s="7"/>
    </row>
    <row r="65" spans="5:20" ht="13.5" customHeight="1" x14ac:dyDescent="0.25">
      <c r="E65" s="57" t="s">
        <v>140</v>
      </c>
      <c r="F65" s="57" t="s">
        <v>141</v>
      </c>
      <c r="G65" s="57">
        <v>729</v>
      </c>
      <c r="H65" s="57" t="s">
        <v>206</v>
      </c>
      <c r="I65" s="57">
        <v>5419</v>
      </c>
      <c r="J65" s="57" t="s">
        <v>209</v>
      </c>
      <c r="K65" s="57" t="s">
        <v>149</v>
      </c>
      <c r="L65" s="57" t="s">
        <v>126</v>
      </c>
      <c r="M65" s="57">
        <v>2016</v>
      </c>
      <c r="N65" s="57">
        <v>2016</v>
      </c>
      <c r="O65" s="57" t="s">
        <v>210</v>
      </c>
      <c r="P65" s="58">
        <v>70041</v>
      </c>
      <c r="Q65" s="57" t="s">
        <v>143</v>
      </c>
      <c r="R65" s="57" t="s">
        <v>144</v>
      </c>
      <c r="T65" s="7"/>
    </row>
    <row r="66" spans="5:20" ht="13.5" customHeight="1" x14ac:dyDescent="0.25">
      <c r="E66" s="57" t="s">
        <v>140</v>
      </c>
      <c r="F66" s="57" t="s">
        <v>141</v>
      </c>
      <c r="G66" s="57">
        <v>729</v>
      </c>
      <c r="H66" s="57" t="s">
        <v>206</v>
      </c>
      <c r="I66" s="57">
        <v>5419</v>
      </c>
      <c r="J66" s="57" t="s">
        <v>209</v>
      </c>
      <c r="K66" s="57" t="s">
        <v>149</v>
      </c>
      <c r="L66" s="57" t="s">
        <v>126</v>
      </c>
      <c r="M66" s="57">
        <v>2017</v>
      </c>
      <c r="N66" s="57">
        <v>2017</v>
      </c>
      <c r="O66" s="57" t="s">
        <v>210</v>
      </c>
      <c r="P66" s="58">
        <v>76190</v>
      </c>
      <c r="Q66" s="57" t="s">
        <v>143</v>
      </c>
      <c r="R66" s="57" t="s">
        <v>144</v>
      </c>
      <c r="T66" s="7"/>
    </row>
    <row r="67" spans="5:20" ht="13.5" customHeight="1" x14ac:dyDescent="0.25">
      <c r="E67" s="57" t="s">
        <v>140</v>
      </c>
      <c r="F67" s="57" t="s">
        <v>141</v>
      </c>
      <c r="G67" s="57">
        <v>729</v>
      </c>
      <c r="H67" s="57" t="s">
        <v>206</v>
      </c>
      <c r="I67" s="57">
        <v>5419</v>
      </c>
      <c r="J67" s="57" t="s">
        <v>209</v>
      </c>
      <c r="K67" s="57" t="s">
        <v>149</v>
      </c>
      <c r="L67" s="57" t="s">
        <v>126</v>
      </c>
      <c r="M67" s="57">
        <v>2018</v>
      </c>
      <c r="N67" s="57">
        <v>2018</v>
      </c>
      <c r="O67" s="57" t="s">
        <v>210</v>
      </c>
      <c r="P67" s="58">
        <v>80592</v>
      </c>
      <c r="Q67" s="57" t="s">
        <v>115</v>
      </c>
      <c r="R67" s="57" t="s">
        <v>116</v>
      </c>
      <c r="T67" s="7"/>
    </row>
    <row r="68" spans="5:20" ht="13.5" customHeight="1" x14ac:dyDescent="0.25">
      <c r="E68" s="57" t="s">
        <v>140</v>
      </c>
      <c r="F68" s="57" t="s">
        <v>141</v>
      </c>
      <c r="G68" s="57">
        <v>729</v>
      </c>
      <c r="H68" s="57" t="s">
        <v>206</v>
      </c>
      <c r="I68" s="57">
        <v>5419</v>
      </c>
      <c r="J68" s="57" t="s">
        <v>209</v>
      </c>
      <c r="K68" s="57" t="s">
        <v>149</v>
      </c>
      <c r="L68" s="57" t="s">
        <v>126</v>
      </c>
      <c r="M68" s="57">
        <v>2019</v>
      </c>
      <c r="N68" s="57">
        <v>2019</v>
      </c>
      <c r="O68" s="57" t="s">
        <v>210</v>
      </c>
      <c r="P68" s="58">
        <v>74139</v>
      </c>
      <c r="Q68" s="57" t="s">
        <v>115</v>
      </c>
      <c r="R68" s="57" t="s">
        <v>116</v>
      </c>
      <c r="T68" s="7"/>
    </row>
    <row r="69" spans="5:20" ht="13.5" customHeight="1" x14ac:dyDescent="0.25">
      <c r="E69" s="57" t="s">
        <v>140</v>
      </c>
      <c r="F69" s="57" t="s">
        <v>141</v>
      </c>
      <c r="G69" s="57">
        <v>729</v>
      </c>
      <c r="H69" s="57" t="s">
        <v>206</v>
      </c>
      <c r="I69" s="57">
        <v>5419</v>
      </c>
      <c r="J69" s="57" t="s">
        <v>209</v>
      </c>
      <c r="K69" s="57" t="s">
        <v>149</v>
      </c>
      <c r="L69" s="57" t="s">
        <v>126</v>
      </c>
      <c r="M69" s="57">
        <v>2020</v>
      </c>
      <c r="N69" s="57">
        <v>2020</v>
      </c>
      <c r="O69" s="57" t="s">
        <v>210</v>
      </c>
      <c r="P69" s="58">
        <v>74150</v>
      </c>
      <c r="Q69" s="57" t="s">
        <v>115</v>
      </c>
      <c r="R69" s="57" t="s">
        <v>116</v>
      </c>
      <c r="T69" s="7"/>
    </row>
    <row r="70" spans="5:20" ht="13.5" customHeight="1" x14ac:dyDescent="0.25">
      <c r="E70" s="57" t="s">
        <v>140</v>
      </c>
      <c r="F70" s="57" t="s">
        <v>141</v>
      </c>
      <c r="G70" s="57">
        <v>729</v>
      </c>
      <c r="H70" s="57" t="s">
        <v>206</v>
      </c>
      <c r="I70" s="57">
        <v>5419</v>
      </c>
      <c r="J70" s="57" t="s">
        <v>209</v>
      </c>
      <c r="K70" s="57" t="s">
        <v>149</v>
      </c>
      <c r="L70" s="57" t="s">
        <v>126</v>
      </c>
      <c r="M70" s="57">
        <v>2021</v>
      </c>
      <c r="N70" s="57">
        <v>2021</v>
      </c>
      <c r="O70" s="57" t="s">
        <v>210</v>
      </c>
      <c r="P70" s="58">
        <v>75116</v>
      </c>
      <c r="Q70" s="57" t="s">
        <v>115</v>
      </c>
      <c r="R70" s="57" t="s">
        <v>116</v>
      </c>
      <c r="T70" s="7"/>
    </row>
    <row r="71" spans="5:20" ht="13.5" customHeight="1" x14ac:dyDescent="0.25">
      <c r="E71" s="57" t="s">
        <v>140</v>
      </c>
      <c r="F71" s="57" t="s">
        <v>141</v>
      </c>
      <c r="G71" s="57">
        <v>729</v>
      </c>
      <c r="H71" s="57" t="s">
        <v>206</v>
      </c>
      <c r="I71" s="57">
        <v>5312</v>
      </c>
      <c r="J71" s="57" t="s">
        <v>142</v>
      </c>
      <c r="K71" s="57" t="s">
        <v>150</v>
      </c>
      <c r="L71" s="57" t="s">
        <v>135</v>
      </c>
      <c r="M71" s="57">
        <v>2015</v>
      </c>
      <c r="N71" s="57">
        <v>2015</v>
      </c>
      <c r="O71" s="57" t="s">
        <v>23</v>
      </c>
      <c r="P71" s="58">
        <v>1772</v>
      </c>
      <c r="Q71" s="57" t="s">
        <v>145</v>
      </c>
      <c r="R71" s="57" t="s">
        <v>146</v>
      </c>
      <c r="T71" s="7"/>
    </row>
    <row r="72" spans="5:20" ht="13.5" customHeight="1" x14ac:dyDescent="0.25">
      <c r="E72" s="57" t="s">
        <v>140</v>
      </c>
      <c r="F72" s="57" t="s">
        <v>141</v>
      </c>
      <c r="G72" s="57">
        <v>729</v>
      </c>
      <c r="H72" s="57" t="s">
        <v>206</v>
      </c>
      <c r="I72" s="57">
        <v>5312</v>
      </c>
      <c r="J72" s="57" t="s">
        <v>142</v>
      </c>
      <c r="K72" s="57" t="s">
        <v>150</v>
      </c>
      <c r="L72" s="57" t="s">
        <v>135</v>
      </c>
      <c r="M72" s="57">
        <v>2016</v>
      </c>
      <c r="N72" s="57">
        <v>2016</v>
      </c>
      <c r="O72" s="57" t="s">
        <v>23</v>
      </c>
      <c r="P72" s="58">
        <v>1657</v>
      </c>
      <c r="Q72" s="57" t="s">
        <v>115</v>
      </c>
      <c r="R72" s="57" t="s">
        <v>116</v>
      </c>
      <c r="T72" s="7"/>
    </row>
    <row r="73" spans="5:20" ht="13.5" customHeight="1" x14ac:dyDescent="0.25">
      <c r="E73" s="57" t="s">
        <v>140</v>
      </c>
      <c r="F73" s="57" t="s">
        <v>141</v>
      </c>
      <c r="G73" s="57">
        <v>729</v>
      </c>
      <c r="H73" s="57" t="s">
        <v>206</v>
      </c>
      <c r="I73" s="57">
        <v>5312</v>
      </c>
      <c r="J73" s="57" t="s">
        <v>142</v>
      </c>
      <c r="K73" s="57" t="s">
        <v>150</v>
      </c>
      <c r="L73" s="57" t="s">
        <v>135</v>
      </c>
      <c r="M73" s="57">
        <v>2017</v>
      </c>
      <c r="N73" s="57">
        <v>2017</v>
      </c>
      <c r="O73" s="57" t="s">
        <v>23</v>
      </c>
      <c r="P73" s="58">
        <v>1640</v>
      </c>
      <c r="Q73" s="57" t="s">
        <v>145</v>
      </c>
      <c r="R73" s="57" t="s">
        <v>146</v>
      </c>
      <c r="T73" s="7"/>
    </row>
    <row r="74" spans="5:20" ht="13.5" customHeight="1" x14ac:dyDescent="0.25">
      <c r="E74" s="57" t="s">
        <v>140</v>
      </c>
      <c r="F74" s="57" t="s">
        <v>141</v>
      </c>
      <c r="G74" s="57">
        <v>729</v>
      </c>
      <c r="H74" s="57" t="s">
        <v>206</v>
      </c>
      <c r="I74" s="57">
        <v>5312</v>
      </c>
      <c r="J74" s="57" t="s">
        <v>142</v>
      </c>
      <c r="K74" s="57" t="s">
        <v>150</v>
      </c>
      <c r="L74" s="57" t="s">
        <v>135</v>
      </c>
      <c r="M74" s="57">
        <v>2018</v>
      </c>
      <c r="N74" s="57">
        <v>2018</v>
      </c>
      <c r="O74" s="57" t="s">
        <v>23</v>
      </c>
      <c r="P74" s="58">
        <v>1728</v>
      </c>
      <c r="Q74" s="57" t="s">
        <v>145</v>
      </c>
      <c r="R74" s="57" t="s">
        <v>146</v>
      </c>
      <c r="T74" s="7"/>
    </row>
    <row r="75" spans="5:20" ht="13.5" customHeight="1" x14ac:dyDescent="0.25">
      <c r="E75" s="57" t="s">
        <v>140</v>
      </c>
      <c r="F75" s="57" t="s">
        <v>141</v>
      </c>
      <c r="G75" s="57">
        <v>729</v>
      </c>
      <c r="H75" s="57" t="s">
        <v>206</v>
      </c>
      <c r="I75" s="57">
        <v>5312</v>
      </c>
      <c r="J75" s="57" t="s">
        <v>142</v>
      </c>
      <c r="K75" s="57" t="s">
        <v>150</v>
      </c>
      <c r="L75" s="57" t="s">
        <v>135</v>
      </c>
      <c r="M75" s="57">
        <v>2019</v>
      </c>
      <c r="N75" s="57">
        <v>2019</v>
      </c>
      <c r="O75" s="57" t="s">
        <v>23</v>
      </c>
      <c r="P75" s="58">
        <v>1741</v>
      </c>
      <c r="Q75" s="57" t="s">
        <v>145</v>
      </c>
      <c r="R75" s="57" t="s">
        <v>146</v>
      </c>
      <c r="T75" s="7"/>
    </row>
    <row r="76" spans="5:20" ht="13.5" customHeight="1" x14ac:dyDescent="0.25">
      <c r="E76" s="57" t="s">
        <v>140</v>
      </c>
      <c r="F76" s="57" t="s">
        <v>141</v>
      </c>
      <c r="G76" s="57">
        <v>729</v>
      </c>
      <c r="H76" s="57" t="s">
        <v>206</v>
      </c>
      <c r="I76" s="57">
        <v>5312</v>
      </c>
      <c r="J76" s="57" t="s">
        <v>142</v>
      </c>
      <c r="K76" s="57" t="s">
        <v>150</v>
      </c>
      <c r="L76" s="57" t="s">
        <v>135</v>
      </c>
      <c r="M76" s="57">
        <v>2020</v>
      </c>
      <c r="N76" s="57">
        <v>2020</v>
      </c>
      <c r="O76" s="57" t="s">
        <v>23</v>
      </c>
      <c r="P76" s="58">
        <v>1759</v>
      </c>
      <c r="Q76" s="57" t="s">
        <v>145</v>
      </c>
      <c r="R76" s="57" t="s">
        <v>146</v>
      </c>
      <c r="T76" s="7"/>
    </row>
    <row r="77" spans="5:20" ht="13.5" customHeight="1" x14ac:dyDescent="0.25">
      <c r="E77" s="57" t="s">
        <v>140</v>
      </c>
      <c r="F77" s="57" t="s">
        <v>141</v>
      </c>
      <c r="G77" s="57">
        <v>729</v>
      </c>
      <c r="H77" s="57" t="s">
        <v>206</v>
      </c>
      <c r="I77" s="57">
        <v>5312</v>
      </c>
      <c r="J77" s="57" t="s">
        <v>142</v>
      </c>
      <c r="K77" s="57" t="s">
        <v>150</v>
      </c>
      <c r="L77" s="57" t="s">
        <v>135</v>
      </c>
      <c r="M77" s="57">
        <v>2021</v>
      </c>
      <c r="N77" s="57">
        <v>2021</v>
      </c>
      <c r="O77" s="57" t="s">
        <v>23</v>
      </c>
      <c r="P77" s="58">
        <v>1743</v>
      </c>
      <c r="Q77" s="57" t="s">
        <v>115</v>
      </c>
      <c r="R77" s="57" t="s">
        <v>116</v>
      </c>
      <c r="T77" s="7"/>
    </row>
    <row r="78" spans="5:20" ht="13.5" customHeight="1" x14ac:dyDescent="0.25">
      <c r="E78" s="57" t="s">
        <v>140</v>
      </c>
      <c r="F78" s="57" t="s">
        <v>141</v>
      </c>
      <c r="G78" s="57">
        <v>729</v>
      </c>
      <c r="H78" s="57" t="s">
        <v>206</v>
      </c>
      <c r="I78" s="57">
        <v>5419</v>
      </c>
      <c r="J78" s="57" t="s">
        <v>209</v>
      </c>
      <c r="K78" s="57" t="s">
        <v>150</v>
      </c>
      <c r="L78" s="57" t="s">
        <v>135</v>
      </c>
      <c r="M78" s="57">
        <v>2015</v>
      </c>
      <c r="N78" s="57">
        <v>2015</v>
      </c>
      <c r="O78" s="57" t="s">
        <v>210</v>
      </c>
      <c r="P78" s="58">
        <v>244230</v>
      </c>
      <c r="Q78" s="57" t="s">
        <v>115</v>
      </c>
      <c r="R78" s="57" t="s">
        <v>116</v>
      </c>
    </row>
    <row r="79" spans="5:20" ht="13.5" customHeight="1" x14ac:dyDescent="0.25">
      <c r="E79" s="57" t="s">
        <v>140</v>
      </c>
      <c r="F79" s="57" t="s">
        <v>141</v>
      </c>
      <c r="G79" s="57">
        <v>729</v>
      </c>
      <c r="H79" s="57" t="s">
        <v>206</v>
      </c>
      <c r="I79" s="57">
        <v>5419</v>
      </c>
      <c r="J79" s="57" t="s">
        <v>209</v>
      </c>
      <c r="K79" s="57" t="s">
        <v>150</v>
      </c>
      <c r="L79" s="57" t="s">
        <v>135</v>
      </c>
      <c r="M79" s="57">
        <v>2016</v>
      </c>
      <c r="N79" s="57">
        <v>2016</v>
      </c>
      <c r="O79" s="57" t="s">
        <v>210</v>
      </c>
      <c r="P79" s="58">
        <v>231853</v>
      </c>
      <c r="Q79" s="57" t="s">
        <v>115</v>
      </c>
      <c r="R79" s="57" t="s">
        <v>116</v>
      </c>
    </row>
    <row r="80" spans="5:20" ht="13.5" customHeight="1" x14ac:dyDescent="0.25">
      <c r="E80" s="57" t="s">
        <v>140</v>
      </c>
      <c r="F80" s="57" t="s">
        <v>141</v>
      </c>
      <c r="G80" s="57">
        <v>729</v>
      </c>
      <c r="H80" s="57" t="s">
        <v>206</v>
      </c>
      <c r="I80" s="57">
        <v>5419</v>
      </c>
      <c r="J80" s="57" t="s">
        <v>209</v>
      </c>
      <c r="K80" s="57" t="s">
        <v>150</v>
      </c>
      <c r="L80" s="57" t="s">
        <v>135</v>
      </c>
      <c r="M80" s="57">
        <v>2017</v>
      </c>
      <c r="N80" s="57">
        <v>2017</v>
      </c>
      <c r="O80" s="57" t="s">
        <v>210</v>
      </c>
      <c r="P80" s="58">
        <v>244459</v>
      </c>
      <c r="Q80" s="57" t="s">
        <v>115</v>
      </c>
      <c r="R80" s="57" t="s">
        <v>116</v>
      </c>
    </row>
    <row r="81" spans="5:18" ht="13.5" customHeight="1" x14ac:dyDescent="0.25">
      <c r="E81" s="57" t="s">
        <v>140</v>
      </c>
      <c r="F81" s="57" t="s">
        <v>141</v>
      </c>
      <c r="G81" s="57">
        <v>729</v>
      </c>
      <c r="H81" s="57" t="s">
        <v>206</v>
      </c>
      <c r="I81" s="57">
        <v>5419</v>
      </c>
      <c r="J81" s="57" t="s">
        <v>209</v>
      </c>
      <c r="K81" s="57" t="s">
        <v>150</v>
      </c>
      <c r="L81" s="57" t="s">
        <v>135</v>
      </c>
      <c r="M81" s="57">
        <v>2018</v>
      </c>
      <c r="N81" s="57">
        <v>2018</v>
      </c>
      <c r="O81" s="57" t="s">
        <v>210</v>
      </c>
      <c r="P81" s="58">
        <v>234885</v>
      </c>
      <c r="Q81" s="57" t="s">
        <v>115</v>
      </c>
      <c r="R81" s="57" t="s">
        <v>116</v>
      </c>
    </row>
    <row r="82" spans="5:18" ht="13.5" customHeight="1" x14ac:dyDescent="0.25">
      <c r="E82" s="57" t="s">
        <v>140</v>
      </c>
      <c r="F82" s="57" t="s">
        <v>141</v>
      </c>
      <c r="G82" s="57">
        <v>729</v>
      </c>
      <c r="H82" s="57" t="s">
        <v>206</v>
      </c>
      <c r="I82" s="57">
        <v>5419</v>
      </c>
      <c r="J82" s="57" t="s">
        <v>209</v>
      </c>
      <c r="K82" s="57" t="s">
        <v>150</v>
      </c>
      <c r="L82" s="57" t="s">
        <v>135</v>
      </c>
      <c r="M82" s="57">
        <v>2019</v>
      </c>
      <c r="N82" s="57">
        <v>2019</v>
      </c>
      <c r="O82" s="57" t="s">
        <v>210</v>
      </c>
      <c r="P82" s="58">
        <v>228116</v>
      </c>
      <c r="Q82" s="57" t="s">
        <v>115</v>
      </c>
      <c r="R82" s="57" t="s">
        <v>116</v>
      </c>
    </row>
    <row r="83" spans="5:18" ht="13.5" customHeight="1" x14ac:dyDescent="0.25">
      <c r="E83" s="57" t="s">
        <v>140</v>
      </c>
      <c r="F83" s="57" t="s">
        <v>141</v>
      </c>
      <c r="G83" s="57">
        <v>729</v>
      </c>
      <c r="H83" s="57" t="s">
        <v>206</v>
      </c>
      <c r="I83" s="57">
        <v>5419</v>
      </c>
      <c r="J83" s="57" t="s">
        <v>209</v>
      </c>
      <c r="K83" s="57" t="s">
        <v>150</v>
      </c>
      <c r="L83" s="57" t="s">
        <v>135</v>
      </c>
      <c r="M83" s="57">
        <v>2020</v>
      </c>
      <c r="N83" s="57">
        <v>2020</v>
      </c>
      <c r="O83" s="57" t="s">
        <v>210</v>
      </c>
      <c r="P83" s="58">
        <v>228159</v>
      </c>
      <c r="Q83" s="57" t="s">
        <v>115</v>
      </c>
      <c r="R83" s="57" t="s">
        <v>116</v>
      </c>
    </row>
    <row r="84" spans="5:18" ht="13.5" customHeight="1" x14ac:dyDescent="0.25">
      <c r="E84" s="57" t="s">
        <v>140</v>
      </c>
      <c r="F84" s="57" t="s">
        <v>141</v>
      </c>
      <c r="G84" s="57">
        <v>729</v>
      </c>
      <c r="H84" s="57" t="s">
        <v>206</v>
      </c>
      <c r="I84" s="57">
        <v>5419</v>
      </c>
      <c r="J84" s="57" t="s">
        <v>209</v>
      </c>
      <c r="K84" s="57" t="s">
        <v>150</v>
      </c>
      <c r="L84" s="57" t="s">
        <v>135</v>
      </c>
      <c r="M84" s="57">
        <v>2021</v>
      </c>
      <c r="N84" s="57">
        <v>2021</v>
      </c>
      <c r="O84" s="57" t="s">
        <v>210</v>
      </c>
      <c r="P84" s="58">
        <v>230368</v>
      </c>
      <c r="Q84" s="57" t="s">
        <v>115</v>
      </c>
      <c r="R84" s="57" t="s">
        <v>116</v>
      </c>
    </row>
    <row r="85" spans="5:18" ht="13.5" customHeight="1" x14ac:dyDescent="0.25">
      <c r="E85" s="57" t="s">
        <v>140</v>
      </c>
      <c r="F85" s="57" t="s">
        <v>141</v>
      </c>
      <c r="G85" s="57">
        <v>729</v>
      </c>
      <c r="H85" s="57" t="s">
        <v>206</v>
      </c>
      <c r="I85" s="57">
        <v>5312</v>
      </c>
      <c r="J85" s="57" t="s">
        <v>142</v>
      </c>
      <c r="K85" s="57" t="s">
        <v>151</v>
      </c>
      <c r="L85" s="57" t="s">
        <v>133</v>
      </c>
      <c r="M85" s="57">
        <v>2015</v>
      </c>
      <c r="N85" s="57">
        <v>2015</v>
      </c>
      <c r="O85" s="57" t="s">
        <v>23</v>
      </c>
      <c r="P85" s="58">
        <v>7560</v>
      </c>
      <c r="Q85" s="57" t="s">
        <v>143</v>
      </c>
      <c r="R85" s="57" t="s">
        <v>144</v>
      </c>
    </row>
    <row r="86" spans="5:18" ht="13.5" customHeight="1" x14ac:dyDescent="0.25">
      <c r="E86" s="57" t="s">
        <v>140</v>
      </c>
      <c r="F86" s="57" t="s">
        <v>141</v>
      </c>
      <c r="G86" s="57">
        <v>729</v>
      </c>
      <c r="H86" s="57" t="s">
        <v>206</v>
      </c>
      <c r="I86" s="57">
        <v>5312</v>
      </c>
      <c r="J86" s="57" t="s">
        <v>142</v>
      </c>
      <c r="K86" s="57" t="s">
        <v>151</v>
      </c>
      <c r="L86" s="57" t="s">
        <v>133</v>
      </c>
      <c r="M86" s="57">
        <v>2016</v>
      </c>
      <c r="N86" s="57">
        <v>2016</v>
      </c>
      <c r="O86" s="57" t="s">
        <v>23</v>
      </c>
      <c r="P86" s="58">
        <v>8148</v>
      </c>
      <c r="Q86" s="57" t="s">
        <v>143</v>
      </c>
      <c r="R86" s="57" t="s">
        <v>144</v>
      </c>
    </row>
    <row r="87" spans="5:18" ht="13.5" customHeight="1" x14ac:dyDescent="0.25">
      <c r="E87" s="57" t="s">
        <v>140</v>
      </c>
      <c r="F87" s="57" t="s">
        <v>141</v>
      </c>
      <c r="G87" s="57">
        <v>729</v>
      </c>
      <c r="H87" s="57" t="s">
        <v>206</v>
      </c>
      <c r="I87" s="57">
        <v>5312</v>
      </c>
      <c r="J87" s="57" t="s">
        <v>142</v>
      </c>
      <c r="K87" s="57" t="s">
        <v>151</v>
      </c>
      <c r="L87" s="57" t="s">
        <v>133</v>
      </c>
      <c r="M87" s="57">
        <v>2017</v>
      </c>
      <c r="N87" s="57">
        <v>2017</v>
      </c>
      <c r="O87" s="57" t="s">
        <v>23</v>
      </c>
      <c r="P87" s="58">
        <v>8230</v>
      </c>
      <c r="Q87" s="57" t="s">
        <v>143</v>
      </c>
      <c r="R87" s="57" t="s">
        <v>144</v>
      </c>
    </row>
    <row r="88" spans="5:18" ht="13.5" customHeight="1" x14ac:dyDescent="0.25">
      <c r="E88" s="57" t="s">
        <v>140</v>
      </c>
      <c r="F88" s="57" t="s">
        <v>141</v>
      </c>
      <c r="G88" s="57">
        <v>729</v>
      </c>
      <c r="H88" s="57" t="s">
        <v>206</v>
      </c>
      <c r="I88" s="57">
        <v>5312</v>
      </c>
      <c r="J88" s="57" t="s">
        <v>142</v>
      </c>
      <c r="K88" s="57" t="s">
        <v>151</v>
      </c>
      <c r="L88" s="57" t="s">
        <v>133</v>
      </c>
      <c r="M88" s="57">
        <v>2018</v>
      </c>
      <c r="N88" s="57">
        <v>2018</v>
      </c>
      <c r="O88" s="57" t="s">
        <v>23</v>
      </c>
      <c r="P88" s="58">
        <v>10950</v>
      </c>
      <c r="Q88" s="57" t="s">
        <v>145</v>
      </c>
      <c r="R88" s="57" t="s">
        <v>146</v>
      </c>
    </row>
    <row r="89" spans="5:18" ht="13.5" customHeight="1" x14ac:dyDescent="0.25">
      <c r="E89" s="57" t="s">
        <v>140</v>
      </c>
      <c r="F89" s="57" t="s">
        <v>141</v>
      </c>
      <c r="G89" s="57">
        <v>729</v>
      </c>
      <c r="H89" s="57" t="s">
        <v>206</v>
      </c>
      <c r="I89" s="57">
        <v>5312</v>
      </c>
      <c r="J89" s="57" t="s">
        <v>142</v>
      </c>
      <c r="K89" s="57" t="s">
        <v>151</v>
      </c>
      <c r="L89" s="57" t="s">
        <v>133</v>
      </c>
      <c r="M89" s="57">
        <v>2019</v>
      </c>
      <c r="N89" s="57">
        <v>2019</v>
      </c>
      <c r="O89" s="57" t="s">
        <v>23</v>
      </c>
      <c r="P89" s="58">
        <v>6425</v>
      </c>
      <c r="Q89" s="57" t="s">
        <v>115</v>
      </c>
      <c r="R89" s="57" t="s">
        <v>116</v>
      </c>
    </row>
    <row r="90" spans="5:18" ht="13.5" customHeight="1" x14ac:dyDescent="0.25">
      <c r="E90" s="57" t="s">
        <v>140</v>
      </c>
      <c r="F90" s="57" t="s">
        <v>141</v>
      </c>
      <c r="G90" s="57">
        <v>729</v>
      </c>
      <c r="H90" s="57" t="s">
        <v>206</v>
      </c>
      <c r="I90" s="57">
        <v>5312</v>
      </c>
      <c r="J90" s="57" t="s">
        <v>142</v>
      </c>
      <c r="K90" s="57" t="s">
        <v>151</v>
      </c>
      <c r="L90" s="57" t="s">
        <v>133</v>
      </c>
      <c r="M90" s="57">
        <v>2020</v>
      </c>
      <c r="N90" s="57">
        <v>2020</v>
      </c>
      <c r="O90" s="57" t="s">
        <v>23</v>
      </c>
      <c r="P90" s="58">
        <v>6425</v>
      </c>
      <c r="Q90" s="57" t="s">
        <v>115</v>
      </c>
      <c r="R90" s="57" t="s">
        <v>116</v>
      </c>
    </row>
    <row r="91" spans="5:18" ht="13.5" customHeight="1" x14ac:dyDescent="0.25">
      <c r="E91" s="57" t="s">
        <v>140</v>
      </c>
      <c r="F91" s="57" t="s">
        <v>141</v>
      </c>
      <c r="G91" s="57">
        <v>729</v>
      </c>
      <c r="H91" s="57" t="s">
        <v>206</v>
      </c>
      <c r="I91" s="57">
        <v>5312</v>
      </c>
      <c r="J91" s="57" t="s">
        <v>142</v>
      </c>
      <c r="K91" s="57" t="s">
        <v>151</v>
      </c>
      <c r="L91" s="57" t="s">
        <v>133</v>
      </c>
      <c r="M91" s="57">
        <v>2021</v>
      </c>
      <c r="N91" s="57">
        <v>2021</v>
      </c>
      <c r="O91" s="57" t="s">
        <v>23</v>
      </c>
      <c r="P91" s="58">
        <v>6425</v>
      </c>
      <c r="Q91" s="57" t="s">
        <v>115</v>
      </c>
      <c r="R91" s="57" t="s">
        <v>116</v>
      </c>
    </row>
    <row r="92" spans="5:18" ht="13.5" customHeight="1" x14ac:dyDescent="0.25">
      <c r="E92" s="57" t="s">
        <v>140</v>
      </c>
      <c r="F92" s="57" t="s">
        <v>141</v>
      </c>
      <c r="G92" s="57">
        <v>729</v>
      </c>
      <c r="H92" s="57" t="s">
        <v>206</v>
      </c>
      <c r="I92" s="57">
        <v>5419</v>
      </c>
      <c r="J92" s="57" t="s">
        <v>209</v>
      </c>
      <c r="K92" s="57" t="s">
        <v>151</v>
      </c>
      <c r="L92" s="57" t="s">
        <v>133</v>
      </c>
      <c r="M92" s="57">
        <v>2015</v>
      </c>
      <c r="N92" s="57">
        <v>2015</v>
      </c>
      <c r="O92" s="57" t="s">
        <v>210</v>
      </c>
      <c r="P92" s="58">
        <v>53307</v>
      </c>
      <c r="Q92" s="57" t="s">
        <v>143</v>
      </c>
      <c r="R92" s="57" t="s">
        <v>144</v>
      </c>
    </row>
    <row r="93" spans="5:18" ht="13.5" customHeight="1" x14ac:dyDescent="0.25">
      <c r="E93" s="57" t="s">
        <v>140</v>
      </c>
      <c r="F93" s="57" t="s">
        <v>141</v>
      </c>
      <c r="G93" s="57">
        <v>729</v>
      </c>
      <c r="H93" s="57" t="s">
        <v>206</v>
      </c>
      <c r="I93" s="57">
        <v>5419</v>
      </c>
      <c r="J93" s="57" t="s">
        <v>209</v>
      </c>
      <c r="K93" s="57" t="s">
        <v>151</v>
      </c>
      <c r="L93" s="57" t="s">
        <v>133</v>
      </c>
      <c r="M93" s="57">
        <v>2016</v>
      </c>
      <c r="N93" s="57">
        <v>2016</v>
      </c>
      <c r="O93" s="57" t="s">
        <v>210</v>
      </c>
      <c r="P93" s="58">
        <v>58297</v>
      </c>
      <c r="Q93" s="57" t="s">
        <v>143</v>
      </c>
      <c r="R93" s="57" t="s">
        <v>144</v>
      </c>
    </row>
    <row r="94" spans="5:18" ht="13.5" customHeight="1" x14ac:dyDescent="0.25">
      <c r="E94" s="57" t="s">
        <v>140</v>
      </c>
      <c r="F94" s="57" t="s">
        <v>141</v>
      </c>
      <c r="G94" s="57">
        <v>729</v>
      </c>
      <c r="H94" s="57" t="s">
        <v>206</v>
      </c>
      <c r="I94" s="57">
        <v>5419</v>
      </c>
      <c r="J94" s="57" t="s">
        <v>209</v>
      </c>
      <c r="K94" s="57" t="s">
        <v>151</v>
      </c>
      <c r="L94" s="57" t="s">
        <v>133</v>
      </c>
      <c r="M94" s="57">
        <v>2017</v>
      </c>
      <c r="N94" s="57">
        <v>2017</v>
      </c>
      <c r="O94" s="57" t="s">
        <v>210</v>
      </c>
      <c r="P94" s="58">
        <v>58062</v>
      </c>
      <c r="Q94" s="57" t="s">
        <v>143</v>
      </c>
      <c r="R94" s="57" t="s">
        <v>144</v>
      </c>
    </row>
    <row r="95" spans="5:18" ht="13.5" customHeight="1" x14ac:dyDescent="0.25">
      <c r="E95" s="57" t="s">
        <v>140</v>
      </c>
      <c r="F95" s="57" t="s">
        <v>141</v>
      </c>
      <c r="G95" s="57">
        <v>729</v>
      </c>
      <c r="H95" s="57" t="s">
        <v>206</v>
      </c>
      <c r="I95" s="57">
        <v>5419</v>
      </c>
      <c r="J95" s="57" t="s">
        <v>209</v>
      </c>
      <c r="K95" s="57" t="s">
        <v>151</v>
      </c>
      <c r="L95" s="57" t="s">
        <v>133</v>
      </c>
      <c r="M95" s="57">
        <v>2018</v>
      </c>
      <c r="N95" s="57">
        <v>2018</v>
      </c>
      <c r="O95" s="57" t="s">
        <v>210</v>
      </c>
      <c r="P95" s="58">
        <v>48162</v>
      </c>
      <c r="Q95" s="57" t="s">
        <v>115</v>
      </c>
      <c r="R95" s="57" t="s">
        <v>116</v>
      </c>
    </row>
    <row r="96" spans="5:18" ht="13.5" customHeight="1" x14ac:dyDescent="0.25">
      <c r="E96" s="57" t="s">
        <v>140</v>
      </c>
      <c r="F96" s="57" t="s">
        <v>141</v>
      </c>
      <c r="G96" s="57">
        <v>729</v>
      </c>
      <c r="H96" s="57" t="s">
        <v>206</v>
      </c>
      <c r="I96" s="57">
        <v>5419</v>
      </c>
      <c r="J96" s="57" t="s">
        <v>209</v>
      </c>
      <c r="K96" s="57" t="s">
        <v>151</v>
      </c>
      <c r="L96" s="57" t="s">
        <v>133</v>
      </c>
      <c r="M96" s="57">
        <v>2019</v>
      </c>
      <c r="N96" s="57">
        <v>2019</v>
      </c>
      <c r="O96" s="57" t="s">
        <v>210</v>
      </c>
      <c r="P96" s="58">
        <v>64036</v>
      </c>
      <c r="Q96" s="57" t="s">
        <v>115</v>
      </c>
      <c r="R96" s="57" t="s">
        <v>116</v>
      </c>
    </row>
    <row r="97" spans="5:18" ht="13.5" customHeight="1" x14ac:dyDescent="0.25">
      <c r="E97" s="57" t="s">
        <v>140</v>
      </c>
      <c r="F97" s="57" t="s">
        <v>141</v>
      </c>
      <c r="G97" s="57">
        <v>729</v>
      </c>
      <c r="H97" s="57" t="s">
        <v>206</v>
      </c>
      <c r="I97" s="57">
        <v>5419</v>
      </c>
      <c r="J97" s="57" t="s">
        <v>209</v>
      </c>
      <c r="K97" s="57" t="s">
        <v>151</v>
      </c>
      <c r="L97" s="57" t="s">
        <v>133</v>
      </c>
      <c r="M97" s="57">
        <v>2020</v>
      </c>
      <c r="N97" s="57">
        <v>2020</v>
      </c>
      <c r="O97" s="57" t="s">
        <v>210</v>
      </c>
      <c r="P97" s="58">
        <v>64036</v>
      </c>
      <c r="Q97" s="57" t="s">
        <v>115</v>
      </c>
      <c r="R97" s="57" t="s">
        <v>116</v>
      </c>
    </row>
    <row r="98" spans="5:18" ht="13.5" customHeight="1" x14ac:dyDescent="0.25">
      <c r="E98" s="57" t="s">
        <v>140</v>
      </c>
      <c r="F98" s="57" t="s">
        <v>141</v>
      </c>
      <c r="G98" s="57">
        <v>729</v>
      </c>
      <c r="H98" s="57" t="s">
        <v>206</v>
      </c>
      <c r="I98" s="57">
        <v>5419</v>
      </c>
      <c r="J98" s="57" t="s">
        <v>209</v>
      </c>
      <c r="K98" s="57" t="s">
        <v>151</v>
      </c>
      <c r="L98" s="57" t="s">
        <v>133</v>
      </c>
      <c r="M98" s="57">
        <v>2021</v>
      </c>
      <c r="N98" s="57">
        <v>2021</v>
      </c>
      <c r="O98" s="57" t="s">
        <v>210</v>
      </c>
      <c r="P98" s="58">
        <v>64036</v>
      </c>
      <c r="Q98" s="57" t="s">
        <v>115</v>
      </c>
      <c r="R98" s="57" t="s">
        <v>116</v>
      </c>
    </row>
    <row r="99" spans="5:18" ht="13.5" customHeight="1" x14ac:dyDescent="0.25">
      <c r="E99" s="57" t="s">
        <v>140</v>
      </c>
      <c r="F99" s="57" t="s">
        <v>141</v>
      </c>
      <c r="G99" s="57">
        <v>729</v>
      </c>
      <c r="H99" s="57" t="s">
        <v>206</v>
      </c>
      <c r="I99" s="57">
        <v>5312</v>
      </c>
      <c r="J99" s="57" t="s">
        <v>142</v>
      </c>
      <c r="K99" s="57" t="s">
        <v>152</v>
      </c>
      <c r="L99" s="57" t="s">
        <v>153</v>
      </c>
      <c r="M99" s="57">
        <v>2015</v>
      </c>
      <c r="N99" s="57">
        <v>2015</v>
      </c>
      <c r="O99" s="57" t="s">
        <v>23</v>
      </c>
      <c r="P99" s="58">
        <v>0</v>
      </c>
      <c r="Q99" s="57" t="s">
        <v>178</v>
      </c>
      <c r="R99" s="57" t="s">
        <v>179</v>
      </c>
    </row>
    <row r="100" spans="5:18" ht="13.5" customHeight="1" x14ac:dyDescent="0.25">
      <c r="E100" s="57" t="s">
        <v>140</v>
      </c>
      <c r="F100" s="57" t="s">
        <v>141</v>
      </c>
      <c r="G100" s="57">
        <v>729</v>
      </c>
      <c r="H100" s="57" t="s">
        <v>206</v>
      </c>
      <c r="I100" s="57">
        <v>5312</v>
      </c>
      <c r="J100" s="57" t="s">
        <v>142</v>
      </c>
      <c r="K100" s="57" t="s">
        <v>152</v>
      </c>
      <c r="L100" s="57" t="s">
        <v>153</v>
      </c>
      <c r="M100" s="57">
        <v>2016</v>
      </c>
      <c r="N100" s="57">
        <v>2016</v>
      </c>
      <c r="O100" s="57" t="s">
        <v>23</v>
      </c>
      <c r="P100" s="58">
        <v>0</v>
      </c>
      <c r="Q100" s="57" t="s">
        <v>178</v>
      </c>
      <c r="R100" s="57" t="s">
        <v>179</v>
      </c>
    </row>
    <row r="101" spans="5:18" ht="13.5" customHeight="1" x14ac:dyDescent="0.25">
      <c r="E101" s="57" t="s">
        <v>140</v>
      </c>
      <c r="F101" s="57" t="s">
        <v>141</v>
      </c>
      <c r="G101" s="57">
        <v>729</v>
      </c>
      <c r="H101" s="57" t="s">
        <v>206</v>
      </c>
      <c r="I101" s="57">
        <v>5312</v>
      </c>
      <c r="J101" s="57" t="s">
        <v>142</v>
      </c>
      <c r="K101" s="57" t="s">
        <v>152</v>
      </c>
      <c r="L101" s="57" t="s">
        <v>153</v>
      </c>
      <c r="M101" s="57">
        <v>2017</v>
      </c>
      <c r="N101" s="57">
        <v>2017</v>
      </c>
      <c r="O101" s="57" t="s">
        <v>23</v>
      </c>
      <c r="P101" s="58">
        <v>0</v>
      </c>
      <c r="Q101" s="57" t="s">
        <v>178</v>
      </c>
      <c r="R101" s="57" t="s">
        <v>179</v>
      </c>
    </row>
    <row r="102" spans="5:18" ht="13.5" customHeight="1" x14ac:dyDescent="0.25">
      <c r="E102" s="57" t="s">
        <v>140</v>
      </c>
      <c r="F102" s="57" t="s">
        <v>141</v>
      </c>
      <c r="G102" s="57">
        <v>729</v>
      </c>
      <c r="H102" s="57" t="s">
        <v>206</v>
      </c>
      <c r="I102" s="57">
        <v>5312</v>
      </c>
      <c r="J102" s="57" t="s">
        <v>142</v>
      </c>
      <c r="K102" s="57" t="s">
        <v>152</v>
      </c>
      <c r="L102" s="57" t="s">
        <v>153</v>
      </c>
      <c r="M102" s="57">
        <v>2018</v>
      </c>
      <c r="N102" s="57">
        <v>2018</v>
      </c>
      <c r="O102" s="57" t="s">
        <v>23</v>
      </c>
      <c r="P102" s="58">
        <v>0</v>
      </c>
      <c r="Q102" s="57" t="s">
        <v>178</v>
      </c>
      <c r="R102" s="57" t="s">
        <v>179</v>
      </c>
    </row>
    <row r="103" spans="5:18" ht="13.5" customHeight="1" x14ac:dyDescent="0.25">
      <c r="E103" s="57" t="s">
        <v>140</v>
      </c>
      <c r="F103" s="57" t="s">
        <v>141</v>
      </c>
      <c r="G103" s="57">
        <v>729</v>
      </c>
      <c r="H103" s="57" t="s">
        <v>206</v>
      </c>
      <c r="I103" s="57">
        <v>5312</v>
      </c>
      <c r="J103" s="57" t="s">
        <v>142</v>
      </c>
      <c r="K103" s="57" t="s">
        <v>152</v>
      </c>
      <c r="L103" s="57" t="s">
        <v>153</v>
      </c>
      <c r="M103" s="57">
        <v>2019</v>
      </c>
      <c r="N103" s="57">
        <v>2019</v>
      </c>
      <c r="O103" s="57" t="s">
        <v>23</v>
      </c>
      <c r="P103" s="58">
        <v>0</v>
      </c>
      <c r="Q103" s="57" t="s">
        <v>178</v>
      </c>
      <c r="R103" s="57" t="s">
        <v>179</v>
      </c>
    </row>
    <row r="104" spans="5:18" ht="13.5" customHeight="1" x14ac:dyDescent="0.25">
      <c r="E104" s="57" t="s">
        <v>140</v>
      </c>
      <c r="F104" s="57" t="s">
        <v>141</v>
      </c>
      <c r="G104" s="57">
        <v>729</v>
      </c>
      <c r="H104" s="57" t="s">
        <v>206</v>
      </c>
      <c r="I104" s="57">
        <v>5312</v>
      </c>
      <c r="J104" s="57" t="s">
        <v>142</v>
      </c>
      <c r="K104" s="57" t="s">
        <v>152</v>
      </c>
      <c r="L104" s="57" t="s">
        <v>153</v>
      </c>
      <c r="M104" s="57">
        <v>2020</v>
      </c>
      <c r="N104" s="57">
        <v>2020</v>
      </c>
      <c r="O104" s="57" t="s">
        <v>23</v>
      </c>
      <c r="P104" s="58">
        <v>0</v>
      </c>
      <c r="Q104" s="57" t="s">
        <v>178</v>
      </c>
      <c r="R104" s="57" t="s">
        <v>179</v>
      </c>
    </row>
    <row r="105" spans="5:18" ht="13.5" customHeight="1" x14ac:dyDescent="0.25">
      <c r="E105" s="57" t="s">
        <v>140</v>
      </c>
      <c r="F105" s="57" t="s">
        <v>141</v>
      </c>
      <c r="G105" s="57">
        <v>729</v>
      </c>
      <c r="H105" s="57" t="s">
        <v>206</v>
      </c>
      <c r="I105" s="57">
        <v>5312</v>
      </c>
      <c r="J105" s="57" t="s">
        <v>142</v>
      </c>
      <c r="K105" s="57" t="s">
        <v>152</v>
      </c>
      <c r="L105" s="57" t="s">
        <v>153</v>
      </c>
      <c r="M105" s="57">
        <v>2021</v>
      </c>
      <c r="N105" s="57">
        <v>2021</v>
      </c>
      <c r="O105" s="57" t="s">
        <v>23</v>
      </c>
      <c r="P105" s="58">
        <v>0</v>
      </c>
      <c r="Q105" s="57" t="s">
        <v>178</v>
      </c>
      <c r="R105" s="57" t="s">
        <v>179</v>
      </c>
    </row>
    <row r="106" spans="5:18" ht="13.5" customHeight="1" x14ac:dyDescent="0.25">
      <c r="E106" s="57" t="s">
        <v>140</v>
      </c>
      <c r="F106" s="57" t="s">
        <v>141</v>
      </c>
      <c r="G106" s="57">
        <v>729</v>
      </c>
      <c r="H106" s="57" t="s">
        <v>206</v>
      </c>
      <c r="I106" s="57">
        <v>5312</v>
      </c>
      <c r="J106" s="57" t="s">
        <v>142</v>
      </c>
      <c r="K106" s="57" t="s">
        <v>215</v>
      </c>
      <c r="L106" s="57" t="s">
        <v>216</v>
      </c>
      <c r="M106" s="57">
        <v>2015</v>
      </c>
      <c r="N106" s="57">
        <v>2015</v>
      </c>
      <c r="O106" s="57" t="s">
        <v>23</v>
      </c>
      <c r="P106" s="58">
        <v>2000</v>
      </c>
      <c r="Q106" s="57" t="s">
        <v>168</v>
      </c>
      <c r="R106" s="57" t="s">
        <v>169</v>
      </c>
    </row>
    <row r="107" spans="5:18" ht="13.5" customHeight="1" x14ac:dyDescent="0.25">
      <c r="E107" s="57" t="s">
        <v>140</v>
      </c>
      <c r="F107" s="57" t="s">
        <v>141</v>
      </c>
      <c r="G107" s="57">
        <v>729</v>
      </c>
      <c r="H107" s="57" t="s">
        <v>206</v>
      </c>
      <c r="I107" s="57">
        <v>5312</v>
      </c>
      <c r="J107" s="57" t="s">
        <v>142</v>
      </c>
      <c r="K107" s="57" t="s">
        <v>215</v>
      </c>
      <c r="L107" s="57" t="s">
        <v>216</v>
      </c>
      <c r="M107" s="57">
        <v>2016</v>
      </c>
      <c r="N107" s="57">
        <v>2016</v>
      </c>
      <c r="O107" s="57" t="s">
        <v>23</v>
      </c>
      <c r="P107" s="58">
        <v>2000</v>
      </c>
      <c r="Q107" s="57" t="s">
        <v>168</v>
      </c>
      <c r="R107" s="57" t="s">
        <v>169</v>
      </c>
    </row>
    <row r="108" spans="5:18" ht="13.5" customHeight="1" x14ac:dyDescent="0.25">
      <c r="E108" s="57" t="s">
        <v>140</v>
      </c>
      <c r="F108" s="57" t="s">
        <v>141</v>
      </c>
      <c r="G108" s="57">
        <v>729</v>
      </c>
      <c r="H108" s="57" t="s">
        <v>206</v>
      </c>
      <c r="I108" s="57">
        <v>5312</v>
      </c>
      <c r="J108" s="57" t="s">
        <v>142</v>
      </c>
      <c r="K108" s="57" t="s">
        <v>215</v>
      </c>
      <c r="L108" s="57" t="s">
        <v>216</v>
      </c>
      <c r="M108" s="57">
        <v>2017</v>
      </c>
      <c r="N108" s="57">
        <v>2017</v>
      </c>
      <c r="O108" s="57" t="s">
        <v>23</v>
      </c>
      <c r="P108" s="58">
        <v>2000</v>
      </c>
      <c r="Q108" s="57" t="s">
        <v>168</v>
      </c>
      <c r="R108" s="57" t="s">
        <v>169</v>
      </c>
    </row>
    <row r="109" spans="5:18" ht="13.5" customHeight="1" x14ac:dyDescent="0.25">
      <c r="E109" s="57" t="s">
        <v>140</v>
      </c>
      <c r="F109" s="57" t="s">
        <v>141</v>
      </c>
      <c r="G109" s="57">
        <v>729</v>
      </c>
      <c r="H109" s="57" t="s">
        <v>206</v>
      </c>
      <c r="I109" s="57">
        <v>5312</v>
      </c>
      <c r="J109" s="57" t="s">
        <v>142</v>
      </c>
      <c r="K109" s="57" t="s">
        <v>215</v>
      </c>
      <c r="L109" s="57" t="s">
        <v>216</v>
      </c>
      <c r="M109" s="57">
        <v>2018</v>
      </c>
      <c r="N109" s="57">
        <v>2018</v>
      </c>
      <c r="O109" s="57" t="s">
        <v>23</v>
      </c>
      <c r="P109" s="58">
        <v>2000</v>
      </c>
      <c r="Q109" s="57" t="s">
        <v>168</v>
      </c>
      <c r="R109" s="57" t="s">
        <v>169</v>
      </c>
    </row>
    <row r="110" spans="5:18" ht="13.5" customHeight="1" x14ac:dyDescent="0.25">
      <c r="E110" s="57" t="s">
        <v>140</v>
      </c>
      <c r="F110" s="57" t="s">
        <v>141</v>
      </c>
      <c r="G110" s="57">
        <v>729</v>
      </c>
      <c r="H110" s="57" t="s">
        <v>206</v>
      </c>
      <c r="I110" s="57">
        <v>5312</v>
      </c>
      <c r="J110" s="57" t="s">
        <v>142</v>
      </c>
      <c r="K110" s="57" t="s">
        <v>215</v>
      </c>
      <c r="L110" s="57" t="s">
        <v>216</v>
      </c>
      <c r="M110" s="57">
        <v>2019</v>
      </c>
      <c r="N110" s="57">
        <v>2019</v>
      </c>
      <c r="O110" s="57" t="s">
        <v>23</v>
      </c>
      <c r="P110" s="58">
        <v>2000</v>
      </c>
      <c r="Q110" s="57" t="s">
        <v>168</v>
      </c>
      <c r="R110" s="57" t="s">
        <v>169</v>
      </c>
    </row>
    <row r="111" spans="5:18" ht="13.5" customHeight="1" x14ac:dyDescent="0.25">
      <c r="E111" s="57" t="s">
        <v>140</v>
      </c>
      <c r="F111" s="57" t="s">
        <v>141</v>
      </c>
      <c r="G111" s="57">
        <v>729</v>
      </c>
      <c r="H111" s="57" t="s">
        <v>206</v>
      </c>
      <c r="I111" s="57">
        <v>5312</v>
      </c>
      <c r="J111" s="57" t="s">
        <v>142</v>
      </c>
      <c r="K111" s="57" t="s">
        <v>215</v>
      </c>
      <c r="L111" s="57" t="s">
        <v>216</v>
      </c>
      <c r="M111" s="57">
        <v>2020</v>
      </c>
      <c r="N111" s="57">
        <v>2020</v>
      </c>
      <c r="O111" s="57" t="s">
        <v>23</v>
      </c>
      <c r="P111" s="58">
        <v>2000</v>
      </c>
      <c r="Q111" s="57" t="s">
        <v>168</v>
      </c>
      <c r="R111" s="57" t="s">
        <v>169</v>
      </c>
    </row>
    <row r="112" spans="5:18" ht="13.5" customHeight="1" x14ac:dyDescent="0.25">
      <c r="E112" s="57" t="s">
        <v>140</v>
      </c>
      <c r="F112" s="57" t="s">
        <v>141</v>
      </c>
      <c r="G112" s="57">
        <v>729</v>
      </c>
      <c r="H112" s="57" t="s">
        <v>206</v>
      </c>
      <c r="I112" s="57">
        <v>5312</v>
      </c>
      <c r="J112" s="57" t="s">
        <v>142</v>
      </c>
      <c r="K112" s="57" t="s">
        <v>215</v>
      </c>
      <c r="L112" s="57" t="s">
        <v>216</v>
      </c>
      <c r="M112" s="57">
        <v>2021</v>
      </c>
      <c r="N112" s="57">
        <v>2021</v>
      </c>
      <c r="O112" s="57" t="s">
        <v>23</v>
      </c>
      <c r="P112" s="58">
        <v>2000</v>
      </c>
      <c r="Q112" s="57" t="s">
        <v>168</v>
      </c>
      <c r="R112" s="57" t="s">
        <v>169</v>
      </c>
    </row>
    <row r="113" spans="5:18" ht="13.5" customHeight="1" x14ac:dyDescent="0.25">
      <c r="E113" s="57" t="s">
        <v>140</v>
      </c>
      <c r="F113" s="57" t="s">
        <v>141</v>
      </c>
      <c r="G113" s="57">
        <v>729</v>
      </c>
      <c r="H113" s="57" t="s">
        <v>206</v>
      </c>
      <c r="I113" s="57">
        <v>5419</v>
      </c>
      <c r="J113" s="57" t="s">
        <v>209</v>
      </c>
      <c r="K113" s="57" t="s">
        <v>215</v>
      </c>
      <c r="L113" s="57" t="s">
        <v>216</v>
      </c>
      <c r="M113" s="57">
        <v>2015</v>
      </c>
      <c r="N113" s="57">
        <v>2015</v>
      </c>
      <c r="O113" s="57" t="s">
        <v>210</v>
      </c>
      <c r="P113" s="58">
        <v>5000</v>
      </c>
      <c r="Q113" s="57" t="s">
        <v>115</v>
      </c>
      <c r="R113" s="57" t="s">
        <v>116</v>
      </c>
    </row>
    <row r="114" spans="5:18" ht="13.5" customHeight="1" x14ac:dyDescent="0.25">
      <c r="E114" s="57" t="s">
        <v>140</v>
      </c>
      <c r="F114" s="57" t="s">
        <v>141</v>
      </c>
      <c r="G114" s="57">
        <v>729</v>
      </c>
      <c r="H114" s="57" t="s">
        <v>206</v>
      </c>
      <c r="I114" s="57">
        <v>5419</v>
      </c>
      <c r="J114" s="57" t="s">
        <v>209</v>
      </c>
      <c r="K114" s="57" t="s">
        <v>215</v>
      </c>
      <c r="L114" s="57" t="s">
        <v>216</v>
      </c>
      <c r="M114" s="57">
        <v>2016</v>
      </c>
      <c r="N114" s="57">
        <v>2016</v>
      </c>
      <c r="O114" s="57" t="s">
        <v>210</v>
      </c>
      <c r="P114" s="58">
        <v>5000</v>
      </c>
      <c r="Q114" s="57" t="s">
        <v>115</v>
      </c>
      <c r="R114" s="57" t="s">
        <v>116</v>
      </c>
    </row>
    <row r="115" spans="5:18" ht="13.5" customHeight="1" x14ac:dyDescent="0.25">
      <c r="E115" s="57" t="s">
        <v>140</v>
      </c>
      <c r="F115" s="57" t="s">
        <v>141</v>
      </c>
      <c r="G115" s="57">
        <v>729</v>
      </c>
      <c r="H115" s="57" t="s">
        <v>206</v>
      </c>
      <c r="I115" s="57">
        <v>5419</v>
      </c>
      <c r="J115" s="57" t="s">
        <v>209</v>
      </c>
      <c r="K115" s="57" t="s">
        <v>215</v>
      </c>
      <c r="L115" s="57" t="s">
        <v>216</v>
      </c>
      <c r="M115" s="57">
        <v>2017</v>
      </c>
      <c r="N115" s="57">
        <v>2017</v>
      </c>
      <c r="O115" s="57" t="s">
        <v>210</v>
      </c>
      <c r="P115" s="58">
        <v>5000</v>
      </c>
      <c r="Q115" s="57" t="s">
        <v>115</v>
      </c>
      <c r="R115" s="57" t="s">
        <v>116</v>
      </c>
    </row>
    <row r="116" spans="5:18" ht="13.5" customHeight="1" x14ac:dyDescent="0.25">
      <c r="E116" s="57" t="s">
        <v>140</v>
      </c>
      <c r="F116" s="57" t="s">
        <v>141</v>
      </c>
      <c r="G116" s="57">
        <v>729</v>
      </c>
      <c r="H116" s="57" t="s">
        <v>206</v>
      </c>
      <c r="I116" s="57">
        <v>5419</v>
      </c>
      <c r="J116" s="57" t="s">
        <v>209</v>
      </c>
      <c r="K116" s="57" t="s">
        <v>215</v>
      </c>
      <c r="L116" s="57" t="s">
        <v>216</v>
      </c>
      <c r="M116" s="57">
        <v>2018</v>
      </c>
      <c r="N116" s="57">
        <v>2018</v>
      </c>
      <c r="O116" s="57" t="s">
        <v>210</v>
      </c>
      <c r="P116" s="58">
        <v>5000</v>
      </c>
      <c r="Q116" s="57" t="s">
        <v>115</v>
      </c>
      <c r="R116" s="57" t="s">
        <v>116</v>
      </c>
    </row>
    <row r="117" spans="5:18" ht="13.5" customHeight="1" x14ac:dyDescent="0.25">
      <c r="E117" s="57" t="s">
        <v>140</v>
      </c>
      <c r="F117" s="57" t="s">
        <v>141</v>
      </c>
      <c r="G117" s="57">
        <v>729</v>
      </c>
      <c r="H117" s="57" t="s">
        <v>206</v>
      </c>
      <c r="I117" s="57">
        <v>5419</v>
      </c>
      <c r="J117" s="57" t="s">
        <v>209</v>
      </c>
      <c r="K117" s="57" t="s">
        <v>215</v>
      </c>
      <c r="L117" s="57" t="s">
        <v>216</v>
      </c>
      <c r="M117" s="57">
        <v>2019</v>
      </c>
      <c r="N117" s="57">
        <v>2019</v>
      </c>
      <c r="O117" s="57" t="s">
        <v>210</v>
      </c>
      <c r="P117" s="58">
        <v>5000</v>
      </c>
      <c r="Q117" s="57" t="s">
        <v>115</v>
      </c>
      <c r="R117" s="57" t="s">
        <v>116</v>
      </c>
    </row>
    <row r="118" spans="5:18" ht="13.5" customHeight="1" x14ac:dyDescent="0.25">
      <c r="E118" s="57" t="s">
        <v>140</v>
      </c>
      <c r="F118" s="57" t="s">
        <v>141</v>
      </c>
      <c r="G118" s="57">
        <v>729</v>
      </c>
      <c r="H118" s="57" t="s">
        <v>206</v>
      </c>
      <c r="I118" s="57">
        <v>5419</v>
      </c>
      <c r="J118" s="57" t="s">
        <v>209</v>
      </c>
      <c r="K118" s="57" t="s">
        <v>215</v>
      </c>
      <c r="L118" s="57" t="s">
        <v>216</v>
      </c>
      <c r="M118" s="57">
        <v>2020</v>
      </c>
      <c r="N118" s="57">
        <v>2020</v>
      </c>
      <c r="O118" s="57" t="s">
        <v>210</v>
      </c>
      <c r="P118" s="58">
        <v>5000</v>
      </c>
      <c r="Q118" s="57" t="s">
        <v>115</v>
      </c>
      <c r="R118" s="57" t="s">
        <v>116</v>
      </c>
    </row>
    <row r="119" spans="5:18" ht="13.5" customHeight="1" x14ac:dyDescent="0.25">
      <c r="E119" s="57" t="s">
        <v>140</v>
      </c>
      <c r="F119" s="57" t="s">
        <v>141</v>
      </c>
      <c r="G119" s="57">
        <v>729</v>
      </c>
      <c r="H119" s="57" t="s">
        <v>206</v>
      </c>
      <c r="I119" s="57">
        <v>5419</v>
      </c>
      <c r="J119" s="57" t="s">
        <v>209</v>
      </c>
      <c r="K119" s="57" t="s">
        <v>215</v>
      </c>
      <c r="L119" s="57" t="s">
        <v>216</v>
      </c>
      <c r="M119" s="57">
        <v>2021</v>
      </c>
      <c r="N119" s="57">
        <v>2021</v>
      </c>
      <c r="O119" s="57" t="s">
        <v>210</v>
      </c>
      <c r="P119" s="58">
        <v>5000</v>
      </c>
      <c r="Q119" s="57" t="s">
        <v>115</v>
      </c>
      <c r="R119" s="57" t="s">
        <v>116</v>
      </c>
    </row>
    <row r="120" spans="5:18" ht="13.5" customHeight="1" x14ac:dyDescent="0.25">
      <c r="E120" s="57" t="s">
        <v>140</v>
      </c>
      <c r="F120" s="57" t="s">
        <v>141</v>
      </c>
      <c r="G120" s="57">
        <v>729</v>
      </c>
      <c r="H120" s="57" t="s">
        <v>206</v>
      </c>
      <c r="I120" s="57">
        <v>5312</v>
      </c>
      <c r="J120" s="57" t="s">
        <v>142</v>
      </c>
      <c r="K120" s="57" t="s">
        <v>217</v>
      </c>
      <c r="L120" s="57" t="s">
        <v>218</v>
      </c>
      <c r="M120" s="57">
        <v>2015</v>
      </c>
      <c r="N120" s="57">
        <v>2015</v>
      </c>
      <c r="O120" s="57" t="s">
        <v>23</v>
      </c>
      <c r="P120" s="58">
        <v>36</v>
      </c>
      <c r="Q120" s="57" t="s">
        <v>143</v>
      </c>
      <c r="R120" s="57" t="s">
        <v>144</v>
      </c>
    </row>
    <row r="121" spans="5:18" ht="13.5" customHeight="1" x14ac:dyDescent="0.25">
      <c r="E121" s="57" t="s">
        <v>140</v>
      </c>
      <c r="F121" s="57" t="s">
        <v>141</v>
      </c>
      <c r="G121" s="57">
        <v>729</v>
      </c>
      <c r="H121" s="57" t="s">
        <v>206</v>
      </c>
      <c r="I121" s="57">
        <v>5312</v>
      </c>
      <c r="J121" s="57" t="s">
        <v>142</v>
      </c>
      <c r="K121" s="57" t="s">
        <v>217</v>
      </c>
      <c r="L121" s="57" t="s">
        <v>218</v>
      </c>
      <c r="M121" s="57">
        <v>2016</v>
      </c>
      <c r="N121" s="57">
        <v>2016</v>
      </c>
      <c r="O121" s="57" t="s">
        <v>23</v>
      </c>
      <c r="P121" s="58">
        <v>38</v>
      </c>
      <c r="Q121" s="57" t="s">
        <v>143</v>
      </c>
      <c r="R121" s="57" t="s">
        <v>144</v>
      </c>
    </row>
    <row r="122" spans="5:18" ht="13.5" customHeight="1" x14ac:dyDescent="0.25">
      <c r="E122" s="57" t="s">
        <v>140</v>
      </c>
      <c r="F122" s="57" t="s">
        <v>141</v>
      </c>
      <c r="G122" s="57">
        <v>729</v>
      </c>
      <c r="H122" s="57" t="s">
        <v>206</v>
      </c>
      <c r="I122" s="57">
        <v>5312</v>
      </c>
      <c r="J122" s="57" t="s">
        <v>142</v>
      </c>
      <c r="K122" s="57" t="s">
        <v>217</v>
      </c>
      <c r="L122" s="57" t="s">
        <v>218</v>
      </c>
      <c r="M122" s="57">
        <v>2017</v>
      </c>
      <c r="N122" s="57">
        <v>2017</v>
      </c>
      <c r="O122" s="57" t="s">
        <v>23</v>
      </c>
      <c r="P122" s="58">
        <v>37</v>
      </c>
      <c r="Q122" s="57" t="s">
        <v>145</v>
      </c>
      <c r="R122" s="57" t="s">
        <v>146</v>
      </c>
    </row>
    <row r="123" spans="5:18" ht="13.5" customHeight="1" x14ac:dyDescent="0.25">
      <c r="E123" s="57" t="s">
        <v>140</v>
      </c>
      <c r="F123" s="57" t="s">
        <v>141</v>
      </c>
      <c r="G123" s="57">
        <v>729</v>
      </c>
      <c r="H123" s="57" t="s">
        <v>206</v>
      </c>
      <c r="I123" s="57">
        <v>5312</v>
      </c>
      <c r="J123" s="57" t="s">
        <v>142</v>
      </c>
      <c r="K123" s="57" t="s">
        <v>217</v>
      </c>
      <c r="L123" s="57" t="s">
        <v>218</v>
      </c>
      <c r="M123" s="57">
        <v>2018</v>
      </c>
      <c r="N123" s="57">
        <v>2018</v>
      </c>
      <c r="O123" s="57" t="s">
        <v>23</v>
      </c>
      <c r="P123" s="58">
        <v>37</v>
      </c>
      <c r="Q123" s="57" t="s">
        <v>145</v>
      </c>
      <c r="R123" s="57" t="s">
        <v>146</v>
      </c>
    </row>
    <row r="124" spans="5:18" ht="13.5" customHeight="1" x14ac:dyDescent="0.25">
      <c r="E124" s="57" t="s">
        <v>140</v>
      </c>
      <c r="F124" s="57" t="s">
        <v>141</v>
      </c>
      <c r="G124" s="57">
        <v>729</v>
      </c>
      <c r="H124" s="57" t="s">
        <v>206</v>
      </c>
      <c r="I124" s="57">
        <v>5312</v>
      </c>
      <c r="J124" s="57" t="s">
        <v>142</v>
      </c>
      <c r="K124" s="57" t="s">
        <v>217</v>
      </c>
      <c r="L124" s="57" t="s">
        <v>218</v>
      </c>
      <c r="M124" s="57">
        <v>2019</v>
      </c>
      <c r="N124" s="57">
        <v>2019</v>
      </c>
      <c r="O124" s="57" t="s">
        <v>23</v>
      </c>
      <c r="P124" s="58">
        <v>37</v>
      </c>
      <c r="Q124" s="57" t="s">
        <v>145</v>
      </c>
      <c r="R124" s="57" t="s">
        <v>146</v>
      </c>
    </row>
    <row r="125" spans="5:18" ht="13.5" customHeight="1" x14ac:dyDescent="0.25">
      <c r="E125" s="57" t="s">
        <v>140</v>
      </c>
      <c r="F125" s="57" t="s">
        <v>141</v>
      </c>
      <c r="G125" s="57">
        <v>729</v>
      </c>
      <c r="H125" s="57" t="s">
        <v>206</v>
      </c>
      <c r="I125" s="57">
        <v>5312</v>
      </c>
      <c r="J125" s="57" t="s">
        <v>142</v>
      </c>
      <c r="K125" s="57" t="s">
        <v>217</v>
      </c>
      <c r="L125" s="57" t="s">
        <v>218</v>
      </c>
      <c r="M125" s="57">
        <v>2020</v>
      </c>
      <c r="N125" s="57">
        <v>2020</v>
      </c>
      <c r="O125" s="57" t="s">
        <v>23</v>
      </c>
      <c r="P125" s="58">
        <v>37</v>
      </c>
      <c r="Q125" s="57" t="s">
        <v>145</v>
      </c>
      <c r="R125" s="57" t="s">
        <v>146</v>
      </c>
    </row>
    <row r="126" spans="5:18" ht="13.5" customHeight="1" x14ac:dyDescent="0.25">
      <c r="E126" s="57" t="s">
        <v>140</v>
      </c>
      <c r="F126" s="57" t="s">
        <v>141</v>
      </c>
      <c r="G126" s="57">
        <v>729</v>
      </c>
      <c r="H126" s="57" t="s">
        <v>206</v>
      </c>
      <c r="I126" s="57">
        <v>5312</v>
      </c>
      <c r="J126" s="57" t="s">
        <v>142</v>
      </c>
      <c r="K126" s="57" t="s">
        <v>217</v>
      </c>
      <c r="L126" s="57" t="s">
        <v>218</v>
      </c>
      <c r="M126" s="57">
        <v>2021</v>
      </c>
      <c r="N126" s="57">
        <v>2021</v>
      </c>
      <c r="O126" s="57" t="s">
        <v>23</v>
      </c>
      <c r="P126" s="58">
        <v>36</v>
      </c>
      <c r="Q126" s="57" t="s">
        <v>145</v>
      </c>
      <c r="R126" s="57" t="s">
        <v>146</v>
      </c>
    </row>
    <row r="127" spans="5:18" ht="13.5" customHeight="1" x14ac:dyDescent="0.25">
      <c r="E127" s="57" t="s">
        <v>140</v>
      </c>
      <c r="F127" s="57" t="s">
        <v>141</v>
      </c>
      <c r="G127" s="57">
        <v>729</v>
      </c>
      <c r="H127" s="57" t="s">
        <v>206</v>
      </c>
      <c r="I127" s="57">
        <v>5419</v>
      </c>
      <c r="J127" s="57" t="s">
        <v>209</v>
      </c>
      <c r="K127" s="57" t="s">
        <v>217</v>
      </c>
      <c r="L127" s="57" t="s">
        <v>218</v>
      </c>
      <c r="M127" s="57">
        <v>2015</v>
      </c>
      <c r="N127" s="57">
        <v>2015</v>
      </c>
      <c r="O127" s="57" t="s">
        <v>210</v>
      </c>
      <c r="P127" s="58">
        <v>212222</v>
      </c>
      <c r="Q127" s="57" t="s">
        <v>143</v>
      </c>
      <c r="R127" s="57" t="s">
        <v>144</v>
      </c>
    </row>
    <row r="128" spans="5:18" ht="13.5" customHeight="1" x14ac:dyDescent="0.25">
      <c r="E128" s="57" t="s">
        <v>140</v>
      </c>
      <c r="F128" s="57" t="s">
        <v>141</v>
      </c>
      <c r="G128" s="57">
        <v>729</v>
      </c>
      <c r="H128" s="57" t="s">
        <v>206</v>
      </c>
      <c r="I128" s="57">
        <v>5419</v>
      </c>
      <c r="J128" s="57" t="s">
        <v>209</v>
      </c>
      <c r="K128" s="57" t="s">
        <v>217</v>
      </c>
      <c r="L128" s="57" t="s">
        <v>218</v>
      </c>
      <c r="M128" s="57">
        <v>2016</v>
      </c>
      <c r="N128" s="57">
        <v>2016</v>
      </c>
      <c r="O128" s="57" t="s">
        <v>210</v>
      </c>
      <c r="P128" s="58">
        <v>207105</v>
      </c>
      <c r="Q128" s="57" t="s">
        <v>143</v>
      </c>
      <c r="R128" s="57" t="s">
        <v>144</v>
      </c>
    </row>
    <row r="129" spans="5:18" ht="13.5" customHeight="1" x14ac:dyDescent="0.25">
      <c r="E129" s="57" t="s">
        <v>140</v>
      </c>
      <c r="F129" s="57" t="s">
        <v>141</v>
      </c>
      <c r="G129" s="57">
        <v>729</v>
      </c>
      <c r="H129" s="57" t="s">
        <v>206</v>
      </c>
      <c r="I129" s="57">
        <v>5419</v>
      </c>
      <c r="J129" s="57" t="s">
        <v>209</v>
      </c>
      <c r="K129" s="57" t="s">
        <v>217</v>
      </c>
      <c r="L129" s="57" t="s">
        <v>218</v>
      </c>
      <c r="M129" s="57">
        <v>2017</v>
      </c>
      <c r="N129" s="57">
        <v>2017</v>
      </c>
      <c r="O129" s="57" t="s">
        <v>210</v>
      </c>
      <c r="P129" s="58">
        <v>208807</v>
      </c>
      <c r="Q129" s="57" t="s">
        <v>115</v>
      </c>
      <c r="R129" s="57" t="s">
        <v>116</v>
      </c>
    </row>
    <row r="130" spans="5:18" ht="13.5" customHeight="1" x14ac:dyDescent="0.25">
      <c r="E130" s="57" t="s">
        <v>140</v>
      </c>
      <c r="F130" s="57" t="s">
        <v>141</v>
      </c>
      <c r="G130" s="57">
        <v>729</v>
      </c>
      <c r="H130" s="57" t="s">
        <v>206</v>
      </c>
      <c r="I130" s="57">
        <v>5419</v>
      </c>
      <c r="J130" s="57" t="s">
        <v>209</v>
      </c>
      <c r="K130" s="57" t="s">
        <v>217</v>
      </c>
      <c r="L130" s="57" t="s">
        <v>218</v>
      </c>
      <c r="M130" s="57">
        <v>2018</v>
      </c>
      <c r="N130" s="57">
        <v>2018</v>
      </c>
      <c r="O130" s="57" t="s">
        <v>210</v>
      </c>
      <c r="P130" s="58">
        <v>210383</v>
      </c>
      <c r="Q130" s="57" t="s">
        <v>115</v>
      </c>
      <c r="R130" s="57" t="s">
        <v>116</v>
      </c>
    </row>
    <row r="131" spans="5:18" ht="13.5" customHeight="1" x14ac:dyDescent="0.25">
      <c r="E131" s="57" t="s">
        <v>140</v>
      </c>
      <c r="F131" s="57" t="s">
        <v>141</v>
      </c>
      <c r="G131" s="57">
        <v>729</v>
      </c>
      <c r="H131" s="57" t="s">
        <v>206</v>
      </c>
      <c r="I131" s="57">
        <v>5419</v>
      </c>
      <c r="J131" s="57" t="s">
        <v>209</v>
      </c>
      <c r="K131" s="57" t="s">
        <v>217</v>
      </c>
      <c r="L131" s="57" t="s">
        <v>218</v>
      </c>
      <c r="M131" s="57">
        <v>2019</v>
      </c>
      <c r="N131" s="57">
        <v>2019</v>
      </c>
      <c r="O131" s="57" t="s">
        <v>210</v>
      </c>
      <c r="P131" s="58">
        <v>209985</v>
      </c>
      <c r="Q131" s="57" t="s">
        <v>115</v>
      </c>
      <c r="R131" s="57" t="s">
        <v>116</v>
      </c>
    </row>
    <row r="132" spans="5:18" ht="13.5" customHeight="1" x14ac:dyDescent="0.25">
      <c r="E132" s="57" t="s">
        <v>140</v>
      </c>
      <c r="F132" s="57" t="s">
        <v>141</v>
      </c>
      <c r="G132" s="57">
        <v>729</v>
      </c>
      <c r="H132" s="57" t="s">
        <v>206</v>
      </c>
      <c r="I132" s="57">
        <v>5419</v>
      </c>
      <c r="J132" s="57" t="s">
        <v>209</v>
      </c>
      <c r="K132" s="57" t="s">
        <v>217</v>
      </c>
      <c r="L132" s="57" t="s">
        <v>218</v>
      </c>
      <c r="M132" s="57">
        <v>2020</v>
      </c>
      <c r="N132" s="57">
        <v>2020</v>
      </c>
      <c r="O132" s="57" t="s">
        <v>210</v>
      </c>
      <c r="P132" s="58">
        <v>211092</v>
      </c>
      <c r="Q132" s="57" t="s">
        <v>115</v>
      </c>
      <c r="R132" s="57" t="s">
        <v>116</v>
      </c>
    </row>
    <row r="133" spans="5:18" ht="13.5" customHeight="1" x14ac:dyDescent="0.25">
      <c r="E133" s="57" t="s">
        <v>140</v>
      </c>
      <c r="F133" s="57" t="s">
        <v>141</v>
      </c>
      <c r="G133" s="57">
        <v>729</v>
      </c>
      <c r="H133" s="57" t="s">
        <v>206</v>
      </c>
      <c r="I133" s="57">
        <v>5419</v>
      </c>
      <c r="J133" s="57" t="s">
        <v>209</v>
      </c>
      <c r="K133" s="57" t="s">
        <v>217</v>
      </c>
      <c r="L133" s="57" t="s">
        <v>218</v>
      </c>
      <c r="M133" s="57">
        <v>2021</v>
      </c>
      <c r="N133" s="57">
        <v>2021</v>
      </c>
      <c r="O133" s="57" t="s">
        <v>210</v>
      </c>
      <c r="P133" s="58">
        <v>212200</v>
      </c>
      <c r="Q133" s="57" t="s">
        <v>115</v>
      </c>
      <c r="R133" s="57" t="s">
        <v>116</v>
      </c>
    </row>
    <row r="134" spans="5:18" ht="13.5" customHeight="1" x14ac:dyDescent="0.25">
      <c r="E134" s="57" t="s">
        <v>140</v>
      </c>
      <c r="F134" s="57" t="s">
        <v>141</v>
      </c>
      <c r="G134" s="57">
        <v>729</v>
      </c>
      <c r="H134" s="57" t="s">
        <v>206</v>
      </c>
      <c r="I134" s="57">
        <v>5312</v>
      </c>
      <c r="J134" s="57" t="s">
        <v>142</v>
      </c>
      <c r="K134" s="57" t="s">
        <v>154</v>
      </c>
      <c r="L134" s="57" t="s">
        <v>155</v>
      </c>
      <c r="M134" s="57">
        <v>2015</v>
      </c>
      <c r="N134" s="57">
        <v>2015</v>
      </c>
      <c r="O134" s="57" t="s">
        <v>23</v>
      </c>
      <c r="P134" s="58">
        <v>7014</v>
      </c>
      <c r="Q134" s="57" t="s">
        <v>143</v>
      </c>
      <c r="R134" s="57" t="s">
        <v>144</v>
      </c>
    </row>
    <row r="135" spans="5:18" ht="13.5" customHeight="1" x14ac:dyDescent="0.25">
      <c r="E135" s="57" t="s">
        <v>140</v>
      </c>
      <c r="F135" s="57" t="s">
        <v>141</v>
      </c>
      <c r="G135" s="57">
        <v>729</v>
      </c>
      <c r="H135" s="57" t="s">
        <v>206</v>
      </c>
      <c r="I135" s="57">
        <v>5312</v>
      </c>
      <c r="J135" s="57" t="s">
        <v>142</v>
      </c>
      <c r="K135" s="57" t="s">
        <v>154</v>
      </c>
      <c r="L135" s="57" t="s">
        <v>155</v>
      </c>
      <c r="M135" s="57">
        <v>2016</v>
      </c>
      <c r="N135" s="57">
        <v>2016</v>
      </c>
      <c r="O135" s="57" t="s">
        <v>23</v>
      </c>
      <c r="P135" s="58">
        <v>7098</v>
      </c>
      <c r="Q135" s="57" t="s">
        <v>143</v>
      </c>
      <c r="R135" s="57" t="s">
        <v>144</v>
      </c>
    </row>
    <row r="136" spans="5:18" ht="13.5" customHeight="1" x14ac:dyDescent="0.25">
      <c r="E136" s="57" t="s">
        <v>140</v>
      </c>
      <c r="F136" s="57" t="s">
        <v>141</v>
      </c>
      <c r="G136" s="57">
        <v>729</v>
      </c>
      <c r="H136" s="57" t="s">
        <v>206</v>
      </c>
      <c r="I136" s="57">
        <v>5312</v>
      </c>
      <c r="J136" s="57" t="s">
        <v>142</v>
      </c>
      <c r="K136" s="57" t="s">
        <v>154</v>
      </c>
      <c r="L136" s="57" t="s">
        <v>155</v>
      </c>
      <c r="M136" s="57">
        <v>2017</v>
      </c>
      <c r="N136" s="57">
        <v>2017</v>
      </c>
      <c r="O136" s="57" t="s">
        <v>23</v>
      </c>
      <c r="P136" s="58">
        <v>14333</v>
      </c>
      <c r="Q136" s="57" t="s">
        <v>143</v>
      </c>
      <c r="R136" s="57" t="s">
        <v>144</v>
      </c>
    </row>
    <row r="137" spans="5:18" ht="13.5" customHeight="1" x14ac:dyDescent="0.25">
      <c r="E137" s="57" t="s">
        <v>140</v>
      </c>
      <c r="F137" s="57" t="s">
        <v>141</v>
      </c>
      <c r="G137" s="57">
        <v>729</v>
      </c>
      <c r="H137" s="57" t="s">
        <v>206</v>
      </c>
      <c r="I137" s="57">
        <v>5312</v>
      </c>
      <c r="J137" s="57" t="s">
        <v>142</v>
      </c>
      <c r="K137" s="57" t="s">
        <v>154</v>
      </c>
      <c r="L137" s="57" t="s">
        <v>155</v>
      </c>
      <c r="M137" s="57">
        <v>2018</v>
      </c>
      <c r="N137" s="57">
        <v>2018</v>
      </c>
      <c r="O137" s="57" t="s">
        <v>23</v>
      </c>
      <c r="P137" s="58">
        <v>15766</v>
      </c>
      <c r="Q137" s="57" t="s">
        <v>143</v>
      </c>
      <c r="R137" s="57" t="s">
        <v>144</v>
      </c>
    </row>
    <row r="138" spans="5:18" ht="13.5" customHeight="1" x14ac:dyDescent="0.25">
      <c r="E138" s="57" t="s">
        <v>140</v>
      </c>
      <c r="F138" s="57" t="s">
        <v>141</v>
      </c>
      <c r="G138" s="57">
        <v>729</v>
      </c>
      <c r="H138" s="57" t="s">
        <v>206</v>
      </c>
      <c r="I138" s="57">
        <v>5312</v>
      </c>
      <c r="J138" s="57" t="s">
        <v>142</v>
      </c>
      <c r="K138" s="57" t="s">
        <v>154</v>
      </c>
      <c r="L138" s="57" t="s">
        <v>155</v>
      </c>
      <c r="M138" s="57">
        <v>2019</v>
      </c>
      <c r="N138" s="57">
        <v>2019</v>
      </c>
      <c r="O138" s="57" t="s">
        <v>23</v>
      </c>
      <c r="P138" s="58">
        <v>18131</v>
      </c>
      <c r="Q138" s="57" t="s">
        <v>143</v>
      </c>
      <c r="R138" s="57" t="s">
        <v>144</v>
      </c>
    </row>
    <row r="139" spans="5:18" ht="13.5" customHeight="1" x14ac:dyDescent="0.25">
      <c r="E139" s="57" t="s">
        <v>140</v>
      </c>
      <c r="F139" s="57" t="s">
        <v>141</v>
      </c>
      <c r="G139" s="57">
        <v>729</v>
      </c>
      <c r="H139" s="57" t="s">
        <v>206</v>
      </c>
      <c r="I139" s="57">
        <v>5312</v>
      </c>
      <c r="J139" s="57" t="s">
        <v>142</v>
      </c>
      <c r="K139" s="57" t="s">
        <v>154</v>
      </c>
      <c r="L139" s="57" t="s">
        <v>155</v>
      </c>
      <c r="M139" s="57">
        <v>2020</v>
      </c>
      <c r="N139" s="57">
        <v>2020</v>
      </c>
      <c r="O139" s="57" t="s">
        <v>23</v>
      </c>
      <c r="P139" s="58">
        <v>20851</v>
      </c>
      <c r="Q139" s="57" t="s">
        <v>143</v>
      </c>
      <c r="R139" s="57" t="s">
        <v>144</v>
      </c>
    </row>
    <row r="140" spans="5:18" ht="13.5" customHeight="1" x14ac:dyDescent="0.25">
      <c r="E140" s="57" t="s">
        <v>140</v>
      </c>
      <c r="F140" s="57" t="s">
        <v>141</v>
      </c>
      <c r="G140" s="57">
        <v>729</v>
      </c>
      <c r="H140" s="57" t="s">
        <v>206</v>
      </c>
      <c r="I140" s="57">
        <v>5312</v>
      </c>
      <c r="J140" s="57" t="s">
        <v>142</v>
      </c>
      <c r="K140" s="57" t="s">
        <v>154</v>
      </c>
      <c r="L140" s="57" t="s">
        <v>155</v>
      </c>
      <c r="M140" s="57">
        <v>2021</v>
      </c>
      <c r="N140" s="57">
        <v>2021</v>
      </c>
      <c r="O140" s="57" t="s">
        <v>23</v>
      </c>
      <c r="P140" s="58">
        <v>22490</v>
      </c>
      <c r="Q140" s="57" t="s">
        <v>145</v>
      </c>
      <c r="R140" s="57" t="s">
        <v>146</v>
      </c>
    </row>
    <row r="141" spans="5:18" ht="13.5" customHeight="1" x14ac:dyDescent="0.25">
      <c r="E141" s="57" t="s">
        <v>140</v>
      </c>
      <c r="F141" s="57" t="s">
        <v>141</v>
      </c>
      <c r="G141" s="57">
        <v>729</v>
      </c>
      <c r="H141" s="57" t="s">
        <v>206</v>
      </c>
      <c r="I141" s="57">
        <v>5419</v>
      </c>
      <c r="J141" s="57" t="s">
        <v>209</v>
      </c>
      <c r="K141" s="57" t="s">
        <v>154</v>
      </c>
      <c r="L141" s="57" t="s">
        <v>155</v>
      </c>
      <c r="M141" s="57">
        <v>2015</v>
      </c>
      <c r="N141" s="57">
        <v>2015</v>
      </c>
      <c r="O141" s="57" t="s">
        <v>210</v>
      </c>
      <c r="P141" s="58">
        <v>17251</v>
      </c>
      <c r="Q141" s="57" t="s">
        <v>143</v>
      </c>
      <c r="R141" s="57" t="s">
        <v>144</v>
      </c>
    </row>
    <row r="142" spans="5:18" ht="13.5" customHeight="1" x14ac:dyDescent="0.25">
      <c r="E142" s="57" t="s">
        <v>140</v>
      </c>
      <c r="F142" s="57" t="s">
        <v>141</v>
      </c>
      <c r="G142" s="57">
        <v>729</v>
      </c>
      <c r="H142" s="57" t="s">
        <v>206</v>
      </c>
      <c r="I142" s="57">
        <v>5419</v>
      </c>
      <c r="J142" s="57" t="s">
        <v>209</v>
      </c>
      <c r="K142" s="57" t="s">
        <v>154</v>
      </c>
      <c r="L142" s="57" t="s">
        <v>155</v>
      </c>
      <c r="M142" s="57">
        <v>2016</v>
      </c>
      <c r="N142" s="57">
        <v>2016</v>
      </c>
      <c r="O142" s="57" t="s">
        <v>210</v>
      </c>
      <c r="P142" s="58">
        <v>17385</v>
      </c>
      <c r="Q142" s="57" t="s">
        <v>143</v>
      </c>
      <c r="R142" s="57" t="s">
        <v>144</v>
      </c>
    </row>
    <row r="143" spans="5:18" ht="13.5" customHeight="1" x14ac:dyDescent="0.25">
      <c r="E143" s="57" t="s">
        <v>140</v>
      </c>
      <c r="F143" s="57" t="s">
        <v>141</v>
      </c>
      <c r="G143" s="57">
        <v>729</v>
      </c>
      <c r="H143" s="57" t="s">
        <v>206</v>
      </c>
      <c r="I143" s="57">
        <v>5419</v>
      </c>
      <c r="J143" s="57" t="s">
        <v>209</v>
      </c>
      <c r="K143" s="57" t="s">
        <v>154</v>
      </c>
      <c r="L143" s="57" t="s">
        <v>155</v>
      </c>
      <c r="M143" s="57">
        <v>2017</v>
      </c>
      <c r="N143" s="57">
        <v>2017</v>
      </c>
      <c r="O143" s="57" t="s">
        <v>210</v>
      </c>
      <c r="P143" s="58">
        <v>40476</v>
      </c>
      <c r="Q143" s="57" t="s">
        <v>143</v>
      </c>
      <c r="R143" s="57" t="s">
        <v>144</v>
      </c>
    </row>
    <row r="144" spans="5:18" ht="13.5" customHeight="1" x14ac:dyDescent="0.25">
      <c r="E144" s="57" t="s">
        <v>140</v>
      </c>
      <c r="F144" s="57" t="s">
        <v>141</v>
      </c>
      <c r="G144" s="57">
        <v>729</v>
      </c>
      <c r="H144" s="57" t="s">
        <v>206</v>
      </c>
      <c r="I144" s="57">
        <v>5419</v>
      </c>
      <c r="J144" s="57" t="s">
        <v>209</v>
      </c>
      <c r="K144" s="57" t="s">
        <v>154</v>
      </c>
      <c r="L144" s="57" t="s">
        <v>155</v>
      </c>
      <c r="M144" s="57">
        <v>2018</v>
      </c>
      <c r="N144" s="57">
        <v>2018</v>
      </c>
      <c r="O144" s="57" t="s">
        <v>210</v>
      </c>
      <c r="P144" s="58">
        <v>40475</v>
      </c>
      <c r="Q144" s="57" t="s">
        <v>143</v>
      </c>
      <c r="R144" s="57" t="s">
        <v>144</v>
      </c>
    </row>
    <row r="145" spans="5:18" ht="13.5" customHeight="1" x14ac:dyDescent="0.25">
      <c r="E145" s="57" t="s">
        <v>140</v>
      </c>
      <c r="F145" s="57" t="s">
        <v>141</v>
      </c>
      <c r="G145" s="57">
        <v>729</v>
      </c>
      <c r="H145" s="57" t="s">
        <v>206</v>
      </c>
      <c r="I145" s="57">
        <v>5419</v>
      </c>
      <c r="J145" s="57" t="s">
        <v>209</v>
      </c>
      <c r="K145" s="57" t="s">
        <v>154</v>
      </c>
      <c r="L145" s="57" t="s">
        <v>155</v>
      </c>
      <c r="M145" s="57">
        <v>2019</v>
      </c>
      <c r="N145" s="57">
        <v>2019</v>
      </c>
      <c r="O145" s="57" t="s">
        <v>210</v>
      </c>
      <c r="P145" s="58">
        <v>40475</v>
      </c>
      <c r="Q145" s="57" t="s">
        <v>143</v>
      </c>
      <c r="R145" s="57" t="s">
        <v>144</v>
      </c>
    </row>
    <row r="146" spans="5:18" ht="13.5" customHeight="1" x14ac:dyDescent="0.25">
      <c r="E146" s="57" t="s">
        <v>140</v>
      </c>
      <c r="F146" s="57" t="s">
        <v>141</v>
      </c>
      <c r="G146" s="57">
        <v>729</v>
      </c>
      <c r="H146" s="57" t="s">
        <v>206</v>
      </c>
      <c r="I146" s="57">
        <v>5419</v>
      </c>
      <c r="J146" s="57" t="s">
        <v>209</v>
      </c>
      <c r="K146" s="57" t="s">
        <v>154</v>
      </c>
      <c r="L146" s="57" t="s">
        <v>155</v>
      </c>
      <c r="M146" s="57">
        <v>2020</v>
      </c>
      <c r="N146" s="57">
        <v>2020</v>
      </c>
      <c r="O146" s="57" t="s">
        <v>210</v>
      </c>
      <c r="P146" s="58">
        <v>40475</v>
      </c>
      <c r="Q146" s="57" t="s">
        <v>143</v>
      </c>
      <c r="R146" s="57" t="s">
        <v>144</v>
      </c>
    </row>
    <row r="147" spans="5:18" ht="13.5" customHeight="1" x14ac:dyDescent="0.25">
      <c r="E147" s="57" t="s">
        <v>140</v>
      </c>
      <c r="F147" s="57" t="s">
        <v>141</v>
      </c>
      <c r="G147" s="57">
        <v>729</v>
      </c>
      <c r="H147" s="57" t="s">
        <v>206</v>
      </c>
      <c r="I147" s="57">
        <v>5419</v>
      </c>
      <c r="J147" s="57" t="s">
        <v>209</v>
      </c>
      <c r="K147" s="57" t="s">
        <v>154</v>
      </c>
      <c r="L147" s="57" t="s">
        <v>155</v>
      </c>
      <c r="M147" s="57">
        <v>2021</v>
      </c>
      <c r="N147" s="57">
        <v>2021</v>
      </c>
      <c r="O147" s="57" t="s">
        <v>210</v>
      </c>
      <c r="P147" s="58">
        <v>43207</v>
      </c>
      <c r="Q147" s="57" t="s">
        <v>115</v>
      </c>
      <c r="R147" s="57" t="s">
        <v>116</v>
      </c>
    </row>
    <row r="148" spans="5:18" ht="13.5" customHeight="1" x14ac:dyDescent="0.25">
      <c r="E148" s="57" t="s">
        <v>140</v>
      </c>
      <c r="F148" s="57" t="s">
        <v>141</v>
      </c>
      <c r="G148" s="57">
        <v>729</v>
      </c>
      <c r="H148" s="57" t="s">
        <v>206</v>
      </c>
      <c r="I148" s="57">
        <v>5312</v>
      </c>
      <c r="J148" s="57" t="s">
        <v>142</v>
      </c>
      <c r="K148" s="57" t="s">
        <v>156</v>
      </c>
      <c r="L148" s="57" t="s">
        <v>134</v>
      </c>
      <c r="M148" s="57">
        <v>2015</v>
      </c>
      <c r="N148" s="57">
        <v>2015</v>
      </c>
      <c r="O148" s="57" t="s">
        <v>23</v>
      </c>
      <c r="P148" s="58">
        <v>3300</v>
      </c>
      <c r="Q148" s="57" t="s">
        <v>145</v>
      </c>
      <c r="R148" s="57" t="s">
        <v>146</v>
      </c>
    </row>
    <row r="149" spans="5:18" ht="13.5" customHeight="1" x14ac:dyDescent="0.25">
      <c r="E149" s="57" t="s">
        <v>140</v>
      </c>
      <c r="F149" s="57" t="s">
        <v>141</v>
      </c>
      <c r="G149" s="57">
        <v>729</v>
      </c>
      <c r="H149" s="57" t="s">
        <v>206</v>
      </c>
      <c r="I149" s="57">
        <v>5312</v>
      </c>
      <c r="J149" s="57" t="s">
        <v>142</v>
      </c>
      <c r="K149" s="57" t="s">
        <v>156</v>
      </c>
      <c r="L149" s="57" t="s">
        <v>134</v>
      </c>
      <c r="M149" s="57">
        <v>2016</v>
      </c>
      <c r="N149" s="57">
        <v>2016</v>
      </c>
      <c r="O149" s="57" t="s">
        <v>23</v>
      </c>
      <c r="P149" s="58">
        <v>2933</v>
      </c>
      <c r="Q149" s="57" t="s">
        <v>115</v>
      </c>
      <c r="R149" s="57" t="s">
        <v>116</v>
      </c>
    </row>
    <row r="150" spans="5:18" ht="13.5" customHeight="1" x14ac:dyDescent="0.25">
      <c r="E150" s="57" t="s">
        <v>140</v>
      </c>
      <c r="F150" s="57" t="s">
        <v>141</v>
      </c>
      <c r="G150" s="57">
        <v>729</v>
      </c>
      <c r="H150" s="57" t="s">
        <v>206</v>
      </c>
      <c r="I150" s="57">
        <v>5312</v>
      </c>
      <c r="J150" s="57" t="s">
        <v>142</v>
      </c>
      <c r="K150" s="57" t="s">
        <v>156</v>
      </c>
      <c r="L150" s="57" t="s">
        <v>134</v>
      </c>
      <c r="M150" s="57">
        <v>2017</v>
      </c>
      <c r="N150" s="57">
        <v>2017</v>
      </c>
      <c r="O150" s="57" t="s">
        <v>23</v>
      </c>
      <c r="P150" s="58">
        <v>3109</v>
      </c>
      <c r="Q150" s="57" t="s">
        <v>145</v>
      </c>
      <c r="R150" s="57" t="s">
        <v>146</v>
      </c>
    </row>
    <row r="151" spans="5:18" ht="13.5" customHeight="1" x14ac:dyDescent="0.25">
      <c r="E151" s="57" t="s">
        <v>140</v>
      </c>
      <c r="F151" s="57" t="s">
        <v>141</v>
      </c>
      <c r="G151" s="57">
        <v>729</v>
      </c>
      <c r="H151" s="57" t="s">
        <v>206</v>
      </c>
      <c r="I151" s="57">
        <v>5312</v>
      </c>
      <c r="J151" s="57" t="s">
        <v>142</v>
      </c>
      <c r="K151" s="57" t="s">
        <v>156</v>
      </c>
      <c r="L151" s="57" t="s">
        <v>134</v>
      </c>
      <c r="M151" s="57">
        <v>2018</v>
      </c>
      <c r="N151" s="57">
        <v>2018</v>
      </c>
      <c r="O151" s="57" t="s">
        <v>23</v>
      </c>
      <c r="P151" s="58">
        <v>3114</v>
      </c>
      <c r="Q151" s="57" t="s">
        <v>115</v>
      </c>
      <c r="R151" s="57" t="s">
        <v>116</v>
      </c>
    </row>
    <row r="152" spans="5:18" ht="13.5" customHeight="1" x14ac:dyDescent="0.25">
      <c r="E152" s="57" t="s">
        <v>140</v>
      </c>
      <c r="F152" s="57" t="s">
        <v>141</v>
      </c>
      <c r="G152" s="57">
        <v>729</v>
      </c>
      <c r="H152" s="57" t="s">
        <v>206</v>
      </c>
      <c r="I152" s="57">
        <v>5312</v>
      </c>
      <c r="J152" s="57" t="s">
        <v>142</v>
      </c>
      <c r="K152" s="57" t="s">
        <v>156</v>
      </c>
      <c r="L152" s="57" t="s">
        <v>134</v>
      </c>
      <c r="M152" s="57">
        <v>2019</v>
      </c>
      <c r="N152" s="57">
        <v>2019</v>
      </c>
      <c r="O152" s="57" t="s">
        <v>23</v>
      </c>
      <c r="P152" s="58">
        <v>3052</v>
      </c>
      <c r="Q152" s="57" t="s">
        <v>115</v>
      </c>
      <c r="R152" s="57" t="s">
        <v>116</v>
      </c>
    </row>
    <row r="153" spans="5:18" ht="13.5" customHeight="1" x14ac:dyDescent="0.25">
      <c r="E153" s="57" t="s">
        <v>140</v>
      </c>
      <c r="F153" s="57" t="s">
        <v>141</v>
      </c>
      <c r="G153" s="57">
        <v>729</v>
      </c>
      <c r="H153" s="57" t="s">
        <v>206</v>
      </c>
      <c r="I153" s="57">
        <v>5312</v>
      </c>
      <c r="J153" s="57" t="s">
        <v>142</v>
      </c>
      <c r="K153" s="57" t="s">
        <v>156</v>
      </c>
      <c r="L153" s="57" t="s">
        <v>134</v>
      </c>
      <c r="M153" s="57">
        <v>2020</v>
      </c>
      <c r="N153" s="57">
        <v>2020</v>
      </c>
      <c r="O153" s="57" t="s">
        <v>23</v>
      </c>
      <c r="P153" s="58">
        <v>3092</v>
      </c>
      <c r="Q153" s="57" t="s">
        <v>115</v>
      </c>
      <c r="R153" s="57" t="s">
        <v>116</v>
      </c>
    </row>
    <row r="154" spans="5:18" ht="13.5" customHeight="1" x14ac:dyDescent="0.25">
      <c r="E154" s="57" t="s">
        <v>140</v>
      </c>
      <c r="F154" s="57" t="s">
        <v>141</v>
      </c>
      <c r="G154" s="57">
        <v>729</v>
      </c>
      <c r="H154" s="57" t="s">
        <v>206</v>
      </c>
      <c r="I154" s="57">
        <v>5312</v>
      </c>
      <c r="J154" s="57" t="s">
        <v>142</v>
      </c>
      <c r="K154" s="57" t="s">
        <v>156</v>
      </c>
      <c r="L154" s="57" t="s">
        <v>134</v>
      </c>
      <c r="M154" s="57">
        <v>2021</v>
      </c>
      <c r="N154" s="57">
        <v>2021</v>
      </c>
      <c r="O154" s="57" t="s">
        <v>23</v>
      </c>
      <c r="P154" s="58">
        <v>3086</v>
      </c>
      <c r="Q154" s="57" t="s">
        <v>115</v>
      </c>
      <c r="R154" s="57" t="s">
        <v>116</v>
      </c>
    </row>
    <row r="155" spans="5:18" ht="13.5" customHeight="1" x14ac:dyDescent="0.25">
      <c r="E155" s="57" t="s">
        <v>140</v>
      </c>
      <c r="F155" s="57" t="s">
        <v>141</v>
      </c>
      <c r="G155" s="57">
        <v>729</v>
      </c>
      <c r="H155" s="57" t="s">
        <v>206</v>
      </c>
      <c r="I155" s="57">
        <v>5419</v>
      </c>
      <c r="J155" s="57" t="s">
        <v>209</v>
      </c>
      <c r="K155" s="57" t="s">
        <v>156</v>
      </c>
      <c r="L155" s="57" t="s">
        <v>134</v>
      </c>
      <c r="M155" s="57">
        <v>2015</v>
      </c>
      <c r="N155" s="57">
        <v>2015</v>
      </c>
      <c r="O155" s="57" t="s">
        <v>210</v>
      </c>
      <c r="P155" s="58">
        <v>32105</v>
      </c>
      <c r="Q155" s="57" t="s">
        <v>115</v>
      </c>
      <c r="R155" s="57" t="s">
        <v>116</v>
      </c>
    </row>
    <row r="156" spans="5:18" ht="13.5" customHeight="1" x14ac:dyDescent="0.25">
      <c r="E156" s="57" t="s">
        <v>140</v>
      </c>
      <c r="F156" s="57" t="s">
        <v>141</v>
      </c>
      <c r="G156" s="57">
        <v>729</v>
      </c>
      <c r="H156" s="57" t="s">
        <v>206</v>
      </c>
      <c r="I156" s="57">
        <v>5419</v>
      </c>
      <c r="J156" s="57" t="s">
        <v>209</v>
      </c>
      <c r="K156" s="57" t="s">
        <v>156</v>
      </c>
      <c r="L156" s="57" t="s">
        <v>134</v>
      </c>
      <c r="M156" s="57">
        <v>2016</v>
      </c>
      <c r="N156" s="57">
        <v>2016</v>
      </c>
      <c r="O156" s="57" t="s">
        <v>210</v>
      </c>
      <c r="P156" s="58">
        <v>34198</v>
      </c>
      <c r="Q156" s="57" t="s">
        <v>115</v>
      </c>
      <c r="R156" s="57" t="s">
        <v>116</v>
      </c>
    </row>
    <row r="157" spans="5:18" ht="13.5" customHeight="1" x14ac:dyDescent="0.25">
      <c r="E157" s="57" t="s">
        <v>140</v>
      </c>
      <c r="F157" s="57" t="s">
        <v>141</v>
      </c>
      <c r="G157" s="57">
        <v>729</v>
      </c>
      <c r="H157" s="57" t="s">
        <v>206</v>
      </c>
      <c r="I157" s="57">
        <v>5419</v>
      </c>
      <c r="J157" s="57" t="s">
        <v>209</v>
      </c>
      <c r="K157" s="57" t="s">
        <v>156</v>
      </c>
      <c r="L157" s="57" t="s">
        <v>134</v>
      </c>
      <c r="M157" s="57">
        <v>2017</v>
      </c>
      <c r="N157" s="57">
        <v>2017</v>
      </c>
      <c r="O157" s="57" t="s">
        <v>210</v>
      </c>
      <c r="P157" s="58">
        <v>33236</v>
      </c>
      <c r="Q157" s="57" t="s">
        <v>115</v>
      </c>
      <c r="R157" s="57" t="s">
        <v>116</v>
      </c>
    </row>
    <row r="158" spans="5:18" ht="13.5" customHeight="1" x14ac:dyDescent="0.25">
      <c r="E158" s="57" t="s">
        <v>140</v>
      </c>
      <c r="F158" s="57" t="s">
        <v>141</v>
      </c>
      <c r="G158" s="57">
        <v>729</v>
      </c>
      <c r="H158" s="57" t="s">
        <v>206</v>
      </c>
      <c r="I158" s="57">
        <v>5419</v>
      </c>
      <c r="J158" s="57" t="s">
        <v>209</v>
      </c>
      <c r="K158" s="57" t="s">
        <v>156</v>
      </c>
      <c r="L158" s="57" t="s">
        <v>134</v>
      </c>
      <c r="M158" s="57">
        <v>2018</v>
      </c>
      <c r="N158" s="57">
        <v>2018</v>
      </c>
      <c r="O158" s="57" t="s">
        <v>210</v>
      </c>
      <c r="P158" s="58">
        <v>33139</v>
      </c>
      <c r="Q158" s="57" t="s">
        <v>115</v>
      </c>
      <c r="R158" s="57" t="s">
        <v>116</v>
      </c>
    </row>
    <row r="159" spans="5:18" ht="13.5" customHeight="1" x14ac:dyDescent="0.25">
      <c r="E159" s="57" t="s">
        <v>140</v>
      </c>
      <c r="F159" s="57" t="s">
        <v>141</v>
      </c>
      <c r="G159" s="57">
        <v>729</v>
      </c>
      <c r="H159" s="57" t="s">
        <v>206</v>
      </c>
      <c r="I159" s="57">
        <v>5419</v>
      </c>
      <c r="J159" s="57" t="s">
        <v>209</v>
      </c>
      <c r="K159" s="57" t="s">
        <v>156</v>
      </c>
      <c r="L159" s="57" t="s">
        <v>134</v>
      </c>
      <c r="M159" s="57">
        <v>2019</v>
      </c>
      <c r="N159" s="57">
        <v>2019</v>
      </c>
      <c r="O159" s="57" t="s">
        <v>210</v>
      </c>
      <c r="P159" s="58">
        <v>33511</v>
      </c>
      <c r="Q159" s="57" t="s">
        <v>115</v>
      </c>
      <c r="R159" s="57" t="s">
        <v>116</v>
      </c>
    </row>
    <row r="160" spans="5:18" ht="13.5" customHeight="1" x14ac:dyDescent="0.25">
      <c r="E160" s="57" t="s">
        <v>140</v>
      </c>
      <c r="F160" s="57" t="s">
        <v>141</v>
      </c>
      <c r="G160" s="57">
        <v>729</v>
      </c>
      <c r="H160" s="57" t="s">
        <v>206</v>
      </c>
      <c r="I160" s="57">
        <v>5419</v>
      </c>
      <c r="J160" s="57" t="s">
        <v>209</v>
      </c>
      <c r="K160" s="57" t="s">
        <v>156</v>
      </c>
      <c r="L160" s="57" t="s">
        <v>134</v>
      </c>
      <c r="M160" s="57">
        <v>2020</v>
      </c>
      <c r="N160" s="57">
        <v>2020</v>
      </c>
      <c r="O160" s="57" t="s">
        <v>210</v>
      </c>
      <c r="P160" s="58">
        <v>33294</v>
      </c>
      <c r="Q160" s="57" t="s">
        <v>115</v>
      </c>
      <c r="R160" s="57" t="s">
        <v>116</v>
      </c>
    </row>
    <row r="161" spans="5:18" ht="13.5" customHeight="1" x14ac:dyDescent="0.25">
      <c r="E161" s="57" t="s">
        <v>140</v>
      </c>
      <c r="F161" s="57" t="s">
        <v>141</v>
      </c>
      <c r="G161" s="57">
        <v>729</v>
      </c>
      <c r="H161" s="57" t="s">
        <v>206</v>
      </c>
      <c r="I161" s="57">
        <v>5419</v>
      </c>
      <c r="J161" s="57" t="s">
        <v>209</v>
      </c>
      <c r="K161" s="57" t="s">
        <v>156</v>
      </c>
      <c r="L161" s="57" t="s">
        <v>134</v>
      </c>
      <c r="M161" s="57">
        <v>2021</v>
      </c>
      <c r="N161" s="57">
        <v>2021</v>
      </c>
      <c r="O161" s="57" t="s">
        <v>210</v>
      </c>
      <c r="P161" s="58">
        <v>33313</v>
      </c>
      <c r="Q161" s="57" t="s">
        <v>115</v>
      </c>
      <c r="R161" s="57" t="s">
        <v>116</v>
      </c>
    </row>
    <row r="162" spans="5:18" ht="13.5" customHeight="1" x14ac:dyDescent="0.25">
      <c r="E162" s="57" t="s">
        <v>140</v>
      </c>
      <c r="F162" s="57" t="s">
        <v>141</v>
      </c>
      <c r="G162" s="57">
        <v>729</v>
      </c>
      <c r="H162" s="57" t="s">
        <v>206</v>
      </c>
      <c r="I162" s="57">
        <v>5312</v>
      </c>
      <c r="J162" s="57" t="s">
        <v>142</v>
      </c>
      <c r="K162" s="57" t="s">
        <v>157</v>
      </c>
      <c r="L162" s="57" t="s">
        <v>158</v>
      </c>
      <c r="M162" s="57">
        <v>2015</v>
      </c>
      <c r="N162" s="57">
        <v>2015</v>
      </c>
      <c r="O162" s="57" t="s">
        <v>23</v>
      </c>
      <c r="P162" s="58">
        <v>4620</v>
      </c>
      <c r="Q162" s="57" t="s">
        <v>143</v>
      </c>
      <c r="R162" s="57" t="s">
        <v>144</v>
      </c>
    </row>
    <row r="163" spans="5:18" ht="13.5" customHeight="1" x14ac:dyDescent="0.25">
      <c r="E163" s="57" t="s">
        <v>140</v>
      </c>
      <c r="F163" s="57" t="s">
        <v>141</v>
      </c>
      <c r="G163" s="57">
        <v>729</v>
      </c>
      <c r="H163" s="57" t="s">
        <v>206</v>
      </c>
      <c r="I163" s="57">
        <v>5312</v>
      </c>
      <c r="J163" s="57" t="s">
        <v>142</v>
      </c>
      <c r="K163" s="57" t="s">
        <v>157</v>
      </c>
      <c r="L163" s="57" t="s">
        <v>158</v>
      </c>
      <c r="M163" s="57">
        <v>2016</v>
      </c>
      <c r="N163" s="57">
        <v>2016</v>
      </c>
      <c r="O163" s="57" t="s">
        <v>23</v>
      </c>
      <c r="P163" s="58">
        <v>5145</v>
      </c>
      <c r="Q163" s="57" t="s">
        <v>143</v>
      </c>
      <c r="R163" s="57" t="s">
        <v>144</v>
      </c>
    </row>
    <row r="164" spans="5:18" ht="13.5" customHeight="1" x14ac:dyDescent="0.25">
      <c r="E164" s="57" t="s">
        <v>140</v>
      </c>
      <c r="F164" s="57" t="s">
        <v>141</v>
      </c>
      <c r="G164" s="57">
        <v>729</v>
      </c>
      <c r="H164" s="57" t="s">
        <v>206</v>
      </c>
      <c r="I164" s="57">
        <v>5312</v>
      </c>
      <c r="J164" s="57" t="s">
        <v>142</v>
      </c>
      <c r="K164" s="57" t="s">
        <v>157</v>
      </c>
      <c r="L164" s="57" t="s">
        <v>158</v>
      </c>
      <c r="M164" s="57">
        <v>2017</v>
      </c>
      <c r="N164" s="57">
        <v>2017</v>
      </c>
      <c r="O164" s="57" t="s">
        <v>23</v>
      </c>
      <c r="P164" s="58">
        <v>5172</v>
      </c>
      <c r="Q164" s="57" t="s">
        <v>143</v>
      </c>
      <c r="R164" s="57" t="s">
        <v>144</v>
      </c>
    </row>
    <row r="165" spans="5:18" ht="13.5" customHeight="1" x14ac:dyDescent="0.25">
      <c r="E165" s="57" t="s">
        <v>140</v>
      </c>
      <c r="F165" s="57" t="s">
        <v>141</v>
      </c>
      <c r="G165" s="57">
        <v>729</v>
      </c>
      <c r="H165" s="57" t="s">
        <v>206</v>
      </c>
      <c r="I165" s="57">
        <v>5312</v>
      </c>
      <c r="J165" s="57" t="s">
        <v>142</v>
      </c>
      <c r="K165" s="57" t="s">
        <v>157</v>
      </c>
      <c r="L165" s="57" t="s">
        <v>158</v>
      </c>
      <c r="M165" s="57">
        <v>2018</v>
      </c>
      <c r="N165" s="57">
        <v>2018</v>
      </c>
      <c r="O165" s="57" t="s">
        <v>23</v>
      </c>
      <c r="P165" s="58">
        <v>6036</v>
      </c>
      <c r="Q165" s="57" t="s">
        <v>145</v>
      </c>
      <c r="R165" s="57" t="s">
        <v>146</v>
      </c>
    </row>
    <row r="166" spans="5:18" ht="13.5" customHeight="1" x14ac:dyDescent="0.25">
      <c r="E166" s="57" t="s">
        <v>140</v>
      </c>
      <c r="F166" s="57" t="s">
        <v>141</v>
      </c>
      <c r="G166" s="57">
        <v>729</v>
      </c>
      <c r="H166" s="57" t="s">
        <v>206</v>
      </c>
      <c r="I166" s="57">
        <v>5312</v>
      </c>
      <c r="J166" s="57" t="s">
        <v>142</v>
      </c>
      <c r="K166" s="57" t="s">
        <v>157</v>
      </c>
      <c r="L166" s="57" t="s">
        <v>158</v>
      </c>
      <c r="M166" s="57">
        <v>2019</v>
      </c>
      <c r="N166" s="57">
        <v>2019</v>
      </c>
      <c r="O166" s="57" t="s">
        <v>23</v>
      </c>
      <c r="P166" s="58">
        <v>7487</v>
      </c>
      <c r="Q166" s="57" t="s">
        <v>145</v>
      </c>
      <c r="R166" s="57" t="s">
        <v>146</v>
      </c>
    </row>
    <row r="167" spans="5:18" ht="13.5" customHeight="1" x14ac:dyDescent="0.25">
      <c r="E167" s="57" t="s">
        <v>140</v>
      </c>
      <c r="F167" s="57" t="s">
        <v>141</v>
      </c>
      <c r="G167" s="57">
        <v>729</v>
      </c>
      <c r="H167" s="57" t="s">
        <v>206</v>
      </c>
      <c r="I167" s="57">
        <v>5312</v>
      </c>
      <c r="J167" s="57" t="s">
        <v>142</v>
      </c>
      <c r="K167" s="57" t="s">
        <v>157</v>
      </c>
      <c r="L167" s="57" t="s">
        <v>158</v>
      </c>
      <c r="M167" s="57">
        <v>2020</v>
      </c>
      <c r="N167" s="57">
        <v>2020</v>
      </c>
      <c r="O167" s="57" t="s">
        <v>23</v>
      </c>
      <c r="P167" s="58">
        <v>7828</v>
      </c>
      <c r="Q167" s="57" t="s">
        <v>145</v>
      </c>
      <c r="R167" s="57" t="s">
        <v>146</v>
      </c>
    </row>
    <row r="168" spans="5:18" ht="13.5" customHeight="1" x14ac:dyDescent="0.25">
      <c r="E168" s="57" t="s">
        <v>140</v>
      </c>
      <c r="F168" s="57" t="s">
        <v>141</v>
      </c>
      <c r="G168" s="57">
        <v>729</v>
      </c>
      <c r="H168" s="57" t="s">
        <v>206</v>
      </c>
      <c r="I168" s="57">
        <v>5312</v>
      </c>
      <c r="J168" s="57" t="s">
        <v>142</v>
      </c>
      <c r="K168" s="57" t="s">
        <v>157</v>
      </c>
      <c r="L168" s="57" t="s">
        <v>158</v>
      </c>
      <c r="M168" s="57">
        <v>2021</v>
      </c>
      <c r="N168" s="57">
        <v>2021</v>
      </c>
      <c r="O168" s="57" t="s">
        <v>23</v>
      </c>
      <c r="P168" s="58">
        <v>8548</v>
      </c>
      <c r="Q168" s="57" t="s">
        <v>145</v>
      </c>
      <c r="R168" s="57" t="s">
        <v>146</v>
      </c>
    </row>
    <row r="169" spans="5:18" ht="13.5" customHeight="1" x14ac:dyDescent="0.25">
      <c r="E169" s="57" t="s">
        <v>140</v>
      </c>
      <c r="F169" s="57" t="s">
        <v>141</v>
      </c>
      <c r="G169" s="57">
        <v>729</v>
      </c>
      <c r="H169" s="57" t="s">
        <v>206</v>
      </c>
      <c r="I169" s="57">
        <v>5419</v>
      </c>
      <c r="J169" s="57" t="s">
        <v>209</v>
      </c>
      <c r="K169" s="57" t="s">
        <v>157</v>
      </c>
      <c r="L169" s="57" t="s">
        <v>158</v>
      </c>
      <c r="M169" s="57">
        <v>2015</v>
      </c>
      <c r="N169" s="57">
        <v>2015</v>
      </c>
      <c r="O169" s="57" t="s">
        <v>210</v>
      </c>
      <c r="P169" s="58">
        <v>61688</v>
      </c>
      <c r="Q169" s="57" t="s">
        <v>143</v>
      </c>
      <c r="R169" s="57" t="s">
        <v>144</v>
      </c>
    </row>
    <row r="170" spans="5:18" ht="13.5" customHeight="1" x14ac:dyDescent="0.25">
      <c r="E170" s="57" t="s">
        <v>140</v>
      </c>
      <c r="F170" s="57" t="s">
        <v>141</v>
      </c>
      <c r="G170" s="57">
        <v>729</v>
      </c>
      <c r="H170" s="57" t="s">
        <v>206</v>
      </c>
      <c r="I170" s="57">
        <v>5419</v>
      </c>
      <c r="J170" s="57" t="s">
        <v>209</v>
      </c>
      <c r="K170" s="57" t="s">
        <v>157</v>
      </c>
      <c r="L170" s="57" t="s">
        <v>158</v>
      </c>
      <c r="M170" s="57">
        <v>2016</v>
      </c>
      <c r="N170" s="57">
        <v>2016</v>
      </c>
      <c r="O170" s="57" t="s">
        <v>210</v>
      </c>
      <c r="P170" s="58">
        <v>74052</v>
      </c>
      <c r="Q170" s="57" t="s">
        <v>143</v>
      </c>
      <c r="R170" s="57" t="s">
        <v>144</v>
      </c>
    </row>
    <row r="171" spans="5:18" ht="13.5" customHeight="1" x14ac:dyDescent="0.25">
      <c r="E171" s="57" t="s">
        <v>140</v>
      </c>
      <c r="F171" s="57" t="s">
        <v>141</v>
      </c>
      <c r="G171" s="57">
        <v>729</v>
      </c>
      <c r="H171" s="57" t="s">
        <v>206</v>
      </c>
      <c r="I171" s="57">
        <v>5419</v>
      </c>
      <c r="J171" s="57" t="s">
        <v>209</v>
      </c>
      <c r="K171" s="57" t="s">
        <v>157</v>
      </c>
      <c r="L171" s="57" t="s">
        <v>158</v>
      </c>
      <c r="M171" s="57">
        <v>2017</v>
      </c>
      <c r="N171" s="57">
        <v>2017</v>
      </c>
      <c r="O171" s="57" t="s">
        <v>210</v>
      </c>
      <c r="P171" s="58">
        <v>74246</v>
      </c>
      <c r="Q171" s="57" t="s">
        <v>143</v>
      </c>
      <c r="R171" s="57" t="s">
        <v>144</v>
      </c>
    </row>
    <row r="172" spans="5:18" ht="13.5" customHeight="1" x14ac:dyDescent="0.25">
      <c r="E172" s="57" t="s">
        <v>140</v>
      </c>
      <c r="F172" s="57" t="s">
        <v>141</v>
      </c>
      <c r="G172" s="57">
        <v>729</v>
      </c>
      <c r="H172" s="57" t="s">
        <v>206</v>
      </c>
      <c r="I172" s="57">
        <v>5419</v>
      </c>
      <c r="J172" s="57" t="s">
        <v>209</v>
      </c>
      <c r="K172" s="57" t="s">
        <v>157</v>
      </c>
      <c r="L172" s="57" t="s">
        <v>158</v>
      </c>
      <c r="M172" s="57">
        <v>2018</v>
      </c>
      <c r="N172" s="57">
        <v>2018</v>
      </c>
      <c r="O172" s="57" t="s">
        <v>210</v>
      </c>
      <c r="P172" s="58">
        <v>72608</v>
      </c>
      <c r="Q172" s="57" t="s">
        <v>115</v>
      </c>
      <c r="R172" s="57" t="s">
        <v>116</v>
      </c>
    </row>
    <row r="173" spans="5:18" ht="13.5" customHeight="1" x14ac:dyDescent="0.25">
      <c r="E173" s="57" t="s">
        <v>140</v>
      </c>
      <c r="F173" s="57" t="s">
        <v>141</v>
      </c>
      <c r="G173" s="57">
        <v>729</v>
      </c>
      <c r="H173" s="57" t="s">
        <v>206</v>
      </c>
      <c r="I173" s="57">
        <v>5419</v>
      </c>
      <c r="J173" s="57" t="s">
        <v>209</v>
      </c>
      <c r="K173" s="57" t="s">
        <v>157</v>
      </c>
      <c r="L173" s="57" t="s">
        <v>158</v>
      </c>
      <c r="M173" s="57">
        <v>2019</v>
      </c>
      <c r="N173" s="57">
        <v>2019</v>
      </c>
      <c r="O173" s="57" t="s">
        <v>210</v>
      </c>
      <c r="P173" s="58">
        <v>70010</v>
      </c>
      <c r="Q173" s="57" t="s">
        <v>115</v>
      </c>
      <c r="R173" s="57" t="s">
        <v>116</v>
      </c>
    </row>
    <row r="174" spans="5:18" ht="13.5" customHeight="1" x14ac:dyDescent="0.25">
      <c r="E174" s="57" t="s">
        <v>140</v>
      </c>
      <c r="F174" s="57" t="s">
        <v>141</v>
      </c>
      <c r="G174" s="57">
        <v>729</v>
      </c>
      <c r="H174" s="57" t="s">
        <v>206</v>
      </c>
      <c r="I174" s="57">
        <v>5419</v>
      </c>
      <c r="J174" s="57" t="s">
        <v>209</v>
      </c>
      <c r="K174" s="57" t="s">
        <v>157</v>
      </c>
      <c r="L174" s="57" t="s">
        <v>158</v>
      </c>
      <c r="M174" s="57">
        <v>2020</v>
      </c>
      <c r="N174" s="57">
        <v>2020</v>
      </c>
      <c r="O174" s="57" t="s">
        <v>210</v>
      </c>
      <c r="P174" s="58">
        <v>70363</v>
      </c>
      <c r="Q174" s="57" t="s">
        <v>115</v>
      </c>
      <c r="R174" s="57" t="s">
        <v>116</v>
      </c>
    </row>
    <row r="175" spans="5:18" ht="13.5" customHeight="1" x14ac:dyDescent="0.25">
      <c r="E175" s="57" t="s">
        <v>140</v>
      </c>
      <c r="F175" s="57" t="s">
        <v>141</v>
      </c>
      <c r="G175" s="57">
        <v>729</v>
      </c>
      <c r="H175" s="57" t="s">
        <v>206</v>
      </c>
      <c r="I175" s="57">
        <v>5419</v>
      </c>
      <c r="J175" s="57" t="s">
        <v>209</v>
      </c>
      <c r="K175" s="57" t="s">
        <v>157</v>
      </c>
      <c r="L175" s="57" t="s">
        <v>158</v>
      </c>
      <c r="M175" s="57">
        <v>2021</v>
      </c>
      <c r="N175" s="57">
        <v>2021</v>
      </c>
      <c r="O175" s="57" t="s">
        <v>210</v>
      </c>
      <c r="P175" s="58">
        <v>70273</v>
      </c>
      <c r="Q175" s="57" t="s">
        <v>115</v>
      </c>
      <c r="R175" s="57" t="s">
        <v>116</v>
      </c>
    </row>
    <row r="176" spans="5:18" ht="13.5" customHeight="1" x14ac:dyDescent="0.25">
      <c r="E176" s="57" t="s">
        <v>140</v>
      </c>
      <c r="F176" s="57" t="s">
        <v>141</v>
      </c>
      <c r="G176" s="57">
        <v>729</v>
      </c>
      <c r="H176" s="57" t="s">
        <v>206</v>
      </c>
      <c r="I176" s="57">
        <v>5312</v>
      </c>
      <c r="J176" s="57" t="s">
        <v>142</v>
      </c>
      <c r="K176" s="57" t="s">
        <v>159</v>
      </c>
      <c r="L176" s="57" t="s">
        <v>122</v>
      </c>
      <c r="M176" s="57">
        <v>2015</v>
      </c>
      <c r="N176" s="57">
        <v>2015</v>
      </c>
      <c r="O176" s="57" t="s">
        <v>23</v>
      </c>
      <c r="P176" s="58">
        <v>169260</v>
      </c>
      <c r="Q176" s="57" t="s">
        <v>143</v>
      </c>
      <c r="R176" s="57" t="s">
        <v>144</v>
      </c>
    </row>
    <row r="177" spans="5:18" ht="13.5" customHeight="1" x14ac:dyDescent="0.25">
      <c r="E177" s="57" t="s">
        <v>140</v>
      </c>
      <c r="F177" s="57" t="s">
        <v>141</v>
      </c>
      <c r="G177" s="57">
        <v>729</v>
      </c>
      <c r="H177" s="57" t="s">
        <v>206</v>
      </c>
      <c r="I177" s="57">
        <v>5312</v>
      </c>
      <c r="J177" s="57" t="s">
        <v>142</v>
      </c>
      <c r="K177" s="57" t="s">
        <v>159</v>
      </c>
      <c r="L177" s="57" t="s">
        <v>122</v>
      </c>
      <c r="M177" s="57">
        <v>2016</v>
      </c>
      <c r="N177" s="57">
        <v>2016</v>
      </c>
      <c r="O177" s="57" t="s">
        <v>23</v>
      </c>
      <c r="P177" s="58">
        <v>307860</v>
      </c>
      <c r="Q177" s="57" t="s">
        <v>143</v>
      </c>
      <c r="R177" s="57" t="s">
        <v>144</v>
      </c>
    </row>
    <row r="178" spans="5:18" ht="13.5" customHeight="1" x14ac:dyDescent="0.25">
      <c r="E178" s="57" t="s">
        <v>140</v>
      </c>
      <c r="F178" s="57" t="s">
        <v>141</v>
      </c>
      <c r="G178" s="57">
        <v>729</v>
      </c>
      <c r="H178" s="57" t="s">
        <v>206</v>
      </c>
      <c r="I178" s="57">
        <v>5312</v>
      </c>
      <c r="J178" s="57" t="s">
        <v>142</v>
      </c>
      <c r="K178" s="57" t="s">
        <v>159</v>
      </c>
      <c r="L178" s="57" t="s">
        <v>122</v>
      </c>
      <c r="M178" s="57">
        <v>2017</v>
      </c>
      <c r="N178" s="57">
        <v>2017</v>
      </c>
      <c r="O178" s="57" t="s">
        <v>23</v>
      </c>
      <c r="P178" s="58">
        <v>158936</v>
      </c>
      <c r="Q178" s="57" t="s">
        <v>143</v>
      </c>
      <c r="R178" s="57" t="s">
        <v>144</v>
      </c>
    </row>
    <row r="179" spans="5:18" ht="13.5" customHeight="1" x14ac:dyDescent="0.25">
      <c r="E179" s="57" t="s">
        <v>140</v>
      </c>
      <c r="F179" s="57" t="s">
        <v>141</v>
      </c>
      <c r="G179" s="57">
        <v>729</v>
      </c>
      <c r="H179" s="57" t="s">
        <v>206</v>
      </c>
      <c r="I179" s="57">
        <v>5312</v>
      </c>
      <c r="J179" s="57" t="s">
        <v>142</v>
      </c>
      <c r="K179" s="57" t="s">
        <v>159</v>
      </c>
      <c r="L179" s="57" t="s">
        <v>122</v>
      </c>
      <c r="M179" s="57">
        <v>2018</v>
      </c>
      <c r="N179" s="57">
        <v>2018</v>
      </c>
      <c r="O179" s="57" t="s">
        <v>23</v>
      </c>
      <c r="P179" s="58">
        <v>135332</v>
      </c>
      <c r="Q179" s="57" t="s">
        <v>143</v>
      </c>
      <c r="R179" s="57" t="s">
        <v>144</v>
      </c>
    </row>
    <row r="180" spans="5:18" ht="13.5" customHeight="1" x14ac:dyDescent="0.25">
      <c r="E180" s="57" t="s">
        <v>140</v>
      </c>
      <c r="F180" s="57" t="s">
        <v>141</v>
      </c>
      <c r="G180" s="57">
        <v>729</v>
      </c>
      <c r="H180" s="57" t="s">
        <v>206</v>
      </c>
      <c r="I180" s="57">
        <v>5312</v>
      </c>
      <c r="J180" s="57" t="s">
        <v>142</v>
      </c>
      <c r="K180" s="57" t="s">
        <v>159</v>
      </c>
      <c r="L180" s="57" t="s">
        <v>122</v>
      </c>
      <c r="M180" s="57">
        <v>2019</v>
      </c>
      <c r="N180" s="57">
        <v>2019</v>
      </c>
      <c r="O180" s="57" t="s">
        <v>23</v>
      </c>
      <c r="P180" s="58">
        <v>339780</v>
      </c>
      <c r="Q180" s="57" t="s">
        <v>143</v>
      </c>
      <c r="R180" s="57" t="s">
        <v>144</v>
      </c>
    </row>
    <row r="181" spans="5:18" ht="13.5" customHeight="1" x14ac:dyDescent="0.25">
      <c r="E181" s="57" t="s">
        <v>140</v>
      </c>
      <c r="F181" s="57" t="s">
        <v>141</v>
      </c>
      <c r="G181" s="57">
        <v>729</v>
      </c>
      <c r="H181" s="57" t="s">
        <v>206</v>
      </c>
      <c r="I181" s="57">
        <v>5312</v>
      </c>
      <c r="J181" s="57" t="s">
        <v>142</v>
      </c>
      <c r="K181" s="57" t="s">
        <v>159</v>
      </c>
      <c r="L181" s="57" t="s">
        <v>122</v>
      </c>
      <c r="M181" s="57">
        <v>2020</v>
      </c>
      <c r="N181" s="57">
        <v>2020</v>
      </c>
      <c r="O181" s="57" t="s">
        <v>23</v>
      </c>
      <c r="P181" s="58">
        <v>853088</v>
      </c>
      <c r="Q181" s="57" t="s">
        <v>143</v>
      </c>
      <c r="R181" s="57" t="s">
        <v>144</v>
      </c>
    </row>
    <row r="182" spans="5:18" ht="13.5" customHeight="1" x14ac:dyDescent="0.25">
      <c r="E182" s="57" t="s">
        <v>140</v>
      </c>
      <c r="F182" s="57" t="s">
        <v>141</v>
      </c>
      <c r="G182" s="57">
        <v>729</v>
      </c>
      <c r="H182" s="57" t="s">
        <v>206</v>
      </c>
      <c r="I182" s="57">
        <v>5312</v>
      </c>
      <c r="J182" s="57" t="s">
        <v>142</v>
      </c>
      <c r="K182" s="57" t="s">
        <v>159</v>
      </c>
      <c r="L182" s="57" t="s">
        <v>122</v>
      </c>
      <c r="M182" s="57">
        <v>2021</v>
      </c>
      <c r="N182" s="57">
        <v>2021</v>
      </c>
      <c r="O182" s="57" t="s">
        <v>23</v>
      </c>
      <c r="P182" s="58">
        <v>221353</v>
      </c>
      <c r="Q182" s="57" t="s">
        <v>115</v>
      </c>
      <c r="R182" s="57" t="s">
        <v>116</v>
      </c>
    </row>
    <row r="183" spans="5:18" ht="13.5" customHeight="1" x14ac:dyDescent="0.25">
      <c r="E183" s="57" t="s">
        <v>140</v>
      </c>
      <c r="F183" s="57" t="s">
        <v>141</v>
      </c>
      <c r="G183" s="57">
        <v>729</v>
      </c>
      <c r="H183" s="57" t="s">
        <v>206</v>
      </c>
      <c r="I183" s="57">
        <v>5419</v>
      </c>
      <c r="J183" s="57" t="s">
        <v>209</v>
      </c>
      <c r="K183" s="57" t="s">
        <v>159</v>
      </c>
      <c r="L183" s="57" t="s">
        <v>122</v>
      </c>
      <c r="M183" s="57">
        <v>2015</v>
      </c>
      <c r="N183" s="57">
        <v>2015</v>
      </c>
      <c r="O183" s="57" t="s">
        <v>210</v>
      </c>
      <c r="P183" s="58">
        <v>2777</v>
      </c>
      <c r="Q183" s="57" t="s">
        <v>143</v>
      </c>
      <c r="R183" s="57" t="s">
        <v>144</v>
      </c>
    </row>
    <row r="184" spans="5:18" ht="13.5" customHeight="1" x14ac:dyDescent="0.25">
      <c r="E184" s="57" t="s">
        <v>140</v>
      </c>
      <c r="F184" s="57" t="s">
        <v>141</v>
      </c>
      <c r="G184" s="57">
        <v>729</v>
      </c>
      <c r="H184" s="57" t="s">
        <v>206</v>
      </c>
      <c r="I184" s="57">
        <v>5419</v>
      </c>
      <c r="J184" s="57" t="s">
        <v>209</v>
      </c>
      <c r="K184" s="57" t="s">
        <v>159</v>
      </c>
      <c r="L184" s="57" t="s">
        <v>122</v>
      </c>
      <c r="M184" s="57">
        <v>2016</v>
      </c>
      <c r="N184" s="57">
        <v>2016</v>
      </c>
      <c r="O184" s="57" t="s">
        <v>210</v>
      </c>
      <c r="P184" s="58">
        <v>5360</v>
      </c>
      <c r="Q184" s="57" t="s">
        <v>143</v>
      </c>
      <c r="R184" s="57" t="s">
        <v>144</v>
      </c>
    </row>
    <row r="185" spans="5:18" ht="13.5" customHeight="1" x14ac:dyDescent="0.25">
      <c r="E185" s="57" t="s">
        <v>140</v>
      </c>
      <c r="F185" s="57" t="s">
        <v>141</v>
      </c>
      <c r="G185" s="57">
        <v>729</v>
      </c>
      <c r="H185" s="57" t="s">
        <v>206</v>
      </c>
      <c r="I185" s="57">
        <v>5419</v>
      </c>
      <c r="J185" s="57" t="s">
        <v>209</v>
      </c>
      <c r="K185" s="57" t="s">
        <v>159</v>
      </c>
      <c r="L185" s="57" t="s">
        <v>122</v>
      </c>
      <c r="M185" s="57">
        <v>2017</v>
      </c>
      <c r="N185" s="57">
        <v>2017</v>
      </c>
      <c r="O185" s="57" t="s">
        <v>210</v>
      </c>
      <c r="P185" s="58">
        <v>10382</v>
      </c>
      <c r="Q185" s="57" t="s">
        <v>143</v>
      </c>
      <c r="R185" s="57" t="s">
        <v>144</v>
      </c>
    </row>
    <row r="186" spans="5:18" ht="13.5" customHeight="1" x14ac:dyDescent="0.25">
      <c r="E186" s="57" t="s">
        <v>140</v>
      </c>
      <c r="F186" s="57" t="s">
        <v>141</v>
      </c>
      <c r="G186" s="57">
        <v>729</v>
      </c>
      <c r="H186" s="57" t="s">
        <v>206</v>
      </c>
      <c r="I186" s="57">
        <v>5419</v>
      </c>
      <c r="J186" s="57" t="s">
        <v>209</v>
      </c>
      <c r="K186" s="57" t="s">
        <v>159</v>
      </c>
      <c r="L186" s="57" t="s">
        <v>122</v>
      </c>
      <c r="M186" s="57">
        <v>2018</v>
      </c>
      <c r="N186" s="57">
        <v>2018</v>
      </c>
      <c r="O186" s="57" t="s">
        <v>210</v>
      </c>
      <c r="P186" s="58">
        <v>12924</v>
      </c>
      <c r="Q186" s="57" t="s">
        <v>143</v>
      </c>
      <c r="R186" s="57" t="s">
        <v>144</v>
      </c>
    </row>
    <row r="187" spans="5:18" ht="13.5" customHeight="1" x14ac:dyDescent="0.25">
      <c r="E187" s="57" t="s">
        <v>140</v>
      </c>
      <c r="F187" s="57" t="s">
        <v>141</v>
      </c>
      <c r="G187" s="57">
        <v>729</v>
      </c>
      <c r="H187" s="57" t="s">
        <v>206</v>
      </c>
      <c r="I187" s="57">
        <v>5419</v>
      </c>
      <c r="J187" s="57" t="s">
        <v>209</v>
      </c>
      <c r="K187" s="57" t="s">
        <v>159</v>
      </c>
      <c r="L187" s="57" t="s">
        <v>122</v>
      </c>
      <c r="M187" s="57">
        <v>2019</v>
      </c>
      <c r="N187" s="57">
        <v>2019</v>
      </c>
      <c r="O187" s="57" t="s">
        <v>210</v>
      </c>
      <c r="P187" s="58">
        <v>4738</v>
      </c>
      <c r="Q187" s="57" t="s">
        <v>143</v>
      </c>
      <c r="R187" s="57" t="s">
        <v>144</v>
      </c>
    </row>
    <row r="188" spans="5:18" ht="13.5" customHeight="1" x14ac:dyDescent="0.25">
      <c r="E188" s="57" t="s">
        <v>140</v>
      </c>
      <c r="F188" s="57" t="s">
        <v>141</v>
      </c>
      <c r="G188" s="57">
        <v>729</v>
      </c>
      <c r="H188" s="57" t="s">
        <v>206</v>
      </c>
      <c r="I188" s="57">
        <v>5419</v>
      </c>
      <c r="J188" s="57" t="s">
        <v>209</v>
      </c>
      <c r="K188" s="57" t="s">
        <v>159</v>
      </c>
      <c r="L188" s="57" t="s">
        <v>122</v>
      </c>
      <c r="M188" s="57">
        <v>2020</v>
      </c>
      <c r="N188" s="57">
        <v>2020</v>
      </c>
      <c r="O188" s="57" t="s">
        <v>210</v>
      </c>
      <c r="P188" s="58">
        <v>1737</v>
      </c>
      <c r="Q188" s="57" t="s">
        <v>143</v>
      </c>
      <c r="R188" s="57" t="s">
        <v>144</v>
      </c>
    </row>
    <row r="189" spans="5:18" ht="13.5" customHeight="1" x14ac:dyDescent="0.25">
      <c r="E189" s="57" t="s">
        <v>140</v>
      </c>
      <c r="F189" s="57" t="s">
        <v>141</v>
      </c>
      <c r="G189" s="57">
        <v>729</v>
      </c>
      <c r="H189" s="57" t="s">
        <v>206</v>
      </c>
      <c r="I189" s="57">
        <v>5419</v>
      </c>
      <c r="J189" s="57" t="s">
        <v>209</v>
      </c>
      <c r="K189" s="57" t="s">
        <v>159</v>
      </c>
      <c r="L189" s="57" t="s">
        <v>122</v>
      </c>
      <c r="M189" s="57">
        <v>2021</v>
      </c>
      <c r="N189" s="57">
        <v>2021</v>
      </c>
      <c r="O189" s="57" t="s">
        <v>210</v>
      </c>
      <c r="P189" s="58">
        <v>7445</v>
      </c>
      <c r="Q189" s="57" t="s">
        <v>115</v>
      </c>
      <c r="R189" s="57" t="s">
        <v>116</v>
      </c>
    </row>
    <row r="190" spans="5:18" ht="13.5" customHeight="1" x14ac:dyDescent="0.25">
      <c r="E190" s="57" t="s">
        <v>140</v>
      </c>
      <c r="F190" s="57" t="s">
        <v>141</v>
      </c>
      <c r="G190" s="57">
        <v>729</v>
      </c>
      <c r="H190" s="57" t="s">
        <v>206</v>
      </c>
      <c r="I190" s="57">
        <v>5312</v>
      </c>
      <c r="J190" s="57" t="s">
        <v>142</v>
      </c>
      <c r="K190" s="57" t="s">
        <v>160</v>
      </c>
      <c r="L190" s="57" t="s">
        <v>137</v>
      </c>
      <c r="M190" s="57">
        <v>2015</v>
      </c>
      <c r="N190" s="57">
        <v>2015</v>
      </c>
      <c r="O190" s="57" t="s">
        <v>23</v>
      </c>
      <c r="P190" s="58">
        <v>14826</v>
      </c>
      <c r="Q190" s="57" t="s">
        <v>143</v>
      </c>
      <c r="R190" s="57" t="s">
        <v>144</v>
      </c>
    </row>
    <row r="191" spans="5:18" ht="13.5" customHeight="1" x14ac:dyDescent="0.25">
      <c r="E191" s="57" t="s">
        <v>140</v>
      </c>
      <c r="F191" s="57" t="s">
        <v>141</v>
      </c>
      <c r="G191" s="57">
        <v>729</v>
      </c>
      <c r="H191" s="57" t="s">
        <v>206</v>
      </c>
      <c r="I191" s="57">
        <v>5312</v>
      </c>
      <c r="J191" s="57" t="s">
        <v>142</v>
      </c>
      <c r="K191" s="57" t="s">
        <v>160</v>
      </c>
      <c r="L191" s="57" t="s">
        <v>137</v>
      </c>
      <c r="M191" s="57">
        <v>2016</v>
      </c>
      <c r="N191" s="57">
        <v>2016</v>
      </c>
      <c r="O191" s="57" t="s">
        <v>23</v>
      </c>
      <c r="P191" s="58">
        <v>28308</v>
      </c>
      <c r="Q191" s="57" t="s">
        <v>143</v>
      </c>
      <c r="R191" s="57" t="s">
        <v>144</v>
      </c>
    </row>
    <row r="192" spans="5:18" ht="13.5" customHeight="1" x14ac:dyDescent="0.25">
      <c r="E192" s="57" t="s">
        <v>140</v>
      </c>
      <c r="F192" s="57" t="s">
        <v>141</v>
      </c>
      <c r="G192" s="57">
        <v>729</v>
      </c>
      <c r="H192" s="57" t="s">
        <v>206</v>
      </c>
      <c r="I192" s="57">
        <v>5312</v>
      </c>
      <c r="J192" s="57" t="s">
        <v>142</v>
      </c>
      <c r="K192" s="57" t="s">
        <v>160</v>
      </c>
      <c r="L192" s="57" t="s">
        <v>137</v>
      </c>
      <c r="M192" s="57">
        <v>2017</v>
      </c>
      <c r="N192" s="57">
        <v>2017</v>
      </c>
      <c r="O192" s="57" t="s">
        <v>23</v>
      </c>
      <c r="P192" s="58">
        <v>11226</v>
      </c>
      <c r="Q192" s="57" t="s">
        <v>143</v>
      </c>
      <c r="R192" s="57" t="s">
        <v>144</v>
      </c>
    </row>
    <row r="193" spans="5:18" ht="13.5" customHeight="1" x14ac:dyDescent="0.25">
      <c r="E193" s="57" t="s">
        <v>140</v>
      </c>
      <c r="F193" s="57" t="s">
        <v>141</v>
      </c>
      <c r="G193" s="57">
        <v>729</v>
      </c>
      <c r="H193" s="57" t="s">
        <v>206</v>
      </c>
      <c r="I193" s="57">
        <v>5312</v>
      </c>
      <c r="J193" s="57" t="s">
        <v>142</v>
      </c>
      <c r="K193" s="57" t="s">
        <v>160</v>
      </c>
      <c r="L193" s="57" t="s">
        <v>137</v>
      </c>
      <c r="M193" s="57">
        <v>2018</v>
      </c>
      <c r="N193" s="57">
        <v>2018</v>
      </c>
      <c r="O193" s="57" t="s">
        <v>23</v>
      </c>
      <c r="P193" s="58">
        <v>14476</v>
      </c>
      <c r="Q193" s="57" t="s">
        <v>145</v>
      </c>
      <c r="R193" s="57" t="s">
        <v>146</v>
      </c>
    </row>
    <row r="194" spans="5:18" ht="13.5" customHeight="1" x14ac:dyDescent="0.25">
      <c r="E194" s="57" t="s">
        <v>140</v>
      </c>
      <c r="F194" s="57" t="s">
        <v>141</v>
      </c>
      <c r="G194" s="57">
        <v>729</v>
      </c>
      <c r="H194" s="57" t="s">
        <v>206</v>
      </c>
      <c r="I194" s="57">
        <v>5312</v>
      </c>
      <c r="J194" s="57" t="s">
        <v>142</v>
      </c>
      <c r="K194" s="57" t="s">
        <v>160</v>
      </c>
      <c r="L194" s="57" t="s">
        <v>137</v>
      </c>
      <c r="M194" s="57">
        <v>2019</v>
      </c>
      <c r="N194" s="57">
        <v>2019</v>
      </c>
      <c r="O194" s="57" t="s">
        <v>23</v>
      </c>
      <c r="P194" s="58">
        <v>19030</v>
      </c>
      <c r="Q194" s="57" t="s">
        <v>145</v>
      </c>
      <c r="R194" s="57" t="s">
        <v>146</v>
      </c>
    </row>
    <row r="195" spans="5:18" ht="13.5" customHeight="1" x14ac:dyDescent="0.25">
      <c r="E195" s="57" t="s">
        <v>140</v>
      </c>
      <c r="F195" s="57" t="s">
        <v>141</v>
      </c>
      <c r="G195" s="57">
        <v>729</v>
      </c>
      <c r="H195" s="57" t="s">
        <v>206</v>
      </c>
      <c r="I195" s="57">
        <v>5312</v>
      </c>
      <c r="J195" s="57" t="s">
        <v>142</v>
      </c>
      <c r="K195" s="57" t="s">
        <v>160</v>
      </c>
      <c r="L195" s="57" t="s">
        <v>137</v>
      </c>
      <c r="M195" s="57">
        <v>2020</v>
      </c>
      <c r="N195" s="57">
        <v>2020</v>
      </c>
      <c r="O195" s="57" t="s">
        <v>23</v>
      </c>
      <c r="P195" s="58">
        <v>19841</v>
      </c>
      <c r="Q195" s="57" t="s">
        <v>145</v>
      </c>
      <c r="R195" s="57" t="s">
        <v>146</v>
      </c>
    </row>
    <row r="196" spans="5:18" ht="13.5" customHeight="1" x14ac:dyDescent="0.25">
      <c r="E196" s="57" t="s">
        <v>140</v>
      </c>
      <c r="F196" s="57" t="s">
        <v>141</v>
      </c>
      <c r="G196" s="57">
        <v>729</v>
      </c>
      <c r="H196" s="57" t="s">
        <v>206</v>
      </c>
      <c r="I196" s="57">
        <v>5312</v>
      </c>
      <c r="J196" s="57" t="s">
        <v>142</v>
      </c>
      <c r="K196" s="57" t="s">
        <v>160</v>
      </c>
      <c r="L196" s="57" t="s">
        <v>137</v>
      </c>
      <c r="M196" s="57">
        <v>2021</v>
      </c>
      <c r="N196" s="57">
        <v>2021</v>
      </c>
      <c r="O196" s="57" t="s">
        <v>23</v>
      </c>
      <c r="P196" s="58">
        <v>21063</v>
      </c>
      <c r="Q196" s="57" t="s">
        <v>145</v>
      </c>
      <c r="R196" s="57" t="s">
        <v>146</v>
      </c>
    </row>
    <row r="197" spans="5:18" ht="13.5" customHeight="1" x14ac:dyDescent="0.25">
      <c r="E197" s="57" t="s">
        <v>140</v>
      </c>
      <c r="F197" s="57" t="s">
        <v>141</v>
      </c>
      <c r="G197" s="57">
        <v>729</v>
      </c>
      <c r="H197" s="57" t="s">
        <v>206</v>
      </c>
      <c r="I197" s="57">
        <v>5419</v>
      </c>
      <c r="J197" s="57" t="s">
        <v>209</v>
      </c>
      <c r="K197" s="57" t="s">
        <v>160</v>
      </c>
      <c r="L197" s="57" t="s">
        <v>137</v>
      </c>
      <c r="M197" s="57">
        <v>2015</v>
      </c>
      <c r="N197" s="57">
        <v>2015</v>
      </c>
      <c r="O197" s="57" t="s">
        <v>210</v>
      </c>
      <c r="P197" s="58">
        <v>158573</v>
      </c>
      <c r="Q197" s="57" t="s">
        <v>143</v>
      </c>
      <c r="R197" s="57" t="s">
        <v>144</v>
      </c>
    </row>
    <row r="198" spans="5:18" ht="13.5" customHeight="1" x14ac:dyDescent="0.25">
      <c r="E198" s="57" t="s">
        <v>140</v>
      </c>
      <c r="F198" s="57" t="s">
        <v>141</v>
      </c>
      <c r="G198" s="57">
        <v>729</v>
      </c>
      <c r="H198" s="57" t="s">
        <v>206</v>
      </c>
      <c r="I198" s="57">
        <v>5419</v>
      </c>
      <c r="J198" s="57" t="s">
        <v>209</v>
      </c>
      <c r="K198" s="57" t="s">
        <v>160</v>
      </c>
      <c r="L198" s="57" t="s">
        <v>137</v>
      </c>
      <c r="M198" s="57">
        <v>2016</v>
      </c>
      <c r="N198" s="57">
        <v>2016</v>
      </c>
      <c r="O198" s="57" t="s">
        <v>210</v>
      </c>
      <c r="P198" s="58">
        <v>87890</v>
      </c>
      <c r="Q198" s="57" t="s">
        <v>143</v>
      </c>
      <c r="R198" s="57" t="s">
        <v>144</v>
      </c>
    </row>
    <row r="199" spans="5:18" ht="13.5" customHeight="1" x14ac:dyDescent="0.25">
      <c r="E199" s="57" t="s">
        <v>140</v>
      </c>
      <c r="F199" s="57" t="s">
        <v>141</v>
      </c>
      <c r="G199" s="57">
        <v>729</v>
      </c>
      <c r="H199" s="57" t="s">
        <v>206</v>
      </c>
      <c r="I199" s="57">
        <v>5419</v>
      </c>
      <c r="J199" s="57" t="s">
        <v>209</v>
      </c>
      <c r="K199" s="57" t="s">
        <v>160</v>
      </c>
      <c r="L199" s="57" t="s">
        <v>137</v>
      </c>
      <c r="M199" s="57">
        <v>2017</v>
      </c>
      <c r="N199" s="57">
        <v>2017</v>
      </c>
      <c r="O199" s="57" t="s">
        <v>210</v>
      </c>
      <c r="P199" s="58">
        <v>192558</v>
      </c>
      <c r="Q199" s="57" t="s">
        <v>143</v>
      </c>
      <c r="R199" s="57" t="s">
        <v>144</v>
      </c>
    </row>
    <row r="200" spans="5:18" ht="13.5" customHeight="1" x14ac:dyDescent="0.25">
      <c r="E200" s="57" t="s">
        <v>140</v>
      </c>
      <c r="F200" s="57" t="s">
        <v>141</v>
      </c>
      <c r="G200" s="57">
        <v>729</v>
      </c>
      <c r="H200" s="57" t="s">
        <v>206</v>
      </c>
      <c r="I200" s="57">
        <v>5419</v>
      </c>
      <c r="J200" s="57" t="s">
        <v>209</v>
      </c>
      <c r="K200" s="57" t="s">
        <v>160</v>
      </c>
      <c r="L200" s="57" t="s">
        <v>137</v>
      </c>
      <c r="M200" s="57">
        <v>2018</v>
      </c>
      <c r="N200" s="57">
        <v>2018</v>
      </c>
      <c r="O200" s="57" t="s">
        <v>210</v>
      </c>
      <c r="P200" s="58">
        <v>156024</v>
      </c>
      <c r="Q200" s="57" t="s">
        <v>115</v>
      </c>
      <c r="R200" s="57" t="s">
        <v>116</v>
      </c>
    </row>
    <row r="201" spans="5:18" ht="13.5" customHeight="1" x14ac:dyDescent="0.25">
      <c r="E201" s="57" t="s">
        <v>140</v>
      </c>
      <c r="F201" s="57" t="s">
        <v>141</v>
      </c>
      <c r="G201" s="57">
        <v>729</v>
      </c>
      <c r="H201" s="57" t="s">
        <v>206</v>
      </c>
      <c r="I201" s="57">
        <v>5419</v>
      </c>
      <c r="J201" s="57" t="s">
        <v>209</v>
      </c>
      <c r="K201" s="57" t="s">
        <v>160</v>
      </c>
      <c r="L201" s="57" t="s">
        <v>137</v>
      </c>
      <c r="M201" s="57">
        <v>2019</v>
      </c>
      <c r="N201" s="57">
        <v>2019</v>
      </c>
      <c r="O201" s="57" t="s">
        <v>210</v>
      </c>
      <c r="P201" s="58">
        <v>153896</v>
      </c>
      <c r="Q201" s="57" t="s">
        <v>115</v>
      </c>
      <c r="R201" s="57" t="s">
        <v>116</v>
      </c>
    </row>
    <row r="202" spans="5:18" ht="13.5" customHeight="1" x14ac:dyDescent="0.25">
      <c r="E202" s="57" t="s">
        <v>140</v>
      </c>
      <c r="F202" s="57" t="s">
        <v>141</v>
      </c>
      <c r="G202" s="57">
        <v>729</v>
      </c>
      <c r="H202" s="57" t="s">
        <v>206</v>
      </c>
      <c r="I202" s="57">
        <v>5419</v>
      </c>
      <c r="J202" s="57" t="s">
        <v>209</v>
      </c>
      <c r="K202" s="57" t="s">
        <v>160</v>
      </c>
      <c r="L202" s="57" t="s">
        <v>137</v>
      </c>
      <c r="M202" s="57">
        <v>2020</v>
      </c>
      <c r="N202" s="57">
        <v>2020</v>
      </c>
      <c r="O202" s="57" t="s">
        <v>210</v>
      </c>
      <c r="P202" s="58">
        <v>154857</v>
      </c>
      <c r="Q202" s="57" t="s">
        <v>115</v>
      </c>
      <c r="R202" s="57" t="s">
        <v>116</v>
      </c>
    </row>
    <row r="203" spans="5:18" ht="13.5" customHeight="1" x14ac:dyDescent="0.25">
      <c r="E203" s="57" t="s">
        <v>140</v>
      </c>
      <c r="F203" s="57" t="s">
        <v>141</v>
      </c>
      <c r="G203" s="57">
        <v>729</v>
      </c>
      <c r="H203" s="57" t="s">
        <v>206</v>
      </c>
      <c r="I203" s="57">
        <v>5419</v>
      </c>
      <c r="J203" s="57" t="s">
        <v>209</v>
      </c>
      <c r="K203" s="57" t="s">
        <v>160</v>
      </c>
      <c r="L203" s="57" t="s">
        <v>137</v>
      </c>
      <c r="M203" s="57">
        <v>2021</v>
      </c>
      <c r="N203" s="57">
        <v>2021</v>
      </c>
      <c r="O203" s="57" t="s">
        <v>210</v>
      </c>
      <c r="P203" s="58">
        <v>157338</v>
      </c>
      <c r="Q203" s="57" t="s">
        <v>115</v>
      </c>
      <c r="R203" s="57" t="s">
        <v>116</v>
      </c>
    </row>
    <row r="204" spans="5:18" ht="13.5" customHeight="1" x14ac:dyDescent="0.25">
      <c r="E204" s="57" t="s">
        <v>140</v>
      </c>
      <c r="F204" s="57" t="s">
        <v>141</v>
      </c>
      <c r="G204" s="57">
        <v>729</v>
      </c>
      <c r="H204" s="57" t="s">
        <v>206</v>
      </c>
      <c r="I204" s="57">
        <v>5312</v>
      </c>
      <c r="J204" s="57" t="s">
        <v>142</v>
      </c>
      <c r="K204" s="57" t="s">
        <v>161</v>
      </c>
      <c r="L204" s="57" t="s">
        <v>162</v>
      </c>
      <c r="M204" s="57">
        <v>2015</v>
      </c>
      <c r="N204" s="57">
        <v>2015</v>
      </c>
      <c r="O204" s="57" t="s">
        <v>23</v>
      </c>
      <c r="P204" s="58">
        <v>37086</v>
      </c>
      <c r="Q204" s="57" t="s">
        <v>143</v>
      </c>
      <c r="R204" s="57" t="s">
        <v>144</v>
      </c>
    </row>
    <row r="205" spans="5:18" ht="13.5" customHeight="1" x14ac:dyDescent="0.25">
      <c r="E205" s="57" t="s">
        <v>140</v>
      </c>
      <c r="F205" s="57" t="s">
        <v>141</v>
      </c>
      <c r="G205" s="57">
        <v>729</v>
      </c>
      <c r="H205" s="57" t="s">
        <v>206</v>
      </c>
      <c r="I205" s="57">
        <v>5312</v>
      </c>
      <c r="J205" s="57" t="s">
        <v>142</v>
      </c>
      <c r="K205" s="57" t="s">
        <v>161</v>
      </c>
      <c r="L205" s="57" t="s">
        <v>162</v>
      </c>
      <c r="M205" s="57">
        <v>2016</v>
      </c>
      <c r="N205" s="57">
        <v>2016</v>
      </c>
      <c r="O205" s="57" t="s">
        <v>23</v>
      </c>
      <c r="P205" s="58">
        <v>37212</v>
      </c>
      <c r="Q205" s="57" t="s">
        <v>143</v>
      </c>
      <c r="R205" s="57" t="s">
        <v>144</v>
      </c>
    </row>
    <row r="206" spans="5:18" ht="13.5" customHeight="1" x14ac:dyDescent="0.25">
      <c r="E206" s="57" t="s">
        <v>140</v>
      </c>
      <c r="F206" s="57" t="s">
        <v>141</v>
      </c>
      <c r="G206" s="57">
        <v>729</v>
      </c>
      <c r="H206" s="57" t="s">
        <v>206</v>
      </c>
      <c r="I206" s="57">
        <v>5312</v>
      </c>
      <c r="J206" s="57" t="s">
        <v>142</v>
      </c>
      <c r="K206" s="57" t="s">
        <v>161</v>
      </c>
      <c r="L206" s="57" t="s">
        <v>162</v>
      </c>
      <c r="M206" s="57">
        <v>2017</v>
      </c>
      <c r="N206" s="57">
        <v>2017</v>
      </c>
      <c r="O206" s="57" t="s">
        <v>23</v>
      </c>
      <c r="P206" s="58">
        <v>37000</v>
      </c>
      <c r="Q206" s="57" t="s">
        <v>143</v>
      </c>
      <c r="R206" s="57" t="s">
        <v>144</v>
      </c>
    </row>
    <row r="207" spans="5:18" ht="13.5" customHeight="1" x14ac:dyDescent="0.25">
      <c r="E207" s="57" t="s">
        <v>140</v>
      </c>
      <c r="F207" s="57" t="s">
        <v>141</v>
      </c>
      <c r="G207" s="57">
        <v>729</v>
      </c>
      <c r="H207" s="57" t="s">
        <v>206</v>
      </c>
      <c r="I207" s="57">
        <v>5312</v>
      </c>
      <c r="J207" s="57" t="s">
        <v>142</v>
      </c>
      <c r="K207" s="57" t="s">
        <v>161</v>
      </c>
      <c r="L207" s="57" t="s">
        <v>162</v>
      </c>
      <c r="M207" s="57">
        <v>2018</v>
      </c>
      <c r="N207" s="57">
        <v>2018</v>
      </c>
      <c r="O207" s="57" t="s">
        <v>23</v>
      </c>
      <c r="P207" s="58">
        <v>37000</v>
      </c>
      <c r="Q207" s="57" t="s">
        <v>143</v>
      </c>
      <c r="R207" s="57" t="s">
        <v>144</v>
      </c>
    </row>
    <row r="208" spans="5:18" ht="13.5" customHeight="1" x14ac:dyDescent="0.25">
      <c r="E208" s="57" t="s">
        <v>140</v>
      </c>
      <c r="F208" s="57" t="s">
        <v>141</v>
      </c>
      <c r="G208" s="57">
        <v>729</v>
      </c>
      <c r="H208" s="57" t="s">
        <v>206</v>
      </c>
      <c r="I208" s="57">
        <v>5312</v>
      </c>
      <c r="J208" s="57" t="s">
        <v>142</v>
      </c>
      <c r="K208" s="57" t="s">
        <v>161</v>
      </c>
      <c r="L208" s="57" t="s">
        <v>162</v>
      </c>
      <c r="M208" s="57">
        <v>2019</v>
      </c>
      <c r="N208" s="57">
        <v>2019</v>
      </c>
      <c r="O208" s="57" t="s">
        <v>23</v>
      </c>
      <c r="P208" s="58">
        <v>37000</v>
      </c>
      <c r="Q208" s="57" t="s">
        <v>143</v>
      </c>
      <c r="R208" s="57" t="s">
        <v>144</v>
      </c>
    </row>
    <row r="209" spans="5:18" ht="13.5" customHeight="1" x14ac:dyDescent="0.25">
      <c r="E209" s="57" t="s">
        <v>140</v>
      </c>
      <c r="F209" s="57" t="s">
        <v>141</v>
      </c>
      <c r="G209" s="57">
        <v>729</v>
      </c>
      <c r="H209" s="57" t="s">
        <v>206</v>
      </c>
      <c r="I209" s="57">
        <v>5312</v>
      </c>
      <c r="J209" s="57" t="s">
        <v>142</v>
      </c>
      <c r="K209" s="57" t="s">
        <v>161</v>
      </c>
      <c r="L209" s="57" t="s">
        <v>162</v>
      </c>
      <c r="M209" s="57">
        <v>2020</v>
      </c>
      <c r="N209" s="57">
        <v>2020</v>
      </c>
      <c r="O209" s="57" t="s">
        <v>23</v>
      </c>
      <c r="P209" s="58">
        <v>37000</v>
      </c>
      <c r="Q209" s="57" t="s">
        <v>143</v>
      </c>
      <c r="R209" s="57" t="s">
        <v>144</v>
      </c>
    </row>
    <row r="210" spans="5:18" ht="13.5" customHeight="1" x14ac:dyDescent="0.25">
      <c r="E210" s="57" t="s">
        <v>140</v>
      </c>
      <c r="F210" s="57" t="s">
        <v>141</v>
      </c>
      <c r="G210" s="57">
        <v>729</v>
      </c>
      <c r="H210" s="57" t="s">
        <v>206</v>
      </c>
      <c r="I210" s="57">
        <v>5312</v>
      </c>
      <c r="J210" s="57" t="s">
        <v>142</v>
      </c>
      <c r="K210" s="57" t="s">
        <v>161</v>
      </c>
      <c r="L210" s="57" t="s">
        <v>162</v>
      </c>
      <c r="M210" s="57">
        <v>2021</v>
      </c>
      <c r="N210" s="57">
        <v>2021</v>
      </c>
      <c r="O210" s="57" t="s">
        <v>23</v>
      </c>
      <c r="P210" s="58">
        <v>37249</v>
      </c>
      <c r="Q210" s="57" t="s">
        <v>145</v>
      </c>
      <c r="R210" s="57" t="s">
        <v>146</v>
      </c>
    </row>
    <row r="211" spans="5:18" ht="13.5" customHeight="1" x14ac:dyDescent="0.25">
      <c r="E211" s="57" t="s">
        <v>140</v>
      </c>
      <c r="F211" s="57" t="s">
        <v>141</v>
      </c>
      <c r="G211" s="57">
        <v>729</v>
      </c>
      <c r="H211" s="57" t="s">
        <v>206</v>
      </c>
      <c r="I211" s="57">
        <v>5419</v>
      </c>
      <c r="J211" s="57" t="s">
        <v>209</v>
      </c>
      <c r="K211" s="57" t="s">
        <v>161</v>
      </c>
      <c r="L211" s="57" t="s">
        <v>162</v>
      </c>
      <c r="M211" s="57">
        <v>2015</v>
      </c>
      <c r="N211" s="57">
        <v>2015</v>
      </c>
      <c r="O211" s="57" t="s">
        <v>210</v>
      </c>
      <c r="P211" s="58">
        <v>118400</v>
      </c>
      <c r="Q211" s="57" t="s">
        <v>143</v>
      </c>
      <c r="R211" s="57" t="s">
        <v>144</v>
      </c>
    </row>
    <row r="212" spans="5:18" ht="13.5" customHeight="1" x14ac:dyDescent="0.25">
      <c r="E212" s="57" t="s">
        <v>140</v>
      </c>
      <c r="F212" s="57" t="s">
        <v>141</v>
      </c>
      <c r="G212" s="57">
        <v>729</v>
      </c>
      <c r="H212" s="57" t="s">
        <v>206</v>
      </c>
      <c r="I212" s="57">
        <v>5419</v>
      </c>
      <c r="J212" s="57" t="s">
        <v>209</v>
      </c>
      <c r="K212" s="57" t="s">
        <v>161</v>
      </c>
      <c r="L212" s="57" t="s">
        <v>162</v>
      </c>
      <c r="M212" s="57">
        <v>2016</v>
      </c>
      <c r="N212" s="57">
        <v>2016</v>
      </c>
      <c r="O212" s="57" t="s">
        <v>210</v>
      </c>
      <c r="P212" s="58">
        <v>118005</v>
      </c>
      <c r="Q212" s="57" t="s">
        <v>143</v>
      </c>
      <c r="R212" s="57" t="s">
        <v>144</v>
      </c>
    </row>
    <row r="213" spans="5:18" ht="13.5" customHeight="1" x14ac:dyDescent="0.25">
      <c r="E213" s="57" t="s">
        <v>140</v>
      </c>
      <c r="F213" s="57" t="s">
        <v>141</v>
      </c>
      <c r="G213" s="57">
        <v>729</v>
      </c>
      <c r="H213" s="57" t="s">
        <v>206</v>
      </c>
      <c r="I213" s="57">
        <v>5419</v>
      </c>
      <c r="J213" s="57" t="s">
        <v>209</v>
      </c>
      <c r="K213" s="57" t="s">
        <v>161</v>
      </c>
      <c r="L213" s="57" t="s">
        <v>162</v>
      </c>
      <c r="M213" s="57">
        <v>2017</v>
      </c>
      <c r="N213" s="57">
        <v>2017</v>
      </c>
      <c r="O213" s="57" t="s">
        <v>210</v>
      </c>
      <c r="P213" s="58">
        <v>119459</v>
      </c>
      <c r="Q213" s="57" t="s">
        <v>143</v>
      </c>
      <c r="R213" s="57" t="s">
        <v>144</v>
      </c>
    </row>
    <row r="214" spans="5:18" ht="13.5" customHeight="1" x14ac:dyDescent="0.25">
      <c r="E214" s="57" t="s">
        <v>140</v>
      </c>
      <c r="F214" s="57" t="s">
        <v>141</v>
      </c>
      <c r="G214" s="57">
        <v>729</v>
      </c>
      <c r="H214" s="57" t="s">
        <v>206</v>
      </c>
      <c r="I214" s="57">
        <v>5419</v>
      </c>
      <c r="J214" s="57" t="s">
        <v>209</v>
      </c>
      <c r="K214" s="57" t="s">
        <v>161</v>
      </c>
      <c r="L214" s="57" t="s">
        <v>162</v>
      </c>
      <c r="M214" s="57">
        <v>2018</v>
      </c>
      <c r="N214" s="57">
        <v>2018</v>
      </c>
      <c r="O214" s="57" t="s">
        <v>210</v>
      </c>
      <c r="P214" s="58">
        <v>111784</v>
      </c>
      <c r="Q214" s="57" t="s">
        <v>143</v>
      </c>
      <c r="R214" s="57" t="s">
        <v>144</v>
      </c>
    </row>
    <row r="215" spans="5:18" ht="13.5" customHeight="1" x14ac:dyDescent="0.25">
      <c r="E215" s="57" t="s">
        <v>140</v>
      </c>
      <c r="F215" s="57" t="s">
        <v>141</v>
      </c>
      <c r="G215" s="57">
        <v>729</v>
      </c>
      <c r="H215" s="57" t="s">
        <v>206</v>
      </c>
      <c r="I215" s="57">
        <v>5419</v>
      </c>
      <c r="J215" s="57" t="s">
        <v>209</v>
      </c>
      <c r="K215" s="57" t="s">
        <v>161</v>
      </c>
      <c r="L215" s="57" t="s">
        <v>162</v>
      </c>
      <c r="M215" s="57">
        <v>2019</v>
      </c>
      <c r="N215" s="57">
        <v>2019</v>
      </c>
      <c r="O215" s="57" t="s">
        <v>210</v>
      </c>
      <c r="P215" s="58">
        <v>118568</v>
      </c>
      <c r="Q215" s="57" t="s">
        <v>143</v>
      </c>
      <c r="R215" s="57" t="s">
        <v>144</v>
      </c>
    </row>
    <row r="216" spans="5:18" ht="13.5" customHeight="1" x14ac:dyDescent="0.25">
      <c r="E216" s="57" t="s">
        <v>140</v>
      </c>
      <c r="F216" s="57" t="s">
        <v>141</v>
      </c>
      <c r="G216" s="57">
        <v>729</v>
      </c>
      <c r="H216" s="57" t="s">
        <v>206</v>
      </c>
      <c r="I216" s="57">
        <v>5419</v>
      </c>
      <c r="J216" s="57" t="s">
        <v>209</v>
      </c>
      <c r="K216" s="57" t="s">
        <v>161</v>
      </c>
      <c r="L216" s="57" t="s">
        <v>162</v>
      </c>
      <c r="M216" s="57">
        <v>2020</v>
      </c>
      <c r="N216" s="57">
        <v>2020</v>
      </c>
      <c r="O216" s="57" t="s">
        <v>210</v>
      </c>
      <c r="P216" s="58">
        <v>125763</v>
      </c>
      <c r="Q216" s="57" t="s">
        <v>143</v>
      </c>
      <c r="R216" s="57" t="s">
        <v>144</v>
      </c>
    </row>
    <row r="217" spans="5:18" ht="13.5" customHeight="1" x14ac:dyDescent="0.25">
      <c r="E217" s="57" t="s">
        <v>140</v>
      </c>
      <c r="F217" s="57" t="s">
        <v>141</v>
      </c>
      <c r="G217" s="57">
        <v>729</v>
      </c>
      <c r="H217" s="57" t="s">
        <v>206</v>
      </c>
      <c r="I217" s="57">
        <v>5419</v>
      </c>
      <c r="J217" s="57" t="s">
        <v>209</v>
      </c>
      <c r="K217" s="57" t="s">
        <v>161</v>
      </c>
      <c r="L217" s="57" t="s">
        <v>162</v>
      </c>
      <c r="M217" s="57">
        <v>2021</v>
      </c>
      <c r="N217" s="57">
        <v>2021</v>
      </c>
      <c r="O217" s="57" t="s">
        <v>210</v>
      </c>
      <c r="P217" s="58">
        <v>123519</v>
      </c>
      <c r="Q217" s="57" t="s">
        <v>115</v>
      </c>
      <c r="R217" s="57" t="s">
        <v>116</v>
      </c>
    </row>
    <row r="218" spans="5:18" ht="13.5" customHeight="1" x14ac:dyDescent="0.25">
      <c r="E218" s="57" t="s">
        <v>140</v>
      </c>
      <c r="F218" s="57" t="s">
        <v>141</v>
      </c>
      <c r="G218" s="57">
        <v>729</v>
      </c>
      <c r="H218" s="57" t="s">
        <v>206</v>
      </c>
      <c r="I218" s="57">
        <v>5312</v>
      </c>
      <c r="J218" s="57" t="s">
        <v>142</v>
      </c>
      <c r="K218" s="57" t="s">
        <v>163</v>
      </c>
      <c r="L218" s="57" t="s">
        <v>136</v>
      </c>
      <c r="M218" s="57">
        <v>2015</v>
      </c>
      <c r="N218" s="57">
        <v>2015</v>
      </c>
      <c r="O218" s="57" t="s">
        <v>23</v>
      </c>
      <c r="P218" s="58">
        <v>5166</v>
      </c>
      <c r="Q218" s="57" t="s">
        <v>143</v>
      </c>
      <c r="R218" s="57" t="s">
        <v>144</v>
      </c>
    </row>
    <row r="219" spans="5:18" ht="13.5" customHeight="1" x14ac:dyDescent="0.25">
      <c r="E219" s="57" t="s">
        <v>140</v>
      </c>
      <c r="F219" s="57" t="s">
        <v>141</v>
      </c>
      <c r="G219" s="57">
        <v>729</v>
      </c>
      <c r="H219" s="57" t="s">
        <v>206</v>
      </c>
      <c r="I219" s="57">
        <v>5312</v>
      </c>
      <c r="J219" s="57" t="s">
        <v>142</v>
      </c>
      <c r="K219" s="57" t="s">
        <v>163</v>
      </c>
      <c r="L219" s="57" t="s">
        <v>136</v>
      </c>
      <c r="M219" s="57">
        <v>2016</v>
      </c>
      <c r="N219" s="57">
        <v>2016</v>
      </c>
      <c r="O219" s="57" t="s">
        <v>23</v>
      </c>
      <c r="P219" s="58">
        <v>12810</v>
      </c>
      <c r="Q219" s="57" t="s">
        <v>143</v>
      </c>
      <c r="R219" s="57" t="s">
        <v>144</v>
      </c>
    </row>
    <row r="220" spans="5:18" ht="13.5" customHeight="1" x14ac:dyDescent="0.25">
      <c r="E220" s="57" t="s">
        <v>140</v>
      </c>
      <c r="F220" s="57" t="s">
        <v>141</v>
      </c>
      <c r="G220" s="57">
        <v>729</v>
      </c>
      <c r="H220" s="57" t="s">
        <v>206</v>
      </c>
      <c r="I220" s="57">
        <v>5312</v>
      </c>
      <c r="J220" s="57" t="s">
        <v>142</v>
      </c>
      <c r="K220" s="57" t="s">
        <v>163</v>
      </c>
      <c r="L220" s="57" t="s">
        <v>136</v>
      </c>
      <c r="M220" s="57">
        <v>2017</v>
      </c>
      <c r="N220" s="57">
        <v>2017</v>
      </c>
      <c r="O220" s="57" t="s">
        <v>23</v>
      </c>
      <c r="P220" s="58">
        <v>13066</v>
      </c>
      <c r="Q220" s="57" t="s">
        <v>143</v>
      </c>
      <c r="R220" s="57" t="s">
        <v>144</v>
      </c>
    </row>
    <row r="221" spans="5:18" ht="13.5" customHeight="1" x14ac:dyDescent="0.25">
      <c r="E221" s="57" t="s">
        <v>140</v>
      </c>
      <c r="F221" s="57" t="s">
        <v>141</v>
      </c>
      <c r="G221" s="57">
        <v>729</v>
      </c>
      <c r="H221" s="57" t="s">
        <v>206</v>
      </c>
      <c r="I221" s="57">
        <v>5312</v>
      </c>
      <c r="J221" s="57" t="s">
        <v>142</v>
      </c>
      <c r="K221" s="57" t="s">
        <v>163</v>
      </c>
      <c r="L221" s="57" t="s">
        <v>136</v>
      </c>
      <c r="M221" s="57">
        <v>2018</v>
      </c>
      <c r="N221" s="57">
        <v>2018</v>
      </c>
      <c r="O221" s="57" t="s">
        <v>23</v>
      </c>
      <c r="P221" s="58">
        <v>8611</v>
      </c>
      <c r="Q221" s="57" t="s">
        <v>115</v>
      </c>
      <c r="R221" s="57" t="s">
        <v>116</v>
      </c>
    </row>
    <row r="222" spans="5:18" ht="13.5" customHeight="1" x14ac:dyDescent="0.25">
      <c r="E222" s="57" t="s">
        <v>140</v>
      </c>
      <c r="F222" s="57" t="s">
        <v>141</v>
      </c>
      <c r="G222" s="57">
        <v>729</v>
      </c>
      <c r="H222" s="57" t="s">
        <v>206</v>
      </c>
      <c r="I222" s="57">
        <v>5312</v>
      </c>
      <c r="J222" s="57" t="s">
        <v>142</v>
      </c>
      <c r="K222" s="57" t="s">
        <v>163</v>
      </c>
      <c r="L222" s="57" t="s">
        <v>136</v>
      </c>
      <c r="M222" s="57">
        <v>2019</v>
      </c>
      <c r="N222" s="57">
        <v>2019</v>
      </c>
      <c r="O222" s="57" t="s">
        <v>23</v>
      </c>
      <c r="P222" s="58">
        <v>8855</v>
      </c>
      <c r="Q222" s="57" t="s">
        <v>115</v>
      </c>
      <c r="R222" s="57" t="s">
        <v>116</v>
      </c>
    </row>
    <row r="223" spans="5:18" ht="13.5" customHeight="1" x14ac:dyDescent="0.25">
      <c r="E223" s="57" t="s">
        <v>140</v>
      </c>
      <c r="F223" s="57" t="s">
        <v>141</v>
      </c>
      <c r="G223" s="57">
        <v>729</v>
      </c>
      <c r="H223" s="57" t="s">
        <v>206</v>
      </c>
      <c r="I223" s="57">
        <v>5312</v>
      </c>
      <c r="J223" s="57" t="s">
        <v>142</v>
      </c>
      <c r="K223" s="57" t="s">
        <v>163</v>
      </c>
      <c r="L223" s="57" t="s">
        <v>136</v>
      </c>
      <c r="M223" s="57">
        <v>2020</v>
      </c>
      <c r="N223" s="57">
        <v>2020</v>
      </c>
      <c r="O223" s="57" t="s">
        <v>23</v>
      </c>
      <c r="P223" s="58">
        <v>9072</v>
      </c>
      <c r="Q223" s="57" t="s">
        <v>115</v>
      </c>
      <c r="R223" s="57" t="s">
        <v>116</v>
      </c>
    </row>
    <row r="224" spans="5:18" ht="13.5" customHeight="1" x14ac:dyDescent="0.25">
      <c r="E224" s="57" t="s">
        <v>140</v>
      </c>
      <c r="F224" s="57" t="s">
        <v>141</v>
      </c>
      <c r="G224" s="57">
        <v>729</v>
      </c>
      <c r="H224" s="57" t="s">
        <v>206</v>
      </c>
      <c r="I224" s="57">
        <v>5312</v>
      </c>
      <c r="J224" s="57" t="s">
        <v>142</v>
      </c>
      <c r="K224" s="57" t="s">
        <v>163</v>
      </c>
      <c r="L224" s="57" t="s">
        <v>136</v>
      </c>
      <c r="M224" s="57">
        <v>2021</v>
      </c>
      <c r="N224" s="57">
        <v>2021</v>
      </c>
      <c r="O224" s="57" t="s">
        <v>23</v>
      </c>
      <c r="P224" s="58">
        <v>9296</v>
      </c>
      <c r="Q224" s="57" t="s">
        <v>115</v>
      </c>
      <c r="R224" s="57" t="s">
        <v>116</v>
      </c>
    </row>
    <row r="225" spans="5:18" ht="13.5" customHeight="1" x14ac:dyDescent="0.25">
      <c r="E225" s="57" t="s">
        <v>140</v>
      </c>
      <c r="F225" s="57" t="s">
        <v>141</v>
      </c>
      <c r="G225" s="57">
        <v>729</v>
      </c>
      <c r="H225" s="57" t="s">
        <v>206</v>
      </c>
      <c r="I225" s="57">
        <v>5419</v>
      </c>
      <c r="J225" s="57" t="s">
        <v>209</v>
      </c>
      <c r="K225" s="57" t="s">
        <v>163</v>
      </c>
      <c r="L225" s="57" t="s">
        <v>136</v>
      </c>
      <c r="M225" s="57">
        <v>2015</v>
      </c>
      <c r="N225" s="57">
        <v>2015</v>
      </c>
      <c r="O225" s="57" t="s">
        <v>210</v>
      </c>
      <c r="P225" s="58">
        <v>164731</v>
      </c>
      <c r="Q225" s="57" t="s">
        <v>143</v>
      </c>
      <c r="R225" s="57" t="s">
        <v>144</v>
      </c>
    </row>
    <row r="226" spans="5:18" ht="13.5" customHeight="1" x14ac:dyDescent="0.25">
      <c r="E226" s="57" t="s">
        <v>140</v>
      </c>
      <c r="F226" s="57" t="s">
        <v>141</v>
      </c>
      <c r="G226" s="57">
        <v>729</v>
      </c>
      <c r="H226" s="57" t="s">
        <v>206</v>
      </c>
      <c r="I226" s="57">
        <v>5419</v>
      </c>
      <c r="J226" s="57" t="s">
        <v>209</v>
      </c>
      <c r="K226" s="57" t="s">
        <v>163</v>
      </c>
      <c r="L226" s="57" t="s">
        <v>136</v>
      </c>
      <c r="M226" s="57">
        <v>2016</v>
      </c>
      <c r="N226" s="57">
        <v>2016</v>
      </c>
      <c r="O226" s="57" t="s">
        <v>210</v>
      </c>
      <c r="P226" s="58">
        <v>68150</v>
      </c>
      <c r="Q226" s="57" t="s">
        <v>143</v>
      </c>
      <c r="R226" s="57" t="s">
        <v>144</v>
      </c>
    </row>
    <row r="227" spans="5:18" ht="13.5" customHeight="1" x14ac:dyDescent="0.25">
      <c r="E227" s="57" t="s">
        <v>140</v>
      </c>
      <c r="F227" s="57" t="s">
        <v>141</v>
      </c>
      <c r="G227" s="57">
        <v>729</v>
      </c>
      <c r="H227" s="57" t="s">
        <v>206</v>
      </c>
      <c r="I227" s="57">
        <v>5419</v>
      </c>
      <c r="J227" s="57" t="s">
        <v>209</v>
      </c>
      <c r="K227" s="57" t="s">
        <v>163</v>
      </c>
      <c r="L227" s="57" t="s">
        <v>136</v>
      </c>
      <c r="M227" s="57">
        <v>2017</v>
      </c>
      <c r="N227" s="57">
        <v>2017</v>
      </c>
      <c r="O227" s="57" t="s">
        <v>210</v>
      </c>
      <c r="P227" s="58">
        <v>68151</v>
      </c>
      <c r="Q227" s="57" t="s">
        <v>143</v>
      </c>
      <c r="R227" s="57" t="s">
        <v>144</v>
      </c>
    </row>
    <row r="228" spans="5:18" ht="13.5" customHeight="1" x14ac:dyDescent="0.25">
      <c r="E228" s="57" t="s">
        <v>140</v>
      </c>
      <c r="F228" s="57" t="s">
        <v>141</v>
      </c>
      <c r="G228" s="57">
        <v>729</v>
      </c>
      <c r="H228" s="57" t="s">
        <v>206</v>
      </c>
      <c r="I228" s="57">
        <v>5419</v>
      </c>
      <c r="J228" s="57" t="s">
        <v>209</v>
      </c>
      <c r="K228" s="57" t="s">
        <v>163</v>
      </c>
      <c r="L228" s="57" t="s">
        <v>136</v>
      </c>
      <c r="M228" s="57">
        <v>2018</v>
      </c>
      <c r="N228" s="57">
        <v>2018</v>
      </c>
      <c r="O228" s="57" t="s">
        <v>210</v>
      </c>
      <c r="P228" s="58">
        <v>106800</v>
      </c>
      <c r="Q228" s="57" t="s">
        <v>115</v>
      </c>
      <c r="R228" s="57" t="s">
        <v>116</v>
      </c>
    </row>
    <row r="229" spans="5:18" ht="13.5" customHeight="1" x14ac:dyDescent="0.25">
      <c r="E229" s="57" t="s">
        <v>140</v>
      </c>
      <c r="F229" s="57" t="s">
        <v>141</v>
      </c>
      <c r="G229" s="57">
        <v>729</v>
      </c>
      <c r="H229" s="57" t="s">
        <v>206</v>
      </c>
      <c r="I229" s="57">
        <v>5419</v>
      </c>
      <c r="J229" s="57" t="s">
        <v>209</v>
      </c>
      <c r="K229" s="57" t="s">
        <v>163</v>
      </c>
      <c r="L229" s="57" t="s">
        <v>136</v>
      </c>
      <c r="M229" s="57">
        <v>2019</v>
      </c>
      <c r="N229" s="57">
        <v>2019</v>
      </c>
      <c r="O229" s="57" t="s">
        <v>210</v>
      </c>
      <c r="P229" s="58">
        <v>106800</v>
      </c>
      <c r="Q229" s="57" t="s">
        <v>115</v>
      </c>
      <c r="R229" s="57" t="s">
        <v>116</v>
      </c>
    </row>
    <row r="230" spans="5:18" ht="13.5" customHeight="1" x14ac:dyDescent="0.25">
      <c r="E230" s="57" t="s">
        <v>140</v>
      </c>
      <c r="F230" s="57" t="s">
        <v>141</v>
      </c>
      <c r="G230" s="57">
        <v>729</v>
      </c>
      <c r="H230" s="57" t="s">
        <v>206</v>
      </c>
      <c r="I230" s="57">
        <v>5419</v>
      </c>
      <c r="J230" s="57" t="s">
        <v>209</v>
      </c>
      <c r="K230" s="57" t="s">
        <v>163</v>
      </c>
      <c r="L230" s="57" t="s">
        <v>136</v>
      </c>
      <c r="M230" s="57">
        <v>2020</v>
      </c>
      <c r="N230" s="57">
        <v>2020</v>
      </c>
      <c r="O230" s="57" t="s">
        <v>210</v>
      </c>
      <c r="P230" s="58">
        <v>106800</v>
      </c>
      <c r="Q230" s="57" t="s">
        <v>115</v>
      </c>
      <c r="R230" s="57" t="s">
        <v>116</v>
      </c>
    </row>
    <row r="231" spans="5:18" ht="13.5" customHeight="1" x14ac:dyDescent="0.25">
      <c r="E231" s="57" t="s">
        <v>140</v>
      </c>
      <c r="F231" s="57" t="s">
        <v>141</v>
      </c>
      <c r="G231" s="57">
        <v>729</v>
      </c>
      <c r="H231" s="57" t="s">
        <v>206</v>
      </c>
      <c r="I231" s="57">
        <v>5419</v>
      </c>
      <c r="J231" s="57" t="s">
        <v>209</v>
      </c>
      <c r="K231" s="57" t="s">
        <v>163</v>
      </c>
      <c r="L231" s="57" t="s">
        <v>136</v>
      </c>
      <c r="M231" s="57">
        <v>2021</v>
      </c>
      <c r="N231" s="57">
        <v>2021</v>
      </c>
      <c r="O231" s="57" t="s">
        <v>210</v>
      </c>
      <c r="P231" s="58">
        <v>106800</v>
      </c>
      <c r="Q231" s="57" t="s">
        <v>115</v>
      </c>
      <c r="R231" s="57" t="s">
        <v>116</v>
      </c>
    </row>
    <row r="232" spans="5:18" ht="13.5" customHeight="1" x14ac:dyDescent="0.25">
      <c r="E232" s="57" t="s">
        <v>140</v>
      </c>
      <c r="F232" s="57" t="s">
        <v>141</v>
      </c>
      <c r="G232" s="57">
        <v>729</v>
      </c>
      <c r="H232" s="57" t="s">
        <v>206</v>
      </c>
      <c r="I232" s="57">
        <v>5312</v>
      </c>
      <c r="J232" s="57" t="s">
        <v>142</v>
      </c>
      <c r="K232" s="57" t="s">
        <v>164</v>
      </c>
      <c r="L232" s="57" t="s">
        <v>165</v>
      </c>
      <c r="M232" s="57">
        <v>2015</v>
      </c>
      <c r="N232" s="57">
        <v>2015</v>
      </c>
      <c r="O232" s="57" t="s">
        <v>23</v>
      </c>
      <c r="P232" s="58">
        <v>6505</v>
      </c>
      <c r="Q232" s="57" t="s">
        <v>145</v>
      </c>
      <c r="R232" s="57" t="s">
        <v>146</v>
      </c>
    </row>
    <row r="233" spans="5:18" ht="13.5" customHeight="1" x14ac:dyDescent="0.25">
      <c r="E233" s="57" t="s">
        <v>140</v>
      </c>
      <c r="F233" s="57" t="s">
        <v>141</v>
      </c>
      <c r="G233" s="57">
        <v>729</v>
      </c>
      <c r="H233" s="57" t="s">
        <v>206</v>
      </c>
      <c r="I233" s="57">
        <v>5312</v>
      </c>
      <c r="J233" s="57" t="s">
        <v>142</v>
      </c>
      <c r="K233" s="57" t="s">
        <v>164</v>
      </c>
      <c r="L233" s="57" t="s">
        <v>165</v>
      </c>
      <c r="M233" s="57">
        <v>2016</v>
      </c>
      <c r="N233" s="57">
        <v>2016</v>
      </c>
      <c r="O233" s="57" t="s">
        <v>23</v>
      </c>
      <c r="P233" s="58">
        <v>4006</v>
      </c>
      <c r="Q233" s="57" t="s">
        <v>145</v>
      </c>
      <c r="R233" s="57" t="s">
        <v>146</v>
      </c>
    </row>
    <row r="234" spans="5:18" ht="13.5" customHeight="1" x14ac:dyDescent="0.25">
      <c r="E234" s="57" t="s">
        <v>140</v>
      </c>
      <c r="F234" s="57" t="s">
        <v>141</v>
      </c>
      <c r="G234" s="57">
        <v>729</v>
      </c>
      <c r="H234" s="57" t="s">
        <v>206</v>
      </c>
      <c r="I234" s="57">
        <v>5312</v>
      </c>
      <c r="J234" s="57" t="s">
        <v>142</v>
      </c>
      <c r="K234" s="57" t="s">
        <v>164</v>
      </c>
      <c r="L234" s="57" t="s">
        <v>165</v>
      </c>
      <c r="M234" s="57">
        <v>2017</v>
      </c>
      <c r="N234" s="57">
        <v>2017</v>
      </c>
      <c r="O234" s="57" t="s">
        <v>23</v>
      </c>
      <c r="P234" s="58">
        <v>1714</v>
      </c>
      <c r="Q234" s="57" t="s">
        <v>143</v>
      </c>
      <c r="R234" s="57" t="s">
        <v>144</v>
      </c>
    </row>
    <row r="235" spans="5:18" ht="13.5" customHeight="1" x14ac:dyDescent="0.25">
      <c r="E235" s="57" t="s">
        <v>140</v>
      </c>
      <c r="F235" s="57" t="s">
        <v>141</v>
      </c>
      <c r="G235" s="57">
        <v>729</v>
      </c>
      <c r="H235" s="57" t="s">
        <v>206</v>
      </c>
      <c r="I235" s="57">
        <v>5312</v>
      </c>
      <c r="J235" s="57" t="s">
        <v>142</v>
      </c>
      <c r="K235" s="57" t="s">
        <v>164</v>
      </c>
      <c r="L235" s="57" t="s">
        <v>165</v>
      </c>
      <c r="M235" s="57">
        <v>2018</v>
      </c>
      <c r="N235" s="57">
        <v>2018</v>
      </c>
      <c r="O235" s="57" t="s">
        <v>23</v>
      </c>
      <c r="P235" s="58">
        <v>618</v>
      </c>
      <c r="Q235" s="57" t="s">
        <v>145</v>
      </c>
      <c r="R235" s="57" t="s">
        <v>146</v>
      </c>
    </row>
    <row r="236" spans="5:18" ht="13.5" customHeight="1" x14ac:dyDescent="0.25">
      <c r="E236" s="57" t="s">
        <v>140</v>
      </c>
      <c r="F236" s="57" t="s">
        <v>141</v>
      </c>
      <c r="G236" s="57">
        <v>729</v>
      </c>
      <c r="H236" s="57" t="s">
        <v>206</v>
      </c>
      <c r="I236" s="57">
        <v>5312</v>
      </c>
      <c r="J236" s="57" t="s">
        <v>142</v>
      </c>
      <c r="K236" s="57" t="s">
        <v>164</v>
      </c>
      <c r="L236" s="57" t="s">
        <v>165</v>
      </c>
      <c r="M236" s="57">
        <v>2019</v>
      </c>
      <c r="N236" s="57">
        <v>2019</v>
      </c>
      <c r="O236" s="57" t="s">
        <v>23</v>
      </c>
      <c r="P236" s="58">
        <v>2820</v>
      </c>
      <c r="Q236" s="57" t="s">
        <v>145</v>
      </c>
      <c r="R236" s="57" t="s">
        <v>146</v>
      </c>
    </row>
    <row r="237" spans="5:18" ht="13.5" customHeight="1" x14ac:dyDescent="0.25">
      <c r="E237" s="57" t="s">
        <v>140</v>
      </c>
      <c r="F237" s="57" t="s">
        <v>141</v>
      </c>
      <c r="G237" s="57">
        <v>729</v>
      </c>
      <c r="H237" s="57" t="s">
        <v>206</v>
      </c>
      <c r="I237" s="57">
        <v>5312</v>
      </c>
      <c r="J237" s="57" t="s">
        <v>142</v>
      </c>
      <c r="K237" s="57" t="s">
        <v>164</v>
      </c>
      <c r="L237" s="57" t="s">
        <v>165</v>
      </c>
      <c r="M237" s="57">
        <v>2020</v>
      </c>
      <c r="N237" s="57">
        <v>2020</v>
      </c>
      <c r="O237" s="57" t="s">
        <v>23</v>
      </c>
      <c r="P237" s="58">
        <v>2936</v>
      </c>
      <c r="Q237" s="57" t="s">
        <v>145</v>
      </c>
      <c r="R237" s="57" t="s">
        <v>146</v>
      </c>
    </row>
    <row r="238" spans="5:18" ht="13.5" customHeight="1" x14ac:dyDescent="0.25">
      <c r="E238" s="57" t="s">
        <v>140</v>
      </c>
      <c r="F238" s="57" t="s">
        <v>141</v>
      </c>
      <c r="G238" s="57">
        <v>729</v>
      </c>
      <c r="H238" s="57" t="s">
        <v>206</v>
      </c>
      <c r="I238" s="57">
        <v>5312</v>
      </c>
      <c r="J238" s="57" t="s">
        <v>142</v>
      </c>
      <c r="K238" s="57" t="s">
        <v>164</v>
      </c>
      <c r="L238" s="57" t="s">
        <v>165</v>
      </c>
      <c r="M238" s="57">
        <v>2021</v>
      </c>
      <c r="N238" s="57">
        <v>2021</v>
      </c>
      <c r="O238" s="57" t="s">
        <v>23</v>
      </c>
      <c r="P238" s="58">
        <v>2704</v>
      </c>
      <c r="Q238" s="57" t="s">
        <v>145</v>
      </c>
      <c r="R238" s="57" t="s">
        <v>146</v>
      </c>
    </row>
    <row r="239" spans="5:18" ht="13.5" customHeight="1" x14ac:dyDescent="0.25">
      <c r="E239" s="57" t="s">
        <v>140</v>
      </c>
      <c r="F239" s="57" t="s">
        <v>141</v>
      </c>
      <c r="G239" s="57">
        <v>729</v>
      </c>
      <c r="H239" s="57" t="s">
        <v>206</v>
      </c>
      <c r="I239" s="57">
        <v>5419</v>
      </c>
      <c r="J239" s="57" t="s">
        <v>209</v>
      </c>
      <c r="K239" s="57" t="s">
        <v>164</v>
      </c>
      <c r="L239" s="57" t="s">
        <v>165</v>
      </c>
      <c r="M239" s="57">
        <v>2015</v>
      </c>
      <c r="N239" s="57">
        <v>2015</v>
      </c>
      <c r="O239" s="57" t="s">
        <v>210</v>
      </c>
      <c r="P239" s="58">
        <v>73155</v>
      </c>
      <c r="Q239" s="57" t="s">
        <v>115</v>
      </c>
      <c r="R239" s="57" t="s">
        <v>116</v>
      </c>
    </row>
    <row r="240" spans="5:18" ht="13.5" customHeight="1" x14ac:dyDescent="0.25">
      <c r="E240" s="57" t="s">
        <v>140</v>
      </c>
      <c r="F240" s="57" t="s">
        <v>141</v>
      </c>
      <c r="G240" s="57">
        <v>729</v>
      </c>
      <c r="H240" s="57" t="s">
        <v>206</v>
      </c>
      <c r="I240" s="57">
        <v>5419</v>
      </c>
      <c r="J240" s="57" t="s">
        <v>209</v>
      </c>
      <c r="K240" s="57" t="s">
        <v>164</v>
      </c>
      <c r="L240" s="57" t="s">
        <v>165</v>
      </c>
      <c r="M240" s="57">
        <v>2016</v>
      </c>
      <c r="N240" s="57">
        <v>2016</v>
      </c>
      <c r="O240" s="57" t="s">
        <v>210</v>
      </c>
      <c r="P240" s="58">
        <v>86736</v>
      </c>
      <c r="Q240" s="57" t="s">
        <v>115</v>
      </c>
      <c r="R240" s="57" t="s">
        <v>116</v>
      </c>
    </row>
    <row r="241" spans="5:18" ht="13.5" customHeight="1" x14ac:dyDescent="0.25">
      <c r="E241" s="57" t="s">
        <v>140</v>
      </c>
      <c r="F241" s="57" t="s">
        <v>141</v>
      </c>
      <c r="G241" s="57">
        <v>729</v>
      </c>
      <c r="H241" s="57" t="s">
        <v>206</v>
      </c>
      <c r="I241" s="57">
        <v>5419</v>
      </c>
      <c r="J241" s="57" t="s">
        <v>209</v>
      </c>
      <c r="K241" s="57" t="s">
        <v>164</v>
      </c>
      <c r="L241" s="57" t="s">
        <v>165</v>
      </c>
      <c r="M241" s="57">
        <v>2017</v>
      </c>
      <c r="N241" s="57">
        <v>2017</v>
      </c>
      <c r="O241" s="57" t="s">
        <v>210</v>
      </c>
      <c r="P241" s="58">
        <v>105648</v>
      </c>
      <c r="Q241" s="57" t="s">
        <v>143</v>
      </c>
      <c r="R241" s="57" t="s">
        <v>144</v>
      </c>
    </row>
    <row r="242" spans="5:18" ht="13.5" customHeight="1" x14ac:dyDescent="0.25">
      <c r="E242" s="57" t="s">
        <v>140</v>
      </c>
      <c r="F242" s="57" t="s">
        <v>141</v>
      </c>
      <c r="G242" s="57">
        <v>729</v>
      </c>
      <c r="H242" s="57" t="s">
        <v>206</v>
      </c>
      <c r="I242" s="57">
        <v>5419</v>
      </c>
      <c r="J242" s="57" t="s">
        <v>209</v>
      </c>
      <c r="K242" s="57" t="s">
        <v>164</v>
      </c>
      <c r="L242" s="57" t="s">
        <v>165</v>
      </c>
      <c r="M242" s="57">
        <v>2018</v>
      </c>
      <c r="N242" s="57">
        <v>2018</v>
      </c>
      <c r="O242" s="57" t="s">
        <v>210</v>
      </c>
      <c r="P242" s="58">
        <v>118823</v>
      </c>
      <c r="Q242" s="57" t="s">
        <v>115</v>
      </c>
      <c r="R242" s="57" t="s">
        <v>116</v>
      </c>
    </row>
    <row r="243" spans="5:18" ht="13.5" customHeight="1" x14ac:dyDescent="0.25">
      <c r="E243" s="2" t="s">
        <v>140</v>
      </c>
      <c r="F243" s="2" t="s">
        <v>141</v>
      </c>
      <c r="G243" s="2">
        <v>729</v>
      </c>
      <c r="H243" s="2" t="s">
        <v>206</v>
      </c>
      <c r="I243" s="2">
        <v>5419</v>
      </c>
      <c r="J243" s="2" t="s">
        <v>209</v>
      </c>
      <c r="K243" s="2" t="s">
        <v>164</v>
      </c>
      <c r="L243" s="2" t="s">
        <v>165</v>
      </c>
      <c r="M243" s="2">
        <v>2019</v>
      </c>
      <c r="N243" s="2">
        <v>2019</v>
      </c>
      <c r="O243" s="2" t="s">
        <v>210</v>
      </c>
      <c r="P243" s="2">
        <v>133946</v>
      </c>
      <c r="Q243" s="2" t="s">
        <v>115</v>
      </c>
      <c r="R243" s="2" t="s">
        <v>116</v>
      </c>
    </row>
    <row r="244" spans="5:18" ht="13.5" customHeight="1" x14ac:dyDescent="0.25">
      <c r="E244" s="2" t="s">
        <v>140</v>
      </c>
      <c r="F244" s="2" t="s">
        <v>141</v>
      </c>
      <c r="G244" s="2">
        <v>729</v>
      </c>
      <c r="H244" s="2" t="s">
        <v>206</v>
      </c>
      <c r="I244" s="2">
        <v>5419</v>
      </c>
      <c r="J244" s="2" t="s">
        <v>209</v>
      </c>
      <c r="K244" s="2" t="s">
        <v>164</v>
      </c>
      <c r="L244" s="2" t="s">
        <v>165</v>
      </c>
      <c r="M244" s="2">
        <v>2020</v>
      </c>
      <c r="N244" s="2">
        <v>2020</v>
      </c>
      <c r="O244" s="2" t="s">
        <v>210</v>
      </c>
      <c r="P244" s="2">
        <v>130197</v>
      </c>
      <c r="Q244" s="2" t="s">
        <v>115</v>
      </c>
      <c r="R244" s="2" t="s">
        <v>116</v>
      </c>
    </row>
    <row r="245" spans="5:18" ht="13.5" customHeight="1" x14ac:dyDescent="0.25">
      <c r="E245" s="2" t="s">
        <v>140</v>
      </c>
      <c r="F245" s="2" t="s">
        <v>141</v>
      </c>
      <c r="G245" s="2">
        <v>729</v>
      </c>
      <c r="H245" s="2" t="s">
        <v>206</v>
      </c>
      <c r="I245" s="2">
        <v>5419</v>
      </c>
      <c r="J245" s="2" t="s">
        <v>209</v>
      </c>
      <c r="K245" s="2" t="s">
        <v>164</v>
      </c>
      <c r="L245" s="2" t="s">
        <v>165</v>
      </c>
      <c r="M245" s="2">
        <v>2021</v>
      </c>
      <c r="N245" s="2">
        <v>2021</v>
      </c>
      <c r="O245" s="2" t="s">
        <v>210</v>
      </c>
      <c r="P245" s="2">
        <v>140999</v>
      </c>
      <c r="Q245" s="2" t="s">
        <v>115</v>
      </c>
      <c r="R245" s="2" t="s">
        <v>116</v>
      </c>
    </row>
    <row r="246" spans="5:18" ht="13.5" customHeight="1" x14ac:dyDescent="0.25">
      <c r="E246" s="2" t="s">
        <v>140</v>
      </c>
      <c r="F246" s="2" t="s">
        <v>141</v>
      </c>
      <c r="G246" s="2">
        <v>729</v>
      </c>
      <c r="H246" s="2" t="s">
        <v>206</v>
      </c>
      <c r="I246" s="2">
        <v>5312</v>
      </c>
      <c r="J246" s="2" t="s">
        <v>142</v>
      </c>
      <c r="K246" s="2" t="s">
        <v>166</v>
      </c>
      <c r="L246" s="2" t="s">
        <v>167</v>
      </c>
      <c r="M246" s="2">
        <v>2015</v>
      </c>
      <c r="N246" s="2">
        <v>2015</v>
      </c>
      <c r="O246" s="2" t="s">
        <v>23</v>
      </c>
      <c r="P246" s="2">
        <v>1464960</v>
      </c>
      <c r="Q246" s="2" t="s">
        <v>143</v>
      </c>
      <c r="R246" s="2" t="s">
        <v>144</v>
      </c>
    </row>
    <row r="247" spans="5:18" ht="13.5" customHeight="1" x14ac:dyDescent="0.25">
      <c r="E247" s="2" t="s">
        <v>140</v>
      </c>
      <c r="F247" s="2" t="s">
        <v>141</v>
      </c>
      <c r="G247" s="2">
        <v>729</v>
      </c>
      <c r="H247" s="2" t="s">
        <v>206</v>
      </c>
      <c r="I247" s="2">
        <v>5312</v>
      </c>
      <c r="J247" s="2" t="s">
        <v>142</v>
      </c>
      <c r="K247" s="2" t="s">
        <v>166</v>
      </c>
      <c r="L247" s="2" t="s">
        <v>167</v>
      </c>
      <c r="M247" s="2">
        <v>2016</v>
      </c>
      <c r="N247" s="2">
        <v>2016</v>
      </c>
      <c r="O247" s="2" t="s">
        <v>23</v>
      </c>
      <c r="P247" s="2">
        <v>2315040</v>
      </c>
      <c r="Q247" s="2" t="s">
        <v>143</v>
      </c>
      <c r="R247" s="2" t="s">
        <v>144</v>
      </c>
    </row>
    <row r="248" spans="5:18" ht="13.5" customHeight="1" x14ac:dyDescent="0.25">
      <c r="E248" s="2" t="s">
        <v>140</v>
      </c>
      <c r="F248" s="2" t="s">
        <v>141</v>
      </c>
      <c r="G248" s="2">
        <v>729</v>
      </c>
      <c r="H248" s="2" t="s">
        <v>206</v>
      </c>
      <c r="I248" s="2">
        <v>5312</v>
      </c>
      <c r="J248" s="2" t="s">
        <v>142</v>
      </c>
      <c r="K248" s="2" t="s">
        <v>166</v>
      </c>
      <c r="L248" s="2" t="s">
        <v>167</v>
      </c>
      <c r="M248" s="2">
        <v>2017</v>
      </c>
      <c r="N248" s="2">
        <v>2017</v>
      </c>
      <c r="O248" s="2" t="s">
        <v>23</v>
      </c>
      <c r="P248" s="2">
        <v>2215000</v>
      </c>
      <c r="Q248" s="2" t="s">
        <v>168</v>
      </c>
      <c r="R248" s="2" t="s">
        <v>169</v>
      </c>
    </row>
    <row r="249" spans="5:18" ht="13.5" customHeight="1" x14ac:dyDescent="0.25">
      <c r="E249" s="2" t="s">
        <v>140</v>
      </c>
      <c r="F249" s="2" t="s">
        <v>141</v>
      </c>
      <c r="G249" s="2">
        <v>729</v>
      </c>
      <c r="H249" s="2" t="s">
        <v>206</v>
      </c>
      <c r="I249" s="2">
        <v>5312</v>
      </c>
      <c r="J249" s="2" t="s">
        <v>142</v>
      </c>
      <c r="K249" s="2" t="s">
        <v>166</v>
      </c>
      <c r="L249" s="2" t="s">
        <v>167</v>
      </c>
      <c r="M249" s="2">
        <v>2018</v>
      </c>
      <c r="N249" s="2">
        <v>2018</v>
      </c>
      <c r="O249" s="2" t="s">
        <v>23</v>
      </c>
      <c r="P249" s="2">
        <v>3064740</v>
      </c>
      <c r="Q249" s="2" t="s">
        <v>143</v>
      </c>
      <c r="R249" s="2" t="s">
        <v>144</v>
      </c>
    </row>
    <row r="250" spans="5:18" ht="13.5" customHeight="1" x14ac:dyDescent="0.25">
      <c r="E250" s="2" t="s">
        <v>140</v>
      </c>
      <c r="F250" s="2" t="s">
        <v>141</v>
      </c>
      <c r="G250" s="2">
        <v>729</v>
      </c>
      <c r="H250" s="2" t="s">
        <v>206</v>
      </c>
      <c r="I250" s="2">
        <v>5312</v>
      </c>
      <c r="J250" s="2" t="s">
        <v>142</v>
      </c>
      <c r="K250" s="2" t="s">
        <v>166</v>
      </c>
      <c r="L250" s="2" t="s">
        <v>167</v>
      </c>
      <c r="M250" s="2">
        <v>2019</v>
      </c>
      <c r="N250" s="2">
        <v>2019</v>
      </c>
      <c r="O250" s="2" t="s">
        <v>23</v>
      </c>
      <c r="P250" s="2">
        <v>3130260</v>
      </c>
      <c r="Q250" s="2" t="s">
        <v>143</v>
      </c>
      <c r="R250" s="2" t="s">
        <v>144</v>
      </c>
    </row>
    <row r="251" spans="5:18" ht="13.5" customHeight="1" x14ac:dyDescent="0.25">
      <c r="E251" s="2" t="s">
        <v>140</v>
      </c>
      <c r="F251" s="2" t="s">
        <v>141</v>
      </c>
      <c r="G251" s="2">
        <v>729</v>
      </c>
      <c r="H251" s="2" t="s">
        <v>206</v>
      </c>
      <c r="I251" s="2">
        <v>5312</v>
      </c>
      <c r="J251" s="2" t="s">
        <v>142</v>
      </c>
      <c r="K251" s="2" t="s">
        <v>166</v>
      </c>
      <c r="L251" s="2" t="s">
        <v>167</v>
      </c>
      <c r="M251" s="2">
        <v>2020</v>
      </c>
      <c r="N251" s="2">
        <v>2020</v>
      </c>
      <c r="O251" s="2" t="s">
        <v>23</v>
      </c>
      <c r="P251" s="2">
        <v>3197181</v>
      </c>
      <c r="Q251" s="2" t="s">
        <v>143</v>
      </c>
      <c r="R251" s="2" t="s">
        <v>144</v>
      </c>
    </row>
    <row r="252" spans="5:18" ht="13.5" customHeight="1" x14ac:dyDescent="0.25">
      <c r="E252" s="2" t="s">
        <v>140</v>
      </c>
      <c r="F252" s="2" t="s">
        <v>141</v>
      </c>
      <c r="G252" s="2">
        <v>729</v>
      </c>
      <c r="H252" s="2" t="s">
        <v>206</v>
      </c>
      <c r="I252" s="2">
        <v>5312</v>
      </c>
      <c r="J252" s="2" t="s">
        <v>142</v>
      </c>
      <c r="K252" s="2" t="s">
        <v>166</v>
      </c>
      <c r="L252" s="2" t="s">
        <v>167</v>
      </c>
      <c r="M252" s="2">
        <v>2021</v>
      </c>
      <c r="N252" s="2">
        <v>2021</v>
      </c>
      <c r="O252" s="2" t="s">
        <v>23</v>
      </c>
      <c r="P252" s="2">
        <v>3936000</v>
      </c>
      <c r="Q252" s="2" t="s">
        <v>168</v>
      </c>
      <c r="R252" s="2" t="s">
        <v>169</v>
      </c>
    </row>
    <row r="253" spans="5:18" ht="13.5" customHeight="1" x14ac:dyDescent="0.25">
      <c r="E253" s="2" t="s">
        <v>140</v>
      </c>
      <c r="F253" s="2" t="s">
        <v>141</v>
      </c>
      <c r="G253" s="2">
        <v>729</v>
      </c>
      <c r="H253" s="2" t="s">
        <v>206</v>
      </c>
      <c r="I253" s="2">
        <v>5419</v>
      </c>
      <c r="J253" s="2" t="s">
        <v>209</v>
      </c>
      <c r="K253" s="2" t="s">
        <v>166</v>
      </c>
      <c r="L253" s="2" t="s">
        <v>167</v>
      </c>
      <c r="M253" s="2">
        <v>2015</v>
      </c>
      <c r="N253" s="2">
        <v>2015</v>
      </c>
      <c r="O253" s="2" t="s">
        <v>210</v>
      </c>
      <c r="P253" s="2">
        <v>7113</v>
      </c>
      <c r="Q253" s="2" t="s">
        <v>143</v>
      </c>
      <c r="R253" s="2" t="s">
        <v>144</v>
      </c>
    </row>
    <row r="254" spans="5:18" ht="13.5" customHeight="1" x14ac:dyDescent="0.25">
      <c r="E254" s="2" t="s">
        <v>140</v>
      </c>
      <c r="F254" s="2" t="s">
        <v>141</v>
      </c>
      <c r="G254" s="2">
        <v>729</v>
      </c>
      <c r="H254" s="2" t="s">
        <v>206</v>
      </c>
      <c r="I254" s="2">
        <v>5419</v>
      </c>
      <c r="J254" s="2" t="s">
        <v>209</v>
      </c>
      <c r="K254" s="2" t="s">
        <v>166</v>
      </c>
      <c r="L254" s="2" t="s">
        <v>167</v>
      </c>
      <c r="M254" s="2">
        <v>2016</v>
      </c>
      <c r="N254" s="2">
        <v>2016</v>
      </c>
      <c r="O254" s="2" t="s">
        <v>210</v>
      </c>
      <c r="P254" s="2">
        <v>7888</v>
      </c>
      <c r="Q254" s="2" t="s">
        <v>143</v>
      </c>
      <c r="R254" s="2" t="s">
        <v>144</v>
      </c>
    </row>
    <row r="255" spans="5:18" ht="13.5" customHeight="1" x14ac:dyDescent="0.25">
      <c r="E255" s="2" t="s">
        <v>140</v>
      </c>
      <c r="F255" s="2" t="s">
        <v>141</v>
      </c>
      <c r="G255" s="2">
        <v>729</v>
      </c>
      <c r="H255" s="2" t="s">
        <v>206</v>
      </c>
      <c r="I255" s="2">
        <v>5419</v>
      </c>
      <c r="J255" s="2" t="s">
        <v>209</v>
      </c>
      <c r="K255" s="2" t="s">
        <v>166</v>
      </c>
      <c r="L255" s="2" t="s">
        <v>167</v>
      </c>
      <c r="M255" s="2">
        <v>2017</v>
      </c>
      <c r="N255" s="2">
        <v>2017</v>
      </c>
      <c r="O255" s="2" t="s">
        <v>210</v>
      </c>
      <c r="P255" s="2">
        <v>7440</v>
      </c>
      <c r="Q255" s="2" t="s">
        <v>115</v>
      </c>
      <c r="R255" s="2" t="s">
        <v>116</v>
      </c>
    </row>
    <row r="256" spans="5:18" ht="13.5" customHeight="1" x14ac:dyDescent="0.25">
      <c r="E256" s="2" t="s">
        <v>140</v>
      </c>
      <c r="F256" s="2" t="s">
        <v>141</v>
      </c>
      <c r="G256" s="2">
        <v>729</v>
      </c>
      <c r="H256" s="2" t="s">
        <v>206</v>
      </c>
      <c r="I256" s="2">
        <v>5419</v>
      </c>
      <c r="J256" s="2" t="s">
        <v>209</v>
      </c>
      <c r="K256" s="2" t="s">
        <v>166</v>
      </c>
      <c r="L256" s="2" t="s">
        <v>167</v>
      </c>
      <c r="M256" s="2">
        <v>2018</v>
      </c>
      <c r="N256" s="2">
        <v>2018</v>
      </c>
      <c r="O256" s="2" t="s">
        <v>210</v>
      </c>
      <c r="P256" s="2">
        <v>9410</v>
      </c>
      <c r="Q256" s="2" t="s">
        <v>143</v>
      </c>
      <c r="R256" s="2" t="s">
        <v>144</v>
      </c>
    </row>
    <row r="257" spans="5:18" ht="13.5" customHeight="1" x14ac:dyDescent="0.25">
      <c r="E257" s="2" t="s">
        <v>140</v>
      </c>
      <c r="F257" s="2" t="s">
        <v>141</v>
      </c>
      <c r="G257" s="2">
        <v>729</v>
      </c>
      <c r="H257" s="2" t="s">
        <v>206</v>
      </c>
      <c r="I257" s="2">
        <v>5419</v>
      </c>
      <c r="J257" s="2" t="s">
        <v>209</v>
      </c>
      <c r="K257" s="2" t="s">
        <v>166</v>
      </c>
      <c r="L257" s="2" t="s">
        <v>167</v>
      </c>
      <c r="M257" s="2">
        <v>2019</v>
      </c>
      <c r="N257" s="2">
        <v>2019</v>
      </c>
      <c r="O257" s="2" t="s">
        <v>210</v>
      </c>
      <c r="P257" s="2">
        <v>9034</v>
      </c>
      <c r="Q257" s="2" t="s">
        <v>143</v>
      </c>
      <c r="R257" s="2" t="s">
        <v>144</v>
      </c>
    </row>
    <row r="258" spans="5:18" ht="13.5" customHeight="1" x14ac:dyDescent="0.25">
      <c r="E258" s="2" t="s">
        <v>140</v>
      </c>
      <c r="F258" s="2" t="s">
        <v>141</v>
      </c>
      <c r="G258" s="2">
        <v>729</v>
      </c>
      <c r="H258" s="2" t="s">
        <v>206</v>
      </c>
      <c r="I258" s="2">
        <v>5419</v>
      </c>
      <c r="J258" s="2" t="s">
        <v>209</v>
      </c>
      <c r="K258" s="2" t="s">
        <v>166</v>
      </c>
      <c r="L258" s="2" t="s">
        <v>167</v>
      </c>
      <c r="M258" s="2">
        <v>2020</v>
      </c>
      <c r="N258" s="2">
        <v>2020</v>
      </c>
      <c r="O258" s="2" t="s">
        <v>210</v>
      </c>
      <c r="P258" s="2">
        <v>8674</v>
      </c>
      <c r="Q258" s="2" t="s">
        <v>143</v>
      </c>
      <c r="R258" s="2" t="s">
        <v>144</v>
      </c>
    </row>
    <row r="259" spans="5:18" ht="13.5" customHeight="1" x14ac:dyDescent="0.25">
      <c r="E259" s="2" t="s">
        <v>140</v>
      </c>
      <c r="F259" s="2" t="s">
        <v>141</v>
      </c>
      <c r="G259" s="2">
        <v>729</v>
      </c>
      <c r="H259" s="2" t="s">
        <v>206</v>
      </c>
      <c r="I259" s="2">
        <v>5419</v>
      </c>
      <c r="J259" s="2" t="s">
        <v>209</v>
      </c>
      <c r="K259" s="2" t="s">
        <v>166</v>
      </c>
      <c r="L259" s="2" t="s">
        <v>167</v>
      </c>
      <c r="M259" s="2">
        <v>2021</v>
      </c>
      <c r="N259" s="2">
        <v>2021</v>
      </c>
      <c r="O259" s="2" t="s">
        <v>210</v>
      </c>
      <c r="P259" s="2">
        <v>5983</v>
      </c>
      <c r="Q259" s="2" t="s">
        <v>115</v>
      </c>
      <c r="R259" s="2" t="s">
        <v>116</v>
      </c>
    </row>
    <row r="260" spans="5:18" ht="13.5" customHeight="1" x14ac:dyDescent="0.25">
      <c r="E260" s="2" t="s">
        <v>140</v>
      </c>
      <c r="F260" s="2" t="s">
        <v>141</v>
      </c>
      <c r="G260" s="2">
        <v>729</v>
      </c>
      <c r="H260" s="2" t="s">
        <v>206</v>
      </c>
      <c r="I260" s="2">
        <v>5312</v>
      </c>
      <c r="J260" s="2" t="s">
        <v>142</v>
      </c>
      <c r="K260" s="2" t="s">
        <v>219</v>
      </c>
      <c r="L260" s="2" t="s">
        <v>220</v>
      </c>
      <c r="M260" s="2">
        <v>2015</v>
      </c>
      <c r="N260" s="2">
        <v>2015</v>
      </c>
      <c r="O260" s="2" t="s">
        <v>23</v>
      </c>
      <c r="P260" s="2">
        <v>23646</v>
      </c>
      <c r="Q260" s="2" t="s">
        <v>143</v>
      </c>
      <c r="R260" s="2" t="s">
        <v>144</v>
      </c>
    </row>
    <row r="261" spans="5:18" ht="13.5" customHeight="1" x14ac:dyDescent="0.25">
      <c r="E261" s="2" t="s">
        <v>140</v>
      </c>
      <c r="F261" s="2" t="s">
        <v>141</v>
      </c>
      <c r="G261" s="2">
        <v>729</v>
      </c>
      <c r="H261" s="2" t="s">
        <v>206</v>
      </c>
      <c r="I261" s="2">
        <v>5312</v>
      </c>
      <c r="J261" s="2" t="s">
        <v>142</v>
      </c>
      <c r="K261" s="2" t="s">
        <v>219</v>
      </c>
      <c r="L261" s="2" t="s">
        <v>220</v>
      </c>
      <c r="M261" s="2">
        <v>2016</v>
      </c>
      <c r="N261" s="2">
        <v>2016</v>
      </c>
      <c r="O261" s="2" t="s">
        <v>23</v>
      </c>
      <c r="P261" s="2">
        <v>30870</v>
      </c>
      <c r="Q261" s="2" t="s">
        <v>143</v>
      </c>
      <c r="R261" s="2" t="s">
        <v>144</v>
      </c>
    </row>
    <row r="262" spans="5:18" ht="13.5" customHeight="1" x14ac:dyDescent="0.25">
      <c r="E262" s="2" t="s">
        <v>140</v>
      </c>
      <c r="F262" s="2" t="s">
        <v>141</v>
      </c>
      <c r="G262" s="2">
        <v>729</v>
      </c>
      <c r="H262" s="2" t="s">
        <v>206</v>
      </c>
      <c r="I262" s="2">
        <v>5312</v>
      </c>
      <c r="J262" s="2" t="s">
        <v>142</v>
      </c>
      <c r="K262" s="2" t="s">
        <v>219</v>
      </c>
      <c r="L262" s="2" t="s">
        <v>220</v>
      </c>
      <c r="M262" s="2">
        <v>2017</v>
      </c>
      <c r="N262" s="2">
        <v>2017</v>
      </c>
      <c r="O262" s="2" t="s">
        <v>23</v>
      </c>
      <c r="P262" s="2">
        <v>32000</v>
      </c>
      <c r="Q262" s="2" t="s">
        <v>143</v>
      </c>
      <c r="R262" s="2" t="s">
        <v>144</v>
      </c>
    </row>
    <row r="263" spans="5:18" ht="13.5" customHeight="1" x14ac:dyDescent="0.25">
      <c r="E263" s="2" t="s">
        <v>140</v>
      </c>
      <c r="F263" s="2" t="s">
        <v>141</v>
      </c>
      <c r="G263" s="2">
        <v>729</v>
      </c>
      <c r="H263" s="2" t="s">
        <v>206</v>
      </c>
      <c r="I263" s="2">
        <v>5312</v>
      </c>
      <c r="J263" s="2" t="s">
        <v>142</v>
      </c>
      <c r="K263" s="2" t="s">
        <v>219</v>
      </c>
      <c r="L263" s="2" t="s">
        <v>220</v>
      </c>
      <c r="M263" s="2">
        <v>2018</v>
      </c>
      <c r="N263" s="2">
        <v>2018</v>
      </c>
      <c r="O263" s="2" t="s">
        <v>23</v>
      </c>
      <c r="P263" s="2">
        <v>32000</v>
      </c>
      <c r="Q263" s="2" t="s">
        <v>143</v>
      </c>
      <c r="R263" s="2" t="s">
        <v>144</v>
      </c>
    </row>
    <row r="264" spans="5:18" ht="13.5" customHeight="1" x14ac:dyDescent="0.25">
      <c r="E264" s="2" t="s">
        <v>140</v>
      </c>
      <c r="F264" s="2" t="s">
        <v>141</v>
      </c>
      <c r="G264" s="2">
        <v>729</v>
      </c>
      <c r="H264" s="2" t="s">
        <v>206</v>
      </c>
      <c r="I264" s="2">
        <v>5312</v>
      </c>
      <c r="J264" s="2" t="s">
        <v>142</v>
      </c>
      <c r="K264" s="2" t="s">
        <v>219</v>
      </c>
      <c r="L264" s="2" t="s">
        <v>220</v>
      </c>
      <c r="M264" s="2">
        <v>2019</v>
      </c>
      <c r="N264" s="2">
        <v>2019</v>
      </c>
      <c r="O264" s="2" t="s">
        <v>23</v>
      </c>
      <c r="P264" s="2">
        <v>32000</v>
      </c>
      <c r="Q264" s="2" t="s">
        <v>143</v>
      </c>
      <c r="R264" s="2" t="s">
        <v>144</v>
      </c>
    </row>
    <row r="265" spans="5:18" ht="13.5" customHeight="1" x14ac:dyDescent="0.25">
      <c r="E265" s="2" t="s">
        <v>140</v>
      </c>
      <c r="F265" s="2" t="s">
        <v>141</v>
      </c>
      <c r="G265" s="2">
        <v>729</v>
      </c>
      <c r="H265" s="2" t="s">
        <v>206</v>
      </c>
      <c r="I265" s="2">
        <v>5312</v>
      </c>
      <c r="J265" s="2" t="s">
        <v>142</v>
      </c>
      <c r="K265" s="2" t="s">
        <v>219</v>
      </c>
      <c r="L265" s="2" t="s">
        <v>220</v>
      </c>
      <c r="M265" s="2">
        <v>2020</v>
      </c>
      <c r="N265" s="2">
        <v>2020</v>
      </c>
      <c r="O265" s="2" t="s">
        <v>23</v>
      </c>
      <c r="P265" s="2">
        <v>32000</v>
      </c>
      <c r="Q265" s="2" t="s">
        <v>143</v>
      </c>
      <c r="R265" s="2" t="s">
        <v>144</v>
      </c>
    </row>
    <row r="266" spans="5:18" ht="13.5" customHeight="1" x14ac:dyDescent="0.25">
      <c r="E266" s="2" t="s">
        <v>140</v>
      </c>
      <c r="F266" s="2" t="s">
        <v>141</v>
      </c>
      <c r="G266" s="2">
        <v>729</v>
      </c>
      <c r="H266" s="2" t="s">
        <v>206</v>
      </c>
      <c r="I266" s="2">
        <v>5312</v>
      </c>
      <c r="J266" s="2" t="s">
        <v>142</v>
      </c>
      <c r="K266" s="2" t="s">
        <v>219</v>
      </c>
      <c r="L266" s="2" t="s">
        <v>220</v>
      </c>
      <c r="M266" s="2">
        <v>2021</v>
      </c>
      <c r="N266" s="2">
        <v>2021</v>
      </c>
      <c r="O266" s="2" t="s">
        <v>23</v>
      </c>
      <c r="P266" s="2">
        <v>32521</v>
      </c>
      <c r="Q266" s="2" t="s">
        <v>145</v>
      </c>
      <c r="R266" s="2" t="s">
        <v>146</v>
      </c>
    </row>
    <row r="267" spans="5:18" ht="13.5" customHeight="1" x14ac:dyDescent="0.25">
      <c r="E267" s="2" t="s">
        <v>140</v>
      </c>
      <c r="F267" s="2" t="s">
        <v>141</v>
      </c>
      <c r="G267" s="2">
        <v>729</v>
      </c>
      <c r="H267" s="2" t="s">
        <v>206</v>
      </c>
      <c r="I267" s="2">
        <v>5419</v>
      </c>
      <c r="J267" s="2" t="s">
        <v>209</v>
      </c>
      <c r="K267" s="2" t="s">
        <v>219</v>
      </c>
      <c r="L267" s="2" t="s">
        <v>220</v>
      </c>
      <c r="M267" s="2">
        <v>2015</v>
      </c>
      <c r="N267" s="2">
        <v>2015</v>
      </c>
      <c r="O267" s="2" t="s">
        <v>210</v>
      </c>
      <c r="P267" s="2">
        <v>113973</v>
      </c>
      <c r="Q267" s="2" t="s">
        <v>143</v>
      </c>
      <c r="R267" s="2" t="s">
        <v>144</v>
      </c>
    </row>
    <row r="268" spans="5:18" ht="13.5" customHeight="1" x14ac:dyDescent="0.25">
      <c r="E268" s="2" t="s">
        <v>140</v>
      </c>
      <c r="F268" s="2" t="s">
        <v>141</v>
      </c>
      <c r="G268" s="2">
        <v>729</v>
      </c>
      <c r="H268" s="2" t="s">
        <v>206</v>
      </c>
      <c r="I268" s="2">
        <v>5419</v>
      </c>
      <c r="J268" s="2" t="s">
        <v>209</v>
      </c>
      <c r="K268" s="2" t="s">
        <v>219</v>
      </c>
      <c r="L268" s="2" t="s">
        <v>220</v>
      </c>
      <c r="M268" s="2">
        <v>2016</v>
      </c>
      <c r="N268" s="2">
        <v>2016</v>
      </c>
      <c r="O268" s="2" t="s">
        <v>210</v>
      </c>
      <c r="P268" s="2">
        <v>87483</v>
      </c>
      <c r="Q268" s="2" t="s">
        <v>143</v>
      </c>
      <c r="R268" s="2" t="s">
        <v>144</v>
      </c>
    </row>
    <row r="269" spans="5:18" ht="13.5" customHeight="1" x14ac:dyDescent="0.25">
      <c r="E269" s="2" t="s">
        <v>140</v>
      </c>
      <c r="F269" s="2" t="s">
        <v>141</v>
      </c>
      <c r="G269" s="2">
        <v>729</v>
      </c>
      <c r="H269" s="2" t="s">
        <v>206</v>
      </c>
      <c r="I269" s="2">
        <v>5419</v>
      </c>
      <c r="J269" s="2" t="s">
        <v>209</v>
      </c>
      <c r="K269" s="2" t="s">
        <v>219</v>
      </c>
      <c r="L269" s="2" t="s">
        <v>220</v>
      </c>
      <c r="M269" s="2">
        <v>2017</v>
      </c>
      <c r="N269" s="2">
        <v>2017</v>
      </c>
      <c r="O269" s="2" t="s">
        <v>210</v>
      </c>
      <c r="P269" s="2">
        <v>87781</v>
      </c>
      <c r="Q269" s="2" t="s">
        <v>143</v>
      </c>
      <c r="R269" s="2" t="s">
        <v>144</v>
      </c>
    </row>
    <row r="270" spans="5:18" ht="13.5" customHeight="1" x14ac:dyDescent="0.25">
      <c r="E270" s="2" t="s">
        <v>140</v>
      </c>
      <c r="F270" s="2" t="s">
        <v>141</v>
      </c>
      <c r="G270" s="2">
        <v>729</v>
      </c>
      <c r="H270" s="2" t="s">
        <v>206</v>
      </c>
      <c r="I270" s="2">
        <v>5419</v>
      </c>
      <c r="J270" s="2" t="s">
        <v>209</v>
      </c>
      <c r="K270" s="2" t="s">
        <v>219</v>
      </c>
      <c r="L270" s="2" t="s">
        <v>220</v>
      </c>
      <c r="M270" s="2">
        <v>2018</v>
      </c>
      <c r="N270" s="2">
        <v>2018</v>
      </c>
      <c r="O270" s="2" t="s">
        <v>210</v>
      </c>
      <c r="P270" s="2">
        <v>96559</v>
      </c>
      <c r="Q270" s="2" t="s">
        <v>143</v>
      </c>
      <c r="R270" s="2" t="s">
        <v>144</v>
      </c>
    </row>
    <row r="271" spans="5:18" ht="13.5" customHeight="1" x14ac:dyDescent="0.25">
      <c r="E271" s="2" t="s">
        <v>140</v>
      </c>
      <c r="F271" s="2" t="s">
        <v>141</v>
      </c>
      <c r="G271" s="2">
        <v>729</v>
      </c>
      <c r="H271" s="2" t="s">
        <v>206</v>
      </c>
      <c r="I271" s="2">
        <v>5419</v>
      </c>
      <c r="J271" s="2" t="s">
        <v>209</v>
      </c>
      <c r="K271" s="2" t="s">
        <v>219</v>
      </c>
      <c r="L271" s="2" t="s">
        <v>220</v>
      </c>
      <c r="M271" s="2">
        <v>2019</v>
      </c>
      <c r="N271" s="2">
        <v>2019</v>
      </c>
      <c r="O271" s="2" t="s">
        <v>210</v>
      </c>
      <c r="P271" s="2">
        <v>101387</v>
      </c>
      <c r="Q271" s="2" t="s">
        <v>143</v>
      </c>
      <c r="R271" s="2" t="s">
        <v>144</v>
      </c>
    </row>
    <row r="272" spans="5:18" ht="13.5" customHeight="1" x14ac:dyDescent="0.25">
      <c r="E272" s="2" t="s">
        <v>140</v>
      </c>
      <c r="F272" s="2" t="s">
        <v>141</v>
      </c>
      <c r="G272" s="2">
        <v>729</v>
      </c>
      <c r="H272" s="2" t="s">
        <v>206</v>
      </c>
      <c r="I272" s="2">
        <v>5419</v>
      </c>
      <c r="J272" s="2" t="s">
        <v>209</v>
      </c>
      <c r="K272" s="2" t="s">
        <v>219</v>
      </c>
      <c r="L272" s="2" t="s">
        <v>220</v>
      </c>
      <c r="M272" s="2">
        <v>2020</v>
      </c>
      <c r="N272" s="2">
        <v>2020</v>
      </c>
      <c r="O272" s="2" t="s">
        <v>210</v>
      </c>
      <c r="P272" s="2">
        <v>106457</v>
      </c>
      <c r="Q272" s="2" t="s">
        <v>143</v>
      </c>
      <c r="R272" s="2" t="s">
        <v>144</v>
      </c>
    </row>
    <row r="273" spans="5:18" ht="13.5" customHeight="1" x14ac:dyDescent="0.25">
      <c r="E273" s="2" t="s">
        <v>140</v>
      </c>
      <c r="F273" s="2" t="s">
        <v>141</v>
      </c>
      <c r="G273" s="2">
        <v>729</v>
      </c>
      <c r="H273" s="2" t="s">
        <v>206</v>
      </c>
      <c r="I273" s="2">
        <v>5419</v>
      </c>
      <c r="J273" s="2" t="s">
        <v>209</v>
      </c>
      <c r="K273" s="2" t="s">
        <v>219</v>
      </c>
      <c r="L273" s="2" t="s">
        <v>220</v>
      </c>
      <c r="M273" s="2">
        <v>2021</v>
      </c>
      <c r="N273" s="2">
        <v>2021</v>
      </c>
      <c r="O273" s="2" t="s">
        <v>210</v>
      </c>
      <c r="P273" s="2">
        <v>109939</v>
      </c>
      <c r="Q273" s="2" t="s">
        <v>115</v>
      </c>
      <c r="R273" s="2" t="s">
        <v>116</v>
      </c>
    </row>
    <row r="274" spans="5:18" ht="13.5" customHeight="1" x14ac:dyDescent="0.25">
      <c r="E274" s="2" t="s">
        <v>140</v>
      </c>
      <c r="F274" s="2" t="s">
        <v>141</v>
      </c>
      <c r="G274" s="2">
        <v>729</v>
      </c>
      <c r="H274" s="2" t="s">
        <v>206</v>
      </c>
      <c r="I274" s="2">
        <v>5312</v>
      </c>
      <c r="J274" s="2" t="s">
        <v>142</v>
      </c>
      <c r="K274" s="2" t="s">
        <v>170</v>
      </c>
      <c r="L274" s="2" t="s">
        <v>129</v>
      </c>
      <c r="M274" s="2">
        <v>2015</v>
      </c>
      <c r="N274" s="2">
        <v>2015</v>
      </c>
      <c r="O274" s="2" t="s">
        <v>23</v>
      </c>
      <c r="P274" s="2">
        <v>38640</v>
      </c>
      <c r="Q274" s="2" t="s">
        <v>143</v>
      </c>
      <c r="R274" s="2" t="s">
        <v>144</v>
      </c>
    </row>
    <row r="275" spans="5:18" ht="13.5" customHeight="1" x14ac:dyDescent="0.25">
      <c r="E275" s="2" t="s">
        <v>140</v>
      </c>
      <c r="F275" s="2" t="s">
        <v>141</v>
      </c>
      <c r="G275" s="2">
        <v>729</v>
      </c>
      <c r="H275" s="2" t="s">
        <v>206</v>
      </c>
      <c r="I275" s="2">
        <v>5312</v>
      </c>
      <c r="J275" s="2" t="s">
        <v>142</v>
      </c>
      <c r="K275" s="2" t="s">
        <v>170</v>
      </c>
      <c r="L275" s="2" t="s">
        <v>129</v>
      </c>
      <c r="M275" s="2">
        <v>2016</v>
      </c>
      <c r="N275" s="2">
        <v>2016</v>
      </c>
      <c r="O275" s="2" t="s">
        <v>23</v>
      </c>
      <c r="P275" s="2">
        <v>36120</v>
      </c>
      <c r="Q275" s="2" t="s">
        <v>143</v>
      </c>
      <c r="R275" s="2" t="s">
        <v>144</v>
      </c>
    </row>
    <row r="276" spans="5:18" ht="13.5" customHeight="1" x14ac:dyDescent="0.25">
      <c r="E276" s="2" t="s">
        <v>140</v>
      </c>
      <c r="F276" s="2" t="s">
        <v>141</v>
      </c>
      <c r="G276" s="2">
        <v>729</v>
      </c>
      <c r="H276" s="2" t="s">
        <v>206</v>
      </c>
      <c r="I276" s="2">
        <v>5312</v>
      </c>
      <c r="J276" s="2" t="s">
        <v>142</v>
      </c>
      <c r="K276" s="2" t="s">
        <v>170</v>
      </c>
      <c r="L276" s="2" t="s">
        <v>129</v>
      </c>
      <c r="M276" s="2">
        <v>2017</v>
      </c>
      <c r="N276" s="2">
        <v>2017</v>
      </c>
      <c r="O276" s="2" t="s">
        <v>23</v>
      </c>
      <c r="P276" s="2">
        <v>12745</v>
      </c>
      <c r="Q276" s="2" t="s">
        <v>145</v>
      </c>
      <c r="R276" s="2" t="s">
        <v>146</v>
      </c>
    </row>
    <row r="277" spans="5:18" ht="13.5" customHeight="1" x14ac:dyDescent="0.25">
      <c r="E277" s="2" t="s">
        <v>140</v>
      </c>
      <c r="F277" s="2" t="s">
        <v>141</v>
      </c>
      <c r="G277" s="2">
        <v>729</v>
      </c>
      <c r="H277" s="2" t="s">
        <v>206</v>
      </c>
      <c r="I277" s="2">
        <v>5312</v>
      </c>
      <c r="J277" s="2" t="s">
        <v>142</v>
      </c>
      <c r="K277" s="2" t="s">
        <v>170</v>
      </c>
      <c r="L277" s="2" t="s">
        <v>129</v>
      </c>
      <c r="M277" s="2">
        <v>2018</v>
      </c>
      <c r="N277" s="2">
        <v>2018</v>
      </c>
      <c r="O277" s="2" t="s">
        <v>23</v>
      </c>
      <c r="P277" s="2">
        <v>30660</v>
      </c>
      <c r="Q277" s="2" t="s">
        <v>143</v>
      </c>
      <c r="R277" s="2" t="s">
        <v>144</v>
      </c>
    </row>
    <row r="278" spans="5:18" ht="13.5" customHeight="1" x14ac:dyDescent="0.25">
      <c r="E278" s="2" t="s">
        <v>140</v>
      </c>
      <c r="F278" s="2" t="s">
        <v>141</v>
      </c>
      <c r="G278" s="2">
        <v>729</v>
      </c>
      <c r="H278" s="2" t="s">
        <v>206</v>
      </c>
      <c r="I278" s="2">
        <v>5312</v>
      </c>
      <c r="J278" s="2" t="s">
        <v>142</v>
      </c>
      <c r="K278" s="2" t="s">
        <v>170</v>
      </c>
      <c r="L278" s="2" t="s">
        <v>129</v>
      </c>
      <c r="M278" s="2">
        <v>2019</v>
      </c>
      <c r="N278" s="2">
        <v>2019</v>
      </c>
      <c r="O278" s="2" t="s">
        <v>23</v>
      </c>
      <c r="P278" s="2">
        <v>24360</v>
      </c>
      <c r="Q278" s="2" t="s">
        <v>143</v>
      </c>
      <c r="R278" s="2" t="s">
        <v>144</v>
      </c>
    </row>
    <row r="279" spans="5:18" ht="13.5" customHeight="1" x14ac:dyDescent="0.25">
      <c r="E279" s="2" t="s">
        <v>140</v>
      </c>
      <c r="F279" s="2" t="s">
        <v>141</v>
      </c>
      <c r="G279" s="2">
        <v>729</v>
      </c>
      <c r="H279" s="2" t="s">
        <v>206</v>
      </c>
      <c r="I279" s="2">
        <v>5312</v>
      </c>
      <c r="J279" s="2" t="s">
        <v>142</v>
      </c>
      <c r="K279" s="2" t="s">
        <v>170</v>
      </c>
      <c r="L279" s="2" t="s">
        <v>129</v>
      </c>
      <c r="M279" s="2">
        <v>2020</v>
      </c>
      <c r="N279" s="2">
        <v>2020</v>
      </c>
      <c r="O279" s="2" t="s">
        <v>23</v>
      </c>
      <c r="P279" s="2">
        <v>19355</v>
      </c>
      <c r="Q279" s="2" t="s">
        <v>143</v>
      </c>
      <c r="R279" s="2" t="s">
        <v>144</v>
      </c>
    </row>
    <row r="280" spans="5:18" ht="13.5" customHeight="1" x14ac:dyDescent="0.25">
      <c r="E280" s="2" t="s">
        <v>140</v>
      </c>
      <c r="F280" s="2" t="s">
        <v>141</v>
      </c>
      <c r="G280" s="2">
        <v>729</v>
      </c>
      <c r="H280" s="2" t="s">
        <v>206</v>
      </c>
      <c r="I280" s="2">
        <v>5312</v>
      </c>
      <c r="J280" s="2" t="s">
        <v>142</v>
      </c>
      <c r="K280" s="2" t="s">
        <v>170</v>
      </c>
      <c r="L280" s="2" t="s">
        <v>129</v>
      </c>
      <c r="M280" s="2">
        <v>2021</v>
      </c>
      <c r="N280" s="2">
        <v>2021</v>
      </c>
      <c r="O280" s="2" t="s">
        <v>23</v>
      </c>
      <c r="P280" s="2">
        <v>30034</v>
      </c>
      <c r="Q280" s="2" t="s">
        <v>145</v>
      </c>
      <c r="R280" s="2" t="s">
        <v>146</v>
      </c>
    </row>
    <row r="281" spans="5:18" ht="13.5" customHeight="1" x14ac:dyDescent="0.25">
      <c r="E281" s="2" t="s">
        <v>140</v>
      </c>
      <c r="F281" s="2" t="s">
        <v>141</v>
      </c>
      <c r="G281" s="2">
        <v>729</v>
      </c>
      <c r="H281" s="2" t="s">
        <v>206</v>
      </c>
      <c r="I281" s="2">
        <v>5419</v>
      </c>
      <c r="J281" s="2" t="s">
        <v>209</v>
      </c>
      <c r="K281" s="2" t="s">
        <v>170</v>
      </c>
      <c r="L281" s="2" t="s">
        <v>129</v>
      </c>
      <c r="M281" s="2">
        <v>2015</v>
      </c>
      <c r="N281" s="2">
        <v>2015</v>
      </c>
      <c r="O281" s="2" t="s">
        <v>210</v>
      </c>
      <c r="P281" s="2">
        <v>12422</v>
      </c>
      <c r="Q281" s="2" t="s">
        <v>143</v>
      </c>
      <c r="R281" s="2" t="s">
        <v>144</v>
      </c>
    </row>
    <row r="282" spans="5:18" ht="13.5" customHeight="1" x14ac:dyDescent="0.25">
      <c r="E282" s="2" t="s">
        <v>140</v>
      </c>
      <c r="F282" s="2" t="s">
        <v>141</v>
      </c>
      <c r="G282" s="2">
        <v>729</v>
      </c>
      <c r="H282" s="2" t="s">
        <v>206</v>
      </c>
      <c r="I282" s="2">
        <v>5419</v>
      </c>
      <c r="J282" s="2" t="s">
        <v>209</v>
      </c>
      <c r="K282" s="2" t="s">
        <v>170</v>
      </c>
      <c r="L282" s="2" t="s">
        <v>129</v>
      </c>
      <c r="M282" s="2">
        <v>2016</v>
      </c>
      <c r="N282" s="2">
        <v>2016</v>
      </c>
      <c r="O282" s="2" t="s">
        <v>210</v>
      </c>
      <c r="P282" s="2">
        <v>13843</v>
      </c>
      <c r="Q282" s="2" t="s">
        <v>143</v>
      </c>
      <c r="R282" s="2" t="s">
        <v>144</v>
      </c>
    </row>
    <row r="283" spans="5:18" ht="13.5" customHeight="1" x14ac:dyDescent="0.25">
      <c r="E283" s="2" t="s">
        <v>140</v>
      </c>
      <c r="F283" s="2" t="s">
        <v>141</v>
      </c>
      <c r="G283" s="2">
        <v>729</v>
      </c>
      <c r="H283" s="2" t="s">
        <v>206</v>
      </c>
      <c r="I283" s="2">
        <v>5419</v>
      </c>
      <c r="J283" s="2" t="s">
        <v>209</v>
      </c>
      <c r="K283" s="2" t="s">
        <v>170</v>
      </c>
      <c r="L283" s="2" t="s">
        <v>129</v>
      </c>
      <c r="M283" s="2">
        <v>2017</v>
      </c>
      <c r="N283" s="2">
        <v>2017</v>
      </c>
      <c r="O283" s="2" t="s">
        <v>210</v>
      </c>
      <c r="P283" s="2">
        <v>13339</v>
      </c>
      <c r="Q283" s="2" t="s">
        <v>115</v>
      </c>
      <c r="R283" s="2" t="s">
        <v>116</v>
      </c>
    </row>
    <row r="284" spans="5:18" ht="13.5" customHeight="1" x14ac:dyDescent="0.25">
      <c r="E284" s="2" t="s">
        <v>140</v>
      </c>
      <c r="F284" s="2" t="s">
        <v>141</v>
      </c>
      <c r="G284" s="2">
        <v>729</v>
      </c>
      <c r="H284" s="2" t="s">
        <v>206</v>
      </c>
      <c r="I284" s="2">
        <v>5419</v>
      </c>
      <c r="J284" s="2" t="s">
        <v>209</v>
      </c>
      <c r="K284" s="2" t="s">
        <v>170</v>
      </c>
      <c r="L284" s="2" t="s">
        <v>129</v>
      </c>
      <c r="M284" s="2">
        <v>2018</v>
      </c>
      <c r="N284" s="2">
        <v>2018</v>
      </c>
      <c r="O284" s="2" t="s">
        <v>210</v>
      </c>
      <c r="P284" s="2">
        <v>15003</v>
      </c>
      <c r="Q284" s="2" t="s">
        <v>143</v>
      </c>
      <c r="R284" s="2" t="s">
        <v>144</v>
      </c>
    </row>
    <row r="285" spans="5:18" ht="13.5" customHeight="1" x14ac:dyDescent="0.25">
      <c r="E285" s="2" t="s">
        <v>140</v>
      </c>
      <c r="F285" s="2" t="s">
        <v>141</v>
      </c>
      <c r="G285" s="2">
        <v>729</v>
      </c>
      <c r="H285" s="2" t="s">
        <v>206</v>
      </c>
      <c r="I285" s="2">
        <v>5419</v>
      </c>
      <c r="J285" s="2" t="s">
        <v>209</v>
      </c>
      <c r="K285" s="2" t="s">
        <v>170</v>
      </c>
      <c r="L285" s="2" t="s">
        <v>129</v>
      </c>
      <c r="M285" s="2">
        <v>2019</v>
      </c>
      <c r="N285" s="2">
        <v>2019</v>
      </c>
      <c r="O285" s="2" t="s">
        <v>210</v>
      </c>
      <c r="P285" s="2">
        <v>10263</v>
      </c>
      <c r="Q285" s="2" t="s">
        <v>143</v>
      </c>
      <c r="R285" s="2" t="s">
        <v>144</v>
      </c>
    </row>
    <row r="286" spans="5:18" ht="13.5" customHeight="1" x14ac:dyDescent="0.25">
      <c r="E286" s="2" t="s">
        <v>140</v>
      </c>
      <c r="F286" s="2" t="s">
        <v>141</v>
      </c>
      <c r="G286" s="2">
        <v>729</v>
      </c>
      <c r="H286" s="2" t="s">
        <v>206</v>
      </c>
      <c r="I286" s="2">
        <v>5419</v>
      </c>
      <c r="J286" s="2" t="s">
        <v>209</v>
      </c>
      <c r="K286" s="2" t="s">
        <v>170</v>
      </c>
      <c r="L286" s="2" t="s">
        <v>129</v>
      </c>
      <c r="M286" s="2">
        <v>2020</v>
      </c>
      <c r="N286" s="2">
        <v>2020</v>
      </c>
      <c r="O286" s="2" t="s">
        <v>210</v>
      </c>
      <c r="P286" s="2">
        <v>7020</v>
      </c>
      <c r="Q286" s="2" t="s">
        <v>143</v>
      </c>
      <c r="R286" s="2" t="s">
        <v>144</v>
      </c>
    </row>
    <row r="287" spans="5:18" ht="13.5" customHeight="1" x14ac:dyDescent="0.25">
      <c r="E287" s="2" t="s">
        <v>140</v>
      </c>
      <c r="F287" s="2" t="s">
        <v>141</v>
      </c>
      <c r="G287" s="2">
        <v>729</v>
      </c>
      <c r="H287" s="2" t="s">
        <v>206</v>
      </c>
      <c r="I287" s="2">
        <v>5419</v>
      </c>
      <c r="J287" s="2" t="s">
        <v>209</v>
      </c>
      <c r="K287" s="2" t="s">
        <v>170</v>
      </c>
      <c r="L287" s="2" t="s">
        <v>129</v>
      </c>
      <c r="M287" s="2">
        <v>2021</v>
      </c>
      <c r="N287" s="2">
        <v>2021</v>
      </c>
      <c r="O287" s="2" t="s">
        <v>210</v>
      </c>
      <c r="P287" s="2">
        <v>7779</v>
      </c>
      <c r="Q287" s="2" t="s">
        <v>115</v>
      </c>
      <c r="R287" s="2" t="s">
        <v>116</v>
      </c>
    </row>
    <row r="288" spans="5:18" ht="13.5" customHeight="1" x14ac:dyDescent="0.25">
      <c r="E288" s="2" t="s">
        <v>140</v>
      </c>
      <c r="F288" s="2" t="s">
        <v>141</v>
      </c>
      <c r="G288" s="2">
        <v>729</v>
      </c>
      <c r="H288" s="2" t="s">
        <v>206</v>
      </c>
      <c r="I288" s="2">
        <v>5312</v>
      </c>
      <c r="J288" s="2" t="s">
        <v>142</v>
      </c>
      <c r="K288" s="2" t="s">
        <v>171</v>
      </c>
      <c r="L288" s="2" t="s">
        <v>172</v>
      </c>
      <c r="M288" s="2">
        <v>2015</v>
      </c>
      <c r="N288" s="2">
        <v>2015</v>
      </c>
      <c r="O288" s="2" t="s">
        <v>23</v>
      </c>
      <c r="P288" s="2">
        <v>44856</v>
      </c>
      <c r="Q288" s="2" t="s">
        <v>143</v>
      </c>
      <c r="R288" s="2" t="s">
        <v>144</v>
      </c>
    </row>
    <row r="289" spans="5:18" ht="13.5" customHeight="1" x14ac:dyDescent="0.25">
      <c r="E289" s="2" t="s">
        <v>140</v>
      </c>
      <c r="F289" s="2" t="s">
        <v>141</v>
      </c>
      <c r="G289" s="2">
        <v>729</v>
      </c>
      <c r="H289" s="2" t="s">
        <v>206</v>
      </c>
      <c r="I289" s="2">
        <v>5312</v>
      </c>
      <c r="J289" s="2" t="s">
        <v>142</v>
      </c>
      <c r="K289" s="2" t="s">
        <v>171</v>
      </c>
      <c r="L289" s="2" t="s">
        <v>172</v>
      </c>
      <c r="M289" s="2">
        <v>2016</v>
      </c>
      <c r="N289" s="2">
        <v>2016</v>
      </c>
      <c r="O289" s="2" t="s">
        <v>23</v>
      </c>
      <c r="P289" s="2">
        <v>45528</v>
      </c>
      <c r="Q289" s="2" t="s">
        <v>143</v>
      </c>
      <c r="R289" s="2" t="s">
        <v>144</v>
      </c>
    </row>
    <row r="290" spans="5:18" ht="13.5" customHeight="1" x14ac:dyDescent="0.25">
      <c r="E290" s="2" t="s">
        <v>140</v>
      </c>
      <c r="F290" s="2" t="s">
        <v>141</v>
      </c>
      <c r="G290" s="2">
        <v>729</v>
      </c>
      <c r="H290" s="2" t="s">
        <v>206</v>
      </c>
      <c r="I290" s="2">
        <v>5312</v>
      </c>
      <c r="J290" s="2" t="s">
        <v>142</v>
      </c>
      <c r="K290" s="2" t="s">
        <v>171</v>
      </c>
      <c r="L290" s="2" t="s">
        <v>172</v>
      </c>
      <c r="M290" s="2">
        <v>2017</v>
      </c>
      <c r="N290" s="2">
        <v>2017</v>
      </c>
      <c r="O290" s="2" t="s">
        <v>23</v>
      </c>
      <c r="P290" s="2">
        <v>32000</v>
      </c>
      <c r="Q290" s="2" t="s">
        <v>143</v>
      </c>
      <c r="R290" s="2" t="s">
        <v>144</v>
      </c>
    </row>
    <row r="291" spans="5:18" ht="13.5" customHeight="1" x14ac:dyDescent="0.25">
      <c r="E291" s="2" t="s">
        <v>140</v>
      </c>
      <c r="F291" s="2" t="s">
        <v>141</v>
      </c>
      <c r="G291" s="2">
        <v>729</v>
      </c>
      <c r="H291" s="2" t="s">
        <v>206</v>
      </c>
      <c r="I291" s="2">
        <v>5312</v>
      </c>
      <c r="J291" s="2" t="s">
        <v>142</v>
      </c>
      <c r="K291" s="2" t="s">
        <v>171</v>
      </c>
      <c r="L291" s="2" t="s">
        <v>172</v>
      </c>
      <c r="M291" s="2">
        <v>2018</v>
      </c>
      <c r="N291" s="2">
        <v>2018</v>
      </c>
      <c r="O291" s="2" t="s">
        <v>23</v>
      </c>
      <c r="P291" s="2">
        <v>32000</v>
      </c>
      <c r="Q291" s="2" t="s">
        <v>143</v>
      </c>
      <c r="R291" s="2" t="s">
        <v>144</v>
      </c>
    </row>
    <row r="292" spans="5:18" ht="13.5" customHeight="1" x14ac:dyDescent="0.25">
      <c r="E292" s="2" t="s">
        <v>140</v>
      </c>
      <c r="F292" s="2" t="s">
        <v>141</v>
      </c>
      <c r="G292" s="2">
        <v>729</v>
      </c>
      <c r="H292" s="2" t="s">
        <v>206</v>
      </c>
      <c r="I292" s="2">
        <v>5312</v>
      </c>
      <c r="J292" s="2" t="s">
        <v>142</v>
      </c>
      <c r="K292" s="2" t="s">
        <v>171</v>
      </c>
      <c r="L292" s="2" t="s">
        <v>172</v>
      </c>
      <c r="M292" s="2">
        <v>2019</v>
      </c>
      <c r="N292" s="2">
        <v>2019</v>
      </c>
      <c r="O292" s="2" t="s">
        <v>23</v>
      </c>
      <c r="P292" s="2">
        <v>32000</v>
      </c>
      <c r="Q292" s="2" t="s">
        <v>143</v>
      </c>
      <c r="R292" s="2" t="s">
        <v>144</v>
      </c>
    </row>
    <row r="293" spans="5:18" ht="13.5" customHeight="1" x14ac:dyDescent="0.25">
      <c r="E293" s="2" t="s">
        <v>140</v>
      </c>
      <c r="F293" s="2" t="s">
        <v>141</v>
      </c>
      <c r="G293" s="2">
        <v>729</v>
      </c>
      <c r="H293" s="2" t="s">
        <v>206</v>
      </c>
      <c r="I293" s="2">
        <v>5312</v>
      </c>
      <c r="J293" s="2" t="s">
        <v>142</v>
      </c>
      <c r="K293" s="2" t="s">
        <v>171</v>
      </c>
      <c r="L293" s="2" t="s">
        <v>172</v>
      </c>
      <c r="M293" s="2">
        <v>2020</v>
      </c>
      <c r="N293" s="2">
        <v>2020</v>
      </c>
      <c r="O293" s="2" t="s">
        <v>23</v>
      </c>
      <c r="P293" s="2">
        <v>32000</v>
      </c>
      <c r="Q293" s="2" t="s">
        <v>143</v>
      </c>
      <c r="R293" s="2" t="s">
        <v>144</v>
      </c>
    </row>
    <row r="294" spans="5:18" ht="13.5" customHeight="1" x14ac:dyDescent="0.25">
      <c r="E294" s="2" t="s">
        <v>140</v>
      </c>
      <c r="F294" s="2" t="s">
        <v>141</v>
      </c>
      <c r="G294" s="2">
        <v>729</v>
      </c>
      <c r="H294" s="2" t="s">
        <v>206</v>
      </c>
      <c r="I294" s="2">
        <v>5312</v>
      </c>
      <c r="J294" s="2" t="s">
        <v>142</v>
      </c>
      <c r="K294" s="2" t="s">
        <v>171</v>
      </c>
      <c r="L294" s="2" t="s">
        <v>172</v>
      </c>
      <c r="M294" s="2">
        <v>2021</v>
      </c>
      <c r="N294" s="2">
        <v>2021</v>
      </c>
      <c r="O294" s="2" t="s">
        <v>23</v>
      </c>
      <c r="P294" s="2">
        <v>34419</v>
      </c>
      <c r="Q294" s="2" t="s">
        <v>145</v>
      </c>
      <c r="R294" s="2" t="s">
        <v>146</v>
      </c>
    </row>
    <row r="295" spans="5:18" ht="13.5" customHeight="1" x14ac:dyDescent="0.25">
      <c r="E295" s="2" t="s">
        <v>140</v>
      </c>
      <c r="F295" s="2" t="s">
        <v>141</v>
      </c>
      <c r="G295" s="2">
        <v>729</v>
      </c>
      <c r="H295" s="2" t="s">
        <v>206</v>
      </c>
      <c r="I295" s="2">
        <v>5419</v>
      </c>
      <c r="J295" s="2" t="s">
        <v>209</v>
      </c>
      <c r="K295" s="2" t="s">
        <v>171</v>
      </c>
      <c r="L295" s="2" t="s">
        <v>172</v>
      </c>
      <c r="M295" s="2">
        <v>2015</v>
      </c>
      <c r="N295" s="2">
        <v>2015</v>
      </c>
      <c r="O295" s="2" t="s">
        <v>210</v>
      </c>
      <c r="P295" s="2">
        <v>242086</v>
      </c>
      <c r="Q295" s="2" t="s">
        <v>143</v>
      </c>
      <c r="R295" s="2" t="s">
        <v>144</v>
      </c>
    </row>
    <row r="296" spans="5:18" ht="13.5" customHeight="1" x14ac:dyDescent="0.25">
      <c r="E296" s="2" t="s">
        <v>140</v>
      </c>
      <c r="F296" s="2" t="s">
        <v>141</v>
      </c>
      <c r="G296" s="2">
        <v>729</v>
      </c>
      <c r="H296" s="2" t="s">
        <v>206</v>
      </c>
      <c r="I296" s="2">
        <v>5419</v>
      </c>
      <c r="J296" s="2" t="s">
        <v>209</v>
      </c>
      <c r="K296" s="2" t="s">
        <v>171</v>
      </c>
      <c r="L296" s="2" t="s">
        <v>172</v>
      </c>
      <c r="M296" s="2">
        <v>2016</v>
      </c>
      <c r="N296" s="2">
        <v>2016</v>
      </c>
      <c r="O296" s="2" t="s">
        <v>210</v>
      </c>
      <c r="P296" s="2">
        <v>172628</v>
      </c>
      <c r="Q296" s="2" t="s">
        <v>143</v>
      </c>
      <c r="R296" s="2" t="s">
        <v>144</v>
      </c>
    </row>
    <row r="297" spans="5:18" ht="13.5" customHeight="1" x14ac:dyDescent="0.25">
      <c r="E297" s="2" t="s">
        <v>140</v>
      </c>
      <c r="F297" s="2" t="s">
        <v>141</v>
      </c>
      <c r="G297" s="2">
        <v>729</v>
      </c>
      <c r="H297" s="2" t="s">
        <v>206</v>
      </c>
      <c r="I297" s="2">
        <v>5419</v>
      </c>
      <c r="J297" s="2" t="s">
        <v>209</v>
      </c>
      <c r="K297" s="2" t="s">
        <v>171</v>
      </c>
      <c r="L297" s="2" t="s">
        <v>172</v>
      </c>
      <c r="M297" s="2">
        <v>2017</v>
      </c>
      <c r="N297" s="2">
        <v>2017</v>
      </c>
      <c r="O297" s="2" t="s">
        <v>210</v>
      </c>
      <c r="P297" s="2">
        <v>201125</v>
      </c>
      <c r="Q297" s="2" t="s">
        <v>143</v>
      </c>
      <c r="R297" s="2" t="s">
        <v>144</v>
      </c>
    </row>
    <row r="298" spans="5:18" ht="13.5" customHeight="1" x14ac:dyDescent="0.25">
      <c r="E298" s="2" t="s">
        <v>140</v>
      </c>
      <c r="F298" s="2" t="s">
        <v>141</v>
      </c>
      <c r="G298" s="2">
        <v>729</v>
      </c>
      <c r="H298" s="2" t="s">
        <v>206</v>
      </c>
      <c r="I298" s="2">
        <v>5419</v>
      </c>
      <c r="J298" s="2" t="s">
        <v>209</v>
      </c>
      <c r="K298" s="2" t="s">
        <v>171</v>
      </c>
      <c r="L298" s="2" t="s">
        <v>172</v>
      </c>
      <c r="M298" s="2">
        <v>2018</v>
      </c>
      <c r="N298" s="2">
        <v>2018</v>
      </c>
      <c r="O298" s="2" t="s">
        <v>210</v>
      </c>
      <c r="P298" s="2">
        <v>205148</v>
      </c>
      <c r="Q298" s="2" t="s">
        <v>143</v>
      </c>
      <c r="R298" s="2" t="s">
        <v>144</v>
      </c>
    </row>
    <row r="299" spans="5:18" ht="13.5" customHeight="1" x14ac:dyDescent="0.25">
      <c r="E299" s="2" t="s">
        <v>140</v>
      </c>
      <c r="F299" s="2" t="s">
        <v>141</v>
      </c>
      <c r="G299" s="2">
        <v>729</v>
      </c>
      <c r="H299" s="2" t="s">
        <v>206</v>
      </c>
      <c r="I299" s="2">
        <v>5419</v>
      </c>
      <c r="J299" s="2" t="s">
        <v>209</v>
      </c>
      <c r="K299" s="2" t="s">
        <v>171</v>
      </c>
      <c r="L299" s="2" t="s">
        <v>172</v>
      </c>
      <c r="M299" s="2">
        <v>2019</v>
      </c>
      <c r="N299" s="2">
        <v>2019</v>
      </c>
      <c r="O299" s="2" t="s">
        <v>210</v>
      </c>
      <c r="P299" s="2">
        <v>207199</v>
      </c>
      <c r="Q299" s="2" t="s">
        <v>143</v>
      </c>
      <c r="R299" s="2" t="s">
        <v>144</v>
      </c>
    </row>
    <row r="300" spans="5:18" ht="13.5" customHeight="1" x14ac:dyDescent="0.25">
      <c r="E300" s="2" t="s">
        <v>140</v>
      </c>
      <c r="F300" s="2" t="s">
        <v>141</v>
      </c>
      <c r="G300" s="2">
        <v>729</v>
      </c>
      <c r="H300" s="2" t="s">
        <v>206</v>
      </c>
      <c r="I300" s="2">
        <v>5419</v>
      </c>
      <c r="J300" s="2" t="s">
        <v>209</v>
      </c>
      <c r="K300" s="2" t="s">
        <v>171</v>
      </c>
      <c r="L300" s="2" t="s">
        <v>172</v>
      </c>
      <c r="M300" s="2">
        <v>2020</v>
      </c>
      <c r="N300" s="2">
        <v>2020</v>
      </c>
      <c r="O300" s="2" t="s">
        <v>210</v>
      </c>
      <c r="P300" s="2">
        <v>209271</v>
      </c>
      <c r="Q300" s="2" t="s">
        <v>143</v>
      </c>
      <c r="R300" s="2" t="s">
        <v>144</v>
      </c>
    </row>
    <row r="301" spans="5:18" ht="13.5" customHeight="1" x14ac:dyDescent="0.25">
      <c r="E301" s="2" t="s">
        <v>140</v>
      </c>
      <c r="F301" s="2" t="s">
        <v>141</v>
      </c>
      <c r="G301" s="2">
        <v>729</v>
      </c>
      <c r="H301" s="2" t="s">
        <v>206</v>
      </c>
      <c r="I301" s="2">
        <v>5419</v>
      </c>
      <c r="J301" s="2" t="s">
        <v>209</v>
      </c>
      <c r="K301" s="2" t="s">
        <v>171</v>
      </c>
      <c r="L301" s="2" t="s">
        <v>172</v>
      </c>
      <c r="M301" s="2">
        <v>2021</v>
      </c>
      <c r="N301" s="2">
        <v>2021</v>
      </c>
      <c r="O301" s="2" t="s">
        <v>210</v>
      </c>
      <c r="P301" s="2">
        <v>205036</v>
      </c>
      <c r="Q301" s="2" t="s">
        <v>115</v>
      </c>
      <c r="R301" s="2" t="s">
        <v>116</v>
      </c>
    </row>
    <row r="302" spans="5:18" ht="13.5" customHeight="1" x14ac:dyDescent="0.25">
      <c r="E302" s="2" t="s">
        <v>140</v>
      </c>
      <c r="F302" s="2" t="s">
        <v>141</v>
      </c>
      <c r="G302" s="2">
        <v>729</v>
      </c>
      <c r="H302" s="2" t="s">
        <v>206</v>
      </c>
      <c r="I302" s="2">
        <v>5312</v>
      </c>
      <c r="J302" s="2" t="s">
        <v>142</v>
      </c>
      <c r="K302" s="2" t="s">
        <v>221</v>
      </c>
      <c r="L302" s="2" t="s">
        <v>222</v>
      </c>
      <c r="M302" s="2">
        <v>2015</v>
      </c>
      <c r="N302" s="2">
        <v>2015</v>
      </c>
      <c r="O302" s="2" t="s">
        <v>23</v>
      </c>
      <c r="P302" s="2">
        <v>716100</v>
      </c>
      <c r="Q302" s="2" t="s">
        <v>143</v>
      </c>
      <c r="R302" s="2" t="s">
        <v>144</v>
      </c>
    </row>
    <row r="303" spans="5:18" ht="13.5" customHeight="1" x14ac:dyDescent="0.25">
      <c r="E303" s="2" t="s">
        <v>140</v>
      </c>
      <c r="F303" s="2" t="s">
        <v>141</v>
      </c>
      <c r="G303" s="2">
        <v>729</v>
      </c>
      <c r="H303" s="2" t="s">
        <v>206</v>
      </c>
      <c r="I303" s="2">
        <v>5312</v>
      </c>
      <c r="J303" s="2" t="s">
        <v>142</v>
      </c>
      <c r="K303" s="2" t="s">
        <v>221</v>
      </c>
      <c r="L303" s="2" t="s">
        <v>222</v>
      </c>
      <c r="M303" s="2">
        <v>2016</v>
      </c>
      <c r="N303" s="2">
        <v>2016</v>
      </c>
      <c r="O303" s="2" t="s">
        <v>23</v>
      </c>
      <c r="P303" s="2">
        <v>575820</v>
      </c>
      <c r="Q303" s="2" t="s">
        <v>143</v>
      </c>
      <c r="R303" s="2" t="s">
        <v>144</v>
      </c>
    </row>
    <row r="304" spans="5:18" ht="13.5" customHeight="1" x14ac:dyDescent="0.25">
      <c r="E304" s="2" t="s">
        <v>140</v>
      </c>
      <c r="F304" s="2" t="s">
        <v>141</v>
      </c>
      <c r="G304" s="2">
        <v>729</v>
      </c>
      <c r="H304" s="2" t="s">
        <v>206</v>
      </c>
      <c r="I304" s="2">
        <v>5312</v>
      </c>
      <c r="J304" s="2" t="s">
        <v>142</v>
      </c>
      <c r="K304" s="2" t="s">
        <v>221</v>
      </c>
      <c r="L304" s="2" t="s">
        <v>222</v>
      </c>
      <c r="M304" s="2">
        <v>2017</v>
      </c>
      <c r="N304" s="2">
        <v>2017</v>
      </c>
      <c r="O304" s="2" t="s">
        <v>23</v>
      </c>
      <c r="P304" s="2">
        <v>575820</v>
      </c>
      <c r="Q304" s="2" t="s">
        <v>143</v>
      </c>
      <c r="R304" s="2" t="s">
        <v>144</v>
      </c>
    </row>
    <row r="305" spans="5:18" ht="13.5" customHeight="1" x14ac:dyDescent="0.25">
      <c r="E305" s="2" t="s">
        <v>140</v>
      </c>
      <c r="F305" s="2" t="s">
        <v>141</v>
      </c>
      <c r="G305" s="2">
        <v>729</v>
      </c>
      <c r="H305" s="2" t="s">
        <v>206</v>
      </c>
      <c r="I305" s="2">
        <v>5312</v>
      </c>
      <c r="J305" s="2" t="s">
        <v>142</v>
      </c>
      <c r="K305" s="2" t="s">
        <v>221</v>
      </c>
      <c r="L305" s="2" t="s">
        <v>222</v>
      </c>
      <c r="M305" s="2">
        <v>2018</v>
      </c>
      <c r="N305" s="2">
        <v>2018</v>
      </c>
      <c r="O305" s="2" t="s">
        <v>23</v>
      </c>
      <c r="P305" s="2">
        <v>803880</v>
      </c>
      <c r="Q305" s="2" t="s">
        <v>143</v>
      </c>
      <c r="R305" s="2" t="s">
        <v>144</v>
      </c>
    </row>
    <row r="306" spans="5:18" ht="13.5" customHeight="1" x14ac:dyDescent="0.25">
      <c r="E306" s="2" t="s">
        <v>140</v>
      </c>
      <c r="F306" s="2" t="s">
        <v>141</v>
      </c>
      <c r="G306" s="2">
        <v>729</v>
      </c>
      <c r="H306" s="2" t="s">
        <v>206</v>
      </c>
      <c r="I306" s="2">
        <v>5312</v>
      </c>
      <c r="J306" s="2" t="s">
        <v>142</v>
      </c>
      <c r="K306" s="2" t="s">
        <v>221</v>
      </c>
      <c r="L306" s="2" t="s">
        <v>222</v>
      </c>
      <c r="M306" s="2">
        <v>2019</v>
      </c>
      <c r="N306" s="2">
        <v>2019</v>
      </c>
      <c r="O306" s="2" t="s">
        <v>23</v>
      </c>
      <c r="P306" s="2">
        <v>574140</v>
      </c>
      <c r="Q306" s="2" t="s">
        <v>143</v>
      </c>
      <c r="R306" s="2" t="s">
        <v>144</v>
      </c>
    </row>
    <row r="307" spans="5:18" ht="13.5" customHeight="1" x14ac:dyDescent="0.25">
      <c r="E307" s="2" t="s">
        <v>140</v>
      </c>
      <c r="F307" s="2" t="s">
        <v>141</v>
      </c>
      <c r="G307" s="2">
        <v>729</v>
      </c>
      <c r="H307" s="2" t="s">
        <v>206</v>
      </c>
      <c r="I307" s="2">
        <v>5312</v>
      </c>
      <c r="J307" s="2" t="s">
        <v>142</v>
      </c>
      <c r="K307" s="2" t="s">
        <v>221</v>
      </c>
      <c r="L307" s="2" t="s">
        <v>222</v>
      </c>
      <c r="M307" s="2">
        <v>2020</v>
      </c>
      <c r="N307" s="2">
        <v>2020</v>
      </c>
      <c r="O307" s="2" t="s">
        <v>23</v>
      </c>
      <c r="P307" s="2">
        <v>410057</v>
      </c>
      <c r="Q307" s="2" t="s">
        <v>143</v>
      </c>
      <c r="R307" s="2" t="s">
        <v>144</v>
      </c>
    </row>
    <row r="308" spans="5:18" ht="13.5" customHeight="1" x14ac:dyDescent="0.25">
      <c r="E308" s="2" t="s">
        <v>140</v>
      </c>
      <c r="F308" s="2" t="s">
        <v>141</v>
      </c>
      <c r="G308" s="2">
        <v>729</v>
      </c>
      <c r="H308" s="2" t="s">
        <v>206</v>
      </c>
      <c r="I308" s="2">
        <v>5312</v>
      </c>
      <c r="J308" s="2" t="s">
        <v>142</v>
      </c>
      <c r="K308" s="2" t="s">
        <v>221</v>
      </c>
      <c r="L308" s="2" t="s">
        <v>222</v>
      </c>
      <c r="M308" s="2">
        <v>2021</v>
      </c>
      <c r="N308" s="2">
        <v>2021</v>
      </c>
      <c r="O308" s="2" t="s">
        <v>23</v>
      </c>
      <c r="P308" s="2">
        <v>486600</v>
      </c>
      <c r="Q308" s="2" t="s">
        <v>145</v>
      </c>
      <c r="R308" s="2" t="s">
        <v>146</v>
      </c>
    </row>
    <row r="309" spans="5:18" ht="13.5" customHeight="1" x14ac:dyDescent="0.25">
      <c r="E309" s="2" t="s">
        <v>140</v>
      </c>
      <c r="F309" s="2" t="s">
        <v>141</v>
      </c>
      <c r="G309" s="2">
        <v>729</v>
      </c>
      <c r="H309" s="2" t="s">
        <v>206</v>
      </c>
      <c r="I309" s="2">
        <v>5419</v>
      </c>
      <c r="J309" s="2" t="s">
        <v>209</v>
      </c>
      <c r="K309" s="2" t="s">
        <v>221</v>
      </c>
      <c r="L309" s="2" t="s">
        <v>222</v>
      </c>
      <c r="M309" s="2">
        <v>2015</v>
      </c>
      <c r="N309" s="2">
        <v>2015</v>
      </c>
      <c r="O309" s="2" t="s">
        <v>210</v>
      </c>
      <c r="P309" s="2">
        <v>950</v>
      </c>
      <c r="Q309" s="2" t="s">
        <v>143</v>
      </c>
      <c r="R309" s="2" t="s">
        <v>144</v>
      </c>
    </row>
    <row r="310" spans="5:18" ht="13.5" customHeight="1" x14ac:dyDescent="0.25">
      <c r="E310" s="2" t="s">
        <v>140</v>
      </c>
      <c r="F310" s="2" t="s">
        <v>141</v>
      </c>
      <c r="G310" s="2">
        <v>729</v>
      </c>
      <c r="H310" s="2" t="s">
        <v>206</v>
      </c>
      <c r="I310" s="2">
        <v>5419</v>
      </c>
      <c r="J310" s="2" t="s">
        <v>209</v>
      </c>
      <c r="K310" s="2" t="s">
        <v>221</v>
      </c>
      <c r="L310" s="2" t="s">
        <v>222</v>
      </c>
      <c r="M310" s="2">
        <v>2016</v>
      </c>
      <c r="N310" s="2">
        <v>2016</v>
      </c>
      <c r="O310" s="2" t="s">
        <v>210</v>
      </c>
      <c r="P310" s="2">
        <v>851</v>
      </c>
      <c r="Q310" s="2" t="s">
        <v>143</v>
      </c>
      <c r="R310" s="2" t="s">
        <v>144</v>
      </c>
    </row>
    <row r="311" spans="5:18" ht="13.5" customHeight="1" x14ac:dyDescent="0.25">
      <c r="E311" s="2" t="s">
        <v>140</v>
      </c>
      <c r="F311" s="2" t="s">
        <v>141</v>
      </c>
      <c r="G311" s="2">
        <v>729</v>
      </c>
      <c r="H311" s="2" t="s">
        <v>206</v>
      </c>
      <c r="I311" s="2">
        <v>5419</v>
      </c>
      <c r="J311" s="2" t="s">
        <v>209</v>
      </c>
      <c r="K311" s="2" t="s">
        <v>221</v>
      </c>
      <c r="L311" s="2" t="s">
        <v>222</v>
      </c>
      <c r="M311" s="2">
        <v>2017</v>
      </c>
      <c r="N311" s="2">
        <v>2017</v>
      </c>
      <c r="O311" s="2" t="s">
        <v>210</v>
      </c>
      <c r="P311" s="2">
        <v>851</v>
      </c>
      <c r="Q311" s="2" t="s">
        <v>143</v>
      </c>
      <c r="R311" s="2" t="s">
        <v>144</v>
      </c>
    </row>
    <row r="312" spans="5:18" ht="13.5" customHeight="1" x14ac:dyDescent="0.25">
      <c r="E312" s="2" t="s">
        <v>140</v>
      </c>
      <c r="F312" s="2" t="s">
        <v>141</v>
      </c>
      <c r="G312" s="2">
        <v>729</v>
      </c>
      <c r="H312" s="2" t="s">
        <v>206</v>
      </c>
      <c r="I312" s="2">
        <v>5419</v>
      </c>
      <c r="J312" s="2" t="s">
        <v>209</v>
      </c>
      <c r="K312" s="2" t="s">
        <v>221</v>
      </c>
      <c r="L312" s="2" t="s">
        <v>222</v>
      </c>
      <c r="M312" s="2">
        <v>2018</v>
      </c>
      <c r="N312" s="2">
        <v>2018</v>
      </c>
      <c r="O312" s="2" t="s">
        <v>210</v>
      </c>
      <c r="P312" s="2">
        <v>1605</v>
      </c>
      <c r="Q312" s="2" t="s">
        <v>143</v>
      </c>
      <c r="R312" s="2" t="s">
        <v>144</v>
      </c>
    </row>
    <row r="313" spans="5:18" ht="13.5" customHeight="1" x14ac:dyDescent="0.25">
      <c r="E313" s="2" t="s">
        <v>140</v>
      </c>
      <c r="F313" s="2" t="s">
        <v>141</v>
      </c>
      <c r="G313" s="2">
        <v>729</v>
      </c>
      <c r="H313" s="2" t="s">
        <v>206</v>
      </c>
      <c r="I313" s="2">
        <v>5419</v>
      </c>
      <c r="J313" s="2" t="s">
        <v>209</v>
      </c>
      <c r="K313" s="2" t="s">
        <v>221</v>
      </c>
      <c r="L313" s="2" t="s">
        <v>222</v>
      </c>
      <c r="M313" s="2">
        <v>2019</v>
      </c>
      <c r="N313" s="2">
        <v>2019</v>
      </c>
      <c r="O313" s="2" t="s">
        <v>210</v>
      </c>
      <c r="P313" s="2">
        <v>1672</v>
      </c>
      <c r="Q313" s="2" t="s">
        <v>143</v>
      </c>
      <c r="R313" s="2" t="s">
        <v>144</v>
      </c>
    </row>
    <row r="314" spans="5:18" ht="13.5" customHeight="1" x14ac:dyDescent="0.25">
      <c r="E314" s="2" t="s">
        <v>140</v>
      </c>
      <c r="F314" s="2" t="s">
        <v>141</v>
      </c>
      <c r="G314" s="2">
        <v>729</v>
      </c>
      <c r="H314" s="2" t="s">
        <v>206</v>
      </c>
      <c r="I314" s="2">
        <v>5419</v>
      </c>
      <c r="J314" s="2" t="s">
        <v>209</v>
      </c>
      <c r="K314" s="2" t="s">
        <v>221</v>
      </c>
      <c r="L314" s="2" t="s">
        <v>222</v>
      </c>
      <c r="M314" s="2">
        <v>2020</v>
      </c>
      <c r="N314" s="2">
        <v>2020</v>
      </c>
      <c r="O314" s="2" t="s">
        <v>210</v>
      </c>
      <c r="P314" s="2">
        <v>1742</v>
      </c>
      <c r="Q314" s="2" t="s">
        <v>143</v>
      </c>
      <c r="R314" s="2" t="s">
        <v>144</v>
      </c>
    </row>
    <row r="315" spans="5:18" ht="13.5" customHeight="1" x14ac:dyDescent="0.25">
      <c r="E315" s="2" t="s">
        <v>140</v>
      </c>
      <c r="F315" s="2" t="s">
        <v>141</v>
      </c>
      <c r="G315" s="2">
        <v>729</v>
      </c>
      <c r="H315" s="2" t="s">
        <v>206</v>
      </c>
      <c r="I315" s="2">
        <v>5419</v>
      </c>
      <c r="J315" s="2" t="s">
        <v>209</v>
      </c>
      <c r="K315" s="2" t="s">
        <v>221</v>
      </c>
      <c r="L315" s="2" t="s">
        <v>222</v>
      </c>
      <c r="M315" s="2">
        <v>2021</v>
      </c>
      <c r="N315" s="2">
        <v>2021</v>
      </c>
      <c r="O315" s="2" t="s">
        <v>210</v>
      </c>
      <c r="P315" s="2">
        <v>1698</v>
      </c>
      <c r="Q315" s="2" t="s">
        <v>115</v>
      </c>
      <c r="R315" s="2" t="s">
        <v>116</v>
      </c>
    </row>
    <row r="316" spans="5:18" ht="13.5" customHeight="1" x14ac:dyDescent="0.25">
      <c r="E316" s="2" t="s">
        <v>140</v>
      </c>
      <c r="F316" s="2" t="s">
        <v>141</v>
      </c>
      <c r="G316" s="2">
        <v>729</v>
      </c>
      <c r="H316" s="2" t="s">
        <v>206</v>
      </c>
      <c r="I316" s="2">
        <v>5312</v>
      </c>
      <c r="J316" s="2" t="s">
        <v>142</v>
      </c>
      <c r="K316" s="2" t="s">
        <v>173</v>
      </c>
      <c r="L316" s="2" t="s">
        <v>58</v>
      </c>
      <c r="M316" s="2">
        <v>2015</v>
      </c>
      <c r="N316" s="2">
        <v>2015</v>
      </c>
      <c r="O316" s="2" t="s">
        <v>23</v>
      </c>
      <c r="P316" s="2">
        <v>1704360</v>
      </c>
      <c r="Q316" s="2" t="s">
        <v>143</v>
      </c>
      <c r="R316" s="2" t="s">
        <v>144</v>
      </c>
    </row>
    <row r="317" spans="5:18" ht="13.5" customHeight="1" x14ac:dyDescent="0.25">
      <c r="E317" s="2" t="s">
        <v>140</v>
      </c>
      <c r="F317" s="2" t="s">
        <v>141</v>
      </c>
      <c r="G317" s="2">
        <v>729</v>
      </c>
      <c r="H317" s="2" t="s">
        <v>206</v>
      </c>
      <c r="I317" s="2">
        <v>5312</v>
      </c>
      <c r="J317" s="2" t="s">
        <v>142</v>
      </c>
      <c r="K317" s="2" t="s">
        <v>173</v>
      </c>
      <c r="L317" s="2" t="s">
        <v>58</v>
      </c>
      <c r="M317" s="2">
        <v>2016</v>
      </c>
      <c r="N317" s="2">
        <v>2016</v>
      </c>
      <c r="O317" s="2" t="s">
        <v>23</v>
      </c>
      <c r="P317" s="2">
        <v>3007200</v>
      </c>
      <c r="Q317" s="2" t="s">
        <v>143</v>
      </c>
      <c r="R317" s="2" t="s">
        <v>144</v>
      </c>
    </row>
    <row r="318" spans="5:18" ht="13.5" customHeight="1" x14ac:dyDescent="0.25">
      <c r="E318" s="2" t="s">
        <v>140</v>
      </c>
      <c r="F318" s="2" t="s">
        <v>141</v>
      </c>
      <c r="G318" s="2">
        <v>729</v>
      </c>
      <c r="H318" s="2" t="s">
        <v>206</v>
      </c>
      <c r="I318" s="2">
        <v>5312</v>
      </c>
      <c r="J318" s="2" t="s">
        <v>142</v>
      </c>
      <c r="K318" s="2" t="s">
        <v>173</v>
      </c>
      <c r="L318" s="2" t="s">
        <v>58</v>
      </c>
      <c r="M318" s="2">
        <v>2017</v>
      </c>
      <c r="N318" s="2">
        <v>2017</v>
      </c>
      <c r="O318" s="2" t="s">
        <v>23</v>
      </c>
      <c r="P318" s="2">
        <v>2512020</v>
      </c>
      <c r="Q318" s="2" t="s">
        <v>143</v>
      </c>
      <c r="R318" s="2" t="s">
        <v>144</v>
      </c>
    </row>
    <row r="319" spans="5:18" ht="13.5" customHeight="1" x14ac:dyDescent="0.25">
      <c r="E319" s="2" t="s">
        <v>140</v>
      </c>
      <c r="F319" s="2" t="s">
        <v>141</v>
      </c>
      <c r="G319" s="2">
        <v>729</v>
      </c>
      <c r="H319" s="2" t="s">
        <v>206</v>
      </c>
      <c r="I319" s="2">
        <v>5312</v>
      </c>
      <c r="J319" s="2" t="s">
        <v>142</v>
      </c>
      <c r="K319" s="2" t="s">
        <v>173</v>
      </c>
      <c r="L319" s="2" t="s">
        <v>58</v>
      </c>
      <c r="M319" s="2">
        <v>2018</v>
      </c>
      <c r="N319" s="2">
        <v>2018</v>
      </c>
      <c r="O319" s="2" t="s">
        <v>23</v>
      </c>
      <c r="P319" s="2">
        <v>3752700</v>
      </c>
      <c r="Q319" s="2" t="s">
        <v>143</v>
      </c>
      <c r="R319" s="2" t="s">
        <v>144</v>
      </c>
    </row>
    <row r="320" spans="5:18" ht="13.5" customHeight="1" x14ac:dyDescent="0.25">
      <c r="E320" s="2" t="s">
        <v>140</v>
      </c>
      <c r="F320" s="2" t="s">
        <v>141</v>
      </c>
      <c r="G320" s="2">
        <v>729</v>
      </c>
      <c r="H320" s="2" t="s">
        <v>206</v>
      </c>
      <c r="I320" s="2">
        <v>5312</v>
      </c>
      <c r="J320" s="2" t="s">
        <v>142</v>
      </c>
      <c r="K320" s="2" t="s">
        <v>173</v>
      </c>
      <c r="L320" s="2" t="s">
        <v>58</v>
      </c>
      <c r="M320" s="2">
        <v>2019</v>
      </c>
      <c r="N320" s="2">
        <v>2019</v>
      </c>
      <c r="O320" s="2" t="s">
        <v>23</v>
      </c>
      <c r="P320" s="2">
        <v>3016440</v>
      </c>
      <c r="Q320" s="2" t="s">
        <v>143</v>
      </c>
      <c r="R320" s="2" t="s">
        <v>144</v>
      </c>
    </row>
    <row r="321" spans="5:18" ht="13.5" customHeight="1" x14ac:dyDescent="0.25">
      <c r="E321" s="2" t="s">
        <v>140</v>
      </c>
      <c r="F321" s="2" t="s">
        <v>141</v>
      </c>
      <c r="G321" s="2">
        <v>729</v>
      </c>
      <c r="H321" s="2" t="s">
        <v>206</v>
      </c>
      <c r="I321" s="2">
        <v>5312</v>
      </c>
      <c r="J321" s="2" t="s">
        <v>142</v>
      </c>
      <c r="K321" s="2" t="s">
        <v>173</v>
      </c>
      <c r="L321" s="2" t="s">
        <v>58</v>
      </c>
      <c r="M321" s="2">
        <v>2020</v>
      </c>
      <c r="N321" s="2">
        <v>2020</v>
      </c>
      <c r="O321" s="2" t="s">
        <v>23</v>
      </c>
      <c r="P321" s="2">
        <v>2424630</v>
      </c>
      <c r="Q321" s="2" t="s">
        <v>143</v>
      </c>
      <c r="R321" s="2" t="s">
        <v>144</v>
      </c>
    </row>
    <row r="322" spans="5:18" ht="13.5" customHeight="1" x14ac:dyDescent="0.25">
      <c r="E322" s="2" t="s">
        <v>140</v>
      </c>
      <c r="F322" s="2" t="s">
        <v>141</v>
      </c>
      <c r="G322" s="2">
        <v>729</v>
      </c>
      <c r="H322" s="2" t="s">
        <v>206</v>
      </c>
      <c r="I322" s="2">
        <v>5312</v>
      </c>
      <c r="J322" s="2" t="s">
        <v>142</v>
      </c>
      <c r="K322" s="2" t="s">
        <v>173</v>
      </c>
      <c r="L322" s="2" t="s">
        <v>58</v>
      </c>
      <c r="M322" s="2">
        <v>2021</v>
      </c>
      <c r="N322" s="2">
        <v>2021</v>
      </c>
      <c r="O322" s="2" t="s">
        <v>23</v>
      </c>
      <c r="P322" s="2">
        <v>2800000</v>
      </c>
      <c r="Q322" s="2" t="s">
        <v>168</v>
      </c>
      <c r="R322" s="2" t="s">
        <v>169</v>
      </c>
    </row>
    <row r="323" spans="5:18" ht="13.5" customHeight="1" x14ac:dyDescent="0.25">
      <c r="E323" s="2" t="s">
        <v>140</v>
      </c>
      <c r="F323" s="2" t="s">
        <v>141</v>
      </c>
      <c r="G323" s="2">
        <v>729</v>
      </c>
      <c r="H323" s="2" t="s">
        <v>206</v>
      </c>
      <c r="I323" s="2">
        <v>5419</v>
      </c>
      <c r="J323" s="2" t="s">
        <v>209</v>
      </c>
      <c r="K323" s="2" t="s">
        <v>173</v>
      </c>
      <c r="L323" s="2" t="s">
        <v>58</v>
      </c>
      <c r="M323" s="2">
        <v>2015</v>
      </c>
      <c r="N323" s="2">
        <v>2015</v>
      </c>
      <c r="O323" s="2" t="s">
        <v>210</v>
      </c>
      <c r="P323" s="2">
        <v>2852</v>
      </c>
      <c r="Q323" s="2" t="s">
        <v>143</v>
      </c>
      <c r="R323" s="2" t="s">
        <v>144</v>
      </c>
    </row>
    <row r="324" spans="5:18" ht="13.5" customHeight="1" x14ac:dyDescent="0.25">
      <c r="E324" s="2" t="s">
        <v>140</v>
      </c>
      <c r="F324" s="2" t="s">
        <v>141</v>
      </c>
      <c r="G324" s="2">
        <v>729</v>
      </c>
      <c r="H324" s="2" t="s">
        <v>206</v>
      </c>
      <c r="I324" s="2">
        <v>5419</v>
      </c>
      <c r="J324" s="2" t="s">
        <v>209</v>
      </c>
      <c r="K324" s="2" t="s">
        <v>173</v>
      </c>
      <c r="L324" s="2" t="s">
        <v>58</v>
      </c>
      <c r="M324" s="2">
        <v>2016</v>
      </c>
      <c r="N324" s="2">
        <v>2016</v>
      </c>
      <c r="O324" s="2" t="s">
        <v>210</v>
      </c>
      <c r="P324" s="2">
        <v>4818</v>
      </c>
      <c r="Q324" s="2" t="s">
        <v>143</v>
      </c>
      <c r="R324" s="2" t="s">
        <v>144</v>
      </c>
    </row>
    <row r="325" spans="5:18" ht="13.5" customHeight="1" x14ac:dyDescent="0.25">
      <c r="E325" s="2" t="s">
        <v>140</v>
      </c>
      <c r="F325" s="2" t="s">
        <v>141</v>
      </c>
      <c r="G325" s="2">
        <v>729</v>
      </c>
      <c r="H325" s="2" t="s">
        <v>206</v>
      </c>
      <c r="I325" s="2">
        <v>5419</v>
      </c>
      <c r="J325" s="2" t="s">
        <v>209</v>
      </c>
      <c r="K325" s="2" t="s">
        <v>173</v>
      </c>
      <c r="L325" s="2" t="s">
        <v>58</v>
      </c>
      <c r="M325" s="2">
        <v>2017</v>
      </c>
      <c r="N325" s="2">
        <v>2017</v>
      </c>
      <c r="O325" s="2" t="s">
        <v>210</v>
      </c>
      <c r="P325" s="2">
        <v>3495</v>
      </c>
      <c r="Q325" s="2" t="s">
        <v>143</v>
      </c>
      <c r="R325" s="2" t="s">
        <v>144</v>
      </c>
    </row>
    <row r="326" spans="5:18" ht="13.5" customHeight="1" x14ac:dyDescent="0.25">
      <c r="E326" s="2" t="s">
        <v>140</v>
      </c>
      <c r="F326" s="2" t="s">
        <v>141</v>
      </c>
      <c r="G326" s="2">
        <v>729</v>
      </c>
      <c r="H326" s="2" t="s">
        <v>206</v>
      </c>
      <c r="I326" s="2">
        <v>5419</v>
      </c>
      <c r="J326" s="2" t="s">
        <v>209</v>
      </c>
      <c r="K326" s="2" t="s">
        <v>173</v>
      </c>
      <c r="L326" s="2" t="s">
        <v>58</v>
      </c>
      <c r="M326" s="2">
        <v>2018</v>
      </c>
      <c r="N326" s="2">
        <v>2018</v>
      </c>
      <c r="O326" s="2" t="s">
        <v>210</v>
      </c>
      <c r="P326" s="2">
        <v>7054</v>
      </c>
      <c r="Q326" s="2" t="s">
        <v>143</v>
      </c>
      <c r="R326" s="2" t="s">
        <v>144</v>
      </c>
    </row>
    <row r="327" spans="5:18" ht="13.5" customHeight="1" x14ac:dyDescent="0.25">
      <c r="E327" s="2" t="s">
        <v>140</v>
      </c>
      <c r="F327" s="2" t="s">
        <v>141</v>
      </c>
      <c r="G327" s="2">
        <v>729</v>
      </c>
      <c r="H327" s="2" t="s">
        <v>206</v>
      </c>
      <c r="I327" s="2">
        <v>5419</v>
      </c>
      <c r="J327" s="2" t="s">
        <v>209</v>
      </c>
      <c r="K327" s="2" t="s">
        <v>173</v>
      </c>
      <c r="L327" s="2" t="s">
        <v>58</v>
      </c>
      <c r="M327" s="2">
        <v>2019</v>
      </c>
      <c r="N327" s="2">
        <v>2019</v>
      </c>
      <c r="O327" s="2" t="s">
        <v>210</v>
      </c>
      <c r="P327" s="2">
        <v>3756</v>
      </c>
      <c r="Q327" s="2" t="s">
        <v>143</v>
      </c>
      <c r="R327" s="2" t="s">
        <v>144</v>
      </c>
    </row>
    <row r="328" spans="5:18" ht="13.5" customHeight="1" x14ac:dyDescent="0.25">
      <c r="E328" s="2" t="s">
        <v>140</v>
      </c>
      <c r="F328" s="2" t="s">
        <v>141</v>
      </c>
      <c r="G328" s="2">
        <v>729</v>
      </c>
      <c r="H328" s="2" t="s">
        <v>206</v>
      </c>
      <c r="I328" s="2">
        <v>5419</v>
      </c>
      <c r="J328" s="2" t="s">
        <v>209</v>
      </c>
      <c r="K328" s="2" t="s">
        <v>173</v>
      </c>
      <c r="L328" s="2" t="s">
        <v>58</v>
      </c>
      <c r="M328" s="2">
        <v>2020</v>
      </c>
      <c r="N328" s="2">
        <v>2020</v>
      </c>
      <c r="O328" s="2" t="s">
        <v>210</v>
      </c>
      <c r="P328" s="2">
        <v>1741</v>
      </c>
      <c r="Q328" s="2" t="s">
        <v>143</v>
      </c>
      <c r="R328" s="2" t="s">
        <v>144</v>
      </c>
    </row>
    <row r="329" spans="5:18" ht="13.5" customHeight="1" x14ac:dyDescent="0.25">
      <c r="E329" s="2" t="s">
        <v>140</v>
      </c>
      <c r="F329" s="2" t="s">
        <v>141</v>
      </c>
      <c r="G329" s="2">
        <v>729</v>
      </c>
      <c r="H329" s="2" t="s">
        <v>206</v>
      </c>
      <c r="I329" s="2">
        <v>5419</v>
      </c>
      <c r="J329" s="2" t="s">
        <v>209</v>
      </c>
      <c r="K329" s="2" t="s">
        <v>173</v>
      </c>
      <c r="L329" s="2" t="s">
        <v>58</v>
      </c>
      <c r="M329" s="2">
        <v>2021</v>
      </c>
      <c r="N329" s="2">
        <v>2021</v>
      </c>
      <c r="O329" s="2" t="s">
        <v>210</v>
      </c>
      <c r="P329" s="2">
        <v>5357</v>
      </c>
      <c r="Q329" s="2" t="s">
        <v>115</v>
      </c>
      <c r="R329" s="2" t="s">
        <v>116</v>
      </c>
    </row>
    <row r="330" spans="5:18" ht="13.5" customHeight="1" x14ac:dyDescent="0.25">
      <c r="E330" s="2" t="s">
        <v>140</v>
      </c>
      <c r="F330" s="2" t="s">
        <v>141</v>
      </c>
      <c r="G330" s="2">
        <v>729</v>
      </c>
      <c r="H330" s="2" t="s">
        <v>206</v>
      </c>
      <c r="I330" s="2">
        <v>5312</v>
      </c>
      <c r="J330" s="2" t="s">
        <v>142</v>
      </c>
      <c r="K330" s="2" t="s">
        <v>174</v>
      </c>
      <c r="L330" s="2" t="s">
        <v>124</v>
      </c>
      <c r="M330" s="2">
        <v>2015</v>
      </c>
      <c r="N330" s="2">
        <v>2015</v>
      </c>
      <c r="O330" s="2" t="s">
        <v>23</v>
      </c>
      <c r="P330" s="2">
        <v>24906</v>
      </c>
      <c r="Q330" s="2" t="s">
        <v>143</v>
      </c>
      <c r="R330" s="2" t="s">
        <v>144</v>
      </c>
    </row>
    <row r="331" spans="5:18" ht="13.5" customHeight="1" x14ac:dyDescent="0.25">
      <c r="E331" s="2" t="s">
        <v>140</v>
      </c>
      <c r="F331" s="2" t="s">
        <v>141</v>
      </c>
      <c r="G331" s="2">
        <v>729</v>
      </c>
      <c r="H331" s="2" t="s">
        <v>206</v>
      </c>
      <c r="I331" s="2">
        <v>5312</v>
      </c>
      <c r="J331" s="2" t="s">
        <v>142</v>
      </c>
      <c r="K331" s="2" t="s">
        <v>174</v>
      </c>
      <c r="L331" s="2" t="s">
        <v>124</v>
      </c>
      <c r="M331" s="2">
        <v>2016</v>
      </c>
      <c r="N331" s="2">
        <v>2016</v>
      </c>
      <c r="O331" s="2" t="s">
        <v>23</v>
      </c>
      <c r="P331" s="2">
        <v>26754</v>
      </c>
      <c r="Q331" s="2" t="s">
        <v>143</v>
      </c>
      <c r="R331" s="2" t="s">
        <v>144</v>
      </c>
    </row>
    <row r="332" spans="5:18" ht="13.5" customHeight="1" x14ac:dyDescent="0.25">
      <c r="E332" s="2" t="s">
        <v>140</v>
      </c>
      <c r="F332" s="2" t="s">
        <v>141</v>
      </c>
      <c r="G332" s="2">
        <v>729</v>
      </c>
      <c r="H332" s="2" t="s">
        <v>206</v>
      </c>
      <c r="I332" s="2">
        <v>5312</v>
      </c>
      <c r="J332" s="2" t="s">
        <v>142</v>
      </c>
      <c r="K332" s="2" t="s">
        <v>174</v>
      </c>
      <c r="L332" s="2" t="s">
        <v>124</v>
      </c>
      <c r="M332" s="2">
        <v>2017</v>
      </c>
      <c r="N332" s="2">
        <v>2017</v>
      </c>
      <c r="O332" s="2" t="s">
        <v>23</v>
      </c>
      <c r="P332" s="2">
        <v>27289</v>
      </c>
      <c r="Q332" s="2" t="s">
        <v>143</v>
      </c>
      <c r="R332" s="2" t="s">
        <v>144</v>
      </c>
    </row>
    <row r="333" spans="5:18" ht="13.5" customHeight="1" x14ac:dyDescent="0.25">
      <c r="E333" s="2" t="s">
        <v>140</v>
      </c>
      <c r="F333" s="2" t="s">
        <v>141</v>
      </c>
      <c r="G333" s="2">
        <v>729</v>
      </c>
      <c r="H333" s="2" t="s">
        <v>206</v>
      </c>
      <c r="I333" s="2">
        <v>5312</v>
      </c>
      <c r="J333" s="2" t="s">
        <v>142</v>
      </c>
      <c r="K333" s="2" t="s">
        <v>174</v>
      </c>
      <c r="L333" s="2" t="s">
        <v>124</v>
      </c>
      <c r="M333" s="2">
        <v>2018</v>
      </c>
      <c r="N333" s="2">
        <v>2018</v>
      </c>
      <c r="O333" s="2" t="s">
        <v>23</v>
      </c>
      <c r="P333" s="2">
        <v>28592</v>
      </c>
      <c r="Q333" s="2" t="s">
        <v>145</v>
      </c>
      <c r="R333" s="2" t="s">
        <v>146</v>
      </c>
    </row>
    <row r="334" spans="5:18" ht="13.5" customHeight="1" x14ac:dyDescent="0.25">
      <c r="E334" s="2" t="s">
        <v>140</v>
      </c>
      <c r="F334" s="2" t="s">
        <v>141</v>
      </c>
      <c r="G334" s="2">
        <v>729</v>
      </c>
      <c r="H334" s="2" t="s">
        <v>206</v>
      </c>
      <c r="I334" s="2">
        <v>5312</v>
      </c>
      <c r="J334" s="2" t="s">
        <v>142</v>
      </c>
      <c r="K334" s="2" t="s">
        <v>174</v>
      </c>
      <c r="L334" s="2" t="s">
        <v>124</v>
      </c>
      <c r="M334" s="2">
        <v>2019</v>
      </c>
      <c r="N334" s="2">
        <v>2019</v>
      </c>
      <c r="O334" s="2" t="s">
        <v>23</v>
      </c>
      <c r="P334" s="2">
        <v>29357</v>
      </c>
      <c r="Q334" s="2" t="s">
        <v>145</v>
      </c>
      <c r="R334" s="2" t="s">
        <v>146</v>
      </c>
    </row>
    <row r="335" spans="5:18" ht="13.5" customHeight="1" x14ac:dyDescent="0.25">
      <c r="E335" s="2" t="s">
        <v>140</v>
      </c>
      <c r="F335" s="2" t="s">
        <v>141</v>
      </c>
      <c r="G335" s="2">
        <v>729</v>
      </c>
      <c r="H335" s="2" t="s">
        <v>206</v>
      </c>
      <c r="I335" s="2">
        <v>5312</v>
      </c>
      <c r="J335" s="2" t="s">
        <v>142</v>
      </c>
      <c r="K335" s="2" t="s">
        <v>174</v>
      </c>
      <c r="L335" s="2" t="s">
        <v>124</v>
      </c>
      <c r="M335" s="2">
        <v>2020</v>
      </c>
      <c r="N335" s="2">
        <v>2020</v>
      </c>
      <c r="O335" s="2" t="s">
        <v>23</v>
      </c>
      <c r="P335" s="2">
        <v>29777</v>
      </c>
      <c r="Q335" s="2" t="s">
        <v>145</v>
      </c>
      <c r="R335" s="2" t="s">
        <v>146</v>
      </c>
    </row>
    <row r="336" spans="5:18" ht="13.5" customHeight="1" x14ac:dyDescent="0.25">
      <c r="E336" s="2" t="s">
        <v>140</v>
      </c>
      <c r="F336" s="2" t="s">
        <v>141</v>
      </c>
      <c r="G336" s="2">
        <v>729</v>
      </c>
      <c r="H336" s="2" t="s">
        <v>206</v>
      </c>
      <c r="I336" s="2">
        <v>5312</v>
      </c>
      <c r="J336" s="2" t="s">
        <v>142</v>
      </c>
      <c r="K336" s="2" t="s">
        <v>174</v>
      </c>
      <c r="L336" s="2" t="s">
        <v>124</v>
      </c>
      <c r="M336" s="2">
        <v>2021</v>
      </c>
      <c r="N336" s="2">
        <v>2021</v>
      </c>
      <c r="O336" s="2" t="s">
        <v>23</v>
      </c>
      <c r="P336" s="2">
        <v>30661</v>
      </c>
      <c r="Q336" s="2" t="s">
        <v>145</v>
      </c>
      <c r="R336" s="2" t="s">
        <v>146</v>
      </c>
    </row>
    <row r="337" spans="5:18" ht="13.5" customHeight="1" x14ac:dyDescent="0.25">
      <c r="E337" s="2" t="s">
        <v>140</v>
      </c>
      <c r="F337" s="2" t="s">
        <v>141</v>
      </c>
      <c r="G337" s="2">
        <v>729</v>
      </c>
      <c r="H337" s="2" t="s">
        <v>206</v>
      </c>
      <c r="I337" s="2">
        <v>5419</v>
      </c>
      <c r="J337" s="2" t="s">
        <v>209</v>
      </c>
      <c r="K337" s="2" t="s">
        <v>174</v>
      </c>
      <c r="L337" s="2" t="s">
        <v>124</v>
      </c>
      <c r="M337" s="2">
        <v>2015</v>
      </c>
      <c r="N337" s="2">
        <v>2015</v>
      </c>
      <c r="O337" s="2" t="s">
        <v>210</v>
      </c>
      <c r="P337" s="2">
        <v>115033</v>
      </c>
      <c r="Q337" s="2" t="s">
        <v>143</v>
      </c>
      <c r="R337" s="2" t="s">
        <v>144</v>
      </c>
    </row>
    <row r="338" spans="5:18" ht="13.5" customHeight="1" x14ac:dyDescent="0.25">
      <c r="E338" s="2" t="s">
        <v>140</v>
      </c>
      <c r="F338" s="2" t="s">
        <v>141</v>
      </c>
      <c r="G338" s="2">
        <v>729</v>
      </c>
      <c r="H338" s="2" t="s">
        <v>206</v>
      </c>
      <c r="I338" s="2">
        <v>5419</v>
      </c>
      <c r="J338" s="2" t="s">
        <v>209</v>
      </c>
      <c r="K338" s="2" t="s">
        <v>174</v>
      </c>
      <c r="L338" s="2" t="s">
        <v>124</v>
      </c>
      <c r="M338" s="2">
        <v>2016</v>
      </c>
      <c r="N338" s="2">
        <v>2016</v>
      </c>
      <c r="O338" s="2" t="s">
        <v>210</v>
      </c>
      <c r="P338" s="2">
        <v>107386</v>
      </c>
      <c r="Q338" s="2" t="s">
        <v>143</v>
      </c>
      <c r="R338" s="2" t="s">
        <v>144</v>
      </c>
    </row>
    <row r="339" spans="5:18" ht="13.5" customHeight="1" x14ac:dyDescent="0.25">
      <c r="E339" s="2" t="s">
        <v>140</v>
      </c>
      <c r="F339" s="2" t="s">
        <v>141</v>
      </c>
      <c r="G339" s="2">
        <v>729</v>
      </c>
      <c r="H339" s="2" t="s">
        <v>206</v>
      </c>
      <c r="I339" s="2">
        <v>5419</v>
      </c>
      <c r="J339" s="2" t="s">
        <v>209</v>
      </c>
      <c r="K339" s="2" t="s">
        <v>174</v>
      </c>
      <c r="L339" s="2" t="s">
        <v>124</v>
      </c>
      <c r="M339" s="2">
        <v>2017</v>
      </c>
      <c r="N339" s="2">
        <v>2017</v>
      </c>
      <c r="O339" s="2" t="s">
        <v>210</v>
      </c>
      <c r="P339" s="2">
        <v>107386</v>
      </c>
      <c r="Q339" s="2" t="s">
        <v>143</v>
      </c>
      <c r="R339" s="2" t="s">
        <v>144</v>
      </c>
    </row>
    <row r="340" spans="5:18" ht="13.5" customHeight="1" x14ac:dyDescent="0.25">
      <c r="E340" s="2" t="s">
        <v>140</v>
      </c>
      <c r="F340" s="2" t="s">
        <v>141</v>
      </c>
      <c r="G340" s="2">
        <v>729</v>
      </c>
      <c r="H340" s="2" t="s">
        <v>206</v>
      </c>
      <c r="I340" s="2">
        <v>5419</v>
      </c>
      <c r="J340" s="2" t="s">
        <v>209</v>
      </c>
      <c r="K340" s="2" t="s">
        <v>174</v>
      </c>
      <c r="L340" s="2" t="s">
        <v>124</v>
      </c>
      <c r="M340" s="2">
        <v>2018</v>
      </c>
      <c r="N340" s="2">
        <v>2018</v>
      </c>
      <c r="O340" s="2" t="s">
        <v>210</v>
      </c>
      <c r="P340" s="2">
        <v>105525</v>
      </c>
      <c r="Q340" s="2" t="s">
        <v>115</v>
      </c>
      <c r="R340" s="2" t="s">
        <v>116</v>
      </c>
    </row>
    <row r="341" spans="5:18" ht="13.5" customHeight="1" x14ac:dyDescent="0.25">
      <c r="E341" s="2" t="s">
        <v>140</v>
      </c>
      <c r="F341" s="2" t="s">
        <v>141</v>
      </c>
      <c r="G341" s="2">
        <v>729</v>
      </c>
      <c r="H341" s="2" t="s">
        <v>206</v>
      </c>
      <c r="I341" s="2">
        <v>5419</v>
      </c>
      <c r="J341" s="2" t="s">
        <v>209</v>
      </c>
      <c r="K341" s="2" t="s">
        <v>174</v>
      </c>
      <c r="L341" s="2" t="s">
        <v>124</v>
      </c>
      <c r="M341" s="2">
        <v>2019</v>
      </c>
      <c r="N341" s="2">
        <v>2019</v>
      </c>
      <c r="O341" s="2" t="s">
        <v>210</v>
      </c>
      <c r="P341" s="2">
        <v>105377</v>
      </c>
      <c r="Q341" s="2" t="s">
        <v>115</v>
      </c>
      <c r="R341" s="2" t="s">
        <v>116</v>
      </c>
    </row>
    <row r="342" spans="5:18" ht="13.5" customHeight="1" x14ac:dyDescent="0.25">
      <c r="E342" s="2" t="s">
        <v>140</v>
      </c>
      <c r="F342" s="2" t="s">
        <v>141</v>
      </c>
      <c r="G342" s="2">
        <v>729</v>
      </c>
      <c r="H342" s="2" t="s">
        <v>206</v>
      </c>
      <c r="I342" s="2">
        <v>5419</v>
      </c>
      <c r="J342" s="2" t="s">
        <v>209</v>
      </c>
      <c r="K342" s="2" t="s">
        <v>174</v>
      </c>
      <c r="L342" s="2" t="s">
        <v>124</v>
      </c>
      <c r="M342" s="2">
        <v>2020</v>
      </c>
      <c r="N342" s="2">
        <v>2020</v>
      </c>
      <c r="O342" s="2" t="s">
        <v>210</v>
      </c>
      <c r="P342" s="2">
        <v>106045</v>
      </c>
      <c r="Q342" s="2" t="s">
        <v>115</v>
      </c>
      <c r="R342" s="2" t="s">
        <v>116</v>
      </c>
    </row>
    <row r="343" spans="5:18" ht="13.5" customHeight="1" x14ac:dyDescent="0.25">
      <c r="E343" s="2" t="s">
        <v>140</v>
      </c>
      <c r="F343" s="2" t="s">
        <v>141</v>
      </c>
      <c r="G343" s="2">
        <v>729</v>
      </c>
      <c r="H343" s="2" t="s">
        <v>206</v>
      </c>
      <c r="I343" s="2">
        <v>5419</v>
      </c>
      <c r="J343" s="2" t="s">
        <v>209</v>
      </c>
      <c r="K343" s="2" t="s">
        <v>174</v>
      </c>
      <c r="L343" s="2" t="s">
        <v>124</v>
      </c>
      <c r="M343" s="2">
        <v>2021</v>
      </c>
      <c r="N343" s="2">
        <v>2021</v>
      </c>
      <c r="O343" s="2" t="s">
        <v>210</v>
      </c>
      <c r="P343" s="2">
        <v>105150</v>
      </c>
      <c r="Q343" s="2" t="s">
        <v>115</v>
      </c>
      <c r="R343" s="2" t="s">
        <v>116</v>
      </c>
    </row>
    <row r="344" spans="5:18" ht="13.5" customHeight="1" x14ac:dyDescent="0.25">
      <c r="E344" s="2" t="s">
        <v>140</v>
      </c>
      <c r="F344" s="2" t="s">
        <v>141</v>
      </c>
      <c r="G344" s="2">
        <v>729</v>
      </c>
      <c r="H344" s="2" t="s">
        <v>206</v>
      </c>
      <c r="I344" s="2">
        <v>5312</v>
      </c>
      <c r="J344" s="2" t="s">
        <v>142</v>
      </c>
      <c r="K344" s="2" t="s">
        <v>175</v>
      </c>
      <c r="L344" s="2" t="s">
        <v>125</v>
      </c>
      <c r="M344" s="2">
        <v>2015</v>
      </c>
      <c r="N344" s="2">
        <v>2015</v>
      </c>
      <c r="O344" s="2" t="s">
        <v>23</v>
      </c>
      <c r="P344" s="2">
        <v>85974</v>
      </c>
      <c r="Q344" s="2" t="s">
        <v>143</v>
      </c>
      <c r="R344" s="2" t="s">
        <v>144</v>
      </c>
    </row>
    <row r="345" spans="5:18" ht="13.5" customHeight="1" x14ac:dyDescent="0.25">
      <c r="E345" s="2" t="s">
        <v>140</v>
      </c>
      <c r="F345" s="2" t="s">
        <v>141</v>
      </c>
      <c r="G345" s="2">
        <v>729</v>
      </c>
      <c r="H345" s="2" t="s">
        <v>206</v>
      </c>
      <c r="I345" s="2">
        <v>5312</v>
      </c>
      <c r="J345" s="2" t="s">
        <v>142</v>
      </c>
      <c r="K345" s="2" t="s">
        <v>175</v>
      </c>
      <c r="L345" s="2" t="s">
        <v>125</v>
      </c>
      <c r="M345" s="2">
        <v>2016</v>
      </c>
      <c r="N345" s="2">
        <v>2016</v>
      </c>
      <c r="O345" s="2" t="s">
        <v>23</v>
      </c>
      <c r="P345" s="2">
        <v>87696</v>
      </c>
      <c r="Q345" s="2" t="s">
        <v>143</v>
      </c>
      <c r="R345" s="2" t="s">
        <v>144</v>
      </c>
    </row>
    <row r="346" spans="5:18" ht="13.5" customHeight="1" x14ac:dyDescent="0.25">
      <c r="E346" s="2" t="s">
        <v>140</v>
      </c>
      <c r="F346" s="2" t="s">
        <v>141</v>
      </c>
      <c r="G346" s="2">
        <v>729</v>
      </c>
      <c r="H346" s="2" t="s">
        <v>206</v>
      </c>
      <c r="I346" s="2">
        <v>5312</v>
      </c>
      <c r="J346" s="2" t="s">
        <v>142</v>
      </c>
      <c r="K346" s="2" t="s">
        <v>175</v>
      </c>
      <c r="L346" s="2" t="s">
        <v>125</v>
      </c>
      <c r="M346" s="2">
        <v>2017</v>
      </c>
      <c r="N346" s="2">
        <v>2017</v>
      </c>
      <c r="O346" s="2" t="s">
        <v>23</v>
      </c>
      <c r="P346" s="2">
        <v>89450</v>
      </c>
      <c r="Q346" s="2" t="s">
        <v>143</v>
      </c>
      <c r="R346" s="2" t="s">
        <v>144</v>
      </c>
    </row>
    <row r="347" spans="5:18" ht="13.5" customHeight="1" x14ac:dyDescent="0.25">
      <c r="E347" s="2" t="s">
        <v>140</v>
      </c>
      <c r="F347" s="2" t="s">
        <v>141</v>
      </c>
      <c r="G347" s="2">
        <v>729</v>
      </c>
      <c r="H347" s="2" t="s">
        <v>206</v>
      </c>
      <c r="I347" s="2">
        <v>5312</v>
      </c>
      <c r="J347" s="2" t="s">
        <v>142</v>
      </c>
      <c r="K347" s="2" t="s">
        <v>175</v>
      </c>
      <c r="L347" s="2" t="s">
        <v>125</v>
      </c>
      <c r="M347" s="2">
        <v>2018</v>
      </c>
      <c r="N347" s="2">
        <v>2018</v>
      </c>
      <c r="O347" s="2" t="s">
        <v>23</v>
      </c>
      <c r="P347" s="2">
        <v>95090</v>
      </c>
      <c r="Q347" s="2" t="s">
        <v>145</v>
      </c>
      <c r="R347" s="2" t="s">
        <v>146</v>
      </c>
    </row>
    <row r="348" spans="5:18" ht="13.5" customHeight="1" x14ac:dyDescent="0.25">
      <c r="E348" s="2" t="s">
        <v>140</v>
      </c>
      <c r="F348" s="2" t="s">
        <v>141</v>
      </c>
      <c r="G348" s="2">
        <v>729</v>
      </c>
      <c r="H348" s="2" t="s">
        <v>206</v>
      </c>
      <c r="I348" s="2">
        <v>5312</v>
      </c>
      <c r="J348" s="2" t="s">
        <v>142</v>
      </c>
      <c r="K348" s="2" t="s">
        <v>175</v>
      </c>
      <c r="L348" s="2" t="s">
        <v>125</v>
      </c>
      <c r="M348" s="2">
        <v>2019</v>
      </c>
      <c r="N348" s="2">
        <v>2019</v>
      </c>
      <c r="O348" s="2" t="s">
        <v>23</v>
      </c>
      <c r="P348" s="2">
        <v>104413</v>
      </c>
      <c r="Q348" s="2" t="s">
        <v>145</v>
      </c>
      <c r="R348" s="2" t="s">
        <v>146</v>
      </c>
    </row>
    <row r="349" spans="5:18" ht="13.5" customHeight="1" x14ac:dyDescent="0.25">
      <c r="E349" s="2" t="s">
        <v>140</v>
      </c>
      <c r="F349" s="2" t="s">
        <v>141</v>
      </c>
      <c r="G349" s="2">
        <v>729</v>
      </c>
      <c r="H349" s="2" t="s">
        <v>206</v>
      </c>
      <c r="I349" s="2">
        <v>5312</v>
      </c>
      <c r="J349" s="2" t="s">
        <v>142</v>
      </c>
      <c r="K349" s="2" t="s">
        <v>175</v>
      </c>
      <c r="L349" s="2" t="s">
        <v>125</v>
      </c>
      <c r="M349" s="2">
        <v>2020</v>
      </c>
      <c r="N349" s="2">
        <v>2020</v>
      </c>
      <c r="O349" s="2" t="s">
        <v>23</v>
      </c>
      <c r="P349" s="2">
        <v>105736</v>
      </c>
      <c r="Q349" s="2" t="s">
        <v>145</v>
      </c>
      <c r="R349" s="2" t="s">
        <v>146</v>
      </c>
    </row>
    <row r="350" spans="5:18" ht="13.5" customHeight="1" x14ac:dyDescent="0.25">
      <c r="E350" s="2" t="s">
        <v>140</v>
      </c>
      <c r="F350" s="2" t="s">
        <v>141</v>
      </c>
      <c r="G350" s="2">
        <v>729</v>
      </c>
      <c r="H350" s="2" t="s">
        <v>206</v>
      </c>
      <c r="I350" s="2">
        <v>5312</v>
      </c>
      <c r="J350" s="2" t="s">
        <v>142</v>
      </c>
      <c r="K350" s="2" t="s">
        <v>175</v>
      </c>
      <c r="L350" s="2" t="s">
        <v>125</v>
      </c>
      <c r="M350" s="2">
        <v>2021</v>
      </c>
      <c r="N350" s="2">
        <v>2021</v>
      </c>
      <c r="O350" s="2" t="s">
        <v>23</v>
      </c>
      <c r="P350" s="2">
        <v>110720</v>
      </c>
      <c r="Q350" s="2" t="s">
        <v>145</v>
      </c>
      <c r="R350" s="2" t="s">
        <v>146</v>
      </c>
    </row>
    <row r="351" spans="5:18" ht="13.5" customHeight="1" x14ac:dyDescent="0.25">
      <c r="E351" s="2" t="s">
        <v>140</v>
      </c>
      <c r="F351" s="2" t="s">
        <v>141</v>
      </c>
      <c r="G351" s="2">
        <v>729</v>
      </c>
      <c r="H351" s="2" t="s">
        <v>206</v>
      </c>
      <c r="I351" s="2">
        <v>5419</v>
      </c>
      <c r="J351" s="2" t="s">
        <v>209</v>
      </c>
      <c r="K351" s="2" t="s">
        <v>175</v>
      </c>
      <c r="L351" s="2" t="s">
        <v>125</v>
      </c>
      <c r="M351" s="2">
        <v>2015</v>
      </c>
      <c r="N351" s="2">
        <v>2015</v>
      </c>
      <c r="O351" s="2" t="s">
        <v>210</v>
      </c>
      <c r="P351" s="2">
        <v>184172</v>
      </c>
      <c r="Q351" s="2" t="s">
        <v>143</v>
      </c>
      <c r="R351" s="2" t="s">
        <v>144</v>
      </c>
    </row>
    <row r="352" spans="5:18" ht="13.5" customHeight="1" x14ac:dyDescent="0.25">
      <c r="E352" s="2" t="s">
        <v>140</v>
      </c>
      <c r="F352" s="2" t="s">
        <v>141</v>
      </c>
      <c r="G352" s="2">
        <v>729</v>
      </c>
      <c r="H352" s="2" t="s">
        <v>206</v>
      </c>
      <c r="I352" s="2">
        <v>5419</v>
      </c>
      <c r="J352" s="2" t="s">
        <v>209</v>
      </c>
      <c r="K352" s="2" t="s">
        <v>175</v>
      </c>
      <c r="L352" s="2" t="s">
        <v>125</v>
      </c>
      <c r="M352" s="2">
        <v>2016</v>
      </c>
      <c r="N352" s="2">
        <v>2016</v>
      </c>
      <c r="O352" s="2" t="s">
        <v>210</v>
      </c>
      <c r="P352" s="2">
        <v>180613</v>
      </c>
      <c r="Q352" s="2" t="s">
        <v>143</v>
      </c>
      <c r="R352" s="2" t="s">
        <v>144</v>
      </c>
    </row>
    <row r="353" spans="5:18" ht="13.5" customHeight="1" x14ac:dyDescent="0.25">
      <c r="E353" s="2" t="s">
        <v>140</v>
      </c>
      <c r="F353" s="2" t="s">
        <v>141</v>
      </c>
      <c r="G353" s="2">
        <v>729</v>
      </c>
      <c r="H353" s="2" t="s">
        <v>206</v>
      </c>
      <c r="I353" s="2">
        <v>5419</v>
      </c>
      <c r="J353" s="2" t="s">
        <v>209</v>
      </c>
      <c r="K353" s="2" t="s">
        <v>175</v>
      </c>
      <c r="L353" s="2" t="s">
        <v>125</v>
      </c>
      <c r="M353" s="2">
        <v>2017</v>
      </c>
      <c r="N353" s="2">
        <v>2017</v>
      </c>
      <c r="O353" s="2" t="s">
        <v>210</v>
      </c>
      <c r="P353" s="2">
        <v>178841</v>
      </c>
      <c r="Q353" s="2" t="s">
        <v>143</v>
      </c>
      <c r="R353" s="2" t="s">
        <v>144</v>
      </c>
    </row>
    <row r="354" spans="5:18" ht="13.5" customHeight="1" x14ac:dyDescent="0.25">
      <c r="E354" s="2" t="s">
        <v>140</v>
      </c>
      <c r="F354" s="2" t="s">
        <v>141</v>
      </c>
      <c r="G354" s="2">
        <v>729</v>
      </c>
      <c r="H354" s="2" t="s">
        <v>206</v>
      </c>
      <c r="I354" s="2">
        <v>5419</v>
      </c>
      <c r="J354" s="2" t="s">
        <v>209</v>
      </c>
      <c r="K354" s="2" t="s">
        <v>175</v>
      </c>
      <c r="L354" s="2" t="s">
        <v>125</v>
      </c>
      <c r="M354" s="2">
        <v>2018</v>
      </c>
      <c r="N354" s="2">
        <v>2018</v>
      </c>
      <c r="O354" s="2" t="s">
        <v>210</v>
      </c>
      <c r="P354" s="2">
        <v>180571</v>
      </c>
      <c r="Q354" s="2" t="s">
        <v>115</v>
      </c>
      <c r="R354" s="2" t="s">
        <v>116</v>
      </c>
    </row>
    <row r="355" spans="5:18" ht="13.5" customHeight="1" x14ac:dyDescent="0.25">
      <c r="E355" s="2" t="s">
        <v>140</v>
      </c>
      <c r="F355" s="2" t="s">
        <v>141</v>
      </c>
      <c r="G355" s="2">
        <v>729</v>
      </c>
      <c r="H355" s="2" t="s">
        <v>206</v>
      </c>
      <c r="I355" s="2">
        <v>5419</v>
      </c>
      <c r="J355" s="2" t="s">
        <v>209</v>
      </c>
      <c r="K355" s="2" t="s">
        <v>175</v>
      </c>
      <c r="L355" s="2" t="s">
        <v>125</v>
      </c>
      <c r="M355" s="2">
        <v>2019</v>
      </c>
      <c r="N355" s="2">
        <v>2019</v>
      </c>
      <c r="O355" s="2" t="s">
        <v>210</v>
      </c>
      <c r="P355" s="2">
        <v>183741</v>
      </c>
      <c r="Q355" s="2" t="s">
        <v>115</v>
      </c>
      <c r="R355" s="2" t="s">
        <v>116</v>
      </c>
    </row>
    <row r="356" spans="5:18" ht="13.5" customHeight="1" x14ac:dyDescent="0.25">
      <c r="E356" s="2" t="s">
        <v>140</v>
      </c>
      <c r="F356" s="2" t="s">
        <v>141</v>
      </c>
      <c r="G356" s="2">
        <v>729</v>
      </c>
      <c r="H356" s="2" t="s">
        <v>206</v>
      </c>
      <c r="I356" s="2">
        <v>5419</v>
      </c>
      <c r="J356" s="2" t="s">
        <v>209</v>
      </c>
      <c r="K356" s="2" t="s">
        <v>175</v>
      </c>
      <c r="L356" s="2" t="s">
        <v>125</v>
      </c>
      <c r="M356" s="2">
        <v>2020</v>
      </c>
      <c r="N356" s="2">
        <v>2020</v>
      </c>
      <c r="O356" s="2" t="s">
        <v>210</v>
      </c>
      <c r="P356" s="2">
        <v>184316</v>
      </c>
      <c r="Q356" s="2" t="s">
        <v>115</v>
      </c>
      <c r="R356" s="2" t="s">
        <v>116</v>
      </c>
    </row>
    <row r="357" spans="5:18" ht="13.5" customHeight="1" x14ac:dyDescent="0.25">
      <c r="E357" s="2" t="s">
        <v>140</v>
      </c>
      <c r="F357" s="2" t="s">
        <v>141</v>
      </c>
      <c r="G357" s="2">
        <v>729</v>
      </c>
      <c r="H357" s="2" t="s">
        <v>206</v>
      </c>
      <c r="I357" s="2">
        <v>5419</v>
      </c>
      <c r="J357" s="2" t="s">
        <v>209</v>
      </c>
      <c r="K357" s="2" t="s">
        <v>175</v>
      </c>
      <c r="L357" s="2" t="s">
        <v>125</v>
      </c>
      <c r="M357" s="2">
        <v>2021</v>
      </c>
      <c r="N357" s="2">
        <v>2021</v>
      </c>
      <c r="O357" s="2" t="s">
        <v>210</v>
      </c>
      <c r="P357" s="2">
        <v>185221</v>
      </c>
      <c r="Q357" s="2" t="s">
        <v>115</v>
      </c>
      <c r="R357" s="2" t="s">
        <v>116</v>
      </c>
    </row>
    <row r="358" spans="5:18" ht="13.5" customHeight="1" x14ac:dyDescent="0.25">
      <c r="E358" s="2" t="s">
        <v>140</v>
      </c>
      <c r="F358" s="2" t="s">
        <v>141</v>
      </c>
      <c r="G358" s="2">
        <v>729</v>
      </c>
      <c r="H358" s="2" t="s">
        <v>206</v>
      </c>
      <c r="I358" s="2">
        <v>5312</v>
      </c>
      <c r="J358" s="2" t="s">
        <v>142</v>
      </c>
      <c r="K358" s="2" t="s">
        <v>176</v>
      </c>
      <c r="L358" s="2" t="s">
        <v>177</v>
      </c>
      <c r="M358" s="2">
        <v>2015</v>
      </c>
      <c r="N358" s="2">
        <v>2015</v>
      </c>
      <c r="O358" s="2" t="s">
        <v>23</v>
      </c>
      <c r="P358" s="2">
        <v>0</v>
      </c>
      <c r="Q358" s="2" t="s">
        <v>178</v>
      </c>
      <c r="R358" s="2" t="s">
        <v>179</v>
      </c>
    </row>
    <row r="359" spans="5:18" ht="13.5" customHeight="1" x14ac:dyDescent="0.25">
      <c r="E359" s="2" t="s">
        <v>140</v>
      </c>
      <c r="F359" s="2" t="s">
        <v>141</v>
      </c>
      <c r="G359" s="2">
        <v>729</v>
      </c>
      <c r="H359" s="2" t="s">
        <v>206</v>
      </c>
      <c r="I359" s="2">
        <v>5312</v>
      </c>
      <c r="J359" s="2" t="s">
        <v>142</v>
      </c>
      <c r="K359" s="2" t="s">
        <v>176</v>
      </c>
      <c r="L359" s="2" t="s">
        <v>177</v>
      </c>
      <c r="M359" s="2">
        <v>2016</v>
      </c>
      <c r="N359" s="2">
        <v>2016</v>
      </c>
      <c r="O359" s="2" t="s">
        <v>23</v>
      </c>
      <c r="P359" s="2">
        <v>0</v>
      </c>
      <c r="Q359" s="2" t="s">
        <v>178</v>
      </c>
      <c r="R359" s="2" t="s">
        <v>179</v>
      </c>
    </row>
    <row r="360" spans="5:18" ht="13.5" customHeight="1" x14ac:dyDescent="0.25">
      <c r="E360" s="2" t="s">
        <v>140</v>
      </c>
      <c r="F360" s="2" t="s">
        <v>141</v>
      </c>
      <c r="G360" s="2">
        <v>729</v>
      </c>
      <c r="H360" s="2" t="s">
        <v>206</v>
      </c>
      <c r="I360" s="2">
        <v>5312</v>
      </c>
      <c r="J360" s="2" t="s">
        <v>142</v>
      </c>
      <c r="K360" s="2" t="s">
        <v>176</v>
      </c>
      <c r="L360" s="2" t="s">
        <v>177</v>
      </c>
      <c r="M360" s="2">
        <v>2017</v>
      </c>
      <c r="N360" s="2">
        <v>2017</v>
      </c>
      <c r="O360" s="2" t="s">
        <v>23</v>
      </c>
      <c r="P360" s="2">
        <v>0</v>
      </c>
      <c r="Q360" s="2" t="s">
        <v>178</v>
      </c>
      <c r="R360" s="2" t="s">
        <v>179</v>
      </c>
    </row>
    <row r="361" spans="5:18" ht="13.5" customHeight="1" x14ac:dyDescent="0.25">
      <c r="E361" s="2" t="s">
        <v>140</v>
      </c>
      <c r="F361" s="2" t="s">
        <v>141</v>
      </c>
      <c r="G361" s="2">
        <v>729</v>
      </c>
      <c r="H361" s="2" t="s">
        <v>206</v>
      </c>
      <c r="I361" s="2">
        <v>5312</v>
      </c>
      <c r="J361" s="2" t="s">
        <v>142</v>
      </c>
      <c r="K361" s="2" t="s">
        <v>176</v>
      </c>
      <c r="L361" s="2" t="s">
        <v>177</v>
      </c>
      <c r="M361" s="2">
        <v>2018</v>
      </c>
      <c r="N361" s="2">
        <v>2018</v>
      </c>
      <c r="O361" s="2" t="s">
        <v>23</v>
      </c>
      <c r="P361" s="2">
        <v>0</v>
      </c>
      <c r="Q361" s="2" t="s">
        <v>178</v>
      </c>
      <c r="R361" s="2" t="s">
        <v>179</v>
      </c>
    </row>
    <row r="362" spans="5:18" ht="13.5" customHeight="1" x14ac:dyDescent="0.25">
      <c r="E362" s="2" t="s">
        <v>140</v>
      </c>
      <c r="F362" s="2" t="s">
        <v>141</v>
      </c>
      <c r="G362" s="2">
        <v>729</v>
      </c>
      <c r="H362" s="2" t="s">
        <v>206</v>
      </c>
      <c r="I362" s="2">
        <v>5312</v>
      </c>
      <c r="J362" s="2" t="s">
        <v>142</v>
      </c>
      <c r="K362" s="2" t="s">
        <v>176</v>
      </c>
      <c r="L362" s="2" t="s">
        <v>177</v>
      </c>
      <c r="M362" s="2">
        <v>2019</v>
      </c>
      <c r="N362" s="2">
        <v>2019</v>
      </c>
      <c r="O362" s="2" t="s">
        <v>23</v>
      </c>
      <c r="P362" s="2">
        <v>0</v>
      </c>
      <c r="Q362" s="2" t="s">
        <v>178</v>
      </c>
      <c r="R362" s="2" t="s">
        <v>179</v>
      </c>
    </row>
    <row r="363" spans="5:18" ht="13.5" customHeight="1" x14ac:dyDescent="0.25">
      <c r="E363" s="2" t="s">
        <v>140</v>
      </c>
      <c r="F363" s="2" t="s">
        <v>141</v>
      </c>
      <c r="G363" s="2">
        <v>729</v>
      </c>
      <c r="H363" s="2" t="s">
        <v>206</v>
      </c>
      <c r="I363" s="2">
        <v>5312</v>
      </c>
      <c r="J363" s="2" t="s">
        <v>142</v>
      </c>
      <c r="K363" s="2" t="s">
        <v>176</v>
      </c>
      <c r="L363" s="2" t="s">
        <v>177</v>
      </c>
      <c r="M363" s="2">
        <v>2020</v>
      </c>
      <c r="N363" s="2">
        <v>2020</v>
      </c>
      <c r="O363" s="2" t="s">
        <v>23</v>
      </c>
      <c r="P363" s="2">
        <v>0</v>
      </c>
      <c r="Q363" s="2" t="s">
        <v>178</v>
      </c>
      <c r="R363" s="2" t="s">
        <v>179</v>
      </c>
    </row>
    <row r="364" spans="5:18" ht="13.5" customHeight="1" x14ac:dyDescent="0.25">
      <c r="E364" s="2" t="s">
        <v>140</v>
      </c>
      <c r="F364" s="2" t="s">
        <v>141</v>
      </c>
      <c r="G364" s="2">
        <v>729</v>
      </c>
      <c r="H364" s="2" t="s">
        <v>206</v>
      </c>
      <c r="I364" s="2">
        <v>5312</v>
      </c>
      <c r="J364" s="2" t="s">
        <v>142</v>
      </c>
      <c r="K364" s="2" t="s">
        <v>176</v>
      </c>
      <c r="L364" s="2" t="s">
        <v>177</v>
      </c>
      <c r="M364" s="2">
        <v>2021</v>
      </c>
      <c r="N364" s="2">
        <v>2021</v>
      </c>
      <c r="O364" s="2" t="s">
        <v>23</v>
      </c>
      <c r="P364" s="2">
        <v>0</v>
      </c>
      <c r="Q364" s="2" t="s">
        <v>178</v>
      </c>
      <c r="R364" s="2" t="s">
        <v>179</v>
      </c>
    </row>
    <row r="365" spans="5:18" ht="13.5" customHeight="1" x14ac:dyDescent="0.25">
      <c r="E365" s="2" t="s">
        <v>140</v>
      </c>
      <c r="F365" s="2" t="s">
        <v>141</v>
      </c>
      <c r="G365" s="2">
        <v>729</v>
      </c>
      <c r="H365" s="2" t="s">
        <v>206</v>
      </c>
      <c r="I365" s="2">
        <v>5312</v>
      </c>
      <c r="J365" s="2" t="s">
        <v>142</v>
      </c>
      <c r="K365" s="2" t="s">
        <v>223</v>
      </c>
      <c r="L365" s="2" t="s">
        <v>224</v>
      </c>
      <c r="M365" s="2">
        <v>2015</v>
      </c>
      <c r="N365" s="2">
        <v>2015</v>
      </c>
      <c r="O365" s="2" t="s">
        <v>23</v>
      </c>
      <c r="P365" s="2">
        <v>18270</v>
      </c>
      <c r="Q365" s="2" t="s">
        <v>143</v>
      </c>
      <c r="R365" s="2" t="s">
        <v>144</v>
      </c>
    </row>
    <row r="366" spans="5:18" ht="13.5" customHeight="1" x14ac:dyDescent="0.25">
      <c r="E366" s="2" t="s">
        <v>140</v>
      </c>
      <c r="F366" s="2" t="s">
        <v>141</v>
      </c>
      <c r="G366" s="2">
        <v>729</v>
      </c>
      <c r="H366" s="2" t="s">
        <v>206</v>
      </c>
      <c r="I366" s="2">
        <v>5312</v>
      </c>
      <c r="J366" s="2" t="s">
        <v>142</v>
      </c>
      <c r="K366" s="2" t="s">
        <v>223</v>
      </c>
      <c r="L366" s="2" t="s">
        <v>224</v>
      </c>
      <c r="M366" s="2">
        <v>2016</v>
      </c>
      <c r="N366" s="2">
        <v>2016</v>
      </c>
      <c r="O366" s="2" t="s">
        <v>23</v>
      </c>
      <c r="P366" s="2">
        <v>18774</v>
      </c>
      <c r="Q366" s="2" t="s">
        <v>143</v>
      </c>
      <c r="R366" s="2" t="s">
        <v>144</v>
      </c>
    </row>
    <row r="367" spans="5:18" ht="13.5" customHeight="1" x14ac:dyDescent="0.25">
      <c r="E367" s="2" t="s">
        <v>140</v>
      </c>
      <c r="F367" s="2" t="s">
        <v>141</v>
      </c>
      <c r="G367" s="2">
        <v>729</v>
      </c>
      <c r="H367" s="2" t="s">
        <v>206</v>
      </c>
      <c r="I367" s="2">
        <v>5312</v>
      </c>
      <c r="J367" s="2" t="s">
        <v>142</v>
      </c>
      <c r="K367" s="2" t="s">
        <v>223</v>
      </c>
      <c r="L367" s="2" t="s">
        <v>224</v>
      </c>
      <c r="M367" s="2">
        <v>2017</v>
      </c>
      <c r="N367" s="2">
        <v>2017</v>
      </c>
      <c r="O367" s="2" t="s">
        <v>23</v>
      </c>
      <c r="P367" s="2">
        <v>19000</v>
      </c>
      <c r="Q367" s="2" t="s">
        <v>143</v>
      </c>
      <c r="R367" s="2" t="s">
        <v>144</v>
      </c>
    </row>
    <row r="368" spans="5:18" ht="13.5" customHeight="1" x14ac:dyDescent="0.25">
      <c r="E368" s="2" t="s">
        <v>140</v>
      </c>
      <c r="F368" s="2" t="s">
        <v>141</v>
      </c>
      <c r="G368" s="2">
        <v>729</v>
      </c>
      <c r="H368" s="2" t="s">
        <v>206</v>
      </c>
      <c r="I368" s="2">
        <v>5312</v>
      </c>
      <c r="J368" s="2" t="s">
        <v>142</v>
      </c>
      <c r="K368" s="2" t="s">
        <v>223</v>
      </c>
      <c r="L368" s="2" t="s">
        <v>224</v>
      </c>
      <c r="M368" s="2">
        <v>2018</v>
      </c>
      <c r="N368" s="2">
        <v>2018</v>
      </c>
      <c r="O368" s="2" t="s">
        <v>23</v>
      </c>
      <c r="P368" s="2">
        <v>20520</v>
      </c>
      <c r="Q368" s="2" t="s">
        <v>143</v>
      </c>
      <c r="R368" s="2" t="s">
        <v>144</v>
      </c>
    </row>
    <row r="369" spans="5:18" ht="13.5" customHeight="1" x14ac:dyDescent="0.25">
      <c r="E369" s="2" t="s">
        <v>140</v>
      </c>
      <c r="F369" s="2" t="s">
        <v>141</v>
      </c>
      <c r="G369" s="2">
        <v>729</v>
      </c>
      <c r="H369" s="2" t="s">
        <v>206</v>
      </c>
      <c r="I369" s="2">
        <v>5312</v>
      </c>
      <c r="J369" s="2" t="s">
        <v>142</v>
      </c>
      <c r="K369" s="2" t="s">
        <v>223</v>
      </c>
      <c r="L369" s="2" t="s">
        <v>224</v>
      </c>
      <c r="M369" s="2">
        <v>2019</v>
      </c>
      <c r="N369" s="2">
        <v>2019</v>
      </c>
      <c r="O369" s="2" t="s">
        <v>23</v>
      </c>
      <c r="P369" s="2">
        <v>20520</v>
      </c>
      <c r="Q369" s="2" t="s">
        <v>143</v>
      </c>
      <c r="R369" s="2" t="s">
        <v>144</v>
      </c>
    </row>
    <row r="370" spans="5:18" ht="13.5" customHeight="1" x14ac:dyDescent="0.25">
      <c r="E370" s="2" t="s">
        <v>140</v>
      </c>
      <c r="F370" s="2" t="s">
        <v>141</v>
      </c>
      <c r="G370" s="2">
        <v>729</v>
      </c>
      <c r="H370" s="2" t="s">
        <v>206</v>
      </c>
      <c r="I370" s="2">
        <v>5312</v>
      </c>
      <c r="J370" s="2" t="s">
        <v>142</v>
      </c>
      <c r="K370" s="2" t="s">
        <v>223</v>
      </c>
      <c r="L370" s="2" t="s">
        <v>224</v>
      </c>
      <c r="M370" s="2">
        <v>2020</v>
      </c>
      <c r="N370" s="2">
        <v>2020</v>
      </c>
      <c r="O370" s="2" t="s">
        <v>23</v>
      </c>
      <c r="P370" s="2">
        <v>20520</v>
      </c>
      <c r="Q370" s="2" t="s">
        <v>143</v>
      </c>
      <c r="R370" s="2" t="s">
        <v>144</v>
      </c>
    </row>
    <row r="371" spans="5:18" ht="13.5" customHeight="1" x14ac:dyDescent="0.25">
      <c r="E371" s="2" t="s">
        <v>140</v>
      </c>
      <c r="F371" s="2" t="s">
        <v>141</v>
      </c>
      <c r="G371" s="2">
        <v>729</v>
      </c>
      <c r="H371" s="2" t="s">
        <v>206</v>
      </c>
      <c r="I371" s="2">
        <v>5312</v>
      </c>
      <c r="J371" s="2" t="s">
        <v>142</v>
      </c>
      <c r="K371" s="2" t="s">
        <v>223</v>
      </c>
      <c r="L371" s="2" t="s">
        <v>224</v>
      </c>
      <c r="M371" s="2">
        <v>2021</v>
      </c>
      <c r="N371" s="2">
        <v>2021</v>
      </c>
      <c r="O371" s="2" t="s">
        <v>23</v>
      </c>
      <c r="P371" s="2">
        <v>21806</v>
      </c>
      <c r="Q371" s="2" t="s">
        <v>145</v>
      </c>
      <c r="R371" s="2" t="s">
        <v>146</v>
      </c>
    </row>
    <row r="372" spans="5:18" ht="13.5" customHeight="1" x14ac:dyDescent="0.25">
      <c r="E372" s="2" t="s">
        <v>140</v>
      </c>
      <c r="F372" s="2" t="s">
        <v>141</v>
      </c>
      <c r="G372" s="2">
        <v>729</v>
      </c>
      <c r="H372" s="2" t="s">
        <v>206</v>
      </c>
      <c r="I372" s="2">
        <v>5419</v>
      </c>
      <c r="J372" s="2" t="s">
        <v>209</v>
      </c>
      <c r="K372" s="2" t="s">
        <v>223</v>
      </c>
      <c r="L372" s="2" t="s">
        <v>224</v>
      </c>
      <c r="M372" s="2">
        <v>2015</v>
      </c>
      <c r="N372" s="2">
        <v>2015</v>
      </c>
      <c r="O372" s="2" t="s">
        <v>210</v>
      </c>
      <c r="P372" s="2">
        <v>83196</v>
      </c>
      <c r="Q372" s="2" t="s">
        <v>143</v>
      </c>
      <c r="R372" s="2" t="s">
        <v>144</v>
      </c>
    </row>
    <row r="373" spans="5:18" ht="13.5" customHeight="1" x14ac:dyDescent="0.25">
      <c r="E373" s="2" t="s">
        <v>140</v>
      </c>
      <c r="F373" s="2" t="s">
        <v>141</v>
      </c>
      <c r="G373" s="2">
        <v>729</v>
      </c>
      <c r="H373" s="2" t="s">
        <v>206</v>
      </c>
      <c r="I373" s="2">
        <v>5419</v>
      </c>
      <c r="J373" s="2" t="s">
        <v>209</v>
      </c>
      <c r="K373" s="2" t="s">
        <v>223</v>
      </c>
      <c r="L373" s="2" t="s">
        <v>224</v>
      </c>
      <c r="M373" s="2">
        <v>2016</v>
      </c>
      <c r="N373" s="2">
        <v>2016</v>
      </c>
      <c r="O373" s="2" t="s">
        <v>210</v>
      </c>
      <c r="P373" s="2">
        <v>81139</v>
      </c>
      <c r="Q373" s="2" t="s">
        <v>143</v>
      </c>
      <c r="R373" s="2" t="s">
        <v>144</v>
      </c>
    </row>
    <row r="374" spans="5:18" ht="13.5" customHeight="1" x14ac:dyDescent="0.25">
      <c r="E374" s="2" t="s">
        <v>140</v>
      </c>
      <c r="F374" s="2" t="s">
        <v>141</v>
      </c>
      <c r="G374" s="2">
        <v>729</v>
      </c>
      <c r="H374" s="2" t="s">
        <v>206</v>
      </c>
      <c r="I374" s="2">
        <v>5419</v>
      </c>
      <c r="J374" s="2" t="s">
        <v>209</v>
      </c>
      <c r="K374" s="2" t="s">
        <v>223</v>
      </c>
      <c r="L374" s="2" t="s">
        <v>224</v>
      </c>
      <c r="M374" s="2">
        <v>2017</v>
      </c>
      <c r="N374" s="2">
        <v>2017</v>
      </c>
      <c r="O374" s="2" t="s">
        <v>210</v>
      </c>
      <c r="P374" s="2">
        <v>81737</v>
      </c>
      <c r="Q374" s="2" t="s">
        <v>143</v>
      </c>
      <c r="R374" s="2" t="s">
        <v>144</v>
      </c>
    </row>
    <row r="375" spans="5:18" ht="13.5" customHeight="1" x14ac:dyDescent="0.25">
      <c r="E375" s="2" t="s">
        <v>140</v>
      </c>
      <c r="F375" s="2" t="s">
        <v>141</v>
      </c>
      <c r="G375" s="2">
        <v>729</v>
      </c>
      <c r="H375" s="2" t="s">
        <v>206</v>
      </c>
      <c r="I375" s="2">
        <v>5419</v>
      </c>
      <c r="J375" s="2" t="s">
        <v>209</v>
      </c>
      <c r="K375" s="2" t="s">
        <v>223</v>
      </c>
      <c r="L375" s="2" t="s">
        <v>224</v>
      </c>
      <c r="M375" s="2">
        <v>2018</v>
      </c>
      <c r="N375" s="2">
        <v>2018</v>
      </c>
      <c r="O375" s="2" t="s">
        <v>210</v>
      </c>
      <c r="P375" s="2">
        <v>77953</v>
      </c>
      <c r="Q375" s="2" t="s">
        <v>143</v>
      </c>
      <c r="R375" s="2" t="s">
        <v>144</v>
      </c>
    </row>
    <row r="376" spans="5:18" ht="13.5" customHeight="1" x14ac:dyDescent="0.25">
      <c r="E376" s="2" t="s">
        <v>140</v>
      </c>
      <c r="F376" s="2" t="s">
        <v>141</v>
      </c>
      <c r="G376" s="2">
        <v>729</v>
      </c>
      <c r="H376" s="2" t="s">
        <v>206</v>
      </c>
      <c r="I376" s="2">
        <v>5419</v>
      </c>
      <c r="J376" s="2" t="s">
        <v>209</v>
      </c>
      <c r="K376" s="2" t="s">
        <v>223</v>
      </c>
      <c r="L376" s="2" t="s">
        <v>224</v>
      </c>
      <c r="M376" s="2">
        <v>2019</v>
      </c>
      <c r="N376" s="2">
        <v>2019</v>
      </c>
      <c r="O376" s="2" t="s">
        <v>210</v>
      </c>
      <c r="P376" s="2">
        <v>81071</v>
      </c>
      <c r="Q376" s="2" t="s">
        <v>143</v>
      </c>
      <c r="R376" s="2" t="s">
        <v>144</v>
      </c>
    </row>
    <row r="377" spans="5:18" ht="13.5" customHeight="1" x14ac:dyDescent="0.25">
      <c r="E377" s="2" t="s">
        <v>140</v>
      </c>
      <c r="F377" s="2" t="s">
        <v>141</v>
      </c>
      <c r="G377" s="2">
        <v>729</v>
      </c>
      <c r="H377" s="2" t="s">
        <v>206</v>
      </c>
      <c r="I377" s="2">
        <v>5419</v>
      </c>
      <c r="J377" s="2" t="s">
        <v>209</v>
      </c>
      <c r="K377" s="2" t="s">
        <v>223</v>
      </c>
      <c r="L377" s="2" t="s">
        <v>224</v>
      </c>
      <c r="M377" s="2">
        <v>2020</v>
      </c>
      <c r="N377" s="2">
        <v>2020</v>
      </c>
      <c r="O377" s="2" t="s">
        <v>210</v>
      </c>
      <c r="P377" s="2">
        <v>84314</v>
      </c>
      <c r="Q377" s="2" t="s">
        <v>143</v>
      </c>
      <c r="R377" s="2" t="s">
        <v>144</v>
      </c>
    </row>
    <row r="378" spans="5:18" ht="13.5" customHeight="1" x14ac:dyDescent="0.25">
      <c r="E378" s="2" t="s">
        <v>140</v>
      </c>
      <c r="F378" s="2" t="s">
        <v>141</v>
      </c>
      <c r="G378" s="2">
        <v>729</v>
      </c>
      <c r="H378" s="2" t="s">
        <v>206</v>
      </c>
      <c r="I378" s="2">
        <v>5419</v>
      </c>
      <c r="J378" s="2" t="s">
        <v>209</v>
      </c>
      <c r="K378" s="2" t="s">
        <v>223</v>
      </c>
      <c r="L378" s="2" t="s">
        <v>224</v>
      </c>
      <c r="M378" s="2">
        <v>2021</v>
      </c>
      <c r="N378" s="2">
        <v>2021</v>
      </c>
      <c r="O378" s="2" t="s">
        <v>210</v>
      </c>
      <c r="P378" s="2">
        <v>80841</v>
      </c>
      <c r="Q378" s="2" t="s">
        <v>115</v>
      </c>
      <c r="R378" s="2" t="s">
        <v>116</v>
      </c>
    </row>
    <row r="379" spans="5:18" ht="13.5" customHeight="1" x14ac:dyDescent="0.25">
      <c r="E379" s="2" t="s">
        <v>140</v>
      </c>
      <c r="F379" s="2" t="s">
        <v>141</v>
      </c>
      <c r="G379" s="2">
        <v>729</v>
      </c>
      <c r="H379" s="2" t="s">
        <v>206</v>
      </c>
      <c r="I379" s="2">
        <v>5312</v>
      </c>
      <c r="J379" s="2" t="s">
        <v>142</v>
      </c>
      <c r="K379" s="2" t="s">
        <v>180</v>
      </c>
      <c r="L379" s="2" t="s">
        <v>181</v>
      </c>
      <c r="M379" s="2">
        <v>2015</v>
      </c>
      <c r="N379" s="2">
        <v>2015</v>
      </c>
      <c r="O379" s="2" t="s">
        <v>23</v>
      </c>
      <c r="P379" s="2">
        <v>64</v>
      </c>
      <c r="Q379" s="2" t="s">
        <v>145</v>
      </c>
      <c r="R379" s="2" t="s">
        <v>146</v>
      </c>
    </row>
    <row r="380" spans="5:18" ht="13.5" customHeight="1" x14ac:dyDescent="0.25">
      <c r="E380" s="2" t="s">
        <v>140</v>
      </c>
      <c r="F380" s="2" t="s">
        <v>141</v>
      </c>
      <c r="G380" s="2">
        <v>729</v>
      </c>
      <c r="H380" s="2" t="s">
        <v>206</v>
      </c>
      <c r="I380" s="2">
        <v>5312</v>
      </c>
      <c r="J380" s="2" t="s">
        <v>142</v>
      </c>
      <c r="K380" s="2" t="s">
        <v>180</v>
      </c>
      <c r="L380" s="2" t="s">
        <v>181</v>
      </c>
      <c r="M380" s="2">
        <v>2016</v>
      </c>
      <c r="N380" s="2">
        <v>2016</v>
      </c>
      <c r="O380" s="2" t="s">
        <v>23</v>
      </c>
      <c r="P380" s="2">
        <v>60</v>
      </c>
      <c r="Q380" s="2" t="s">
        <v>115</v>
      </c>
      <c r="R380" s="2" t="s">
        <v>116</v>
      </c>
    </row>
    <row r="381" spans="5:18" ht="13.5" customHeight="1" x14ac:dyDescent="0.25">
      <c r="E381" s="2" t="s">
        <v>140</v>
      </c>
      <c r="F381" s="2" t="s">
        <v>141</v>
      </c>
      <c r="G381" s="2">
        <v>729</v>
      </c>
      <c r="H381" s="2" t="s">
        <v>206</v>
      </c>
      <c r="I381" s="2">
        <v>5312</v>
      </c>
      <c r="J381" s="2" t="s">
        <v>142</v>
      </c>
      <c r="K381" s="2" t="s">
        <v>180</v>
      </c>
      <c r="L381" s="2" t="s">
        <v>181</v>
      </c>
      <c r="M381" s="2">
        <v>2017</v>
      </c>
      <c r="N381" s="2">
        <v>2017</v>
      </c>
      <c r="O381" s="2" t="s">
        <v>23</v>
      </c>
      <c r="P381" s="2">
        <v>62</v>
      </c>
      <c r="Q381" s="2" t="s">
        <v>145</v>
      </c>
      <c r="R381" s="2" t="s">
        <v>146</v>
      </c>
    </row>
    <row r="382" spans="5:18" ht="13.5" customHeight="1" x14ac:dyDescent="0.25">
      <c r="E382" s="2" t="s">
        <v>140</v>
      </c>
      <c r="F382" s="2" t="s">
        <v>141</v>
      </c>
      <c r="G382" s="2">
        <v>729</v>
      </c>
      <c r="H382" s="2" t="s">
        <v>206</v>
      </c>
      <c r="I382" s="2">
        <v>5312</v>
      </c>
      <c r="J382" s="2" t="s">
        <v>142</v>
      </c>
      <c r="K382" s="2" t="s">
        <v>180</v>
      </c>
      <c r="L382" s="2" t="s">
        <v>181</v>
      </c>
      <c r="M382" s="2">
        <v>2018</v>
      </c>
      <c r="N382" s="2">
        <v>2018</v>
      </c>
      <c r="O382" s="2" t="s">
        <v>23</v>
      </c>
      <c r="P382" s="2">
        <v>64</v>
      </c>
      <c r="Q382" s="2" t="s">
        <v>145</v>
      </c>
      <c r="R382" s="2" t="s">
        <v>146</v>
      </c>
    </row>
    <row r="383" spans="5:18" ht="13.5" customHeight="1" x14ac:dyDescent="0.25">
      <c r="E383" s="2" t="s">
        <v>140</v>
      </c>
      <c r="F383" s="2" t="s">
        <v>141</v>
      </c>
      <c r="G383" s="2">
        <v>729</v>
      </c>
      <c r="H383" s="2" t="s">
        <v>206</v>
      </c>
      <c r="I383" s="2">
        <v>5312</v>
      </c>
      <c r="J383" s="2" t="s">
        <v>142</v>
      </c>
      <c r="K383" s="2" t="s">
        <v>180</v>
      </c>
      <c r="L383" s="2" t="s">
        <v>181</v>
      </c>
      <c r="M383" s="2">
        <v>2019</v>
      </c>
      <c r="N383" s="2">
        <v>2019</v>
      </c>
      <c r="O383" s="2" t="s">
        <v>23</v>
      </c>
      <c r="P383" s="2">
        <v>62</v>
      </c>
      <c r="Q383" s="2" t="s">
        <v>115</v>
      </c>
      <c r="R383" s="2" t="s">
        <v>116</v>
      </c>
    </row>
    <row r="384" spans="5:18" ht="13.5" customHeight="1" x14ac:dyDescent="0.25">
      <c r="E384" s="2" t="s">
        <v>140</v>
      </c>
      <c r="F384" s="2" t="s">
        <v>141</v>
      </c>
      <c r="G384" s="2">
        <v>729</v>
      </c>
      <c r="H384" s="2" t="s">
        <v>206</v>
      </c>
      <c r="I384" s="2">
        <v>5312</v>
      </c>
      <c r="J384" s="2" t="s">
        <v>142</v>
      </c>
      <c r="K384" s="2" t="s">
        <v>180</v>
      </c>
      <c r="L384" s="2" t="s">
        <v>181</v>
      </c>
      <c r="M384" s="2">
        <v>2020</v>
      </c>
      <c r="N384" s="2">
        <v>2020</v>
      </c>
      <c r="O384" s="2" t="s">
        <v>23</v>
      </c>
      <c r="P384" s="2">
        <v>62</v>
      </c>
      <c r="Q384" s="2" t="s">
        <v>115</v>
      </c>
      <c r="R384" s="2" t="s">
        <v>116</v>
      </c>
    </row>
    <row r="385" spans="5:18" ht="13.5" customHeight="1" x14ac:dyDescent="0.25">
      <c r="E385" s="2" t="s">
        <v>140</v>
      </c>
      <c r="F385" s="2" t="s">
        <v>141</v>
      </c>
      <c r="G385" s="2">
        <v>729</v>
      </c>
      <c r="H385" s="2" t="s">
        <v>206</v>
      </c>
      <c r="I385" s="2">
        <v>5312</v>
      </c>
      <c r="J385" s="2" t="s">
        <v>142</v>
      </c>
      <c r="K385" s="2" t="s">
        <v>180</v>
      </c>
      <c r="L385" s="2" t="s">
        <v>181</v>
      </c>
      <c r="M385" s="2">
        <v>2021</v>
      </c>
      <c r="N385" s="2">
        <v>2021</v>
      </c>
      <c r="O385" s="2" t="s">
        <v>23</v>
      </c>
      <c r="P385" s="2">
        <v>63</v>
      </c>
      <c r="Q385" s="2" t="s">
        <v>115</v>
      </c>
      <c r="R385" s="2" t="s">
        <v>116</v>
      </c>
    </row>
    <row r="386" spans="5:18" ht="13.5" customHeight="1" x14ac:dyDescent="0.25">
      <c r="E386" s="2" t="s">
        <v>140</v>
      </c>
      <c r="F386" s="2" t="s">
        <v>141</v>
      </c>
      <c r="G386" s="2">
        <v>729</v>
      </c>
      <c r="H386" s="2" t="s">
        <v>206</v>
      </c>
      <c r="I386" s="2">
        <v>5419</v>
      </c>
      <c r="J386" s="2" t="s">
        <v>209</v>
      </c>
      <c r="K386" s="2" t="s">
        <v>180</v>
      </c>
      <c r="L386" s="2" t="s">
        <v>181</v>
      </c>
      <c r="M386" s="2">
        <v>2015</v>
      </c>
      <c r="N386" s="2">
        <v>2015</v>
      </c>
      <c r="O386" s="2" t="s">
        <v>210</v>
      </c>
      <c r="P386" s="2">
        <v>62245</v>
      </c>
      <c r="Q386" s="2" t="s">
        <v>115</v>
      </c>
      <c r="R386" s="2" t="s">
        <v>116</v>
      </c>
    </row>
    <row r="387" spans="5:18" ht="13.5" customHeight="1" x14ac:dyDescent="0.25">
      <c r="E387" s="2" t="s">
        <v>140</v>
      </c>
      <c r="F387" s="2" t="s">
        <v>141</v>
      </c>
      <c r="G387" s="2">
        <v>729</v>
      </c>
      <c r="H387" s="2" t="s">
        <v>206</v>
      </c>
      <c r="I387" s="2">
        <v>5419</v>
      </c>
      <c r="J387" s="2" t="s">
        <v>209</v>
      </c>
      <c r="K387" s="2" t="s">
        <v>180</v>
      </c>
      <c r="L387" s="2" t="s">
        <v>181</v>
      </c>
      <c r="M387" s="2">
        <v>2016</v>
      </c>
      <c r="N387" s="2">
        <v>2016</v>
      </c>
      <c r="O387" s="2" t="s">
        <v>210</v>
      </c>
      <c r="P387" s="2">
        <v>58573</v>
      </c>
      <c r="Q387" s="2" t="s">
        <v>115</v>
      </c>
      <c r="R387" s="2" t="s">
        <v>116</v>
      </c>
    </row>
    <row r="388" spans="5:18" ht="13.5" customHeight="1" x14ac:dyDescent="0.25">
      <c r="E388" s="2" t="s">
        <v>140</v>
      </c>
      <c r="F388" s="2" t="s">
        <v>141</v>
      </c>
      <c r="G388" s="2">
        <v>729</v>
      </c>
      <c r="H388" s="2" t="s">
        <v>206</v>
      </c>
      <c r="I388" s="2">
        <v>5419</v>
      </c>
      <c r="J388" s="2" t="s">
        <v>209</v>
      </c>
      <c r="K388" s="2" t="s">
        <v>180</v>
      </c>
      <c r="L388" s="2" t="s">
        <v>181</v>
      </c>
      <c r="M388" s="2">
        <v>2017</v>
      </c>
      <c r="N388" s="2">
        <v>2017</v>
      </c>
      <c r="O388" s="2" t="s">
        <v>210</v>
      </c>
      <c r="P388" s="2">
        <v>59956</v>
      </c>
      <c r="Q388" s="2" t="s">
        <v>115</v>
      </c>
      <c r="R388" s="2" t="s">
        <v>116</v>
      </c>
    </row>
    <row r="389" spans="5:18" ht="13.5" customHeight="1" x14ac:dyDescent="0.25">
      <c r="E389" s="2" t="s">
        <v>140</v>
      </c>
      <c r="F389" s="2" t="s">
        <v>141</v>
      </c>
      <c r="G389" s="2">
        <v>729</v>
      </c>
      <c r="H389" s="2" t="s">
        <v>206</v>
      </c>
      <c r="I389" s="2">
        <v>5419</v>
      </c>
      <c r="J389" s="2" t="s">
        <v>209</v>
      </c>
      <c r="K389" s="2" t="s">
        <v>180</v>
      </c>
      <c r="L389" s="2" t="s">
        <v>181</v>
      </c>
      <c r="M389" s="2">
        <v>2018</v>
      </c>
      <c r="N389" s="2">
        <v>2018</v>
      </c>
      <c r="O389" s="2" t="s">
        <v>210</v>
      </c>
      <c r="P389" s="2">
        <v>58682</v>
      </c>
      <c r="Q389" s="2" t="s">
        <v>115</v>
      </c>
      <c r="R389" s="2" t="s">
        <v>116</v>
      </c>
    </row>
    <row r="390" spans="5:18" ht="13.5" customHeight="1" x14ac:dyDescent="0.25">
      <c r="E390" s="2" t="s">
        <v>140</v>
      </c>
      <c r="F390" s="2" t="s">
        <v>141</v>
      </c>
      <c r="G390" s="2">
        <v>729</v>
      </c>
      <c r="H390" s="2" t="s">
        <v>206</v>
      </c>
      <c r="I390" s="2">
        <v>5419</v>
      </c>
      <c r="J390" s="2" t="s">
        <v>209</v>
      </c>
      <c r="K390" s="2" t="s">
        <v>180</v>
      </c>
      <c r="L390" s="2" t="s">
        <v>181</v>
      </c>
      <c r="M390" s="2">
        <v>2019</v>
      </c>
      <c r="N390" s="2">
        <v>2019</v>
      </c>
      <c r="O390" s="2" t="s">
        <v>210</v>
      </c>
      <c r="P390" s="2">
        <v>59073</v>
      </c>
      <c r="Q390" s="2" t="s">
        <v>115</v>
      </c>
      <c r="R390" s="2" t="s">
        <v>116</v>
      </c>
    </row>
    <row r="391" spans="5:18" ht="13.5" customHeight="1" x14ac:dyDescent="0.25">
      <c r="E391" s="2" t="s">
        <v>140</v>
      </c>
      <c r="F391" s="2" t="s">
        <v>141</v>
      </c>
      <c r="G391" s="2">
        <v>729</v>
      </c>
      <c r="H391" s="2" t="s">
        <v>206</v>
      </c>
      <c r="I391" s="2">
        <v>5419</v>
      </c>
      <c r="J391" s="2" t="s">
        <v>209</v>
      </c>
      <c r="K391" s="2" t="s">
        <v>180</v>
      </c>
      <c r="L391" s="2" t="s">
        <v>181</v>
      </c>
      <c r="M391" s="2">
        <v>2020</v>
      </c>
      <c r="N391" s="2">
        <v>2020</v>
      </c>
      <c r="O391" s="2" t="s">
        <v>210</v>
      </c>
      <c r="P391" s="2">
        <v>59232</v>
      </c>
      <c r="Q391" s="2" t="s">
        <v>115</v>
      </c>
      <c r="R391" s="2" t="s">
        <v>116</v>
      </c>
    </row>
    <row r="392" spans="5:18" ht="13.5" customHeight="1" x14ac:dyDescent="0.25">
      <c r="E392" s="2" t="s">
        <v>140</v>
      </c>
      <c r="F392" s="2" t="s">
        <v>141</v>
      </c>
      <c r="G392" s="2">
        <v>729</v>
      </c>
      <c r="H392" s="2" t="s">
        <v>206</v>
      </c>
      <c r="I392" s="2">
        <v>5419</v>
      </c>
      <c r="J392" s="2" t="s">
        <v>209</v>
      </c>
      <c r="K392" s="2" t="s">
        <v>180</v>
      </c>
      <c r="L392" s="2" t="s">
        <v>181</v>
      </c>
      <c r="M392" s="2">
        <v>2021</v>
      </c>
      <c r="N392" s="2">
        <v>2021</v>
      </c>
      <c r="O392" s="2" t="s">
        <v>210</v>
      </c>
      <c r="P392" s="2">
        <v>58993</v>
      </c>
      <c r="Q392" s="2" t="s">
        <v>115</v>
      </c>
      <c r="R392" s="2" t="s">
        <v>116</v>
      </c>
    </row>
    <row r="393" spans="5:18" ht="13.5" customHeight="1" x14ac:dyDescent="0.25">
      <c r="E393" s="2" t="s">
        <v>140</v>
      </c>
      <c r="F393" s="2" t="s">
        <v>141</v>
      </c>
      <c r="G393" s="2">
        <v>729</v>
      </c>
      <c r="H393" s="2" t="s">
        <v>206</v>
      </c>
      <c r="I393" s="2">
        <v>5312</v>
      </c>
      <c r="J393" s="2" t="s">
        <v>142</v>
      </c>
      <c r="K393" s="2" t="s">
        <v>182</v>
      </c>
      <c r="L393" s="2" t="s">
        <v>183</v>
      </c>
      <c r="M393" s="2">
        <v>2015</v>
      </c>
      <c r="N393" s="2">
        <v>2015</v>
      </c>
      <c r="O393" s="2" t="s">
        <v>23</v>
      </c>
      <c r="P393" s="2">
        <v>52932</v>
      </c>
      <c r="Q393" s="2" t="s">
        <v>145</v>
      </c>
      <c r="R393" s="2" t="s">
        <v>146</v>
      </c>
    </row>
    <row r="394" spans="5:18" ht="13.5" customHeight="1" x14ac:dyDescent="0.25">
      <c r="E394" s="2" t="s">
        <v>140</v>
      </c>
      <c r="F394" s="2" t="s">
        <v>141</v>
      </c>
      <c r="G394" s="2">
        <v>729</v>
      </c>
      <c r="H394" s="2" t="s">
        <v>206</v>
      </c>
      <c r="I394" s="2">
        <v>5312</v>
      </c>
      <c r="J394" s="2" t="s">
        <v>142</v>
      </c>
      <c r="K394" s="2" t="s">
        <v>182</v>
      </c>
      <c r="L394" s="2" t="s">
        <v>183</v>
      </c>
      <c r="M394" s="2">
        <v>2016</v>
      </c>
      <c r="N394" s="2">
        <v>2016</v>
      </c>
      <c r="O394" s="2" t="s">
        <v>23</v>
      </c>
      <c r="P394" s="2">
        <v>49977</v>
      </c>
      <c r="Q394" s="2" t="s">
        <v>115</v>
      </c>
      <c r="R394" s="2" t="s">
        <v>116</v>
      </c>
    </row>
    <row r="395" spans="5:18" ht="13.5" customHeight="1" x14ac:dyDescent="0.25">
      <c r="E395" s="2" t="s">
        <v>140</v>
      </c>
      <c r="F395" s="2" t="s">
        <v>141</v>
      </c>
      <c r="G395" s="2">
        <v>729</v>
      </c>
      <c r="H395" s="2" t="s">
        <v>206</v>
      </c>
      <c r="I395" s="2">
        <v>5312</v>
      </c>
      <c r="J395" s="2" t="s">
        <v>142</v>
      </c>
      <c r="K395" s="2" t="s">
        <v>182</v>
      </c>
      <c r="L395" s="2" t="s">
        <v>183</v>
      </c>
      <c r="M395" s="2">
        <v>2017</v>
      </c>
      <c r="N395" s="2">
        <v>2017</v>
      </c>
      <c r="O395" s="2" t="s">
        <v>23</v>
      </c>
      <c r="P395" s="2">
        <v>51257</v>
      </c>
      <c r="Q395" s="2" t="s">
        <v>145</v>
      </c>
      <c r="R395" s="2" t="s">
        <v>146</v>
      </c>
    </row>
    <row r="396" spans="5:18" ht="13.5" customHeight="1" x14ac:dyDescent="0.25">
      <c r="E396" s="2" t="s">
        <v>140</v>
      </c>
      <c r="F396" s="2" t="s">
        <v>141</v>
      </c>
      <c r="G396" s="2">
        <v>729</v>
      </c>
      <c r="H396" s="2" t="s">
        <v>206</v>
      </c>
      <c r="I396" s="2">
        <v>5312</v>
      </c>
      <c r="J396" s="2" t="s">
        <v>142</v>
      </c>
      <c r="K396" s="2" t="s">
        <v>182</v>
      </c>
      <c r="L396" s="2" t="s">
        <v>183</v>
      </c>
      <c r="M396" s="2">
        <v>2018</v>
      </c>
      <c r="N396" s="2">
        <v>2018</v>
      </c>
      <c r="O396" s="2" t="s">
        <v>23</v>
      </c>
      <c r="P396" s="2">
        <v>52230</v>
      </c>
      <c r="Q396" s="2" t="s">
        <v>145</v>
      </c>
      <c r="R396" s="2" t="s">
        <v>146</v>
      </c>
    </row>
    <row r="397" spans="5:18" ht="13.5" customHeight="1" x14ac:dyDescent="0.25">
      <c r="E397" s="2" t="s">
        <v>140</v>
      </c>
      <c r="F397" s="2" t="s">
        <v>141</v>
      </c>
      <c r="G397" s="2">
        <v>729</v>
      </c>
      <c r="H397" s="2" t="s">
        <v>206</v>
      </c>
      <c r="I397" s="2">
        <v>5312</v>
      </c>
      <c r="J397" s="2" t="s">
        <v>142</v>
      </c>
      <c r="K397" s="2" t="s">
        <v>182</v>
      </c>
      <c r="L397" s="2" t="s">
        <v>183</v>
      </c>
      <c r="M397" s="2">
        <v>2019</v>
      </c>
      <c r="N397" s="2">
        <v>2019</v>
      </c>
      <c r="O397" s="2" t="s">
        <v>23</v>
      </c>
      <c r="P397" s="2">
        <v>52395</v>
      </c>
      <c r="Q397" s="2" t="s">
        <v>145</v>
      </c>
      <c r="R397" s="2" t="s">
        <v>146</v>
      </c>
    </row>
    <row r="398" spans="5:18" ht="13.5" customHeight="1" x14ac:dyDescent="0.25">
      <c r="E398" s="2" t="s">
        <v>140</v>
      </c>
      <c r="F398" s="2" t="s">
        <v>141</v>
      </c>
      <c r="G398" s="2">
        <v>729</v>
      </c>
      <c r="H398" s="2" t="s">
        <v>206</v>
      </c>
      <c r="I398" s="2">
        <v>5312</v>
      </c>
      <c r="J398" s="2" t="s">
        <v>142</v>
      </c>
      <c r="K398" s="2" t="s">
        <v>182</v>
      </c>
      <c r="L398" s="2" t="s">
        <v>183</v>
      </c>
      <c r="M398" s="2">
        <v>2020</v>
      </c>
      <c r="N398" s="2">
        <v>2020</v>
      </c>
      <c r="O398" s="2" t="s">
        <v>23</v>
      </c>
      <c r="P398" s="2">
        <v>52974</v>
      </c>
      <c r="Q398" s="2" t="s">
        <v>145</v>
      </c>
      <c r="R398" s="2" t="s">
        <v>146</v>
      </c>
    </row>
    <row r="399" spans="5:18" ht="13.5" customHeight="1" x14ac:dyDescent="0.25">
      <c r="E399" s="2" t="s">
        <v>140</v>
      </c>
      <c r="F399" s="2" t="s">
        <v>141</v>
      </c>
      <c r="G399" s="2">
        <v>729</v>
      </c>
      <c r="H399" s="2" t="s">
        <v>206</v>
      </c>
      <c r="I399" s="2">
        <v>5312</v>
      </c>
      <c r="J399" s="2" t="s">
        <v>142</v>
      </c>
      <c r="K399" s="2" t="s">
        <v>182</v>
      </c>
      <c r="L399" s="2" t="s">
        <v>183</v>
      </c>
      <c r="M399" s="2">
        <v>2021</v>
      </c>
      <c r="N399" s="2">
        <v>2021</v>
      </c>
      <c r="O399" s="2" t="s">
        <v>23</v>
      </c>
      <c r="P399" s="2">
        <v>52533</v>
      </c>
      <c r="Q399" s="2" t="s">
        <v>115</v>
      </c>
      <c r="R399" s="2" t="s">
        <v>116</v>
      </c>
    </row>
    <row r="400" spans="5:18" ht="13.5" customHeight="1" x14ac:dyDescent="0.25">
      <c r="E400" s="2" t="s">
        <v>140</v>
      </c>
      <c r="F400" s="2" t="s">
        <v>141</v>
      </c>
      <c r="G400" s="2">
        <v>729</v>
      </c>
      <c r="H400" s="2" t="s">
        <v>206</v>
      </c>
      <c r="I400" s="2">
        <v>5419</v>
      </c>
      <c r="J400" s="2" t="s">
        <v>209</v>
      </c>
      <c r="K400" s="2" t="s">
        <v>182</v>
      </c>
      <c r="L400" s="2" t="s">
        <v>183</v>
      </c>
      <c r="M400" s="2">
        <v>2015</v>
      </c>
      <c r="N400" s="2">
        <v>2015</v>
      </c>
      <c r="O400" s="2" t="s">
        <v>210</v>
      </c>
      <c r="P400" s="2">
        <v>61399</v>
      </c>
      <c r="Q400" s="2" t="s">
        <v>115</v>
      </c>
      <c r="R400" s="2" t="s">
        <v>116</v>
      </c>
    </row>
    <row r="401" spans="5:18" ht="13.5" customHeight="1" x14ac:dyDescent="0.25">
      <c r="E401" s="2" t="s">
        <v>140</v>
      </c>
      <c r="F401" s="2" t="s">
        <v>141</v>
      </c>
      <c r="G401" s="2">
        <v>729</v>
      </c>
      <c r="H401" s="2" t="s">
        <v>206</v>
      </c>
      <c r="I401" s="2">
        <v>5419</v>
      </c>
      <c r="J401" s="2" t="s">
        <v>209</v>
      </c>
      <c r="K401" s="2" t="s">
        <v>182</v>
      </c>
      <c r="L401" s="2" t="s">
        <v>183</v>
      </c>
      <c r="M401" s="2">
        <v>2016</v>
      </c>
      <c r="N401" s="2">
        <v>2016</v>
      </c>
      <c r="O401" s="2" t="s">
        <v>210</v>
      </c>
      <c r="P401" s="2">
        <v>60027</v>
      </c>
      <c r="Q401" s="2" t="s">
        <v>115</v>
      </c>
      <c r="R401" s="2" t="s">
        <v>116</v>
      </c>
    </row>
    <row r="402" spans="5:18" ht="13.5" customHeight="1" x14ac:dyDescent="0.25">
      <c r="E402" s="2" t="s">
        <v>140</v>
      </c>
      <c r="F402" s="2" t="s">
        <v>141</v>
      </c>
      <c r="G402" s="2">
        <v>729</v>
      </c>
      <c r="H402" s="2" t="s">
        <v>206</v>
      </c>
      <c r="I402" s="2">
        <v>5419</v>
      </c>
      <c r="J402" s="2" t="s">
        <v>209</v>
      </c>
      <c r="K402" s="2" t="s">
        <v>182</v>
      </c>
      <c r="L402" s="2" t="s">
        <v>183</v>
      </c>
      <c r="M402" s="2">
        <v>2017</v>
      </c>
      <c r="N402" s="2">
        <v>2017</v>
      </c>
      <c r="O402" s="2" t="s">
        <v>210</v>
      </c>
      <c r="P402" s="2">
        <v>60768</v>
      </c>
      <c r="Q402" s="2" t="s">
        <v>115</v>
      </c>
      <c r="R402" s="2" t="s">
        <v>116</v>
      </c>
    </row>
    <row r="403" spans="5:18" ht="13.5" customHeight="1" x14ac:dyDescent="0.25">
      <c r="E403" s="2" t="s">
        <v>140</v>
      </c>
      <c r="F403" s="2" t="s">
        <v>141</v>
      </c>
      <c r="G403" s="2">
        <v>729</v>
      </c>
      <c r="H403" s="2" t="s">
        <v>206</v>
      </c>
      <c r="I403" s="2">
        <v>5419</v>
      </c>
      <c r="J403" s="2" t="s">
        <v>209</v>
      </c>
      <c r="K403" s="2" t="s">
        <v>182</v>
      </c>
      <c r="L403" s="2" t="s">
        <v>183</v>
      </c>
      <c r="M403" s="2">
        <v>2018</v>
      </c>
      <c r="N403" s="2">
        <v>2018</v>
      </c>
      <c r="O403" s="2" t="s">
        <v>210</v>
      </c>
      <c r="P403" s="2">
        <v>59767</v>
      </c>
      <c r="Q403" s="2" t="s">
        <v>115</v>
      </c>
      <c r="R403" s="2" t="s">
        <v>116</v>
      </c>
    </row>
    <row r="404" spans="5:18" ht="13.5" customHeight="1" x14ac:dyDescent="0.25">
      <c r="E404" s="2" t="s">
        <v>140</v>
      </c>
      <c r="F404" s="2" t="s">
        <v>141</v>
      </c>
      <c r="G404" s="2">
        <v>729</v>
      </c>
      <c r="H404" s="2" t="s">
        <v>206</v>
      </c>
      <c r="I404" s="2">
        <v>5419</v>
      </c>
      <c r="J404" s="2" t="s">
        <v>209</v>
      </c>
      <c r="K404" s="2" t="s">
        <v>182</v>
      </c>
      <c r="L404" s="2" t="s">
        <v>183</v>
      </c>
      <c r="M404" s="2">
        <v>2019</v>
      </c>
      <c r="N404" s="2">
        <v>2019</v>
      </c>
      <c r="O404" s="2" t="s">
        <v>210</v>
      </c>
      <c r="P404" s="2">
        <v>58761</v>
      </c>
      <c r="Q404" s="2" t="s">
        <v>115</v>
      </c>
      <c r="R404" s="2" t="s">
        <v>116</v>
      </c>
    </row>
    <row r="405" spans="5:18" ht="13.5" customHeight="1" x14ac:dyDescent="0.25">
      <c r="E405" s="2" t="s">
        <v>140</v>
      </c>
      <c r="F405" s="2" t="s">
        <v>141</v>
      </c>
      <c r="G405" s="2">
        <v>729</v>
      </c>
      <c r="H405" s="2" t="s">
        <v>206</v>
      </c>
      <c r="I405" s="2">
        <v>5419</v>
      </c>
      <c r="J405" s="2" t="s">
        <v>209</v>
      </c>
      <c r="K405" s="2" t="s">
        <v>182</v>
      </c>
      <c r="L405" s="2" t="s">
        <v>183</v>
      </c>
      <c r="M405" s="2">
        <v>2020</v>
      </c>
      <c r="N405" s="2">
        <v>2020</v>
      </c>
      <c r="O405" s="2" t="s">
        <v>210</v>
      </c>
      <c r="P405" s="2">
        <v>58615</v>
      </c>
      <c r="Q405" s="2" t="s">
        <v>115</v>
      </c>
      <c r="R405" s="2" t="s">
        <v>116</v>
      </c>
    </row>
    <row r="406" spans="5:18" ht="13.5" customHeight="1" x14ac:dyDescent="0.25">
      <c r="E406" s="2" t="s">
        <v>140</v>
      </c>
      <c r="F406" s="2" t="s">
        <v>141</v>
      </c>
      <c r="G406" s="2">
        <v>729</v>
      </c>
      <c r="H406" s="2" t="s">
        <v>206</v>
      </c>
      <c r="I406" s="2">
        <v>5419</v>
      </c>
      <c r="J406" s="2" t="s">
        <v>209</v>
      </c>
      <c r="K406" s="2" t="s">
        <v>182</v>
      </c>
      <c r="L406" s="2" t="s">
        <v>183</v>
      </c>
      <c r="M406" s="2">
        <v>2021</v>
      </c>
      <c r="N406" s="2">
        <v>2021</v>
      </c>
      <c r="O406" s="2" t="s">
        <v>210</v>
      </c>
      <c r="P406" s="2">
        <v>59045</v>
      </c>
      <c r="Q406" s="2" t="s">
        <v>115</v>
      </c>
      <c r="R406" s="2" t="s">
        <v>116</v>
      </c>
    </row>
    <row r="407" spans="5:18" ht="13.5" customHeight="1" x14ac:dyDescent="0.25">
      <c r="E407" s="2" t="s">
        <v>140</v>
      </c>
      <c r="F407" s="2" t="s">
        <v>141</v>
      </c>
      <c r="G407" s="2">
        <v>729</v>
      </c>
      <c r="H407" s="2" t="s">
        <v>206</v>
      </c>
      <c r="I407" s="2">
        <v>5312</v>
      </c>
      <c r="J407" s="2" t="s">
        <v>142</v>
      </c>
      <c r="K407" s="2" t="s">
        <v>184</v>
      </c>
      <c r="L407" s="2" t="s">
        <v>185</v>
      </c>
      <c r="M407" s="2">
        <v>2015</v>
      </c>
      <c r="N407" s="2">
        <v>2015</v>
      </c>
      <c r="O407" s="2" t="s">
        <v>23</v>
      </c>
      <c r="P407" s="2">
        <v>11300</v>
      </c>
      <c r="Q407" s="2" t="s">
        <v>115</v>
      </c>
      <c r="R407" s="2" t="s">
        <v>116</v>
      </c>
    </row>
    <row r="408" spans="5:18" ht="13.5" customHeight="1" x14ac:dyDescent="0.25">
      <c r="E408" s="2" t="s">
        <v>140</v>
      </c>
      <c r="F408" s="2" t="s">
        <v>141</v>
      </c>
      <c r="G408" s="2">
        <v>729</v>
      </c>
      <c r="H408" s="2" t="s">
        <v>206</v>
      </c>
      <c r="I408" s="2">
        <v>5312</v>
      </c>
      <c r="J408" s="2" t="s">
        <v>142</v>
      </c>
      <c r="K408" s="2" t="s">
        <v>184</v>
      </c>
      <c r="L408" s="2" t="s">
        <v>185</v>
      </c>
      <c r="M408" s="2">
        <v>2016</v>
      </c>
      <c r="N408" s="2">
        <v>2016</v>
      </c>
      <c r="O408" s="2" t="s">
        <v>23</v>
      </c>
      <c r="P408" s="2">
        <v>11400</v>
      </c>
      <c r="Q408" s="2" t="s">
        <v>115</v>
      </c>
      <c r="R408" s="2" t="s">
        <v>116</v>
      </c>
    </row>
    <row r="409" spans="5:18" ht="13.5" customHeight="1" x14ac:dyDescent="0.25">
      <c r="E409" s="2" t="s">
        <v>140</v>
      </c>
      <c r="F409" s="2" t="s">
        <v>141</v>
      </c>
      <c r="G409" s="2">
        <v>729</v>
      </c>
      <c r="H409" s="2" t="s">
        <v>206</v>
      </c>
      <c r="I409" s="2">
        <v>5312</v>
      </c>
      <c r="J409" s="2" t="s">
        <v>142</v>
      </c>
      <c r="K409" s="2" t="s">
        <v>184</v>
      </c>
      <c r="L409" s="2" t="s">
        <v>185</v>
      </c>
      <c r="M409" s="2">
        <v>2017</v>
      </c>
      <c r="N409" s="2">
        <v>2017</v>
      </c>
      <c r="O409" s="2" t="s">
        <v>23</v>
      </c>
      <c r="P409" s="2">
        <v>11700</v>
      </c>
      <c r="Q409" s="2" t="s">
        <v>115</v>
      </c>
      <c r="R409" s="2" t="s">
        <v>116</v>
      </c>
    </row>
    <row r="410" spans="5:18" ht="13.5" customHeight="1" x14ac:dyDescent="0.25">
      <c r="E410" s="2" t="s">
        <v>140</v>
      </c>
      <c r="F410" s="2" t="s">
        <v>141</v>
      </c>
      <c r="G410" s="2">
        <v>729</v>
      </c>
      <c r="H410" s="2" t="s">
        <v>206</v>
      </c>
      <c r="I410" s="2">
        <v>5312</v>
      </c>
      <c r="J410" s="2" t="s">
        <v>142</v>
      </c>
      <c r="K410" s="2" t="s">
        <v>184</v>
      </c>
      <c r="L410" s="2" t="s">
        <v>185</v>
      </c>
      <c r="M410" s="2">
        <v>2018</v>
      </c>
      <c r="N410" s="2">
        <v>2018</v>
      </c>
      <c r="O410" s="2" t="s">
        <v>23</v>
      </c>
      <c r="P410" s="2">
        <v>12000</v>
      </c>
      <c r="Q410" s="2" t="s">
        <v>115</v>
      </c>
      <c r="R410" s="2" t="s">
        <v>116</v>
      </c>
    </row>
    <row r="411" spans="5:18" ht="13.5" customHeight="1" x14ac:dyDescent="0.25">
      <c r="E411" s="2" t="s">
        <v>140</v>
      </c>
      <c r="F411" s="2" t="s">
        <v>141</v>
      </c>
      <c r="G411" s="2">
        <v>729</v>
      </c>
      <c r="H411" s="2" t="s">
        <v>206</v>
      </c>
      <c r="I411" s="2">
        <v>5312</v>
      </c>
      <c r="J411" s="2" t="s">
        <v>142</v>
      </c>
      <c r="K411" s="2" t="s">
        <v>184</v>
      </c>
      <c r="L411" s="2" t="s">
        <v>185</v>
      </c>
      <c r="M411" s="2">
        <v>2019</v>
      </c>
      <c r="N411" s="2">
        <v>2019</v>
      </c>
      <c r="O411" s="2" t="s">
        <v>23</v>
      </c>
      <c r="P411" s="2">
        <v>12800</v>
      </c>
      <c r="Q411" s="2" t="s">
        <v>115</v>
      </c>
      <c r="R411" s="2" t="s">
        <v>116</v>
      </c>
    </row>
    <row r="412" spans="5:18" ht="13.5" customHeight="1" x14ac:dyDescent="0.25">
      <c r="E412" s="2" t="s">
        <v>140</v>
      </c>
      <c r="F412" s="2" t="s">
        <v>141</v>
      </c>
      <c r="G412" s="2">
        <v>729</v>
      </c>
      <c r="H412" s="2" t="s">
        <v>206</v>
      </c>
      <c r="I412" s="2">
        <v>5312</v>
      </c>
      <c r="J412" s="2" t="s">
        <v>142</v>
      </c>
      <c r="K412" s="2" t="s">
        <v>184</v>
      </c>
      <c r="L412" s="2" t="s">
        <v>185</v>
      </c>
      <c r="M412" s="2">
        <v>2020</v>
      </c>
      <c r="N412" s="2">
        <v>2020</v>
      </c>
      <c r="O412" s="2" t="s">
        <v>23</v>
      </c>
      <c r="P412" s="2">
        <v>13500</v>
      </c>
      <c r="Q412" s="2" t="s">
        <v>115</v>
      </c>
      <c r="R412" s="2" t="s">
        <v>116</v>
      </c>
    </row>
    <row r="413" spans="5:18" ht="13.5" customHeight="1" x14ac:dyDescent="0.25">
      <c r="E413" s="2" t="s">
        <v>140</v>
      </c>
      <c r="F413" s="2" t="s">
        <v>141</v>
      </c>
      <c r="G413" s="2">
        <v>729</v>
      </c>
      <c r="H413" s="2" t="s">
        <v>206</v>
      </c>
      <c r="I413" s="2">
        <v>5312</v>
      </c>
      <c r="J413" s="2" t="s">
        <v>142</v>
      </c>
      <c r="K413" s="2" t="s">
        <v>184</v>
      </c>
      <c r="L413" s="2" t="s">
        <v>185</v>
      </c>
      <c r="M413" s="2">
        <v>2021</v>
      </c>
      <c r="N413" s="2">
        <v>2021</v>
      </c>
      <c r="O413" s="2" t="s">
        <v>23</v>
      </c>
      <c r="P413" s="2">
        <v>14100</v>
      </c>
      <c r="Q413" s="2" t="s">
        <v>115</v>
      </c>
      <c r="R413" s="2" t="s">
        <v>116</v>
      </c>
    </row>
    <row r="414" spans="5:18" ht="13.5" customHeight="1" x14ac:dyDescent="0.25">
      <c r="E414" s="2" t="s">
        <v>140</v>
      </c>
      <c r="F414" s="2" t="s">
        <v>141</v>
      </c>
      <c r="G414" s="2">
        <v>729</v>
      </c>
      <c r="H414" s="2" t="s">
        <v>206</v>
      </c>
      <c r="I414" s="2">
        <v>5419</v>
      </c>
      <c r="J414" s="2" t="s">
        <v>209</v>
      </c>
      <c r="K414" s="2" t="s">
        <v>184</v>
      </c>
      <c r="L414" s="2" t="s">
        <v>185</v>
      </c>
      <c r="M414" s="2">
        <v>2015</v>
      </c>
      <c r="N414" s="2">
        <v>2015</v>
      </c>
      <c r="O414" s="2" t="s">
        <v>210</v>
      </c>
      <c r="P414" s="2">
        <v>7522</v>
      </c>
      <c r="Q414" s="2" t="s">
        <v>115</v>
      </c>
      <c r="R414" s="2" t="s">
        <v>116</v>
      </c>
    </row>
    <row r="415" spans="5:18" ht="13.5" customHeight="1" x14ac:dyDescent="0.25">
      <c r="E415" s="2" t="s">
        <v>140</v>
      </c>
      <c r="F415" s="2" t="s">
        <v>141</v>
      </c>
      <c r="G415" s="2">
        <v>729</v>
      </c>
      <c r="H415" s="2" t="s">
        <v>206</v>
      </c>
      <c r="I415" s="2">
        <v>5419</v>
      </c>
      <c r="J415" s="2" t="s">
        <v>209</v>
      </c>
      <c r="K415" s="2" t="s">
        <v>184</v>
      </c>
      <c r="L415" s="2" t="s">
        <v>185</v>
      </c>
      <c r="M415" s="2">
        <v>2016</v>
      </c>
      <c r="N415" s="2">
        <v>2016</v>
      </c>
      <c r="O415" s="2" t="s">
        <v>210</v>
      </c>
      <c r="P415" s="2">
        <v>7895</v>
      </c>
      <c r="Q415" s="2" t="s">
        <v>115</v>
      </c>
      <c r="R415" s="2" t="s">
        <v>116</v>
      </c>
    </row>
    <row r="416" spans="5:18" ht="13.5" customHeight="1" x14ac:dyDescent="0.25">
      <c r="E416" s="2" t="s">
        <v>140</v>
      </c>
      <c r="F416" s="2" t="s">
        <v>141</v>
      </c>
      <c r="G416" s="2">
        <v>729</v>
      </c>
      <c r="H416" s="2" t="s">
        <v>206</v>
      </c>
      <c r="I416" s="2">
        <v>5419</v>
      </c>
      <c r="J416" s="2" t="s">
        <v>209</v>
      </c>
      <c r="K416" s="2" t="s">
        <v>184</v>
      </c>
      <c r="L416" s="2" t="s">
        <v>185</v>
      </c>
      <c r="M416" s="2">
        <v>2017</v>
      </c>
      <c r="N416" s="2">
        <v>2017</v>
      </c>
      <c r="O416" s="2" t="s">
        <v>210</v>
      </c>
      <c r="P416" s="2">
        <v>8120</v>
      </c>
      <c r="Q416" s="2" t="s">
        <v>115</v>
      </c>
      <c r="R416" s="2" t="s">
        <v>116</v>
      </c>
    </row>
    <row r="417" spans="5:18" ht="13.5" customHeight="1" x14ac:dyDescent="0.25">
      <c r="E417" s="2" t="s">
        <v>140</v>
      </c>
      <c r="F417" s="2" t="s">
        <v>141</v>
      </c>
      <c r="G417" s="2">
        <v>729</v>
      </c>
      <c r="H417" s="2" t="s">
        <v>206</v>
      </c>
      <c r="I417" s="2">
        <v>5419</v>
      </c>
      <c r="J417" s="2" t="s">
        <v>209</v>
      </c>
      <c r="K417" s="2" t="s">
        <v>184</v>
      </c>
      <c r="L417" s="2" t="s">
        <v>185</v>
      </c>
      <c r="M417" s="2">
        <v>2018</v>
      </c>
      <c r="N417" s="2">
        <v>2018</v>
      </c>
      <c r="O417" s="2" t="s">
        <v>210</v>
      </c>
      <c r="P417" s="2">
        <v>8333</v>
      </c>
      <c r="Q417" s="2" t="s">
        <v>115</v>
      </c>
      <c r="R417" s="2" t="s">
        <v>116</v>
      </c>
    </row>
    <row r="418" spans="5:18" ht="13.5" customHeight="1" x14ac:dyDescent="0.25">
      <c r="E418" s="2" t="s">
        <v>140</v>
      </c>
      <c r="F418" s="2" t="s">
        <v>141</v>
      </c>
      <c r="G418" s="2">
        <v>729</v>
      </c>
      <c r="H418" s="2" t="s">
        <v>206</v>
      </c>
      <c r="I418" s="2">
        <v>5419</v>
      </c>
      <c r="J418" s="2" t="s">
        <v>209</v>
      </c>
      <c r="K418" s="2" t="s">
        <v>184</v>
      </c>
      <c r="L418" s="2" t="s">
        <v>185</v>
      </c>
      <c r="M418" s="2">
        <v>2019</v>
      </c>
      <c r="N418" s="2">
        <v>2019</v>
      </c>
      <c r="O418" s="2" t="s">
        <v>210</v>
      </c>
      <c r="P418" s="2">
        <v>8203</v>
      </c>
      <c r="Q418" s="2" t="s">
        <v>115</v>
      </c>
      <c r="R418" s="2" t="s">
        <v>116</v>
      </c>
    </row>
    <row r="419" spans="5:18" ht="13.5" customHeight="1" x14ac:dyDescent="0.25">
      <c r="E419" s="2" t="s">
        <v>140</v>
      </c>
      <c r="F419" s="2" t="s">
        <v>141</v>
      </c>
      <c r="G419" s="2">
        <v>729</v>
      </c>
      <c r="H419" s="2" t="s">
        <v>206</v>
      </c>
      <c r="I419" s="2">
        <v>5419</v>
      </c>
      <c r="J419" s="2" t="s">
        <v>209</v>
      </c>
      <c r="K419" s="2" t="s">
        <v>184</v>
      </c>
      <c r="L419" s="2" t="s">
        <v>185</v>
      </c>
      <c r="M419" s="2">
        <v>2020</v>
      </c>
      <c r="N419" s="2">
        <v>2020</v>
      </c>
      <c r="O419" s="2" t="s">
        <v>210</v>
      </c>
      <c r="P419" s="2">
        <v>8148</v>
      </c>
      <c r="Q419" s="2" t="s">
        <v>115</v>
      </c>
      <c r="R419" s="2" t="s">
        <v>116</v>
      </c>
    </row>
    <row r="420" spans="5:18" ht="13.5" customHeight="1" x14ac:dyDescent="0.25">
      <c r="E420" s="2" t="s">
        <v>140</v>
      </c>
      <c r="F420" s="2" t="s">
        <v>141</v>
      </c>
      <c r="G420" s="2">
        <v>729</v>
      </c>
      <c r="H420" s="2" t="s">
        <v>206</v>
      </c>
      <c r="I420" s="2">
        <v>5419</v>
      </c>
      <c r="J420" s="2" t="s">
        <v>209</v>
      </c>
      <c r="K420" s="2" t="s">
        <v>184</v>
      </c>
      <c r="L420" s="2" t="s">
        <v>185</v>
      </c>
      <c r="M420" s="2">
        <v>2021</v>
      </c>
      <c r="N420" s="2">
        <v>2021</v>
      </c>
      <c r="O420" s="2" t="s">
        <v>210</v>
      </c>
      <c r="P420" s="2">
        <v>8156</v>
      </c>
      <c r="Q420" s="2" t="s">
        <v>115</v>
      </c>
      <c r="R420" s="2" t="s">
        <v>116</v>
      </c>
    </row>
    <row r="421" spans="5:18" ht="13.5" customHeight="1" x14ac:dyDescent="0.25">
      <c r="E421" s="2" t="s">
        <v>140</v>
      </c>
      <c r="F421" s="2" t="s">
        <v>141</v>
      </c>
      <c r="G421" s="2">
        <v>729</v>
      </c>
      <c r="H421" s="2" t="s">
        <v>206</v>
      </c>
      <c r="I421" s="2">
        <v>5312</v>
      </c>
      <c r="J421" s="2" t="s">
        <v>142</v>
      </c>
      <c r="K421" s="2" t="s">
        <v>186</v>
      </c>
      <c r="L421" s="2" t="s">
        <v>187</v>
      </c>
      <c r="M421" s="2">
        <v>2015</v>
      </c>
      <c r="N421" s="2">
        <v>2015</v>
      </c>
      <c r="O421" s="2" t="s">
        <v>23</v>
      </c>
      <c r="P421" s="2">
        <v>103892</v>
      </c>
      <c r="Q421" s="2" t="s">
        <v>145</v>
      </c>
      <c r="R421" s="2" t="s">
        <v>146</v>
      </c>
    </row>
    <row r="422" spans="5:18" ht="13.5" customHeight="1" x14ac:dyDescent="0.25">
      <c r="E422" s="2" t="s">
        <v>140</v>
      </c>
      <c r="F422" s="2" t="s">
        <v>141</v>
      </c>
      <c r="G422" s="2">
        <v>729</v>
      </c>
      <c r="H422" s="2" t="s">
        <v>206</v>
      </c>
      <c r="I422" s="2">
        <v>5312</v>
      </c>
      <c r="J422" s="2" t="s">
        <v>142</v>
      </c>
      <c r="K422" s="2" t="s">
        <v>186</v>
      </c>
      <c r="L422" s="2" t="s">
        <v>187</v>
      </c>
      <c r="M422" s="2">
        <v>2016</v>
      </c>
      <c r="N422" s="2">
        <v>2016</v>
      </c>
      <c r="O422" s="2" t="s">
        <v>23</v>
      </c>
      <c r="P422" s="2">
        <v>100964</v>
      </c>
      <c r="Q422" s="2" t="s">
        <v>115</v>
      </c>
      <c r="R422" s="2" t="s">
        <v>116</v>
      </c>
    </row>
    <row r="423" spans="5:18" ht="13.5" customHeight="1" x14ac:dyDescent="0.25">
      <c r="E423" s="2" t="s">
        <v>140</v>
      </c>
      <c r="F423" s="2" t="s">
        <v>141</v>
      </c>
      <c r="G423" s="2">
        <v>729</v>
      </c>
      <c r="H423" s="2" t="s">
        <v>206</v>
      </c>
      <c r="I423" s="2">
        <v>5312</v>
      </c>
      <c r="J423" s="2" t="s">
        <v>142</v>
      </c>
      <c r="K423" s="2" t="s">
        <v>186</v>
      </c>
      <c r="L423" s="2" t="s">
        <v>187</v>
      </c>
      <c r="M423" s="2">
        <v>2017</v>
      </c>
      <c r="N423" s="2">
        <v>2017</v>
      </c>
      <c r="O423" s="2" t="s">
        <v>23</v>
      </c>
      <c r="P423" s="2">
        <v>103760</v>
      </c>
      <c r="Q423" s="2" t="s">
        <v>145</v>
      </c>
      <c r="R423" s="2" t="s">
        <v>146</v>
      </c>
    </row>
    <row r="424" spans="5:18" ht="13.5" customHeight="1" x14ac:dyDescent="0.25">
      <c r="E424" s="2" t="s">
        <v>140</v>
      </c>
      <c r="F424" s="2" t="s">
        <v>141</v>
      </c>
      <c r="G424" s="2">
        <v>729</v>
      </c>
      <c r="H424" s="2" t="s">
        <v>206</v>
      </c>
      <c r="I424" s="2">
        <v>5312</v>
      </c>
      <c r="J424" s="2" t="s">
        <v>142</v>
      </c>
      <c r="K424" s="2" t="s">
        <v>186</v>
      </c>
      <c r="L424" s="2" t="s">
        <v>187</v>
      </c>
      <c r="M424" s="2">
        <v>2018</v>
      </c>
      <c r="N424" s="2">
        <v>2018</v>
      </c>
      <c r="O424" s="2" t="s">
        <v>23</v>
      </c>
      <c r="P424" s="2">
        <v>107380</v>
      </c>
      <c r="Q424" s="2" t="s">
        <v>145</v>
      </c>
      <c r="R424" s="2" t="s">
        <v>146</v>
      </c>
    </row>
    <row r="425" spans="5:18" ht="13.5" customHeight="1" x14ac:dyDescent="0.25">
      <c r="E425" s="2" t="s">
        <v>140</v>
      </c>
      <c r="F425" s="2" t="s">
        <v>141</v>
      </c>
      <c r="G425" s="2">
        <v>729</v>
      </c>
      <c r="H425" s="2" t="s">
        <v>206</v>
      </c>
      <c r="I425" s="2">
        <v>5312</v>
      </c>
      <c r="J425" s="2" t="s">
        <v>142</v>
      </c>
      <c r="K425" s="2" t="s">
        <v>186</v>
      </c>
      <c r="L425" s="2" t="s">
        <v>187</v>
      </c>
      <c r="M425" s="2">
        <v>2019</v>
      </c>
      <c r="N425" s="2">
        <v>2019</v>
      </c>
      <c r="O425" s="2" t="s">
        <v>23</v>
      </c>
      <c r="P425" s="2">
        <v>104035</v>
      </c>
      <c r="Q425" s="2" t="s">
        <v>115</v>
      </c>
      <c r="R425" s="2" t="s">
        <v>116</v>
      </c>
    </row>
    <row r="426" spans="5:18" ht="13.5" customHeight="1" x14ac:dyDescent="0.25">
      <c r="E426" s="2" t="s">
        <v>140</v>
      </c>
      <c r="F426" s="2" t="s">
        <v>141</v>
      </c>
      <c r="G426" s="2">
        <v>729</v>
      </c>
      <c r="H426" s="2" t="s">
        <v>206</v>
      </c>
      <c r="I426" s="2">
        <v>5312</v>
      </c>
      <c r="J426" s="2" t="s">
        <v>142</v>
      </c>
      <c r="K426" s="2" t="s">
        <v>186</v>
      </c>
      <c r="L426" s="2" t="s">
        <v>187</v>
      </c>
      <c r="M426" s="2">
        <v>2020</v>
      </c>
      <c r="N426" s="2">
        <v>2020</v>
      </c>
      <c r="O426" s="2" t="s">
        <v>23</v>
      </c>
      <c r="P426" s="2">
        <v>105058</v>
      </c>
      <c r="Q426" s="2" t="s">
        <v>115</v>
      </c>
      <c r="R426" s="2" t="s">
        <v>116</v>
      </c>
    </row>
    <row r="427" spans="5:18" ht="13.5" customHeight="1" x14ac:dyDescent="0.25">
      <c r="E427" s="2" t="s">
        <v>140</v>
      </c>
      <c r="F427" s="2" t="s">
        <v>141</v>
      </c>
      <c r="G427" s="2">
        <v>729</v>
      </c>
      <c r="H427" s="2" t="s">
        <v>206</v>
      </c>
      <c r="I427" s="2">
        <v>5312</v>
      </c>
      <c r="J427" s="2" t="s">
        <v>142</v>
      </c>
      <c r="K427" s="2" t="s">
        <v>186</v>
      </c>
      <c r="L427" s="2" t="s">
        <v>187</v>
      </c>
      <c r="M427" s="2">
        <v>2021</v>
      </c>
      <c r="N427" s="2">
        <v>2021</v>
      </c>
      <c r="O427" s="2" t="s">
        <v>23</v>
      </c>
      <c r="P427" s="2">
        <v>105491</v>
      </c>
      <c r="Q427" s="2" t="s">
        <v>115</v>
      </c>
      <c r="R427" s="2" t="s">
        <v>116</v>
      </c>
    </row>
    <row r="428" spans="5:18" ht="13.5" customHeight="1" x14ac:dyDescent="0.25">
      <c r="E428" s="2" t="s">
        <v>140</v>
      </c>
      <c r="F428" s="2" t="s">
        <v>141</v>
      </c>
      <c r="G428" s="2">
        <v>729</v>
      </c>
      <c r="H428" s="2" t="s">
        <v>206</v>
      </c>
      <c r="I428" s="2">
        <v>5419</v>
      </c>
      <c r="J428" s="2" t="s">
        <v>209</v>
      </c>
      <c r="K428" s="2" t="s">
        <v>186</v>
      </c>
      <c r="L428" s="2" t="s">
        <v>187</v>
      </c>
      <c r="M428" s="2">
        <v>2015</v>
      </c>
      <c r="N428" s="2">
        <v>2015</v>
      </c>
      <c r="O428" s="2" t="s">
        <v>210</v>
      </c>
      <c r="P428" s="2">
        <v>8874</v>
      </c>
      <c r="Q428" s="2" t="s">
        <v>115</v>
      </c>
      <c r="R428" s="2" t="s">
        <v>116</v>
      </c>
    </row>
    <row r="429" spans="5:18" ht="13.5" customHeight="1" x14ac:dyDescent="0.25">
      <c r="E429" s="2" t="s">
        <v>140</v>
      </c>
      <c r="F429" s="2" t="s">
        <v>141</v>
      </c>
      <c r="G429" s="2">
        <v>729</v>
      </c>
      <c r="H429" s="2" t="s">
        <v>206</v>
      </c>
      <c r="I429" s="2">
        <v>5419</v>
      </c>
      <c r="J429" s="2" t="s">
        <v>209</v>
      </c>
      <c r="K429" s="2" t="s">
        <v>186</v>
      </c>
      <c r="L429" s="2" t="s">
        <v>187</v>
      </c>
      <c r="M429" s="2">
        <v>2016</v>
      </c>
      <c r="N429" s="2">
        <v>2016</v>
      </c>
      <c r="O429" s="2" t="s">
        <v>210</v>
      </c>
      <c r="P429" s="2">
        <v>8821</v>
      </c>
      <c r="Q429" s="2" t="s">
        <v>115</v>
      </c>
      <c r="R429" s="2" t="s">
        <v>116</v>
      </c>
    </row>
    <row r="430" spans="5:18" ht="13.5" customHeight="1" x14ac:dyDescent="0.25">
      <c r="E430" s="2" t="s">
        <v>140</v>
      </c>
      <c r="F430" s="2" t="s">
        <v>141</v>
      </c>
      <c r="G430" s="2">
        <v>729</v>
      </c>
      <c r="H430" s="2" t="s">
        <v>206</v>
      </c>
      <c r="I430" s="2">
        <v>5419</v>
      </c>
      <c r="J430" s="2" t="s">
        <v>209</v>
      </c>
      <c r="K430" s="2" t="s">
        <v>186</v>
      </c>
      <c r="L430" s="2" t="s">
        <v>187</v>
      </c>
      <c r="M430" s="2">
        <v>2017</v>
      </c>
      <c r="N430" s="2">
        <v>2017</v>
      </c>
      <c r="O430" s="2" t="s">
        <v>210</v>
      </c>
      <c r="P430" s="2">
        <v>8680</v>
      </c>
      <c r="Q430" s="2" t="s">
        <v>115</v>
      </c>
      <c r="R430" s="2" t="s">
        <v>116</v>
      </c>
    </row>
    <row r="431" spans="5:18" ht="13.5" customHeight="1" x14ac:dyDescent="0.25">
      <c r="E431" s="2" t="s">
        <v>140</v>
      </c>
      <c r="F431" s="2" t="s">
        <v>141</v>
      </c>
      <c r="G431" s="2">
        <v>729</v>
      </c>
      <c r="H431" s="2" t="s">
        <v>206</v>
      </c>
      <c r="I431" s="2">
        <v>5419</v>
      </c>
      <c r="J431" s="2" t="s">
        <v>209</v>
      </c>
      <c r="K431" s="2" t="s">
        <v>186</v>
      </c>
      <c r="L431" s="2" t="s">
        <v>187</v>
      </c>
      <c r="M431" s="2">
        <v>2018</v>
      </c>
      <c r="N431" s="2">
        <v>2018</v>
      </c>
      <c r="O431" s="2" t="s">
        <v>210</v>
      </c>
      <c r="P431" s="2">
        <v>8589</v>
      </c>
      <c r="Q431" s="2" t="s">
        <v>115</v>
      </c>
      <c r="R431" s="2" t="s">
        <v>116</v>
      </c>
    </row>
    <row r="432" spans="5:18" ht="13.5" customHeight="1" x14ac:dyDescent="0.25">
      <c r="E432" s="2" t="s">
        <v>140</v>
      </c>
      <c r="F432" s="2" t="s">
        <v>141</v>
      </c>
      <c r="G432" s="2">
        <v>729</v>
      </c>
      <c r="H432" s="2" t="s">
        <v>206</v>
      </c>
      <c r="I432" s="2">
        <v>5419</v>
      </c>
      <c r="J432" s="2" t="s">
        <v>209</v>
      </c>
      <c r="K432" s="2" t="s">
        <v>186</v>
      </c>
      <c r="L432" s="2" t="s">
        <v>187</v>
      </c>
      <c r="M432" s="2">
        <v>2019</v>
      </c>
      <c r="N432" s="2">
        <v>2019</v>
      </c>
      <c r="O432" s="2" t="s">
        <v>210</v>
      </c>
      <c r="P432" s="2">
        <v>8821</v>
      </c>
      <c r="Q432" s="2" t="s">
        <v>115</v>
      </c>
      <c r="R432" s="2" t="s">
        <v>116</v>
      </c>
    </row>
    <row r="433" spans="5:18" ht="13.5" customHeight="1" x14ac:dyDescent="0.25">
      <c r="E433" s="2" t="s">
        <v>140</v>
      </c>
      <c r="F433" s="2" t="s">
        <v>141</v>
      </c>
      <c r="G433" s="2">
        <v>729</v>
      </c>
      <c r="H433" s="2" t="s">
        <v>206</v>
      </c>
      <c r="I433" s="2">
        <v>5419</v>
      </c>
      <c r="J433" s="2" t="s">
        <v>209</v>
      </c>
      <c r="K433" s="2" t="s">
        <v>186</v>
      </c>
      <c r="L433" s="2" t="s">
        <v>187</v>
      </c>
      <c r="M433" s="2">
        <v>2020</v>
      </c>
      <c r="N433" s="2">
        <v>2020</v>
      </c>
      <c r="O433" s="2" t="s">
        <v>210</v>
      </c>
      <c r="P433" s="2">
        <v>8800</v>
      </c>
      <c r="Q433" s="2" t="s">
        <v>115</v>
      </c>
      <c r="R433" s="2" t="s">
        <v>116</v>
      </c>
    </row>
    <row r="434" spans="5:18" ht="13.5" customHeight="1" x14ac:dyDescent="0.25">
      <c r="E434" s="2" t="s">
        <v>140</v>
      </c>
      <c r="F434" s="2" t="s">
        <v>141</v>
      </c>
      <c r="G434" s="2">
        <v>729</v>
      </c>
      <c r="H434" s="2" t="s">
        <v>206</v>
      </c>
      <c r="I434" s="2">
        <v>5419</v>
      </c>
      <c r="J434" s="2" t="s">
        <v>209</v>
      </c>
      <c r="K434" s="2" t="s">
        <v>186</v>
      </c>
      <c r="L434" s="2" t="s">
        <v>187</v>
      </c>
      <c r="M434" s="2">
        <v>2021</v>
      </c>
      <c r="N434" s="2">
        <v>2021</v>
      </c>
      <c r="O434" s="2" t="s">
        <v>210</v>
      </c>
      <c r="P434" s="2">
        <v>8828</v>
      </c>
      <c r="Q434" s="2" t="s">
        <v>115</v>
      </c>
      <c r="R434" s="2" t="s">
        <v>116</v>
      </c>
    </row>
    <row r="435" spans="5:18" ht="13.5" customHeight="1" x14ac:dyDescent="0.25">
      <c r="E435" s="2" t="s">
        <v>140</v>
      </c>
      <c r="F435" s="2" t="s">
        <v>141</v>
      </c>
      <c r="G435" s="2">
        <v>729</v>
      </c>
      <c r="H435" s="2" t="s">
        <v>206</v>
      </c>
      <c r="I435" s="2">
        <v>5312</v>
      </c>
      <c r="J435" s="2" t="s">
        <v>142</v>
      </c>
      <c r="K435" s="2" t="s">
        <v>188</v>
      </c>
      <c r="L435" s="2" t="s">
        <v>128</v>
      </c>
      <c r="M435" s="2">
        <v>2015</v>
      </c>
      <c r="N435" s="2">
        <v>2015</v>
      </c>
      <c r="O435" s="2" t="s">
        <v>23</v>
      </c>
      <c r="P435" s="2">
        <v>48919</v>
      </c>
      <c r="Q435" s="2" t="s">
        <v>145</v>
      </c>
      <c r="R435" s="2" t="s">
        <v>146</v>
      </c>
    </row>
    <row r="436" spans="5:18" ht="13.5" customHeight="1" x14ac:dyDescent="0.25">
      <c r="E436" s="2" t="s">
        <v>140</v>
      </c>
      <c r="F436" s="2" t="s">
        <v>141</v>
      </c>
      <c r="G436" s="2">
        <v>729</v>
      </c>
      <c r="H436" s="2" t="s">
        <v>206</v>
      </c>
      <c r="I436" s="2">
        <v>5312</v>
      </c>
      <c r="J436" s="2" t="s">
        <v>142</v>
      </c>
      <c r="K436" s="2" t="s">
        <v>188</v>
      </c>
      <c r="L436" s="2" t="s">
        <v>128</v>
      </c>
      <c r="M436" s="2">
        <v>2016</v>
      </c>
      <c r="N436" s="2">
        <v>2016</v>
      </c>
      <c r="O436" s="2" t="s">
        <v>23</v>
      </c>
      <c r="P436" s="2">
        <v>44640</v>
      </c>
      <c r="Q436" s="2" t="s">
        <v>115</v>
      </c>
      <c r="R436" s="2" t="s">
        <v>116</v>
      </c>
    </row>
    <row r="437" spans="5:18" ht="13.5" customHeight="1" x14ac:dyDescent="0.25">
      <c r="E437" s="2" t="s">
        <v>140</v>
      </c>
      <c r="F437" s="2" t="s">
        <v>141</v>
      </c>
      <c r="G437" s="2">
        <v>729</v>
      </c>
      <c r="H437" s="2" t="s">
        <v>206</v>
      </c>
      <c r="I437" s="2">
        <v>5312</v>
      </c>
      <c r="J437" s="2" t="s">
        <v>142</v>
      </c>
      <c r="K437" s="2" t="s">
        <v>188</v>
      </c>
      <c r="L437" s="2" t="s">
        <v>128</v>
      </c>
      <c r="M437" s="2">
        <v>2017</v>
      </c>
      <c r="N437" s="2">
        <v>2017</v>
      </c>
      <c r="O437" s="2" t="s">
        <v>23</v>
      </c>
      <c r="P437" s="2">
        <v>46002</v>
      </c>
      <c r="Q437" s="2" t="s">
        <v>145</v>
      </c>
      <c r="R437" s="2" t="s">
        <v>146</v>
      </c>
    </row>
    <row r="438" spans="5:18" ht="13.5" customHeight="1" x14ac:dyDescent="0.25">
      <c r="E438" s="2" t="s">
        <v>140</v>
      </c>
      <c r="F438" s="2" t="s">
        <v>141</v>
      </c>
      <c r="G438" s="2">
        <v>729</v>
      </c>
      <c r="H438" s="2" t="s">
        <v>206</v>
      </c>
      <c r="I438" s="2">
        <v>5312</v>
      </c>
      <c r="J438" s="2" t="s">
        <v>142</v>
      </c>
      <c r="K438" s="2" t="s">
        <v>188</v>
      </c>
      <c r="L438" s="2" t="s">
        <v>128</v>
      </c>
      <c r="M438" s="2">
        <v>2018</v>
      </c>
      <c r="N438" s="2">
        <v>2018</v>
      </c>
      <c r="O438" s="2" t="s">
        <v>23</v>
      </c>
      <c r="P438" s="2">
        <v>46520</v>
      </c>
      <c r="Q438" s="2" t="s">
        <v>115</v>
      </c>
      <c r="R438" s="2" t="s">
        <v>116</v>
      </c>
    </row>
    <row r="439" spans="5:18" ht="13.5" customHeight="1" x14ac:dyDescent="0.25">
      <c r="E439" s="2" t="s">
        <v>140</v>
      </c>
      <c r="F439" s="2" t="s">
        <v>141</v>
      </c>
      <c r="G439" s="2">
        <v>729</v>
      </c>
      <c r="H439" s="2" t="s">
        <v>206</v>
      </c>
      <c r="I439" s="2">
        <v>5312</v>
      </c>
      <c r="J439" s="2" t="s">
        <v>142</v>
      </c>
      <c r="K439" s="2" t="s">
        <v>188</v>
      </c>
      <c r="L439" s="2" t="s">
        <v>128</v>
      </c>
      <c r="M439" s="2">
        <v>2019</v>
      </c>
      <c r="N439" s="2">
        <v>2019</v>
      </c>
      <c r="O439" s="2" t="s">
        <v>23</v>
      </c>
      <c r="P439" s="2">
        <v>45721</v>
      </c>
      <c r="Q439" s="2" t="s">
        <v>115</v>
      </c>
      <c r="R439" s="2" t="s">
        <v>116</v>
      </c>
    </row>
    <row r="440" spans="5:18" ht="13.5" customHeight="1" x14ac:dyDescent="0.25">
      <c r="E440" s="2" t="s">
        <v>140</v>
      </c>
      <c r="F440" s="2" t="s">
        <v>141</v>
      </c>
      <c r="G440" s="2">
        <v>729</v>
      </c>
      <c r="H440" s="2" t="s">
        <v>206</v>
      </c>
      <c r="I440" s="2">
        <v>5312</v>
      </c>
      <c r="J440" s="2" t="s">
        <v>142</v>
      </c>
      <c r="K440" s="2" t="s">
        <v>188</v>
      </c>
      <c r="L440" s="2" t="s">
        <v>128</v>
      </c>
      <c r="M440" s="2">
        <v>2020</v>
      </c>
      <c r="N440" s="2">
        <v>2020</v>
      </c>
      <c r="O440" s="2" t="s">
        <v>23</v>
      </c>
      <c r="P440" s="2">
        <v>46081</v>
      </c>
      <c r="Q440" s="2" t="s">
        <v>115</v>
      </c>
      <c r="R440" s="2" t="s">
        <v>116</v>
      </c>
    </row>
    <row r="441" spans="5:18" ht="13.5" customHeight="1" x14ac:dyDescent="0.25">
      <c r="E441" s="2" t="s">
        <v>140</v>
      </c>
      <c r="F441" s="2" t="s">
        <v>141</v>
      </c>
      <c r="G441" s="2">
        <v>729</v>
      </c>
      <c r="H441" s="2" t="s">
        <v>206</v>
      </c>
      <c r="I441" s="2">
        <v>5312</v>
      </c>
      <c r="J441" s="2" t="s">
        <v>142</v>
      </c>
      <c r="K441" s="2" t="s">
        <v>188</v>
      </c>
      <c r="L441" s="2" t="s">
        <v>128</v>
      </c>
      <c r="M441" s="2">
        <v>2021</v>
      </c>
      <c r="N441" s="2">
        <v>2021</v>
      </c>
      <c r="O441" s="2" t="s">
        <v>23</v>
      </c>
      <c r="P441" s="2">
        <v>46107</v>
      </c>
      <c r="Q441" s="2" t="s">
        <v>115</v>
      </c>
      <c r="R441" s="2" t="s">
        <v>116</v>
      </c>
    </row>
    <row r="442" spans="5:18" ht="13.5" customHeight="1" x14ac:dyDescent="0.25">
      <c r="E442" s="2" t="s">
        <v>140</v>
      </c>
      <c r="F442" s="2" t="s">
        <v>141</v>
      </c>
      <c r="G442" s="2">
        <v>729</v>
      </c>
      <c r="H442" s="2" t="s">
        <v>206</v>
      </c>
      <c r="I442" s="2">
        <v>5419</v>
      </c>
      <c r="J442" s="2" t="s">
        <v>209</v>
      </c>
      <c r="K442" s="2" t="s">
        <v>188</v>
      </c>
      <c r="L442" s="2" t="s">
        <v>128</v>
      </c>
      <c r="M442" s="2">
        <v>2015</v>
      </c>
      <c r="N442" s="2">
        <v>2015</v>
      </c>
      <c r="O442" s="2" t="s">
        <v>210</v>
      </c>
      <c r="P442" s="2">
        <v>64139</v>
      </c>
      <c r="Q442" s="2" t="s">
        <v>115</v>
      </c>
      <c r="R442" s="2" t="s">
        <v>116</v>
      </c>
    </row>
    <row r="443" spans="5:18" ht="13.5" customHeight="1" x14ac:dyDescent="0.25">
      <c r="E443" s="2" t="s">
        <v>140</v>
      </c>
      <c r="F443" s="2" t="s">
        <v>141</v>
      </c>
      <c r="G443" s="2">
        <v>729</v>
      </c>
      <c r="H443" s="2" t="s">
        <v>206</v>
      </c>
      <c r="I443" s="2">
        <v>5419</v>
      </c>
      <c r="J443" s="2" t="s">
        <v>209</v>
      </c>
      <c r="K443" s="2" t="s">
        <v>188</v>
      </c>
      <c r="L443" s="2" t="s">
        <v>128</v>
      </c>
      <c r="M443" s="2">
        <v>2016</v>
      </c>
      <c r="N443" s="2">
        <v>2016</v>
      </c>
      <c r="O443" s="2" t="s">
        <v>210</v>
      </c>
      <c r="P443" s="2">
        <v>66366</v>
      </c>
      <c r="Q443" s="2" t="s">
        <v>115</v>
      </c>
      <c r="R443" s="2" t="s">
        <v>116</v>
      </c>
    </row>
    <row r="444" spans="5:18" ht="13.5" customHeight="1" x14ac:dyDescent="0.25">
      <c r="E444" s="2" t="s">
        <v>140</v>
      </c>
      <c r="F444" s="2" t="s">
        <v>141</v>
      </c>
      <c r="G444" s="2">
        <v>729</v>
      </c>
      <c r="H444" s="2" t="s">
        <v>206</v>
      </c>
      <c r="I444" s="2">
        <v>5419</v>
      </c>
      <c r="J444" s="2" t="s">
        <v>209</v>
      </c>
      <c r="K444" s="2" t="s">
        <v>188</v>
      </c>
      <c r="L444" s="2" t="s">
        <v>128</v>
      </c>
      <c r="M444" s="2">
        <v>2017</v>
      </c>
      <c r="N444" s="2">
        <v>2017</v>
      </c>
      <c r="O444" s="2" t="s">
        <v>210</v>
      </c>
      <c r="P444" s="2">
        <v>65974</v>
      </c>
      <c r="Q444" s="2" t="s">
        <v>115</v>
      </c>
      <c r="R444" s="2" t="s">
        <v>116</v>
      </c>
    </row>
    <row r="445" spans="5:18" ht="13.5" customHeight="1" x14ac:dyDescent="0.25">
      <c r="E445" s="2" t="s">
        <v>140</v>
      </c>
      <c r="F445" s="2" t="s">
        <v>141</v>
      </c>
      <c r="G445" s="2">
        <v>729</v>
      </c>
      <c r="H445" s="2" t="s">
        <v>206</v>
      </c>
      <c r="I445" s="2">
        <v>5419</v>
      </c>
      <c r="J445" s="2" t="s">
        <v>209</v>
      </c>
      <c r="K445" s="2" t="s">
        <v>188</v>
      </c>
      <c r="L445" s="2" t="s">
        <v>128</v>
      </c>
      <c r="M445" s="2">
        <v>2018</v>
      </c>
      <c r="N445" s="2">
        <v>2018</v>
      </c>
      <c r="O445" s="2" t="s">
        <v>210</v>
      </c>
      <c r="P445" s="2">
        <v>65456</v>
      </c>
      <c r="Q445" s="2" t="s">
        <v>115</v>
      </c>
      <c r="R445" s="2" t="s">
        <v>116</v>
      </c>
    </row>
    <row r="446" spans="5:18" ht="13.5" customHeight="1" x14ac:dyDescent="0.25">
      <c r="E446" s="2" t="s">
        <v>140</v>
      </c>
      <c r="F446" s="2" t="s">
        <v>141</v>
      </c>
      <c r="G446" s="2">
        <v>729</v>
      </c>
      <c r="H446" s="2" t="s">
        <v>206</v>
      </c>
      <c r="I446" s="2">
        <v>5419</v>
      </c>
      <c r="J446" s="2" t="s">
        <v>209</v>
      </c>
      <c r="K446" s="2" t="s">
        <v>188</v>
      </c>
      <c r="L446" s="2" t="s">
        <v>128</v>
      </c>
      <c r="M446" s="2">
        <v>2019</v>
      </c>
      <c r="N446" s="2">
        <v>2019</v>
      </c>
      <c r="O446" s="2" t="s">
        <v>210</v>
      </c>
      <c r="P446" s="2">
        <v>65926</v>
      </c>
      <c r="Q446" s="2" t="s">
        <v>115</v>
      </c>
      <c r="R446" s="2" t="s">
        <v>116</v>
      </c>
    </row>
    <row r="447" spans="5:18" ht="13.5" customHeight="1" x14ac:dyDescent="0.25">
      <c r="E447" s="2" t="s">
        <v>140</v>
      </c>
      <c r="F447" s="2" t="s">
        <v>141</v>
      </c>
      <c r="G447" s="2">
        <v>729</v>
      </c>
      <c r="H447" s="2" t="s">
        <v>206</v>
      </c>
      <c r="I447" s="2">
        <v>5419</v>
      </c>
      <c r="J447" s="2" t="s">
        <v>209</v>
      </c>
      <c r="K447" s="2" t="s">
        <v>188</v>
      </c>
      <c r="L447" s="2" t="s">
        <v>128</v>
      </c>
      <c r="M447" s="2">
        <v>2020</v>
      </c>
      <c r="N447" s="2">
        <v>2020</v>
      </c>
      <c r="O447" s="2" t="s">
        <v>210</v>
      </c>
      <c r="P447" s="2">
        <v>65784</v>
      </c>
      <c r="Q447" s="2" t="s">
        <v>115</v>
      </c>
      <c r="R447" s="2" t="s">
        <v>116</v>
      </c>
    </row>
    <row r="448" spans="5:18" ht="13.5" customHeight="1" x14ac:dyDescent="0.25">
      <c r="E448" s="2" t="s">
        <v>140</v>
      </c>
      <c r="F448" s="2" t="s">
        <v>141</v>
      </c>
      <c r="G448" s="2">
        <v>729</v>
      </c>
      <c r="H448" s="2" t="s">
        <v>206</v>
      </c>
      <c r="I448" s="2">
        <v>5419</v>
      </c>
      <c r="J448" s="2" t="s">
        <v>209</v>
      </c>
      <c r="K448" s="2" t="s">
        <v>188</v>
      </c>
      <c r="L448" s="2" t="s">
        <v>128</v>
      </c>
      <c r="M448" s="2">
        <v>2021</v>
      </c>
      <c r="N448" s="2">
        <v>2021</v>
      </c>
      <c r="O448" s="2" t="s">
        <v>210</v>
      </c>
      <c r="P448" s="2">
        <v>65720</v>
      </c>
      <c r="Q448" s="2" t="s">
        <v>115</v>
      </c>
      <c r="R448" s="2" t="s">
        <v>116</v>
      </c>
    </row>
    <row r="449" spans="5:18" ht="13.5" customHeight="1" x14ac:dyDescent="0.25">
      <c r="E449" s="2" t="s">
        <v>140</v>
      </c>
      <c r="F449" s="2" t="s">
        <v>141</v>
      </c>
      <c r="G449" s="2">
        <v>729</v>
      </c>
      <c r="H449" s="2" t="s">
        <v>206</v>
      </c>
      <c r="I449" s="2">
        <v>5312</v>
      </c>
      <c r="J449" s="2" t="s">
        <v>142</v>
      </c>
      <c r="K449" s="2" t="s">
        <v>189</v>
      </c>
      <c r="L449" s="2" t="s">
        <v>190</v>
      </c>
      <c r="M449" s="2">
        <v>2015</v>
      </c>
      <c r="N449" s="2">
        <v>2015</v>
      </c>
      <c r="O449" s="2" t="s">
        <v>23</v>
      </c>
      <c r="P449" s="2">
        <v>0</v>
      </c>
      <c r="Q449" s="2" t="s">
        <v>178</v>
      </c>
      <c r="R449" s="2" t="s">
        <v>179</v>
      </c>
    </row>
    <row r="450" spans="5:18" ht="13.5" customHeight="1" x14ac:dyDescent="0.25">
      <c r="E450" s="2" t="s">
        <v>140</v>
      </c>
      <c r="F450" s="2" t="s">
        <v>141</v>
      </c>
      <c r="G450" s="2">
        <v>729</v>
      </c>
      <c r="H450" s="2" t="s">
        <v>206</v>
      </c>
      <c r="I450" s="2">
        <v>5312</v>
      </c>
      <c r="J450" s="2" t="s">
        <v>142</v>
      </c>
      <c r="K450" s="2" t="s">
        <v>189</v>
      </c>
      <c r="L450" s="2" t="s">
        <v>190</v>
      </c>
      <c r="M450" s="2">
        <v>2016</v>
      </c>
      <c r="N450" s="2">
        <v>2016</v>
      </c>
      <c r="O450" s="2" t="s">
        <v>23</v>
      </c>
      <c r="P450" s="2">
        <v>0</v>
      </c>
      <c r="Q450" s="2" t="s">
        <v>178</v>
      </c>
      <c r="R450" s="2" t="s">
        <v>179</v>
      </c>
    </row>
    <row r="451" spans="5:18" ht="13.5" customHeight="1" x14ac:dyDescent="0.25">
      <c r="E451" s="2" t="s">
        <v>140</v>
      </c>
      <c r="F451" s="2" t="s">
        <v>141</v>
      </c>
      <c r="G451" s="2">
        <v>729</v>
      </c>
      <c r="H451" s="2" t="s">
        <v>206</v>
      </c>
      <c r="I451" s="2">
        <v>5312</v>
      </c>
      <c r="J451" s="2" t="s">
        <v>142</v>
      </c>
      <c r="K451" s="2" t="s">
        <v>189</v>
      </c>
      <c r="L451" s="2" t="s">
        <v>190</v>
      </c>
      <c r="M451" s="2">
        <v>2017</v>
      </c>
      <c r="N451" s="2">
        <v>2017</v>
      </c>
      <c r="O451" s="2" t="s">
        <v>23</v>
      </c>
      <c r="P451" s="2">
        <v>0</v>
      </c>
      <c r="Q451" s="2" t="s">
        <v>178</v>
      </c>
      <c r="R451" s="2" t="s">
        <v>179</v>
      </c>
    </row>
    <row r="452" spans="5:18" ht="13.5" customHeight="1" x14ac:dyDescent="0.25">
      <c r="E452" s="2" t="s">
        <v>140</v>
      </c>
      <c r="F452" s="2" t="s">
        <v>141</v>
      </c>
      <c r="G452" s="2">
        <v>729</v>
      </c>
      <c r="H452" s="2" t="s">
        <v>206</v>
      </c>
      <c r="I452" s="2">
        <v>5312</v>
      </c>
      <c r="J452" s="2" t="s">
        <v>142</v>
      </c>
      <c r="K452" s="2" t="s">
        <v>189</v>
      </c>
      <c r="L452" s="2" t="s">
        <v>190</v>
      </c>
      <c r="M452" s="2">
        <v>2018</v>
      </c>
      <c r="N452" s="2">
        <v>2018</v>
      </c>
      <c r="O452" s="2" t="s">
        <v>23</v>
      </c>
      <c r="P452" s="2">
        <v>0</v>
      </c>
      <c r="Q452" s="2" t="s">
        <v>178</v>
      </c>
      <c r="R452" s="2" t="s">
        <v>179</v>
      </c>
    </row>
    <row r="453" spans="5:18" ht="13.5" customHeight="1" x14ac:dyDescent="0.25">
      <c r="E453" s="2" t="s">
        <v>140</v>
      </c>
      <c r="F453" s="2" t="s">
        <v>141</v>
      </c>
      <c r="G453" s="2">
        <v>729</v>
      </c>
      <c r="H453" s="2" t="s">
        <v>206</v>
      </c>
      <c r="I453" s="2">
        <v>5312</v>
      </c>
      <c r="J453" s="2" t="s">
        <v>142</v>
      </c>
      <c r="K453" s="2" t="s">
        <v>189</v>
      </c>
      <c r="L453" s="2" t="s">
        <v>190</v>
      </c>
      <c r="M453" s="2">
        <v>2019</v>
      </c>
      <c r="N453" s="2">
        <v>2019</v>
      </c>
      <c r="O453" s="2" t="s">
        <v>23</v>
      </c>
      <c r="P453" s="2">
        <v>0</v>
      </c>
      <c r="Q453" s="2" t="s">
        <v>178</v>
      </c>
      <c r="R453" s="2" t="s">
        <v>179</v>
      </c>
    </row>
    <row r="454" spans="5:18" ht="13.5" customHeight="1" x14ac:dyDescent="0.25">
      <c r="E454" s="2" t="s">
        <v>140</v>
      </c>
      <c r="F454" s="2" t="s">
        <v>141</v>
      </c>
      <c r="G454" s="2">
        <v>729</v>
      </c>
      <c r="H454" s="2" t="s">
        <v>206</v>
      </c>
      <c r="I454" s="2">
        <v>5312</v>
      </c>
      <c r="J454" s="2" t="s">
        <v>142</v>
      </c>
      <c r="K454" s="2" t="s">
        <v>189</v>
      </c>
      <c r="L454" s="2" t="s">
        <v>190</v>
      </c>
      <c r="M454" s="2">
        <v>2020</v>
      </c>
      <c r="N454" s="2">
        <v>2020</v>
      </c>
      <c r="O454" s="2" t="s">
        <v>23</v>
      </c>
      <c r="P454" s="2">
        <v>0</v>
      </c>
      <c r="Q454" s="2" t="s">
        <v>178</v>
      </c>
      <c r="R454" s="2" t="s">
        <v>179</v>
      </c>
    </row>
    <row r="455" spans="5:18" ht="13.5" customHeight="1" x14ac:dyDescent="0.25">
      <c r="E455" s="2" t="s">
        <v>140</v>
      </c>
      <c r="F455" s="2" t="s">
        <v>141</v>
      </c>
      <c r="G455" s="2">
        <v>729</v>
      </c>
      <c r="H455" s="2" t="s">
        <v>206</v>
      </c>
      <c r="I455" s="2">
        <v>5312</v>
      </c>
      <c r="J455" s="2" t="s">
        <v>142</v>
      </c>
      <c r="K455" s="2" t="s">
        <v>189</v>
      </c>
      <c r="L455" s="2" t="s">
        <v>190</v>
      </c>
      <c r="M455" s="2">
        <v>2021</v>
      </c>
      <c r="N455" s="2">
        <v>2021</v>
      </c>
      <c r="O455" s="2" t="s">
        <v>23</v>
      </c>
      <c r="P455" s="2">
        <v>0</v>
      </c>
      <c r="Q455" s="2" t="s">
        <v>178</v>
      </c>
      <c r="R455" s="2" t="s">
        <v>179</v>
      </c>
    </row>
    <row r="456" spans="5:18" ht="13.5" customHeight="1" x14ac:dyDescent="0.25">
      <c r="E456" s="2" t="s">
        <v>140</v>
      </c>
      <c r="F456" s="2" t="s">
        <v>141</v>
      </c>
      <c r="G456" s="2">
        <v>729</v>
      </c>
      <c r="H456" s="2" t="s">
        <v>206</v>
      </c>
      <c r="I456" s="2">
        <v>5312</v>
      </c>
      <c r="J456" s="2" t="s">
        <v>142</v>
      </c>
      <c r="K456" s="2" t="s">
        <v>225</v>
      </c>
      <c r="L456" s="2" t="s">
        <v>226</v>
      </c>
      <c r="M456" s="2">
        <v>2015</v>
      </c>
      <c r="N456" s="2">
        <v>2015</v>
      </c>
      <c r="O456" s="2" t="s">
        <v>23</v>
      </c>
      <c r="P456" s="2">
        <v>789</v>
      </c>
      <c r="Q456" s="2" t="s">
        <v>145</v>
      </c>
      <c r="R456" s="2" t="s">
        <v>146</v>
      </c>
    </row>
    <row r="457" spans="5:18" ht="13.5" customHeight="1" x14ac:dyDescent="0.25">
      <c r="E457" s="2" t="s">
        <v>140</v>
      </c>
      <c r="F457" s="2" t="s">
        <v>141</v>
      </c>
      <c r="G457" s="2">
        <v>729</v>
      </c>
      <c r="H457" s="2" t="s">
        <v>206</v>
      </c>
      <c r="I457" s="2">
        <v>5312</v>
      </c>
      <c r="J457" s="2" t="s">
        <v>142</v>
      </c>
      <c r="K457" s="2" t="s">
        <v>225</v>
      </c>
      <c r="L457" s="2" t="s">
        <v>226</v>
      </c>
      <c r="M457" s="2">
        <v>2016</v>
      </c>
      <c r="N457" s="2">
        <v>2016</v>
      </c>
      <c r="O457" s="2" t="s">
        <v>23</v>
      </c>
      <c r="P457" s="2">
        <v>896</v>
      </c>
      <c r="Q457" s="2" t="s">
        <v>115</v>
      </c>
      <c r="R457" s="2" t="s">
        <v>116</v>
      </c>
    </row>
    <row r="458" spans="5:18" ht="13.5" customHeight="1" x14ac:dyDescent="0.25">
      <c r="E458" s="2" t="s">
        <v>140</v>
      </c>
      <c r="F458" s="2" t="s">
        <v>141</v>
      </c>
      <c r="G458" s="2">
        <v>729</v>
      </c>
      <c r="H458" s="2" t="s">
        <v>206</v>
      </c>
      <c r="I458" s="2">
        <v>5312</v>
      </c>
      <c r="J458" s="2" t="s">
        <v>142</v>
      </c>
      <c r="K458" s="2" t="s">
        <v>225</v>
      </c>
      <c r="L458" s="2" t="s">
        <v>226</v>
      </c>
      <c r="M458" s="2">
        <v>2017</v>
      </c>
      <c r="N458" s="2">
        <v>2017</v>
      </c>
      <c r="O458" s="2" t="s">
        <v>23</v>
      </c>
      <c r="P458" s="2">
        <v>895</v>
      </c>
      <c r="Q458" s="2" t="s">
        <v>145</v>
      </c>
      <c r="R458" s="2" t="s">
        <v>146</v>
      </c>
    </row>
    <row r="459" spans="5:18" ht="13.5" customHeight="1" x14ac:dyDescent="0.25">
      <c r="E459" s="2" t="s">
        <v>140</v>
      </c>
      <c r="F459" s="2" t="s">
        <v>141</v>
      </c>
      <c r="G459" s="2">
        <v>729</v>
      </c>
      <c r="H459" s="2" t="s">
        <v>206</v>
      </c>
      <c r="I459" s="2">
        <v>5312</v>
      </c>
      <c r="J459" s="2" t="s">
        <v>142</v>
      </c>
      <c r="K459" s="2" t="s">
        <v>225</v>
      </c>
      <c r="L459" s="2" t="s">
        <v>226</v>
      </c>
      <c r="M459" s="2">
        <v>2018</v>
      </c>
      <c r="N459" s="2">
        <v>2018</v>
      </c>
      <c r="O459" s="2" t="s">
        <v>23</v>
      </c>
      <c r="P459" s="2">
        <v>860</v>
      </c>
      <c r="Q459" s="2" t="s">
        <v>115</v>
      </c>
      <c r="R459" s="2" t="s">
        <v>116</v>
      </c>
    </row>
    <row r="460" spans="5:18" ht="13.5" customHeight="1" x14ac:dyDescent="0.25">
      <c r="E460" s="2" t="s">
        <v>140</v>
      </c>
      <c r="F460" s="2" t="s">
        <v>141</v>
      </c>
      <c r="G460" s="2">
        <v>729</v>
      </c>
      <c r="H460" s="2" t="s">
        <v>206</v>
      </c>
      <c r="I460" s="2">
        <v>5312</v>
      </c>
      <c r="J460" s="2" t="s">
        <v>142</v>
      </c>
      <c r="K460" s="2" t="s">
        <v>225</v>
      </c>
      <c r="L460" s="2" t="s">
        <v>226</v>
      </c>
      <c r="M460" s="2">
        <v>2019</v>
      </c>
      <c r="N460" s="2">
        <v>2019</v>
      </c>
      <c r="O460" s="2" t="s">
        <v>23</v>
      </c>
      <c r="P460" s="2">
        <v>884</v>
      </c>
      <c r="Q460" s="2" t="s">
        <v>115</v>
      </c>
      <c r="R460" s="2" t="s">
        <v>116</v>
      </c>
    </row>
    <row r="461" spans="5:18" ht="13.5" customHeight="1" x14ac:dyDescent="0.25">
      <c r="E461" s="2" t="s">
        <v>140</v>
      </c>
      <c r="F461" s="2" t="s">
        <v>141</v>
      </c>
      <c r="G461" s="2">
        <v>729</v>
      </c>
      <c r="H461" s="2" t="s">
        <v>206</v>
      </c>
      <c r="I461" s="2">
        <v>5312</v>
      </c>
      <c r="J461" s="2" t="s">
        <v>142</v>
      </c>
      <c r="K461" s="2" t="s">
        <v>225</v>
      </c>
      <c r="L461" s="2" t="s">
        <v>226</v>
      </c>
      <c r="M461" s="2">
        <v>2020</v>
      </c>
      <c r="N461" s="2">
        <v>2020</v>
      </c>
      <c r="O461" s="2" t="s">
        <v>23</v>
      </c>
      <c r="P461" s="2">
        <v>880</v>
      </c>
      <c r="Q461" s="2" t="s">
        <v>115</v>
      </c>
      <c r="R461" s="2" t="s">
        <v>116</v>
      </c>
    </row>
    <row r="462" spans="5:18" ht="13.5" customHeight="1" x14ac:dyDescent="0.25">
      <c r="E462" s="2" t="s">
        <v>140</v>
      </c>
      <c r="F462" s="2" t="s">
        <v>141</v>
      </c>
      <c r="G462" s="2">
        <v>729</v>
      </c>
      <c r="H462" s="2" t="s">
        <v>206</v>
      </c>
      <c r="I462" s="2">
        <v>5312</v>
      </c>
      <c r="J462" s="2" t="s">
        <v>142</v>
      </c>
      <c r="K462" s="2" t="s">
        <v>225</v>
      </c>
      <c r="L462" s="2" t="s">
        <v>226</v>
      </c>
      <c r="M462" s="2">
        <v>2021</v>
      </c>
      <c r="N462" s="2">
        <v>2021</v>
      </c>
      <c r="O462" s="2" t="s">
        <v>23</v>
      </c>
      <c r="P462" s="2">
        <v>875</v>
      </c>
      <c r="Q462" s="2" t="s">
        <v>115</v>
      </c>
      <c r="R462" s="2" t="s">
        <v>116</v>
      </c>
    </row>
    <row r="463" spans="5:18" ht="13.5" customHeight="1" x14ac:dyDescent="0.25">
      <c r="E463" s="2" t="s">
        <v>140</v>
      </c>
      <c r="F463" s="2" t="s">
        <v>141</v>
      </c>
      <c r="G463" s="2">
        <v>729</v>
      </c>
      <c r="H463" s="2" t="s">
        <v>206</v>
      </c>
      <c r="I463" s="2">
        <v>5419</v>
      </c>
      <c r="J463" s="2" t="s">
        <v>209</v>
      </c>
      <c r="K463" s="2" t="s">
        <v>225</v>
      </c>
      <c r="L463" s="2" t="s">
        <v>226</v>
      </c>
      <c r="M463" s="2">
        <v>2015</v>
      </c>
      <c r="N463" s="2">
        <v>2015</v>
      </c>
      <c r="O463" s="2" t="s">
        <v>210</v>
      </c>
      <c r="P463" s="2">
        <v>44358</v>
      </c>
      <c r="Q463" s="2" t="s">
        <v>115</v>
      </c>
      <c r="R463" s="2" t="s">
        <v>116</v>
      </c>
    </row>
    <row r="464" spans="5:18" ht="13.5" customHeight="1" x14ac:dyDescent="0.25">
      <c r="E464" s="2" t="s">
        <v>140</v>
      </c>
      <c r="F464" s="2" t="s">
        <v>141</v>
      </c>
      <c r="G464" s="2">
        <v>729</v>
      </c>
      <c r="H464" s="2" t="s">
        <v>206</v>
      </c>
      <c r="I464" s="2">
        <v>5419</v>
      </c>
      <c r="J464" s="2" t="s">
        <v>209</v>
      </c>
      <c r="K464" s="2" t="s">
        <v>225</v>
      </c>
      <c r="L464" s="2" t="s">
        <v>226</v>
      </c>
      <c r="M464" s="2">
        <v>2016</v>
      </c>
      <c r="N464" s="2">
        <v>2016</v>
      </c>
      <c r="O464" s="2" t="s">
        <v>210</v>
      </c>
      <c r="P464" s="2">
        <v>44626</v>
      </c>
      <c r="Q464" s="2" t="s">
        <v>115</v>
      </c>
      <c r="R464" s="2" t="s">
        <v>116</v>
      </c>
    </row>
    <row r="465" spans="5:18" ht="13.5" customHeight="1" x14ac:dyDescent="0.25">
      <c r="E465" s="2" t="s">
        <v>140</v>
      </c>
      <c r="F465" s="2" t="s">
        <v>141</v>
      </c>
      <c r="G465" s="2">
        <v>729</v>
      </c>
      <c r="H465" s="2" t="s">
        <v>206</v>
      </c>
      <c r="I465" s="2">
        <v>5419</v>
      </c>
      <c r="J465" s="2" t="s">
        <v>209</v>
      </c>
      <c r="K465" s="2" t="s">
        <v>225</v>
      </c>
      <c r="L465" s="2" t="s">
        <v>226</v>
      </c>
      <c r="M465" s="2">
        <v>2017</v>
      </c>
      <c r="N465" s="2">
        <v>2017</v>
      </c>
      <c r="O465" s="2" t="s">
        <v>210</v>
      </c>
      <c r="P465" s="2">
        <v>44490</v>
      </c>
      <c r="Q465" s="2" t="s">
        <v>115</v>
      </c>
      <c r="R465" s="2" t="s">
        <v>116</v>
      </c>
    </row>
    <row r="466" spans="5:18" ht="13.5" customHeight="1" x14ac:dyDescent="0.25">
      <c r="E466" s="2" t="s">
        <v>140</v>
      </c>
      <c r="F466" s="2" t="s">
        <v>141</v>
      </c>
      <c r="G466" s="2">
        <v>729</v>
      </c>
      <c r="H466" s="2" t="s">
        <v>206</v>
      </c>
      <c r="I466" s="2">
        <v>5419</v>
      </c>
      <c r="J466" s="2" t="s">
        <v>209</v>
      </c>
      <c r="K466" s="2" t="s">
        <v>225</v>
      </c>
      <c r="L466" s="2" t="s">
        <v>226</v>
      </c>
      <c r="M466" s="2">
        <v>2018</v>
      </c>
      <c r="N466" s="2">
        <v>2018</v>
      </c>
      <c r="O466" s="2" t="s">
        <v>210</v>
      </c>
      <c r="P466" s="2">
        <v>44496</v>
      </c>
      <c r="Q466" s="2" t="s">
        <v>115</v>
      </c>
      <c r="R466" s="2" t="s">
        <v>116</v>
      </c>
    </row>
    <row r="467" spans="5:18" ht="13.5" customHeight="1" x14ac:dyDescent="0.25">
      <c r="E467" s="2" t="s">
        <v>140</v>
      </c>
      <c r="F467" s="2" t="s">
        <v>141</v>
      </c>
      <c r="G467" s="2">
        <v>729</v>
      </c>
      <c r="H467" s="2" t="s">
        <v>206</v>
      </c>
      <c r="I467" s="2">
        <v>5419</v>
      </c>
      <c r="J467" s="2" t="s">
        <v>209</v>
      </c>
      <c r="K467" s="2" t="s">
        <v>225</v>
      </c>
      <c r="L467" s="2" t="s">
        <v>226</v>
      </c>
      <c r="M467" s="2">
        <v>2019</v>
      </c>
      <c r="N467" s="2">
        <v>2019</v>
      </c>
      <c r="O467" s="2" t="s">
        <v>210</v>
      </c>
      <c r="P467" s="2">
        <v>44538</v>
      </c>
      <c r="Q467" s="2" t="s">
        <v>115</v>
      </c>
      <c r="R467" s="2" t="s">
        <v>116</v>
      </c>
    </row>
    <row r="468" spans="5:18" ht="13.5" customHeight="1" x14ac:dyDescent="0.25">
      <c r="E468" s="2" t="s">
        <v>140</v>
      </c>
      <c r="F468" s="2" t="s">
        <v>141</v>
      </c>
      <c r="G468" s="2">
        <v>729</v>
      </c>
      <c r="H468" s="2" t="s">
        <v>206</v>
      </c>
      <c r="I468" s="2">
        <v>5419</v>
      </c>
      <c r="J468" s="2" t="s">
        <v>209</v>
      </c>
      <c r="K468" s="2" t="s">
        <v>225</v>
      </c>
      <c r="L468" s="2" t="s">
        <v>226</v>
      </c>
      <c r="M468" s="2">
        <v>2020</v>
      </c>
      <c r="N468" s="2">
        <v>2020</v>
      </c>
      <c r="O468" s="2" t="s">
        <v>210</v>
      </c>
      <c r="P468" s="2">
        <v>44508</v>
      </c>
      <c r="Q468" s="2" t="s">
        <v>115</v>
      </c>
      <c r="R468" s="2" t="s">
        <v>116</v>
      </c>
    </row>
    <row r="469" spans="5:18" ht="13.5" customHeight="1" x14ac:dyDescent="0.25">
      <c r="E469" s="2" t="s">
        <v>140</v>
      </c>
      <c r="F469" s="2" t="s">
        <v>141</v>
      </c>
      <c r="G469" s="2">
        <v>729</v>
      </c>
      <c r="H469" s="2" t="s">
        <v>206</v>
      </c>
      <c r="I469" s="2">
        <v>5419</v>
      </c>
      <c r="J469" s="2" t="s">
        <v>209</v>
      </c>
      <c r="K469" s="2" t="s">
        <v>225</v>
      </c>
      <c r="L469" s="2" t="s">
        <v>226</v>
      </c>
      <c r="M469" s="2">
        <v>2021</v>
      </c>
      <c r="N469" s="2">
        <v>2021</v>
      </c>
      <c r="O469" s="2" t="s">
        <v>210</v>
      </c>
      <c r="P469" s="2">
        <v>44514</v>
      </c>
      <c r="Q469" s="2" t="s">
        <v>115</v>
      </c>
      <c r="R469" s="2" t="s">
        <v>116</v>
      </c>
    </row>
    <row r="470" spans="5:18" ht="13.5" customHeight="1" x14ac:dyDescent="0.25">
      <c r="E470" s="2" t="s">
        <v>140</v>
      </c>
      <c r="F470" s="2" t="s">
        <v>141</v>
      </c>
      <c r="G470" s="2">
        <v>729</v>
      </c>
      <c r="H470" s="2" t="s">
        <v>206</v>
      </c>
      <c r="I470" s="2">
        <v>5312</v>
      </c>
      <c r="J470" s="2" t="s">
        <v>142</v>
      </c>
      <c r="K470" s="2" t="s">
        <v>227</v>
      </c>
      <c r="L470" s="2" t="s">
        <v>228</v>
      </c>
      <c r="M470" s="2">
        <v>2015</v>
      </c>
      <c r="N470" s="2">
        <v>2015</v>
      </c>
      <c r="O470" s="2" t="s">
        <v>23</v>
      </c>
      <c r="P470" s="2">
        <v>21042</v>
      </c>
      <c r="Q470" s="2" t="s">
        <v>143</v>
      </c>
      <c r="R470" s="2" t="s">
        <v>144</v>
      </c>
    </row>
    <row r="471" spans="5:18" ht="13.5" customHeight="1" x14ac:dyDescent="0.25">
      <c r="E471" s="2" t="s">
        <v>140</v>
      </c>
      <c r="F471" s="2" t="s">
        <v>141</v>
      </c>
      <c r="G471" s="2">
        <v>729</v>
      </c>
      <c r="H471" s="2" t="s">
        <v>206</v>
      </c>
      <c r="I471" s="2">
        <v>5312</v>
      </c>
      <c r="J471" s="2" t="s">
        <v>142</v>
      </c>
      <c r="K471" s="2" t="s">
        <v>227</v>
      </c>
      <c r="L471" s="2" t="s">
        <v>228</v>
      </c>
      <c r="M471" s="2">
        <v>2016</v>
      </c>
      <c r="N471" s="2">
        <v>2016</v>
      </c>
      <c r="O471" s="2" t="s">
        <v>23</v>
      </c>
      <c r="P471" s="2">
        <v>21924</v>
      </c>
      <c r="Q471" s="2" t="s">
        <v>143</v>
      </c>
      <c r="R471" s="2" t="s">
        <v>144</v>
      </c>
    </row>
    <row r="472" spans="5:18" ht="13.5" customHeight="1" x14ac:dyDescent="0.25">
      <c r="E472" s="2" t="s">
        <v>140</v>
      </c>
      <c r="F472" s="2" t="s">
        <v>141</v>
      </c>
      <c r="G472" s="2">
        <v>729</v>
      </c>
      <c r="H472" s="2" t="s">
        <v>206</v>
      </c>
      <c r="I472" s="2">
        <v>5312</v>
      </c>
      <c r="J472" s="2" t="s">
        <v>142</v>
      </c>
      <c r="K472" s="2" t="s">
        <v>227</v>
      </c>
      <c r="L472" s="2" t="s">
        <v>228</v>
      </c>
      <c r="M472" s="2">
        <v>2017</v>
      </c>
      <c r="N472" s="2">
        <v>2017</v>
      </c>
      <c r="O472" s="2" t="s">
        <v>23</v>
      </c>
      <c r="P472" s="2">
        <v>22000</v>
      </c>
      <c r="Q472" s="2" t="s">
        <v>143</v>
      </c>
      <c r="R472" s="2" t="s">
        <v>144</v>
      </c>
    </row>
    <row r="473" spans="5:18" ht="13.5" customHeight="1" x14ac:dyDescent="0.25">
      <c r="E473" s="2" t="s">
        <v>140</v>
      </c>
      <c r="F473" s="2" t="s">
        <v>141</v>
      </c>
      <c r="G473" s="2">
        <v>729</v>
      </c>
      <c r="H473" s="2" t="s">
        <v>206</v>
      </c>
      <c r="I473" s="2">
        <v>5312</v>
      </c>
      <c r="J473" s="2" t="s">
        <v>142</v>
      </c>
      <c r="K473" s="2" t="s">
        <v>227</v>
      </c>
      <c r="L473" s="2" t="s">
        <v>228</v>
      </c>
      <c r="M473" s="2">
        <v>2018</v>
      </c>
      <c r="N473" s="2">
        <v>2018</v>
      </c>
      <c r="O473" s="2" t="s">
        <v>23</v>
      </c>
      <c r="P473" s="2">
        <v>22000</v>
      </c>
      <c r="Q473" s="2" t="s">
        <v>143</v>
      </c>
      <c r="R473" s="2" t="s">
        <v>144</v>
      </c>
    </row>
    <row r="474" spans="5:18" ht="13.5" customHeight="1" x14ac:dyDescent="0.25">
      <c r="E474" s="2" t="s">
        <v>140</v>
      </c>
      <c r="F474" s="2" t="s">
        <v>141</v>
      </c>
      <c r="G474" s="2">
        <v>729</v>
      </c>
      <c r="H474" s="2" t="s">
        <v>206</v>
      </c>
      <c r="I474" s="2">
        <v>5312</v>
      </c>
      <c r="J474" s="2" t="s">
        <v>142</v>
      </c>
      <c r="K474" s="2" t="s">
        <v>227</v>
      </c>
      <c r="L474" s="2" t="s">
        <v>228</v>
      </c>
      <c r="M474" s="2">
        <v>2019</v>
      </c>
      <c r="N474" s="2">
        <v>2019</v>
      </c>
      <c r="O474" s="2" t="s">
        <v>23</v>
      </c>
      <c r="P474" s="2">
        <v>22000</v>
      </c>
      <c r="Q474" s="2" t="s">
        <v>143</v>
      </c>
      <c r="R474" s="2" t="s">
        <v>144</v>
      </c>
    </row>
    <row r="475" spans="5:18" ht="13.5" customHeight="1" x14ac:dyDescent="0.25">
      <c r="E475" s="2" t="s">
        <v>140</v>
      </c>
      <c r="F475" s="2" t="s">
        <v>141</v>
      </c>
      <c r="G475" s="2">
        <v>729</v>
      </c>
      <c r="H475" s="2" t="s">
        <v>206</v>
      </c>
      <c r="I475" s="2">
        <v>5312</v>
      </c>
      <c r="J475" s="2" t="s">
        <v>142</v>
      </c>
      <c r="K475" s="2" t="s">
        <v>227</v>
      </c>
      <c r="L475" s="2" t="s">
        <v>228</v>
      </c>
      <c r="M475" s="2">
        <v>2020</v>
      </c>
      <c r="N475" s="2">
        <v>2020</v>
      </c>
      <c r="O475" s="2" t="s">
        <v>23</v>
      </c>
      <c r="P475" s="2">
        <v>22000</v>
      </c>
      <c r="Q475" s="2" t="s">
        <v>143</v>
      </c>
      <c r="R475" s="2" t="s">
        <v>144</v>
      </c>
    </row>
    <row r="476" spans="5:18" ht="13.5" customHeight="1" x14ac:dyDescent="0.25">
      <c r="E476" s="2" t="s">
        <v>140</v>
      </c>
      <c r="F476" s="2" t="s">
        <v>141</v>
      </c>
      <c r="G476" s="2">
        <v>729</v>
      </c>
      <c r="H476" s="2" t="s">
        <v>206</v>
      </c>
      <c r="I476" s="2">
        <v>5312</v>
      </c>
      <c r="J476" s="2" t="s">
        <v>142</v>
      </c>
      <c r="K476" s="2" t="s">
        <v>227</v>
      </c>
      <c r="L476" s="2" t="s">
        <v>228</v>
      </c>
      <c r="M476" s="2">
        <v>2021</v>
      </c>
      <c r="N476" s="2">
        <v>2021</v>
      </c>
      <c r="O476" s="2" t="s">
        <v>23</v>
      </c>
      <c r="P476" s="2">
        <v>23090</v>
      </c>
      <c r="Q476" s="2" t="s">
        <v>145</v>
      </c>
      <c r="R476" s="2" t="s">
        <v>146</v>
      </c>
    </row>
    <row r="477" spans="5:18" ht="13.5" customHeight="1" x14ac:dyDescent="0.25">
      <c r="E477" s="2" t="s">
        <v>140</v>
      </c>
      <c r="F477" s="2" t="s">
        <v>141</v>
      </c>
      <c r="G477" s="2">
        <v>729</v>
      </c>
      <c r="H477" s="2" t="s">
        <v>206</v>
      </c>
      <c r="I477" s="2">
        <v>5419</v>
      </c>
      <c r="J477" s="2" t="s">
        <v>209</v>
      </c>
      <c r="K477" s="2" t="s">
        <v>227</v>
      </c>
      <c r="L477" s="2" t="s">
        <v>228</v>
      </c>
      <c r="M477" s="2">
        <v>2015</v>
      </c>
      <c r="N477" s="2">
        <v>2015</v>
      </c>
      <c r="O477" s="2" t="s">
        <v>210</v>
      </c>
      <c r="P477" s="2">
        <v>104125</v>
      </c>
      <c r="Q477" s="2" t="s">
        <v>143</v>
      </c>
      <c r="R477" s="2" t="s">
        <v>144</v>
      </c>
    </row>
    <row r="478" spans="5:18" ht="13.5" customHeight="1" x14ac:dyDescent="0.25">
      <c r="E478" s="2" t="s">
        <v>140</v>
      </c>
      <c r="F478" s="2" t="s">
        <v>141</v>
      </c>
      <c r="G478" s="2">
        <v>729</v>
      </c>
      <c r="H478" s="2" t="s">
        <v>206</v>
      </c>
      <c r="I478" s="2">
        <v>5419</v>
      </c>
      <c r="J478" s="2" t="s">
        <v>209</v>
      </c>
      <c r="K478" s="2" t="s">
        <v>227</v>
      </c>
      <c r="L478" s="2" t="s">
        <v>228</v>
      </c>
      <c r="M478" s="2">
        <v>2016</v>
      </c>
      <c r="N478" s="2">
        <v>2016</v>
      </c>
      <c r="O478" s="2" t="s">
        <v>210</v>
      </c>
      <c r="P478" s="2">
        <v>100420</v>
      </c>
      <c r="Q478" s="2" t="s">
        <v>143</v>
      </c>
      <c r="R478" s="2" t="s">
        <v>144</v>
      </c>
    </row>
    <row r="479" spans="5:18" ht="13.5" customHeight="1" x14ac:dyDescent="0.25">
      <c r="E479" s="2" t="s">
        <v>140</v>
      </c>
      <c r="F479" s="2" t="s">
        <v>141</v>
      </c>
      <c r="G479" s="2">
        <v>729</v>
      </c>
      <c r="H479" s="2" t="s">
        <v>206</v>
      </c>
      <c r="I479" s="2">
        <v>5419</v>
      </c>
      <c r="J479" s="2" t="s">
        <v>209</v>
      </c>
      <c r="K479" s="2" t="s">
        <v>227</v>
      </c>
      <c r="L479" s="2" t="s">
        <v>228</v>
      </c>
      <c r="M479" s="2">
        <v>2017</v>
      </c>
      <c r="N479" s="2">
        <v>2017</v>
      </c>
      <c r="O479" s="2" t="s">
        <v>210</v>
      </c>
      <c r="P479" s="2">
        <v>102091</v>
      </c>
      <c r="Q479" s="2" t="s">
        <v>143</v>
      </c>
      <c r="R479" s="2" t="s">
        <v>144</v>
      </c>
    </row>
    <row r="480" spans="5:18" ht="13.5" customHeight="1" x14ac:dyDescent="0.25">
      <c r="E480" s="2" t="s">
        <v>140</v>
      </c>
      <c r="F480" s="2" t="s">
        <v>141</v>
      </c>
      <c r="G480" s="2">
        <v>729</v>
      </c>
      <c r="H480" s="2" t="s">
        <v>206</v>
      </c>
      <c r="I480" s="2">
        <v>5419</v>
      </c>
      <c r="J480" s="2" t="s">
        <v>209</v>
      </c>
      <c r="K480" s="2" t="s">
        <v>227</v>
      </c>
      <c r="L480" s="2" t="s">
        <v>228</v>
      </c>
      <c r="M480" s="2">
        <v>2018</v>
      </c>
      <c r="N480" s="2">
        <v>2018</v>
      </c>
      <c r="O480" s="2" t="s">
        <v>210</v>
      </c>
      <c r="P480" s="2">
        <v>108216</v>
      </c>
      <c r="Q480" s="2" t="s">
        <v>143</v>
      </c>
      <c r="R480" s="2" t="s">
        <v>144</v>
      </c>
    </row>
    <row r="481" spans="5:18" ht="13.5" customHeight="1" x14ac:dyDescent="0.25">
      <c r="E481" s="2" t="s">
        <v>140</v>
      </c>
      <c r="F481" s="2" t="s">
        <v>141</v>
      </c>
      <c r="G481" s="2">
        <v>729</v>
      </c>
      <c r="H481" s="2" t="s">
        <v>206</v>
      </c>
      <c r="I481" s="2">
        <v>5419</v>
      </c>
      <c r="J481" s="2" t="s">
        <v>209</v>
      </c>
      <c r="K481" s="2" t="s">
        <v>227</v>
      </c>
      <c r="L481" s="2" t="s">
        <v>228</v>
      </c>
      <c r="M481" s="2">
        <v>2019</v>
      </c>
      <c r="N481" s="2">
        <v>2019</v>
      </c>
      <c r="O481" s="2" t="s">
        <v>210</v>
      </c>
      <c r="P481" s="2">
        <v>114709</v>
      </c>
      <c r="Q481" s="2" t="s">
        <v>143</v>
      </c>
      <c r="R481" s="2" t="s">
        <v>144</v>
      </c>
    </row>
    <row r="482" spans="5:18" ht="13.5" customHeight="1" x14ac:dyDescent="0.25">
      <c r="E482" s="2" t="s">
        <v>140</v>
      </c>
      <c r="F482" s="2" t="s">
        <v>141</v>
      </c>
      <c r="G482" s="2">
        <v>729</v>
      </c>
      <c r="H482" s="2" t="s">
        <v>206</v>
      </c>
      <c r="I482" s="2">
        <v>5419</v>
      </c>
      <c r="J482" s="2" t="s">
        <v>209</v>
      </c>
      <c r="K482" s="2" t="s">
        <v>227</v>
      </c>
      <c r="L482" s="2" t="s">
        <v>228</v>
      </c>
      <c r="M482" s="2">
        <v>2020</v>
      </c>
      <c r="N482" s="2">
        <v>2020</v>
      </c>
      <c r="O482" s="2" t="s">
        <v>210</v>
      </c>
      <c r="P482" s="2">
        <v>121592</v>
      </c>
      <c r="Q482" s="2" t="s">
        <v>143</v>
      </c>
      <c r="R482" s="2" t="s">
        <v>144</v>
      </c>
    </row>
    <row r="483" spans="5:18" ht="13.5" customHeight="1" x14ac:dyDescent="0.25">
      <c r="E483" s="2" t="s">
        <v>140</v>
      </c>
      <c r="F483" s="2" t="s">
        <v>141</v>
      </c>
      <c r="G483" s="2">
        <v>729</v>
      </c>
      <c r="H483" s="2" t="s">
        <v>206</v>
      </c>
      <c r="I483" s="2">
        <v>5419</v>
      </c>
      <c r="J483" s="2" t="s">
        <v>209</v>
      </c>
      <c r="K483" s="2" t="s">
        <v>227</v>
      </c>
      <c r="L483" s="2" t="s">
        <v>228</v>
      </c>
      <c r="M483" s="2">
        <v>2021</v>
      </c>
      <c r="N483" s="2">
        <v>2021</v>
      </c>
      <c r="O483" s="2" t="s">
        <v>210</v>
      </c>
      <c r="P483" s="2">
        <v>120345</v>
      </c>
      <c r="Q483" s="2" t="s">
        <v>115</v>
      </c>
      <c r="R483" s="2" t="s">
        <v>116</v>
      </c>
    </row>
    <row r="484" spans="5:18" ht="13.5" customHeight="1" x14ac:dyDescent="0.25">
      <c r="E484" s="2" t="s">
        <v>140</v>
      </c>
      <c r="F484" s="2" t="s">
        <v>141</v>
      </c>
      <c r="G484" s="2">
        <v>729</v>
      </c>
      <c r="H484" s="2" t="s">
        <v>206</v>
      </c>
      <c r="I484" s="2">
        <v>5312</v>
      </c>
      <c r="J484" s="2" t="s">
        <v>142</v>
      </c>
      <c r="K484" s="2" t="s">
        <v>191</v>
      </c>
      <c r="L484" s="2" t="s">
        <v>130</v>
      </c>
      <c r="M484" s="2">
        <v>2015</v>
      </c>
      <c r="N484" s="2">
        <v>2015</v>
      </c>
      <c r="O484" s="2" t="s">
        <v>23</v>
      </c>
      <c r="P484" s="2">
        <v>27006</v>
      </c>
      <c r="Q484" s="2" t="s">
        <v>143</v>
      </c>
      <c r="R484" s="2" t="s">
        <v>144</v>
      </c>
    </row>
    <row r="485" spans="5:18" ht="13.5" customHeight="1" x14ac:dyDescent="0.25">
      <c r="E485" s="2" t="s">
        <v>140</v>
      </c>
      <c r="F485" s="2" t="s">
        <v>141</v>
      </c>
      <c r="G485" s="2">
        <v>729</v>
      </c>
      <c r="H485" s="2" t="s">
        <v>206</v>
      </c>
      <c r="I485" s="2">
        <v>5312</v>
      </c>
      <c r="J485" s="2" t="s">
        <v>142</v>
      </c>
      <c r="K485" s="2" t="s">
        <v>191</v>
      </c>
      <c r="L485" s="2" t="s">
        <v>130</v>
      </c>
      <c r="M485" s="2">
        <v>2016</v>
      </c>
      <c r="N485" s="2">
        <v>2016</v>
      </c>
      <c r="O485" s="2" t="s">
        <v>23</v>
      </c>
      <c r="P485" s="2">
        <v>31374</v>
      </c>
      <c r="Q485" s="2" t="s">
        <v>143</v>
      </c>
      <c r="R485" s="2" t="s">
        <v>144</v>
      </c>
    </row>
    <row r="486" spans="5:18" ht="13.5" customHeight="1" x14ac:dyDescent="0.25">
      <c r="E486" s="2" t="s">
        <v>140</v>
      </c>
      <c r="F486" s="2" t="s">
        <v>141</v>
      </c>
      <c r="G486" s="2">
        <v>729</v>
      </c>
      <c r="H486" s="2" t="s">
        <v>206</v>
      </c>
      <c r="I486" s="2">
        <v>5312</v>
      </c>
      <c r="J486" s="2" t="s">
        <v>142</v>
      </c>
      <c r="K486" s="2" t="s">
        <v>191</v>
      </c>
      <c r="L486" s="2" t="s">
        <v>130</v>
      </c>
      <c r="M486" s="2">
        <v>2017</v>
      </c>
      <c r="N486" s="2">
        <v>2017</v>
      </c>
      <c r="O486" s="2" t="s">
        <v>23</v>
      </c>
      <c r="P486" s="2">
        <v>31625</v>
      </c>
      <c r="Q486" s="2" t="s">
        <v>143</v>
      </c>
      <c r="R486" s="2" t="s">
        <v>144</v>
      </c>
    </row>
    <row r="487" spans="5:18" ht="13.5" customHeight="1" x14ac:dyDescent="0.25">
      <c r="E487" s="2" t="s">
        <v>140</v>
      </c>
      <c r="F487" s="2" t="s">
        <v>141</v>
      </c>
      <c r="G487" s="2">
        <v>729</v>
      </c>
      <c r="H487" s="2" t="s">
        <v>206</v>
      </c>
      <c r="I487" s="2">
        <v>5312</v>
      </c>
      <c r="J487" s="2" t="s">
        <v>142</v>
      </c>
      <c r="K487" s="2" t="s">
        <v>191</v>
      </c>
      <c r="L487" s="2" t="s">
        <v>130</v>
      </c>
      <c r="M487" s="2">
        <v>2018</v>
      </c>
      <c r="N487" s="2">
        <v>2018</v>
      </c>
      <c r="O487" s="2" t="s">
        <v>23</v>
      </c>
      <c r="P487" s="2">
        <v>33206</v>
      </c>
      <c r="Q487" s="2" t="s">
        <v>143</v>
      </c>
      <c r="R487" s="2" t="s">
        <v>144</v>
      </c>
    </row>
    <row r="488" spans="5:18" ht="13.5" customHeight="1" x14ac:dyDescent="0.25">
      <c r="E488" s="2" t="s">
        <v>140</v>
      </c>
      <c r="F488" s="2" t="s">
        <v>141</v>
      </c>
      <c r="G488" s="2">
        <v>729</v>
      </c>
      <c r="H488" s="2" t="s">
        <v>206</v>
      </c>
      <c r="I488" s="2">
        <v>5312</v>
      </c>
      <c r="J488" s="2" t="s">
        <v>142</v>
      </c>
      <c r="K488" s="2" t="s">
        <v>191</v>
      </c>
      <c r="L488" s="2" t="s">
        <v>130</v>
      </c>
      <c r="M488" s="2">
        <v>2019</v>
      </c>
      <c r="N488" s="2">
        <v>2019</v>
      </c>
      <c r="O488" s="2" t="s">
        <v>23</v>
      </c>
      <c r="P488" s="2">
        <v>35199</v>
      </c>
      <c r="Q488" s="2" t="s">
        <v>143</v>
      </c>
      <c r="R488" s="2" t="s">
        <v>144</v>
      </c>
    </row>
    <row r="489" spans="5:18" ht="13.5" customHeight="1" x14ac:dyDescent="0.25">
      <c r="E489" s="2" t="s">
        <v>140</v>
      </c>
      <c r="F489" s="2" t="s">
        <v>141</v>
      </c>
      <c r="G489" s="2">
        <v>729</v>
      </c>
      <c r="H489" s="2" t="s">
        <v>206</v>
      </c>
      <c r="I489" s="2">
        <v>5312</v>
      </c>
      <c r="J489" s="2" t="s">
        <v>142</v>
      </c>
      <c r="K489" s="2" t="s">
        <v>191</v>
      </c>
      <c r="L489" s="2" t="s">
        <v>130</v>
      </c>
      <c r="M489" s="2">
        <v>2020</v>
      </c>
      <c r="N489" s="2">
        <v>2020</v>
      </c>
      <c r="O489" s="2" t="s">
        <v>23</v>
      </c>
      <c r="P489" s="2">
        <v>37311</v>
      </c>
      <c r="Q489" s="2" t="s">
        <v>143</v>
      </c>
      <c r="R489" s="2" t="s">
        <v>144</v>
      </c>
    </row>
    <row r="490" spans="5:18" ht="13.5" customHeight="1" x14ac:dyDescent="0.25">
      <c r="E490" s="2" t="s">
        <v>140</v>
      </c>
      <c r="F490" s="2" t="s">
        <v>141</v>
      </c>
      <c r="G490" s="2">
        <v>729</v>
      </c>
      <c r="H490" s="2" t="s">
        <v>206</v>
      </c>
      <c r="I490" s="2">
        <v>5312</v>
      </c>
      <c r="J490" s="2" t="s">
        <v>142</v>
      </c>
      <c r="K490" s="2" t="s">
        <v>191</v>
      </c>
      <c r="L490" s="2" t="s">
        <v>130</v>
      </c>
      <c r="M490" s="2">
        <v>2021</v>
      </c>
      <c r="N490" s="2">
        <v>2021</v>
      </c>
      <c r="O490" s="2" t="s">
        <v>23</v>
      </c>
      <c r="P490" s="2">
        <v>38423</v>
      </c>
      <c r="Q490" s="2" t="s">
        <v>145</v>
      </c>
      <c r="R490" s="2" t="s">
        <v>146</v>
      </c>
    </row>
    <row r="491" spans="5:18" ht="13.5" customHeight="1" x14ac:dyDescent="0.25">
      <c r="E491" s="2" t="s">
        <v>140</v>
      </c>
      <c r="F491" s="2" t="s">
        <v>141</v>
      </c>
      <c r="G491" s="2">
        <v>729</v>
      </c>
      <c r="H491" s="2" t="s">
        <v>206</v>
      </c>
      <c r="I491" s="2">
        <v>5419</v>
      </c>
      <c r="J491" s="2" t="s">
        <v>209</v>
      </c>
      <c r="K491" s="2" t="s">
        <v>191</v>
      </c>
      <c r="L491" s="2" t="s">
        <v>130</v>
      </c>
      <c r="M491" s="2">
        <v>2015</v>
      </c>
      <c r="N491" s="2">
        <v>2015</v>
      </c>
      <c r="O491" s="2" t="s">
        <v>210</v>
      </c>
      <c r="P491" s="2">
        <v>153225</v>
      </c>
      <c r="Q491" s="2" t="s">
        <v>143</v>
      </c>
      <c r="R491" s="2" t="s">
        <v>144</v>
      </c>
    </row>
    <row r="492" spans="5:18" ht="13.5" customHeight="1" x14ac:dyDescent="0.25">
      <c r="E492" s="2" t="s">
        <v>140</v>
      </c>
      <c r="F492" s="2" t="s">
        <v>141</v>
      </c>
      <c r="G492" s="2">
        <v>729</v>
      </c>
      <c r="H492" s="2" t="s">
        <v>206</v>
      </c>
      <c r="I492" s="2">
        <v>5419</v>
      </c>
      <c r="J492" s="2" t="s">
        <v>209</v>
      </c>
      <c r="K492" s="2" t="s">
        <v>191</v>
      </c>
      <c r="L492" s="2" t="s">
        <v>130</v>
      </c>
      <c r="M492" s="2">
        <v>2016</v>
      </c>
      <c r="N492" s="2">
        <v>2016</v>
      </c>
      <c r="O492" s="2" t="s">
        <v>210</v>
      </c>
      <c r="P492" s="2">
        <v>132371</v>
      </c>
      <c r="Q492" s="2" t="s">
        <v>143</v>
      </c>
      <c r="R492" s="2" t="s">
        <v>144</v>
      </c>
    </row>
    <row r="493" spans="5:18" ht="13.5" customHeight="1" x14ac:dyDescent="0.25">
      <c r="E493" s="2" t="s">
        <v>140</v>
      </c>
      <c r="F493" s="2" t="s">
        <v>141</v>
      </c>
      <c r="G493" s="2">
        <v>729</v>
      </c>
      <c r="H493" s="2" t="s">
        <v>206</v>
      </c>
      <c r="I493" s="2">
        <v>5419</v>
      </c>
      <c r="J493" s="2" t="s">
        <v>209</v>
      </c>
      <c r="K493" s="2" t="s">
        <v>191</v>
      </c>
      <c r="L493" s="2" t="s">
        <v>130</v>
      </c>
      <c r="M493" s="2">
        <v>2017</v>
      </c>
      <c r="N493" s="2">
        <v>2017</v>
      </c>
      <c r="O493" s="2" t="s">
        <v>210</v>
      </c>
      <c r="P493" s="2">
        <v>132371</v>
      </c>
      <c r="Q493" s="2" t="s">
        <v>143</v>
      </c>
      <c r="R493" s="2" t="s">
        <v>144</v>
      </c>
    </row>
    <row r="494" spans="5:18" ht="13.5" customHeight="1" x14ac:dyDescent="0.25">
      <c r="E494" s="2" t="s">
        <v>140</v>
      </c>
      <c r="F494" s="2" t="s">
        <v>141</v>
      </c>
      <c r="G494" s="2">
        <v>729</v>
      </c>
      <c r="H494" s="2" t="s">
        <v>206</v>
      </c>
      <c r="I494" s="2">
        <v>5419</v>
      </c>
      <c r="J494" s="2" t="s">
        <v>209</v>
      </c>
      <c r="K494" s="2" t="s">
        <v>191</v>
      </c>
      <c r="L494" s="2" t="s">
        <v>130</v>
      </c>
      <c r="M494" s="2">
        <v>2018</v>
      </c>
      <c r="N494" s="2">
        <v>2018</v>
      </c>
      <c r="O494" s="2" t="s">
        <v>210</v>
      </c>
      <c r="P494" s="2">
        <v>132371</v>
      </c>
      <c r="Q494" s="2" t="s">
        <v>143</v>
      </c>
      <c r="R494" s="2" t="s">
        <v>144</v>
      </c>
    </row>
    <row r="495" spans="5:18" ht="13.5" customHeight="1" x14ac:dyDescent="0.25">
      <c r="E495" s="2" t="s">
        <v>140</v>
      </c>
      <c r="F495" s="2" t="s">
        <v>141</v>
      </c>
      <c r="G495" s="2">
        <v>729</v>
      </c>
      <c r="H495" s="2" t="s">
        <v>206</v>
      </c>
      <c r="I495" s="2">
        <v>5419</v>
      </c>
      <c r="J495" s="2" t="s">
        <v>209</v>
      </c>
      <c r="K495" s="2" t="s">
        <v>191</v>
      </c>
      <c r="L495" s="2" t="s">
        <v>130</v>
      </c>
      <c r="M495" s="2">
        <v>2019</v>
      </c>
      <c r="N495" s="2">
        <v>2019</v>
      </c>
      <c r="O495" s="2" t="s">
        <v>210</v>
      </c>
      <c r="P495" s="2">
        <v>132371</v>
      </c>
      <c r="Q495" s="2" t="s">
        <v>143</v>
      </c>
      <c r="R495" s="2" t="s">
        <v>144</v>
      </c>
    </row>
    <row r="496" spans="5:18" ht="13.5" customHeight="1" x14ac:dyDescent="0.25">
      <c r="E496" s="2" t="s">
        <v>140</v>
      </c>
      <c r="F496" s="2" t="s">
        <v>141</v>
      </c>
      <c r="G496" s="2">
        <v>729</v>
      </c>
      <c r="H496" s="2" t="s">
        <v>206</v>
      </c>
      <c r="I496" s="2">
        <v>5419</v>
      </c>
      <c r="J496" s="2" t="s">
        <v>209</v>
      </c>
      <c r="K496" s="2" t="s">
        <v>191</v>
      </c>
      <c r="L496" s="2" t="s">
        <v>130</v>
      </c>
      <c r="M496" s="2">
        <v>2020</v>
      </c>
      <c r="N496" s="2">
        <v>2020</v>
      </c>
      <c r="O496" s="2" t="s">
        <v>210</v>
      </c>
      <c r="P496" s="2">
        <v>132371</v>
      </c>
      <c r="Q496" s="2" t="s">
        <v>143</v>
      </c>
      <c r="R496" s="2" t="s">
        <v>144</v>
      </c>
    </row>
    <row r="497" spans="5:18" ht="13.5" customHeight="1" x14ac:dyDescent="0.25">
      <c r="E497" s="2" t="s">
        <v>140</v>
      </c>
      <c r="F497" s="2" t="s">
        <v>141</v>
      </c>
      <c r="G497" s="2">
        <v>729</v>
      </c>
      <c r="H497" s="2" t="s">
        <v>206</v>
      </c>
      <c r="I497" s="2">
        <v>5419</v>
      </c>
      <c r="J497" s="2" t="s">
        <v>209</v>
      </c>
      <c r="K497" s="2" t="s">
        <v>191</v>
      </c>
      <c r="L497" s="2" t="s">
        <v>130</v>
      </c>
      <c r="M497" s="2">
        <v>2021</v>
      </c>
      <c r="N497" s="2">
        <v>2021</v>
      </c>
      <c r="O497" s="2" t="s">
        <v>210</v>
      </c>
      <c r="P497" s="2">
        <v>131259</v>
      </c>
      <c r="Q497" s="2" t="s">
        <v>115</v>
      </c>
      <c r="R497" s="2" t="s">
        <v>116</v>
      </c>
    </row>
    <row r="498" spans="5:18" ht="13.5" customHeight="1" x14ac:dyDescent="0.25">
      <c r="E498" s="2" t="s">
        <v>140</v>
      </c>
      <c r="F498" s="2" t="s">
        <v>141</v>
      </c>
      <c r="G498" s="2">
        <v>729</v>
      </c>
      <c r="H498" s="2" t="s">
        <v>206</v>
      </c>
      <c r="I498" s="2">
        <v>5312</v>
      </c>
      <c r="J498" s="2" t="s">
        <v>142</v>
      </c>
      <c r="K498" s="2" t="s">
        <v>192</v>
      </c>
      <c r="L498" s="2" t="s">
        <v>193</v>
      </c>
      <c r="M498" s="2">
        <v>2015</v>
      </c>
      <c r="N498" s="2">
        <v>2015</v>
      </c>
      <c r="O498" s="2" t="s">
        <v>23</v>
      </c>
      <c r="P498" s="2">
        <v>2294</v>
      </c>
      <c r="Q498" s="2" t="s">
        <v>145</v>
      </c>
      <c r="R498" s="2" t="s">
        <v>146</v>
      </c>
    </row>
    <row r="499" spans="5:18" ht="13.5" customHeight="1" x14ac:dyDescent="0.25">
      <c r="E499" s="2" t="s">
        <v>140</v>
      </c>
      <c r="F499" s="2" t="s">
        <v>141</v>
      </c>
      <c r="G499" s="2">
        <v>729</v>
      </c>
      <c r="H499" s="2" t="s">
        <v>206</v>
      </c>
      <c r="I499" s="2">
        <v>5312</v>
      </c>
      <c r="J499" s="2" t="s">
        <v>142</v>
      </c>
      <c r="K499" s="2" t="s">
        <v>192</v>
      </c>
      <c r="L499" s="2" t="s">
        <v>193</v>
      </c>
      <c r="M499" s="2">
        <v>2016</v>
      </c>
      <c r="N499" s="2">
        <v>2016</v>
      </c>
      <c r="O499" s="2" t="s">
        <v>23</v>
      </c>
      <c r="P499" s="2">
        <v>1998</v>
      </c>
      <c r="Q499" s="2" t="s">
        <v>115</v>
      </c>
      <c r="R499" s="2" t="s">
        <v>116</v>
      </c>
    </row>
    <row r="500" spans="5:18" ht="13.5" customHeight="1" x14ac:dyDescent="0.25">
      <c r="E500" s="2" t="s">
        <v>140</v>
      </c>
      <c r="F500" s="2" t="s">
        <v>141</v>
      </c>
      <c r="G500" s="2">
        <v>729</v>
      </c>
      <c r="H500" s="2" t="s">
        <v>206</v>
      </c>
      <c r="I500" s="2">
        <v>5312</v>
      </c>
      <c r="J500" s="2" t="s">
        <v>142</v>
      </c>
      <c r="K500" s="2" t="s">
        <v>192</v>
      </c>
      <c r="L500" s="2" t="s">
        <v>193</v>
      </c>
      <c r="M500" s="2">
        <v>2017</v>
      </c>
      <c r="N500" s="2">
        <v>2017</v>
      </c>
      <c r="O500" s="2" t="s">
        <v>23</v>
      </c>
      <c r="P500" s="2">
        <v>2114</v>
      </c>
      <c r="Q500" s="2" t="s">
        <v>145</v>
      </c>
      <c r="R500" s="2" t="s">
        <v>146</v>
      </c>
    </row>
    <row r="501" spans="5:18" ht="13.5" customHeight="1" x14ac:dyDescent="0.25">
      <c r="E501" s="2" t="s">
        <v>140</v>
      </c>
      <c r="F501" s="2" t="s">
        <v>141</v>
      </c>
      <c r="G501" s="2">
        <v>729</v>
      </c>
      <c r="H501" s="2" t="s">
        <v>206</v>
      </c>
      <c r="I501" s="2">
        <v>5312</v>
      </c>
      <c r="J501" s="2" t="s">
        <v>142</v>
      </c>
      <c r="K501" s="2" t="s">
        <v>192</v>
      </c>
      <c r="L501" s="2" t="s">
        <v>193</v>
      </c>
      <c r="M501" s="2">
        <v>2018</v>
      </c>
      <c r="N501" s="2">
        <v>2018</v>
      </c>
      <c r="O501" s="2" t="s">
        <v>23</v>
      </c>
      <c r="P501" s="2">
        <v>2135</v>
      </c>
      <c r="Q501" s="2" t="s">
        <v>115</v>
      </c>
      <c r="R501" s="2" t="s">
        <v>116</v>
      </c>
    </row>
    <row r="502" spans="5:18" ht="13.5" customHeight="1" x14ac:dyDescent="0.25">
      <c r="E502" s="2" t="s">
        <v>140</v>
      </c>
      <c r="F502" s="2" t="s">
        <v>141</v>
      </c>
      <c r="G502" s="2">
        <v>729</v>
      </c>
      <c r="H502" s="2" t="s">
        <v>206</v>
      </c>
      <c r="I502" s="2">
        <v>5312</v>
      </c>
      <c r="J502" s="2" t="s">
        <v>142</v>
      </c>
      <c r="K502" s="2" t="s">
        <v>192</v>
      </c>
      <c r="L502" s="2" t="s">
        <v>193</v>
      </c>
      <c r="M502" s="2">
        <v>2019</v>
      </c>
      <c r="N502" s="2">
        <v>2019</v>
      </c>
      <c r="O502" s="2" t="s">
        <v>23</v>
      </c>
      <c r="P502" s="2">
        <v>2082</v>
      </c>
      <c r="Q502" s="2" t="s">
        <v>115</v>
      </c>
      <c r="R502" s="2" t="s">
        <v>116</v>
      </c>
    </row>
    <row r="503" spans="5:18" ht="13.5" customHeight="1" x14ac:dyDescent="0.25">
      <c r="E503" s="2" t="s">
        <v>140</v>
      </c>
      <c r="F503" s="2" t="s">
        <v>141</v>
      </c>
      <c r="G503" s="2">
        <v>729</v>
      </c>
      <c r="H503" s="2" t="s">
        <v>206</v>
      </c>
      <c r="I503" s="2">
        <v>5312</v>
      </c>
      <c r="J503" s="2" t="s">
        <v>142</v>
      </c>
      <c r="K503" s="2" t="s">
        <v>192</v>
      </c>
      <c r="L503" s="2" t="s">
        <v>193</v>
      </c>
      <c r="M503" s="2">
        <v>2020</v>
      </c>
      <c r="N503" s="2">
        <v>2020</v>
      </c>
      <c r="O503" s="2" t="s">
        <v>23</v>
      </c>
      <c r="P503" s="2">
        <v>2111</v>
      </c>
      <c r="Q503" s="2" t="s">
        <v>115</v>
      </c>
      <c r="R503" s="2" t="s">
        <v>116</v>
      </c>
    </row>
    <row r="504" spans="5:18" ht="13.5" customHeight="1" x14ac:dyDescent="0.25">
      <c r="E504" s="2" t="s">
        <v>140</v>
      </c>
      <c r="F504" s="2" t="s">
        <v>141</v>
      </c>
      <c r="G504" s="2">
        <v>729</v>
      </c>
      <c r="H504" s="2" t="s">
        <v>206</v>
      </c>
      <c r="I504" s="2">
        <v>5312</v>
      </c>
      <c r="J504" s="2" t="s">
        <v>142</v>
      </c>
      <c r="K504" s="2" t="s">
        <v>192</v>
      </c>
      <c r="L504" s="2" t="s">
        <v>193</v>
      </c>
      <c r="M504" s="2">
        <v>2021</v>
      </c>
      <c r="N504" s="2">
        <v>2021</v>
      </c>
      <c r="O504" s="2" t="s">
        <v>23</v>
      </c>
      <c r="P504" s="2">
        <v>2109</v>
      </c>
      <c r="Q504" s="2" t="s">
        <v>115</v>
      </c>
      <c r="R504" s="2" t="s">
        <v>116</v>
      </c>
    </row>
    <row r="505" spans="5:18" ht="13.5" customHeight="1" x14ac:dyDescent="0.25">
      <c r="E505" s="2" t="s">
        <v>140</v>
      </c>
      <c r="F505" s="2" t="s">
        <v>141</v>
      </c>
      <c r="G505" s="2">
        <v>729</v>
      </c>
      <c r="H505" s="2" t="s">
        <v>206</v>
      </c>
      <c r="I505" s="2">
        <v>5419</v>
      </c>
      <c r="J505" s="2" t="s">
        <v>209</v>
      </c>
      <c r="K505" s="2" t="s">
        <v>192</v>
      </c>
      <c r="L505" s="2" t="s">
        <v>193</v>
      </c>
      <c r="M505" s="2">
        <v>2015</v>
      </c>
      <c r="N505" s="2">
        <v>2015</v>
      </c>
      <c r="O505" s="2" t="s">
        <v>210</v>
      </c>
      <c r="P505" s="2">
        <v>157031</v>
      </c>
      <c r="Q505" s="2" t="s">
        <v>115</v>
      </c>
      <c r="R505" s="2" t="s">
        <v>116</v>
      </c>
    </row>
    <row r="506" spans="5:18" ht="13.5" customHeight="1" x14ac:dyDescent="0.25">
      <c r="E506" s="2" t="s">
        <v>140</v>
      </c>
      <c r="F506" s="2" t="s">
        <v>141</v>
      </c>
      <c r="G506" s="2">
        <v>729</v>
      </c>
      <c r="H506" s="2" t="s">
        <v>206</v>
      </c>
      <c r="I506" s="2">
        <v>5419</v>
      </c>
      <c r="J506" s="2" t="s">
        <v>209</v>
      </c>
      <c r="K506" s="2" t="s">
        <v>192</v>
      </c>
      <c r="L506" s="2" t="s">
        <v>193</v>
      </c>
      <c r="M506" s="2">
        <v>2016</v>
      </c>
      <c r="N506" s="2">
        <v>2016</v>
      </c>
      <c r="O506" s="2" t="s">
        <v>210</v>
      </c>
      <c r="P506" s="2">
        <v>160198</v>
      </c>
      <c r="Q506" s="2" t="s">
        <v>115</v>
      </c>
      <c r="R506" s="2" t="s">
        <v>116</v>
      </c>
    </row>
    <row r="507" spans="5:18" ht="13.5" customHeight="1" x14ac:dyDescent="0.25">
      <c r="E507" s="2" t="s">
        <v>140</v>
      </c>
      <c r="F507" s="2" t="s">
        <v>141</v>
      </c>
      <c r="G507" s="2">
        <v>729</v>
      </c>
      <c r="H507" s="2" t="s">
        <v>206</v>
      </c>
      <c r="I507" s="2">
        <v>5419</v>
      </c>
      <c r="J507" s="2" t="s">
        <v>209</v>
      </c>
      <c r="K507" s="2" t="s">
        <v>192</v>
      </c>
      <c r="L507" s="2" t="s">
        <v>193</v>
      </c>
      <c r="M507" s="2">
        <v>2017</v>
      </c>
      <c r="N507" s="2">
        <v>2017</v>
      </c>
      <c r="O507" s="2" t="s">
        <v>210</v>
      </c>
      <c r="P507" s="2">
        <v>160151</v>
      </c>
      <c r="Q507" s="2" t="s">
        <v>115</v>
      </c>
      <c r="R507" s="2" t="s">
        <v>116</v>
      </c>
    </row>
    <row r="508" spans="5:18" ht="13.5" customHeight="1" x14ac:dyDescent="0.25">
      <c r="E508" s="2" t="s">
        <v>140</v>
      </c>
      <c r="F508" s="2" t="s">
        <v>141</v>
      </c>
      <c r="G508" s="2">
        <v>729</v>
      </c>
      <c r="H508" s="2" t="s">
        <v>206</v>
      </c>
      <c r="I508" s="2">
        <v>5419</v>
      </c>
      <c r="J508" s="2" t="s">
        <v>209</v>
      </c>
      <c r="K508" s="2" t="s">
        <v>192</v>
      </c>
      <c r="L508" s="2" t="s">
        <v>193</v>
      </c>
      <c r="M508" s="2">
        <v>2018</v>
      </c>
      <c r="N508" s="2">
        <v>2018</v>
      </c>
      <c r="O508" s="2" t="s">
        <v>210</v>
      </c>
      <c r="P508" s="2">
        <v>159048</v>
      </c>
      <c r="Q508" s="2" t="s">
        <v>115</v>
      </c>
      <c r="R508" s="2" t="s">
        <v>116</v>
      </c>
    </row>
    <row r="509" spans="5:18" ht="13.5" customHeight="1" x14ac:dyDescent="0.25">
      <c r="E509" s="2" t="s">
        <v>140</v>
      </c>
      <c r="F509" s="2" t="s">
        <v>141</v>
      </c>
      <c r="G509" s="2">
        <v>729</v>
      </c>
      <c r="H509" s="2" t="s">
        <v>206</v>
      </c>
      <c r="I509" s="2">
        <v>5419</v>
      </c>
      <c r="J509" s="2" t="s">
        <v>209</v>
      </c>
      <c r="K509" s="2" t="s">
        <v>192</v>
      </c>
      <c r="L509" s="2" t="s">
        <v>193</v>
      </c>
      <c r="M509" s="2">
        <v>2019</v>
      </c>
      <c r="N509" s="2">
        <v>2019</v>
      </c>
      <c r="O509" s="2" t="s">
        <v>210</v>
      </c>
      <c r="P509" s="2">
        <v>159789</v>
      </c>
      <c r="Q509" s="2" t="s">
        <v>115</v>
      </c>
      <c r="R509" s="2" t="s">
        <v>116</v>
      </c>
    </row>
    <row r="510" spans="5:18" ht="13.5" customHeight="1" x14ac:dyDescent="0.25">
      <c r="E510" s="2" t="s">
        <v>140</v>
      </c>
      <c r="F510" s="2" t="s">
        <v>141</v>
      </c>
      <c r="G510" s="2">
        <v>729</v>
      </c>
      <c r="H510" s="2" t="s">
        <v>206</v>
      </c>
      <c r="I510" s="2">
        <v>5419</v>
      </c>
      <c r="J510" s="2" t="s">
        <v>209</v>
      </c>
      <c r="K510" s="2" t="s">
        <v>192</v>
      </c>
      <c r="L510" s="2" t="s">
        <v>193</v>
      </c>
      <c r="M510" s="2">
        <v>2020</v>
      </c>
      <c r="N510" s="2">
        <v>2020</v>
      </c>
      <c r="O510" s="2" t="s">
        <v>210</v>
      </c>
      <c r="P510" s="2">
        <v>159660</v>
      </c>
      <c r="Q510" s="2" t="s">
        <v>115</v>
      </c>
      <c r="R510" s="2" t="s">
        <v>116</v>
      </c>
    </row>
    <row r="511" spans="5:18" ht="13.5" customHeight="1" x14ac:dyDescent="0.25">
      <c r="E511" s="2" t="s">
        <v>140</v>
      </c>
      <c r="F511" s="2" t="s">
        <v>141</v>
      </c>
      <c r="G511" s="2">
        <v>729</v>
      </c>
      <c r="H511" s="2" t="s">
        <v>206</v>
      </c>
      <c r="I511" s="2">
        <v>5419</v>
      </c>
      <c r="J511" s="2" t="s">
        <v>209</v>
      </c>
      <c r="K511" s="2" t="s">
        <v>192</v>
      </c>
      <c r="L511" s="2" t="s">
        <v>193</v>
      </c>
      <c r="M511" s="2">
        <v>2021</v>
      </c>
      <c r="N511" s="2">
        <v>2021</v>
      </c>
      <c r="O511" s="2" t="s">
        <v>210</v>
      </c>
      <c r="P511" s="2">
        <v>159496</v>
      </c>
      <c r="Q511" s="2" t="s">
        <v>115</v>
      </c>
      <c r="R511" s="2" t="s">
        <v>116</v>
      </c>
    </row>
    <row r="512" spans="5:18" ht="13.5" customHeight="1" x14ac:dyDescent="0.25">
      <c r="E512" s="2" t="s">
        <v>140</v>
      </c>
      <c r="F512" s="2" t="s">
        <v>141</v>
      </c>
      <c r="G512" s="2">
        <v>729</v>
      </c>
      <c r="H512" s="2" t="s">
        <v>206</v>
      </c>
      <c r="I512" s="2">
        <v>5312</v>
      </c>
      <c r="J512" s="2" t="s">
        <v>142</v>
      </c>
      <c r="K512" s="2" t="s">
        <v>194</v>
      </c>
      <c r="L512" s="2" t="s">
        <v>66</v>
      </c>
      <c r="M512" s="2">
        <v>2015</v>
      </c>
      <c r="N512" s="2">
        <v>2015</v>
      </c>
      <c r="O512" s="2" t="s">
        <v>23</v>
      </c>
      <c r="P512" s="2">
        <v>7560</v>
      </c>
      <c r="Q512" s="2" t="s">
        <v>143</v>
      </c>
      <c r="R512" s="2" t="s">
        <v>144</v>
      </c>
    </row>
    <row r="513" spans="5:18" ht="13.5" customHeight="1" x14ac:dyDescent="0.25">
      <c r="E513" s="2" t="s">
        <v>140</v>
      </c>
      <c r="F513" s="2" t="s">
        <v>141</v>
      </c>
      <c r="G513" s="2">
        <v>729</v>
      </c>
      <c r="H513" s="2" t="s">
        <v>206</v>
      </c>
      <c r="I513" s="2">
        <v>5312</v>
      </c>
      <c r="J513" s="2" t="s">
        <v>142</v>
      </c>
      <c r="K513" s="2" t="s">
        <v>194</v>
      </c>
      <c r="L513" s="2" t="s">
        <v>66</v>
      </c>
      <c r="M513" s="2">
        <v>2016</v>
      </c>
      <c r="N513" s="2">
        <v>2016</v>
      </c>
      <c r="O513" s="2" t="s">
        <v>23</v>
      </c>
      <c r="P513" s="2">
        <v>7140</v>
      </c>
      <c r="Q513" s="2" t="s">
        <v>143</v>
      </c>
      <c r="R513" s="2" t="s">
        <v>144</v>
      </c>
    </row>
    <row r="514" spans="5:18" ht="13.5" customHeight="1" x14ac:dyDescent="0.25">
      <c r="E514" s="2" t="s">
        <v>140</v>
      </c>
      <c r="F514" s="2" t="s">
        <v>141</v>
      </c>
      <c r="G514" s="2">
        <v>729</v>
      </c>
      <c r="H514" s="2" t="s">
        <v>206</v>
      </c>
      <c r="I514" s="2">
        <v>5312</v>
      </c>
      <c r="J514" s="2" t="s">
        <v>142</v>
      </c>
      <c r="K514" s="2" t="s">
        <v>194</v>
      </c>
      <c r="L514" s="2" t="s">
        <v>66</v>
      </c>
      <c r="M514" s="2">
        <v>2017</v>
      </c>
      <c r="N514" s="2">
        <v>2017</v>
      </c>
      <c r="O514" s="2" t="s">
        <v>23</v>
      </c>
      <c r="P514" s="2">
        <v>11760</v>
      </c>
      <c r="Q514" s="2" t="s">
        <v>143</v>
      </c>
      <c r="R514" s="2" t="s">
        <v>144</v>
      </c>
    </row>
    <row r="515" spans="5:18" ht="13.5" customHeight="1" x14ac:dyDescent="0.25">
      <c r="E515" s="2" t="s">
        <v>140</v>
      </c>
      <c r="F515" s="2" t="s">
        <v>141</v>
      </c>
      <c r="G515" s="2">
        <v>729</v>
      </c>
      <c r="H515" s="2" t="s">
        <v>206</v>
      </c>
      <c r="I515" s="2">
        <v>5312</v>
      </c>
      <c r="J515" s="2" t="s">
        <v>142</v>
      </c>
      <c r="K515" s="2" t="s">
        <v>194</v>
      </c>
      <c r="L515" s="2" t="s">
        <v>66</v>
      </c>
      <c r="M515" s="2">
        <v>2018</v>
      </c>
      <c r="N515" s="2">
        <v>2018</v>
      </c>
      <c r="O515" s="2" t="s">
        <v>23</v>
      </c>
      <c r="P515" s="2">
        <v>11370</v>
      </c>
      <c r="Q515" s="2" t="s">
        <v>143</v>
      </c>
      <c r="R515" s="2" t="s">
        <v>144</v>
      </c>
    </row>
    <row r="516" spans="5:18" ht="13.5" customHeight="1" x14ac:dyDescent="0.25">
      <c r="E516" s="2" t="s">
        <v>140</v>
      </c>
      <c r="F516" s="2" t="s">
        <v>141</v>
      </c>
      <c r="G516" s="2">
        <v>729</v>
      </c>
      <c r="H516" s="2" t="s">
        <v>206</v>
      </c>
      <c r="I516" s="2">
        <v>5312</v>
      </c>
      <c r="J516" s="2" t="s">
        <v>142</v>
      </c>
      <c r="K516" s="2" t="s">
        <v>194</v>
      </c>
      <c r="L516" s="2" t="s">
        <v>66</v>
      </c>
      <c r="M516" s="2">
        <v>2019</v>
      </c>
      <c r="N516" s="2">
        <v>2019</v>
      </c>
      <c r="O516" s="2" t="s">
        <v>23</v>
      </c>
      <c r="P516" s="2">
        <v>11540</v>
      </c>
      <c r="Q516" s="2" t="s">
        <v>143</v>
      </c>
      <c r="R516" s="2" t="s">
        <v>144</v>
      </c>
    </row>
    <row r="517" spans="5:18" ht="13.5" customHeight="1" x14ac:dyDescent="0.25">
      <c r="E517" s="2" t="s">
        <v>140</v>
      </c>
      <c r="F517" s="2" t="s">
        <v>141</v>
      </c>
      <c r="G517" s="2">
        <v>729</v>
      </c>
      <c r="H517" s="2" t="s">
        <v>206</v>
      </c>
      <c r="I517" s="2">
        <v>5312</v>
      </c>
      <c r="J517" s="2" t="s">
        <v>142</v>
      </c>
      <c r="K517" s="2" t="s">
        <v>194</v>
      </c>
      <c r="L517" s="2" t="s">
        <v>66</v>
      </c>
      <c r="M517" s="2">
        <v>2020</v>
      </c>
      <c r="N517" s="2">
        <v>2020</v>
      </c>
      <c r="O517" s="2" t="s">
        <v>23</v>
      </c>
      <c r="P517" s="2">
        <v>11713</v>
      </c>
      <c r="Q517" s="2" t="s">
        <v>143</v>
      </c>
      <c r="R517" s="2" t="s">
        <v>144</v>
      </c>
    </row>
    <row r="518" spans="5:18" ht="13.5" customHeight="1" x14ac:dyDescent="0.25">
      <c r="E518" s="2" t="s">
        <v>140</v>
      </c>
      <c r="F518" s="2" t="s">
        <v>141</v>
      </c>
      <c r="G518" s="2">
        <v>729</v>
      </c>
      <c r="H518" s="2" t="s">
        <v>206</v>
      </c>
      <c r="I518" s="2">
        <v>5312</v>
      </c>
      <c r="J518" s="2" t="s">
        <v>142</v>
      </c>
      <c r="K518" s="2" t="s">
        <v>194</v>
      </c>
      <c r="L518" s="2" t="s">
        <v>66</v>
      </c>
      <c r="M518" s="2">
        <v>2021</v>
      </c>
      <c r="N518" s="2">
        <v>2021</v>
      </c>
      <c r="O518" s="2" t="s">
        <v>23</v>
      </c>
      <c r="P518" s="2">
        <v>8513</v>
      </c>
      <c r="Q518" s="2" t="s">
        <v>145</v>
      </c>
      <c r="R518" s="2" t="s">
        <v>146</v>
      </c>
    </row>
    <row r="519" spans="5:18" ht="13.5" customHeight="1" x14ac:dyDescent="0.25">
      <c r="E519" s="2" t="s">
        <v>140</v>
      </c>
      <c r="F519" s="2" t="s">
        <v>141</v>
      </c>
      <c r="G519" s="2">
        <v>729</v>
      </c>
      <c r="H519" s="2" t="s">
        <v>206</v>
      </c>
      <c r="I519" s="2">
        <v>5419</v>
      </c>
      <c r="J519" s="2" t="s">
        <v>209</v>
      </c>
      <c r="K519" s="2" t="s">
        <v>194</v>
      </c>
      <c r="L519" s="2" t="s">
        <v>66</v>
      </c>
      <c r="M519" s="2">
        <v>2015</v>
      </c>
      <c r="N519" s="2">
        <v>2015</v>
      </c>
      <c r="O519" s="2" t="s">
        <v>210</v>
      </c>
      <c r="P519" s="2">
        <v>42328</v>
      </c>
      <c r="Q519" s="2" t="s">
        <v>143</v>
      </c>
      <c r="R519" s="2" t="s">
        <v>144</v>
      </c>
    </row>
    <row r="520" spans="5:18" ht="13.5" customHeight="1" x14ac:dyDescent="0.25">
      <c r="E520" s="2" t="s">
        <v>140</v>
      </c>
      <c r="F520" s="2" t="s">
        <v>141</v>
      </c>
      <c r="G520" s="2">
        <v>729</v>
      </c>
      <c r="H520" s="2" t="s">
        <v>206</v>
      </c>
      <c r="I520" s="2">
        <v>5419</v>
      </c>
      <c r="J520" s="2" t="s">
        <v>209</v>
      </c>
      <c r="K520" s="2" t="s">
        <v>194</v>
      </c>
      <c r="L520" s="2" t="s">
        <v>66</v>
      </c>
      <c r="M520" s="2">
        <v>2016</v>
      </c>
      <c r="N520" s="2">
        <v>2016</v>
      </c>
      <c r="O520" s="2" t="s">
        <v>210</v>
      </c>
      <c r="P520" s="2">
        <v>39216</v>
      </c>
      <c r="Q520" s="2" t="s">
        <v>143</v>
      </c>
      <c r="R520" s="2" t="s">
        <v>144</v>
      </c>
    </row>
    <row r="521" spans="5:18" ht="13.5" customHeight="1" x14ac:dyDescent="0.25">
      <c r="E521" s="2" t="s">
        <v>140</v>
      </c>
      <c r="F521" s="2" t="s">
        <v>141</v>
      </c>
      <c r="G521" s="2">
        <v>729</v>
      </c>
      <c r="H521" s="2" t="s">
        <v>206</v>
      </c>
      <c r="I521" s="2">
        <v>5419</v>
      </c>
      <c r="J521" s="2" t="s">
        <v>209</v>
      </c>
      <c r="K521" s="2" t="s">
        <v>194</v>
      </c>
      <c r="L521" s="2" t="s">
        <v>66</v>
      </c>
      <c r="M521" s="2">
        <v>2017</v>
      </c>
      <c r="N521" s="2">
        <v>2017</v>
      </c>
      <c r="O521" s="2" t="s">
        <v>210</v>
      </c>
      <c r="P521" s="2">
        <v>27211</v>
      </c>
      <c r="Q521" s="2" t="s">
        <v>143</v>
      </c>
      <c r="R521" s="2" t="s">
        <v>144</v>
      </c>
    </row>
    <row r="522" spans="5:18" ht="13.5" customHeight="1" x14ac:dyDescent="0.25">
      <c r="E522" s="2" t="s">
        <v>140</v>
      </c>
      <c r="F522" s="2" t="s">
        <v>141</v>
      </c>
      <c r="G522" s="2">
        <v>729</v>
      </c>
      <c r="H522" s="2" t="s">
        <v>206</v>
      </c>
      <c r="I522" s="2">
        <v>5419</v>
      </c>
      <c r="J522" s="2" t="s">
        <v>209</v>
      </c>
      <c r="K522" s="2" t="s">
        <v>194</v>
      </c>
      <c r="L522" s="2" t="s">
        <v>66</v>
      </c>
      <c r="M522" s="2">
        <v>2018</v>
      </c>
      <c r="N522" s="2">
        <v>2018</v>
      </c>
      <c r="O522" s="2" t="s">
        <v>210</v>
      </c>
      <c r="P522" s="2">
        <v>26385</v>
      </c>
      <c r="Q522" s="2" t="s">
        <v>143</v>
      </c>
      <c r="R522" s="2" t="s">
        <v>144</v>
      </c>
    </row>
    <row r="523" spans="5:18" ht="13.5" customHeight="1" x14ac:dyDescent="0.25">
      <c r="E523" s="2" t="s">
        <v>140</v>
      </c>
      <c r="F523" s="2" t="s">
        <v>141</v>
      </c>
      <c r="G523" s="2">
        <v>729</v>
      </c>
      <c r="H523" s="2" t="s">
        <v>206</v>
      </c>
      <c r="I523" s="2">
        <v>5419</v>
      </c>
      <c r="J523" s="2" t="s">
        <v>209</v>
      </c>
      <c r="K523" s="2" t="s">
        <v>194</v>
      </c>
      <c r="L523" s="2" t="s">
        <v>66</v>
      </c>
      <c r="M523" s="2">
        <v>2019</v>
      </c>
      <c r="N523" s="2">
        <v>2019</v>
      </c>
      <c r="O523" s="2" t="s">
        <v>210</v>
      </c>
      <c r="P523" s="2">
        <v>27730</v>
      </c>
      <c r="Q523" s="2" t="s">
        <v>143</v>
      </c>
      <c r="R523" s="2" t="s">
        <v>144</v>
      </c>
    </row>
    <row r="524" spans="5:18" ht="13.5" customHeight="1" x14ac:dyDescent="0.25">
      <c r="E524" s="2" t="s">
        <v>140</v>
      </c>
      <c r="F524" s="2" t="s">
        <v>141</v>
      </c>
      <c r="G524" s="2">
        <v>729</v>
      </c>
      <c r="H524" s="2" t="s">
        <v>206</v>
      </c>
      <c r="I524" s="2">
        <v>5419</v>
      </c>
      <c r="J524" s="2" t="s">
        <v>209</v>
      </c>
      <c r="K524" s="2" t="s">
        <v>194</v>
      </c>
      <c r="L524" s="2" t="s">
        <v>66</v>
      </c>
      <c r="M524" s="2">
        <v>2020</v>
      </c>
      <c r="N524" s="2">
        <v>2020</v>
      </c>
      <c r="O524" s="2" t="s">
        <v>210</v>
      </c>
      <c r="P524" s="2">
        <v>29143</v>
      </c>
      <c r="Q524" s="2" t="s">
        <v>143</v>
      </c>
      <c r="R524" s="2" t="s">
        <v>144</v>
      </c>
    </row>
    <row r="525" spans="5:18" ht="13.5" customHeight="1" x14ac:dyDescent="0.25">
      <c r="E525" s="2" t="s">
        <v>140</v>
      </c>
      <c r="F525" s="2" t="s">
        <v>141</v>
      </c>
      <c r="G525" s="2">
        <v>729</v>
      </c>
      <c r="H525" s="2" t="s">
        <v>206</v>
      </c>
      <c r="I525" s="2">
        <v>5419</v>
      </c>
      <c r="J525" s="2" t="s">
        <v>209</v>
      </c>
      <c r="K525" s="2" t="s">
        <v>194</v>
      </c>
      <c r="L525" s="2" t="s">
        <v>66</v>
      </c>
      <c r="M525" s="2">
        <v>2021</v>
      </c>
      <c r="N525" s="2">
        <v>2021</v>
      </c>
      <c r="O525" s="2" t="s">
        <v>210</v>
      </c>
      <c r="P525" s="2">
        <v>29367</v>
      </c>
      <c r="Q525" s="2" t="s">
        <v>115</v>
      </c>
      <c r="R525" s="2" t="s">
        <v>116</v>
      </c>
    </row>
    <row r="526" spans="5:18" ht="13.5" customHeight="1" x14ac:dyDescent="0.25">
      <c r="E526" s="2" t="s">
        <v>140</v>
      </c>
      <c r="F526" s="2" t="s">
        <v>141</v>
      </c>
      <c r="G526" s="2">
        <v>729</v>
      </c>
      <c r="H526" s="2" t="s">
        <v>206</v>
      </c>
      <c r="I526" s="2">
        <v>5312</v>
      </c>
      <c r="J526" s="2" t="s">
        <v>142</v>
      </c>
      <c r="K526" s="2" t="s">
        <v>195</v>
      </c>
      <c r="L526" s="2" t="s">
        <v>196</v>
      </c>
      <c r="M526" s="2">
        <v>2015</v>
      </c>
      <c r="N526" s="2">
        <v>2015</v>
      </c>
      <c r="O526" s="2" t="s">
        <v>23</v>
      </c>
      <c r="P526" s="2">
        <v>85680</v>
      </c>
      <c r="Q526" s="2" t="s">
        <v>143</v>
      </c>
      <c r="R526" s="2" t="s">
        <v>144</v>
      </c>
    </row>
    <row r="527" spans="5:18" ht="13.5" customHeight="1" x14ac:dyDescent="0.25">
      <c r="E527" s="2" t="s">
        <v>140</v>
      </c>
      <c r="F527" s="2" t="s">
        <v>141</v>
      </c>
      <c r="G527" s="2">
        <v>729</v>
      </c>
      <c r="H527" s="2" t="s">
        <v>206</v>
      </c>
      <c r="I527" s="2">
        <v>5312</v>
      </c>
      <c r="J527" s="2" t="s">
        <v>142</v>
      </c>
      <c r="K527" s="2" t="s">
        <v>195</v>
      </c>
      <c r="L527" s="2" t="s">
        <v>196</v>
      </c>
      <c r="M527" s="2">
        <v>2016</v>
      </c>
      <c r="N527" s="2">
        <v>2016</v>
      </c>
      <c r="O527" s="2" t="s">
        <v>23</v>
      </c>
      <c r="P527" s="2">
        <v>66360</v>
      </c>
      <c r="Q527" s="2" t="s">
        <v>143</v>
      </c>
      <c r="R527" s="2" t="s">
        <v>144</v>
      </c>
    </row>
    <row r="528" spans="5:18" ht="13.5" customHeight="1" x14ac:dyDescent="0.25">
      <c r="E528" s="2" t="s">
        <v>140</v>
      </c>
      <c r="F528" s="2" t="s">
        <v>141</v>
      </c>
      <c r="G528" s="2">
        <v>729</v>
      </c>
      <c r="H528" s="2" t="s">
        <v>206</v>
      </c>
      <c r="I528" s="2">
        <v>5312</v>
      </c>
      <c r="J528" s="2" t="s">
        <v>142</v>
      </c>
      <c r="K528" s="2" t="s">
        <v>195</v>
      </c>
      <c r="L528" s="2" t="s">
        <v>196</v>
      </c>
      <c r="M528" s="2">
        <v>2017</v>
      </c>
      <c r="N528" s="2">
        <v>2017</v>
      </c>
      <c r="O528" s="2" t="s">
        <v>23</v>
      </c>
      <c r="P528" s="2">
        <v>173000</v>
      </c>
      <c r="Q528" s="2" t="s">
        <v>168</v>
      </c>
      <c r="R528" s="2" t="s">
        <v>169</v>
      </c>
    </row>
    <row r="529" spans="5:18" ht="13.5" customHeight="1" x14ac:dyDescent="0.25">
      <c r="E529" s="2" t="s">
        <v>140</v>
      </c>
      <c r="F529" s="2" t="s">
        <v>141</v>
      </c>
      <c r="G529" s="2">
        <v>729</v>
      </c>
      <c r="H529" s="2" t="s">
        <v>206</v>
      </c>
      <c r="I529" s="2">
        <v>5312</v>
      </c>
      <c r="J529" s="2" t="s">
        <v>142</v>
      </c>
      <c r="K529" s="2" t="s">
        <v>195</v>
      </c>
      <c r="L529" s="2" t="s">
        <v>196</v>
      </c>
      <c r="M529" s="2">
        <v>2018</v>
      </c>
      <c r="N529" s="2">
        <v>2018</v>
      </c>
      <c r="O529" s="2" t="s">
        <v>23</v>
      </c>
      <c r="P529" s="2">
        <v>191940</v>
      </c>
      <c r="Q529" s="2" t="s">
        <v>143</v>
      </c>
      <c r="R529" s="2" t="s">
        <v>144</v>
      </c>
    </row>
    <row r="530" spans="5:18" ht="13.5" customHeight="1" x14ac:dyDescent="0.25">
      <c r="E530" s="2" t="s">
        <v>140</v>
      </c>
      <c r="F530" s="2" t="s">
        <v>141</v>
      </c>
      <c r="G530" s="2">
        <v>729</v>
      </c>
      <c r="H530" s="2" t="s">
        <v>206</v>
      </c>
      <c r="I530" s="2">
        <v>5312</v>
      </c>
      <c r="J530" s="2" t="s">
        <v>142</v>
      </c>
      <c r="K530" s="2" t="s">
        <v>195</v>
      </c>
      <c r="L530" s="2" t="s">
        <v>196</v>
      </c>
      <c r="M530" s="2">
        <v>2019</v>
      </c>
      <c r="N530" s="2">
        <v>2019</v>
      </c>
      <c r="O530" s="2" t="s">
        <v>23</v>
      </c>
      <c r="P530" s="2">
        <v>196980</v>
      </c>
      <c r="Q530" s="2" t="s">
        <v>143</v>
      </c>
      <c r="R530" s="2" t="s">
        <v>144</v>
      </c>
    </row>
    <row r="531" spans="5:18" ht="13.5" customHeight="1" x14ac:dyDescent="0.25">
      <c r="E531" s="2" t="s">
        <v>140</v>
      </c>
      <c r="F531" s="2" t="s">
        <v>141</v>
      </c>
      <c r="G531" s="2">
        <v>729</v>
      </c>
      <c r="H531" s="2" t="s">
        <v>206</v>
      </c>
      <c r="I531" s="2">
        <v>5312</v>
      </c>
      <c r="J531" s="2" t="s">
        <v>142</v>
      </c>
      <c r="K531" s="2" t="s">
        <v>195</v>
      </c>
      <c r="L531" s="2" t="s">
        <v>196</v>
      </c>
      <c r="M531" s="2">
        <v>2020</v>
      </c>
      <c r="N531" s="2">
        <v>2020</v>
      </c>
      <c r="O531" s="2" t="s">
        <v>23</v>
      </c>
      <c r="P531" s="2">
        <v>202152</v>
      </c>
      <c r="Q531" s="2" t="s">
        <v>143</v>
      </c>
      <c r="R531" s="2" t="s">
        <v>144</v>
      </c>
    </row>
    <row r="532" spans="5:18" ht="13.5" customHeight="1" x14ac:dyDescent="0.25">
      <c r="E532" s="2" t="s">
        <v>140</v>
      </c>
      <c r="F532" s="2" t="s">
        <v>141</v>
      </c>
      <c r="G532" s="2">
        <v>729</v>
      </c>
      <c r="H532" s="2" t="s">
        <v>206</v>
      </c>
      <c r="I532" s="2">
        <v>5312</v>
      </c>
      <c r="J532" s="2" t="s">
        <v>142</v>
      </c>
      <c r="K532" s="2" t="s">
        <v>195</v>
      </c>
      <c r="L532" s="2" t="s">
        <v>196</v>
      </c>
      <c r="M532" s="2">
        <v>2021</v>
      </c>
      <c r="N532" s="2">
        <v>2021</v>
      </c>
      <c r="O532" s="2" t="s">
        <v>23</v>
      </c>
      <c r="P532" s="2">
        <v>196739</v>
      </c>
      <c r="Q532" s="2" t="s">
        <v>145</v>
      </c>
      <c r="R532" s="2" t="s">
        <v>146</v>
      </c>
    </row>
    <row r="533" spans="5:18" ht="13.5" customHeight="1" x14ac:dyDescent="0.25">
      <c r="E533" s="2" t="s">
        <v>140</v>
      </c>
      <c r="F533" s="2" t="s">
        <v>141</v>
      </c>
      <c r="G533" s="2">
        <v>729</v>
      </c>
      <c r="H533" s="2" t="s">
        <v>206</v>
      </c>
      <c r="I533" s="2">
        <v>5419</v>
      </c>
      <c r="J533" s="2" t="s">
        <v>209</v>
      </c>
      <c r="K533" s="2" t="s">
        <v>195</v>
      </c>
      <c r="L533" s="2" t="s">
        <v>196</v>
      </c>
      <c r="M533" s="2">
        <v>2015</v>
      </c>
      <c r="N533" s="2">
        <v>2015</v>
      </c>
      <c r="O533" s="2" t="s">
        <v>210</v>
      </c>
      <c r="P533" s="2">
        <v>15313</v>
      </c>
      <c r="Q533" s="2" t="s">
        <v>143</v>
      </c>
      <c r="R533" s="2" t="s">
        <v>144</v>
      </c>
    </row>
    <row r="534" spans="5:18" ht="13.5" customHeight="1" x14ac:dyDescent="0.25">
      <c r="E534" s="2" t="s">
        <v>140</v>
      </c>
      <c r="F534" s="2" t="s">
        <v>141</v>
      </c>
      <c r="G534" s="2">
        <v>729</v>
      </c>
      <c r="H534" s="2" t="s">
        <v>206</v>
      </c>
      <c r="I534" s="2">
        <v>5419</v>
      </c>
      <c r="J534" s="2" t="s">
        <v>209</v>
      </c>
      <c r="K534" s="2" t="s">
        <v>195</v>
      </c>
      <c r="L534" s="2" t="s">
        <v>196</v>
      </c>
      <c r="M534" s="2">
        <v>2016</v>
      </c>
      <c r="N534" s="2">
        <v>2016</v>
      </c>
      <c r="O534" s="2" t="s">
        <v>210</v>
      </c>
      <c r="P534" s="2">
        <v>16395</v>
      </c>
      <c r="Q534" s="2" t="s">
        <v>143</v>
      </c>
      <c r="R534" s="2" t="s">
        <v>144</v>
      </c>
    </row>
    <row r="535" spans="5:18" ht="13.5" customHeight="1" x14ac:dyDescent="0.25">
      <c r="E535" s="2" t="s">
        <v>140</v>
      </c>
      <c r="F535" s="2" t="s">
        <v>141</v>
      </c>
      <c r="G535" s="2">
        <v>729</v>
      </c>
      <c r="H535" s="2" t="s">
        <v>206</v>
      </c>
      <c r="I535" s="2">
        <v>5419</v>
      </c>
      <c r="J535" s="2" t="s">
        <v>209</v>
      </c>
      <c r="K535" s="2" t="s">
        <v>195</v>
      </c>
      <c r="L535" s="2" t="s">
        <v>196</v>
      </c>
      <c r="M535" s="2">
        <v>2017</v>
      </c>
      <c r="N535" s="2">
        <v>2017</v>
      </c>
      <c r="O535" s="2" t="s">
        <v>210</v>
      </c>
      <c r="P535" s="2">
        <v>18793</v>
      </c>
      <c r="Q535" s="2" t="s">
        <v>115</v>
      </c>
      <c r="R535" s="2" t="s">
        <v>116</v>
      </c>
    </row>
    <row r="536" spans="5:18" ht="13.5" customHeight="1" x14ac:dyDescent="0.25">
      <c r="E536" s="2" t="s">
        <v>140</v>
      </c>
      <c r="F536" s="2" t="s">
        <v>141</v>
      </c>
      <c r="G536" s="2">
        <v>729</v>
      </c>
      <c r="H536" s="2" t="s">
        <v>206</v>
      </c>
      <c r="I536" s="2">
        <v>5419</v>
      </c>
      <c r="J536" s="2" t="s">
        <v>209</v>
      </c>
      <c r="K536" s="2" t="s">
        <v>195</v>
      </c>
      <c r="L536" s="2" t="s">
        <v>196</v>
      </c>
      <c r="M536" s="2">
        <v>2018</v>
      </c>
      <c r="N536" s="2">
        <v>2018</v>
      </c>
      <c r="O536" s="2" t="s">
        <v>210</v>
      </c>
      <c r="P536" s="2">
        <v>18372</v>
      </c>
      <c r="Q536" s="2" t="s">
        <v>143</v>
      </c>
      <c r="R536" s="2" t="s">
        <v>144</v>
      </c>
    </row>
    <row r="537" spans="5:18" ht="13.5" customHeight="1" x14ac:dyDescent="0.25">
      <c r="E537" s="2" t="s">
        <v>140</v>
      </c>
      <c r="F537" s="2" t="s">
        <v>141</v>
      </c>
      <c r="G537" s="2">
        <v>729</v>
      </c>
      <c r="H537" s="2" t="s">
        <v>206</v>
      </c>
      <c r="I537" s="2">
        <v>5419</v>
      </c>
      <c r="J537" s="2" t="s">
        <v>209</v>
      </c>
      <c r="K537" s="2" t="s">
        <v>195</v>
      </c>
      <c r="L537" s="2" t="s">
        <v>196</v>
      </c>
      <c r="M537" s="2">
        <v>2019</v>
      </c>
      <c r="N537" s="2">
        <v>2019</v>
      </c>
      <c r="O537" s="2" t="s">
        <v>210</v>
      </c>
      <c r="P537" s="2">
        <v>14328</v>
      </c>
      <c r="Q537" s="2" t="s">
        <v>143</v>
      </c>
      <c r="R537" s="2" t="s">
        <v>144</v>
      </c>
    </row>
    <row r="538" spans="5:18" ht="13.5" customHeight="1" x14ac:dyDescent="0.25">
      <c r="E538" s="2" t="s">
        <v>140</v>
      </c>
      <c r="F538" s="2" t="s">
        <v>141</v>
      </c>
      <c r="G538" s="2">
        <v>729</v>
      </c>
      <c r="H538" s="2" t="s">
        <v>206</v>
      </c>
      <c r="I538" s="2">
        <v>5419</v>
      </c>
      <c r="J538" s="2" t="s">
        <v>209</v>
      </c>
      <c r="K538" s="2" t="s">
        <v>195</v>
      </c>
      <c r="L538" s="2" t="s">
        <v>196</v>
      </c>
      <c r="M538" s="2">
        <v>2020</v>
      </c>
      <c r="N538" s="2">
        <v>2020</v>
      </c>
      <c r="O538" s="2" t="s">
        <v>210</v>
      </c>
      <c r="P538" s="2">
        <v>15856</v>
      </c>
      <c r="Q538" s="2" t="s">
        <v>115</v>
      </c>
      <c r="R538" s="2" t="s">
        <v>116</v>
      </c>
    </row>
    <row r="539" spans="5:18" ht="13.5" customHeight="1" x14ac:dyDescent="0.25">
      <c r="E539" s="2" t="s">
        <v>140</v>
      </c>
      <c r="F539" s="2" t="s">
        <v>141</v>
      </c>
      <c r="G539" s="2">
        <v>729</v>
      </c>
      <c r="H539" s="2" t="s">
        <v>206</v>
      </c>
      <c r="I539" s="2">
        <v>5419</v>
      </c>
      <c r="J539" s="2" t="s">
        <v>209</v>
      </c>
      <c r="K539" s="2" t="s">
        <v>195</v>
      </c>
      <c r="L539" s="2" t="s">
        <v>196</v>
      </c>
      <c r="M539" s="2">
        <v>2021</v>
      </c>
      <c r="N539" s="2">
        <v>2021</v>
      </c>
      <c r="O539" s="2" t="s">
        <v>210</v>
      </c>
      <c r="P539" s="2">
        <v>17894</v>
      </c>
      <c r="Q539" s="2" t="s">
        <v>115</v>
      </c>
      <c r="R539" s="2" t="s">
        <v>116</v>
      </c>
    </row>
    <row r="540" spans="5:18" ht="13.5" customHeight="1" x14ac:dyDescent="0.25">
      <c r="E540" s="2" t="s">
        <v>140</v>
      </c>
      <c r="F540" s="2" t="s">
        <v>141</v>
      </c>
      <c r="G540" s="2">
        <v>729</v>
      </c>
      <c r="H540" s="2" t="s">
        <v>206</v>
      </c>
      <c r="I540" s="2">
        <v>5312</v>
      </c>
      <c r="J540" s="2" t="s">
        <v>142</v>
      </c>
      <c r="K540" s="2" t="s">
        <v>197</v>
      </c>
      <c r="L540" s="2" t="s">
        <v>123</v>
      </c>
      <c r="M540" s="2">
        <v>2015</v>
      </c>
      <c r="N540" s="2">
        <v>2015</v>
      </c>
      <c r="O540" s="2" t="s">
        <v>23</v>
      </c>
      <c r="P540" s="2">
        <v>1450260</v>
      </c>
      <c r="Q540" s="2" t="s">
        <v>143</v>
      </c>
      <c r="R540" s="2" t="s">
        <v>144</v>
      </c>
    </row>
    <row r="541" spans="5:18" ht="13.5" customHeight="1" x14ac:dyDescent="0.25">
      <c r="E541" s="2" t="s">
        <v>140</v>
      </c>
      <c r="F541" s="2" t="s">
        <v>141</v>
      </c>
      <c r="G541" s="2">
        <v>729</v>
      </c>
      <c r="H541" s="2" t="s">
        <v>206</v>
      </c>
      <c r="I541" s="2">
        <v>5312</v>
      </c>
      <c r="J541" s="2" t="s">
        <v>142</v>
      </c>
      <c r="K541" s="2" t="s">
        <v>197</v>
      </c>
      <c r="L541" s="2" t="s">
        <v>123</v>
      </c>
      <c r="M541" s="2">
        <v>2016</v>
      </c>
      <c r="N541" s="2">
        <v>2016</v>
      </c>
      <c r="O541" s="2" t="s">
        <v>23</v>
      </c>
      <c r="P541" s="2">
        <v>2134860</v>
      </c>
      <c r="Q541" s="2" t="s">
        <v>143</v>
      </c>
      <c r="R541" s="2" t="s">
        <v>144</v>
      </c>
    </row>
    <row r="542" spans="5:18" ht="13.5" customHeight="1" x14ac:dyDescent="0.25">
      <c r="E542" s="2" t="s">
        <v>140</v>
      </c>
      <c r="F542" s="2" t="s">
        <v>141</v>
      </c>
      <c r="G542" s="2">
        <v>729</v>
      </c>
      <c r="H542" s="2" t="s">
        <v>206</v>
      </c>
      <c r="I542" s="2">
        <v>5312</v>
      </c>
      <c r="J542" s="2" t="s">
        <v>142</v>
      </c>
      <c r="K542" s="2" t="s">
        <v>197</v>
      </c>
      <c r="L542" s="2" t="s">
        <v>123</v>
      </c>
      <c r="M542" s="2">
        <v>2017</v>
      </c>
      <c r="N542" s="2">
        <v>2017</v>
      </c>
      <c r="O542" s="2" t="s">
        <v>23</v>
      </c>
      <c r="P542" s="2">
        <v>2704000</v>
      </c>
      <c r="Q542" s="2" t="s">
        <v>168</v>
      </c>
      <c r="R542" s="2" t="s">
        <v>169</v>
      </c>
    </row>
    <row r="543" spans="5:18" ht="13.5" customHeight="1" x14ac:dyDescent="0.25">
      <c r="E543" s="2" t="s">
        <v>140</v>
      </c>
      <c r="F543" s="2" t="s">
        <v>141</v>
      </c>
      <c r="G543" s="2">
        <v>729</v>
      </c>
      <c r="H543" s="2" t="s">
        <v>206</v>
      </c>
      <c r="I543" s="2">
        <v>5312</v>
      </c>
      <c r="J543" s="2" t="s">
        <v>142</v>
      </c>
      <c r="K543" s="2" t="s">
        <v>197</v>
      </c>
      <c r="L543" s="2" t="s">
        <v>123</v>
      </c>
      <c r="M543" s="2">
        <v>2018</v>
      </c>
      <c r="N543" s="2">
        <v>2018</v>
      </c>
      <c r="O543" s="2" t="s">
        <v>23</v>
      </c>
      <c r="P543" s="2">
        <v>3480960</v>
      </c>
      <c r="Q543" s="2" t="s">
        <v>143</v>
      </c>
      <c r="R543" s="2" t="s">
        <v>144</v>
      </c>
    </row>
    <row r="544" spans="5:18" ht="13.5" customHeight="1" x14ac:dyDescent="0.25">
      <c r="E544" s="2" t="s">
        <v>140</v>
      </c>
      <c r="F544" s="2" t="s">
        <v>141</v>
      </c>
      <c r="G544" s="2">
        <v>729</v>
      </c>
      <c r="H544" s="2" t="s">
        <v>206</v>
      </c>
      <c r="I544" s="2">
        <v>5312</v>
      </c>
      <c r="J544" s="2" t="s">
        <v>142</v>
      </c>
      <c r="K544" s="2" t="s">
        <v>197</v>
      </c>
      <c r="L544" s="2" t="s">
        <v>123</v>
      </c>
      <c r="M544" s="2">
        <v>2019</v>
      </c>
      <c r="N544" s="2">
        <v>2019</v>
      </c>
      <c r="O544" s="2" t="s">
        <v>23</v>
      </c>
      <c r="P544" s="2">
        <v>4243680</v>
      </c>
      <c r="Q544" s="2" t="s">
        <v>143</v>
      </c>
      <c r="R544" s="2" t="s">
        <v>144</v>
      </c>
    </row>
    <row r="545" spans="5:18" ht="13.5" customHeight="1" x14ac:dyDescent="0.25">
      <c r="E545" s="2" t="s">
        <v>140</v>
      </c>
      <c r="F545" s="2" t="s">
        <v>141</v>
      </c>
      <c r="G545" s="2">
        <v>729</v>
      </c>
      <c r="H545" s="2" t="s">
        <v>206</v>
      </c>
      <c r="I545" s="2">
        <v>5312</v>
      </c>
      <c r="J545" s="2" t="s">
        <v>142</v>
      </c>
      <c r="K545" s="2" t="s">
        <v>197</v>
      </c>
      <c r="L545" s="2" t="s">
        <v>123</v>
      </c>
      <c r="M545" s="2">
        <v>2020</v>
      </c>
      <c r="N545" s="2">
        <v>2020</v>
      </c>
      <c r="O545" s="2" t="s">
        <v>23</v>
      </c>
      <c r="P545" s="2">
        <v>5173521</v>
      </c>
      <c r="Q545" s="2" t="s">
        <v>143</v>
      </c>
      <c r="R545" s="2" t="s">
        <v>144</v>
      </c>
    </row>
    <row r="546" spans="5:18" ht="13.5" customHeight="1" x14ac:dyDescent="0.25">
      <c r="E546" s="2" t="s">
        <v>140</v>
      </c>
      <c r="F546" s="2" t="s">
        <v>141</v>
      </c>
      <c r="G546" s="2">
        <v>729</v>
      </c>
      <c r="H546" s="2" t="s">
        <v>206</v>
      </c>
      <c r="I546" s="2">
        <v>5312</v>
      </c>
      <c r="J546" s="2" t="s">
        <v>142</v>
      </c>
      <c r="K546" s="2" t="s">
        <v>197</v>
      </c>
      <c r="L546" s="2" t="s">
        <v>123</v>
      </c>
      <c r="M546" s="2">
        <v>2021</v>
      </c>
      <c r="N546" s="2">
        <v>2021</v>
      </c>
      <c r="O546" s="2" t="s">
        <v>23</v>
      </c>
      <c r="P546" s="2">
        <v>3815933</v>
      </c>
      <c r="Q546" s="2" t="s">
        <v>115</v>
      </c>
      <c r="R546" s="2" t="s">
        <v>116</v>
      </c>
    </row>
    <row r="547" spans="5:18" ht="13.5" customHeight="1" x14ac:dyDescent="0.25">
      <c r="E547" s="2" t="s">
        <v>140</v>
      </c>
      <c r="F547" s="2" t="s">
        <v>141</v>
      </c>
      <c r="G547" s="2">
        <v>729</v>
      </c>
      <c r="H547" s="2" t="s">
        <v>206</v>
      </c>
      <c r="I547" s="2">
        <v>5419</v>
      </c>
      <c r="J547" s="2" t="s">
        <v>209</v>
      </c>
      <c r="K547" s="2" t="s">
        <v>197</v>
      </c>
      <c r="L547" s="2" t="s">
        <v>123</v>
      </c>
      <c r="M547" s="2">
        <v>2015</v>
      </c>
      <c r="N547" s="2">
        <v>2015</v>
      </c>
      <c r="O547" s="2" t="s">
        <v>210</v>
      </c>
      <c r="P547" s="2">
        <v>2269</v>
      </c>
      <c r="Q547" s="2" t="s">
        <v>143</v>
      </c>
      <c r="R547" s="2" t="s">
        <v>144</v>
      </c>
    </row>
    <row r="548" spans="5:18" ht="13.5" customHeight="1" x14ac:dyDescent="0.25">
      <c r="E548" s="2" t="s">
        <v>140</v>
      </c>
      <c r="F548" s="2" t="s">
        <v>141</v>
      </c>
      <c r="G548" s="2">
        <v>729</v>
      </c>
      <c r="H548" s="2" t="s">
        <v>206</v>
      </c>
      <c r="I548" s="2">
        <v>5419</v>
      </c>
      <c r="J548" s="2" t="s">
        <v>209</v>
      </c>
      <c r="K548" s="2" t="s">
        <v>197</v>
      </c>
      <c r="L548" s="2" t="s">
        <v>123</v>
      </c>
      <c r="M548" s="2">
        <v>2016</v>
      </c>
      <c r="N548" s="2">
        <v>2016</v>
      </c>
      <c r="O548" s="2" t="s">
        <v>210</v>
      </c>
      <c r="P548" s="2">
        <v>2459</v>
      </c>
      <c r="Q548" s="2" t="s">
        <v>143</v>
      </c>
      <c r="R548" s="2" t="s">
        <v>144</v>
      </c>
    </row>
    <row r="549" spans="5:18" ht="13.5" customHeight="1" x14ac:dyDescent="0.25">
      <c r="E549" s="2" t="s">
        <v>140</v>
      </c>
      <c r="F549" s="2" t="s">
        <v>141</v>
      </c>
      <c r="G549" s="2">
        <v>729</v>
      </c>
      <c r="H549" s="2" t="s">
        <v>206</v>
      </c>
      <c r="I549" s="2">
        <v>5419</v>
      </c>
      <c r="J549" s="2" t="s">
        <v>209</v>
      </c>
      <c r="K549" s="2" t="s">
        <v>197</v>
      </c>
      <c r="L549" s="2" t="s">
        <v>123</v>
      </c>
      <c r="M549" s="2">
        <v>2017</v>
      </c>
      <c r="N549" s="2">
        <v>2017</v>
      </c>
      <c r="O549" s="2" t="s">
        <v>210</v>
      </c>
      <c r="P549" s="2">
        <v>2888</v>
      </c>
      <c r="Q549" s="2" t="s">
        <v>115</v>
      </c>
      <c r="R549" s="2" t="s">
        <v>116</v>
      </c>
    </row>
    <row r="550" spans="5:18" ht="13.5" customHeight="1" x14ac:dyDescent="0.25">
      <c r="E550" s="2" t="s">
        <v>140</v>
      </c>
      <c r="F550" s="2" t="s">
        <v>141</v>
      </c>
      <c r="G550" s="2">
        <v>729</v>
      </c>
      <c r="H550" s="2" t="s">
        <v>206</v>
      </c>
      <c r="I550" s="2">
        <v>5419</v>
      </c>
      <c r="J550" s="2" t="s">
        <v>209</v>
      </c>
      <c r="K550" s="2" t="s">
        <v>197</v>
      </c>
      <c r="L550" s="2" t="s">
        <v>123</v>
      </c>
      <c r="M550" s="2">
        <v>2018</v>
      </c>
      <c r="N550" s="2">
        <v>2018</v>
      </c>
      <c r="O550" s="2" t="s">
        <v>210</v>
      </c>
      <c r="P550" s="2">
        <v>2758</v>
      </c>
      <c r="Q550" s="2" t="s">
        <v>143</v>
      </c>
      <c r="R550" s="2" t="s">
        <v>144</v>
      </c>
    </row>
    <row r="551" spans="5:18" ht="13.5" customHeight="1" x14ac:dyDescent="0.25">
      <c r="E551" s="2" t="s">
        <v>140</v>
      </c>
      <c r="F551" s="2" t="s">
        <v>141</v>
      </c>
      <c r="G551" s="2">
        <v>729</v>
      </c>
      <c r="H551" s="2" t="s">
        <v>206</v>
      </c>
      <c r="I551" s="2">
        <v>5419</v>
      </c>
      <c r="J551" s="2" t="s">
        <v>209</v>
      </c>
      <c r="K551" s="2" t="s">
        <v>197</v>
      </c>
      <c r="L551" s="2" t="s">
        <v>123</v>
      </c>
      <c r="M551" s="2">
        <v>2019</v>
      </c>
      <c r="N551" s="2">
        <v>2019</v>
      </c>
      <c r="O551" s="2" t="s">
        <v>210</v>
      </c>
      <c r="P551" s="2">
        <v>2851</v>
      </c>
      <c r="Q551" s="2" t="s">
        <v>143</v>
      </c>
      <c r="R551" s="2" t="s">
        <v>144</v>
      </c>
    </row>
    <row r="552" spans="5:18" ht="13.5" customHeight="1" x14ac:dyDescent="0.25">
      <c r="E552" s="2" t="s">
        <v>140</v>
      </c>
      <c r="F552" s="2" t="s">
        <v>141</v>
      </c>
      <c r="G552" s="2">
        <v>729</v>
      </c>
      <c r="H552" s="2" t="s">
        <v>206</v>
      </c>
      <c r="I552" s="2">
        <v>5419</v>
      </c>
      <c r="J552" s="2" t="s">
        <v>209</v>
      </c>
      <c r="K552" s="2" t="s">
        <v>197</v>
      </c>
      <c r="L552" s="2" t="s">
        <v>123</v>
      </c>
      <c r="M552" s="2">
        <v>2020</v>
      </c>
      <c r="N552" s="2">
        <v>2020</v>
      </c>
      <c r="O552" s="2" t="s">
        <v>210</v>
      </c>
      <c r="P552" s="2">
        <v>2948</v>
      </c>
      <c r="Q552" s="2" t="s">
        <v>143</v>
      </c>
      <c r="R552" s="2" t="s">
        <v>144</v>
      </c>
    </row>
    <row r="553" spans="5:18" ht="13.5" customHeight="1" x14ac:dyDescent="0.25">
      <c r="E553" s="2" t="s">
        <v>140</v>
      </c>
      <c r="F553" s="2" t="s">
        <v>141</v>
      </c>
      <c r="G553" s="2">
        <v>729</v>
      </c>
      <c r="H553" s="2" t="s">
        <v>206</v>
      </c>
      <c r="I553" s="2">
        <v>5419</v>
      </c>
      <c r="J553" s="2" t="s">
        <v>209</v>
      </c>
      <c r="K553" s="2" t="s">
        <v>197</v>
      </c>
      <c r="L553" s="2" t="s">
        <v>123</v>
      </c>
      <c r="M553" s="2">
        <v>2021</v>
      </c>
      <c r="N553" s="2">
        <v>2021</v>
      </c>
      <c r="O553" s="2" t="s">
        <v>210</v>
      </c>
      <c r="P553" s="2">
        <v>2933</v>
      </c>
      <c r="Q553" s="2" t="s">
        <v>115</v>
      </c>
      <c r="R553" s="2" t="s">
        <v>116</v>
      </c>
    </row>
    <row r="554" spans="5:18" ht="13.5" customHeight="1" x14ac:dyDescent="0.25">
      <c r="E554" s="2" t="s">
        <v>140</v>
      </c>
      <c r="F554" s="2" t="s">
        <v>141</v>
      </c>
      <c r="G554" s="2">
        <v>729</v>
      </c>
      <c r="H554" s="2" t="s">
        <v>206</v>
      </c>
      <c r="I554" s="2">
        <v>5312</v>
      </c>
      <c r="J554" s="2" t="s">
        <v>142</v>
      </c>
      <c r="K554" s="2" t="s">
        <v>198</v>
      </c>
      <c r="L554" s="2" t="s">
        <v>62</v>
      </c>
      <c r="M554" s="2">
        <v>2015</v>
      </c>
      <c r="N554" s="2">
        <v>2015</v>
      </c>
      <c r="O554" s="2" t="s">
        <v>23</v>
      </c>
      <c r="P554" s="2">
        <v>5197080</v>
      </c>
      <c r="Q554" s="2" t="s">
        <v>143</v>
      </c>
      <c r="R554" s="2" t="s">
        <v>144</v>
      </c>
    </row>
    <row r="555" spans="5:18" ht="13.5" customHeight="1" x14ac:dyDescent="0.25">
      <c r="E555" s="2" t="s">
        <v>140</v>
      </c>
      <c r="F555" s="2" t="s">
        <v>141</v>
      </c>
      <c r="G555" s="2">
        <v>729</v>
      </c>
      <c r="H555" s="2" t="s">
        <v>206</v>
      </c>
      <c r="I555" s="2">
        <v>5312</v>
      </c>
      <c r="J555" s="2" t="s">
        <v>142</v>
      </c>
      <c r="K555" s="2" t="s">
        <v>198</v>
      </c>
      <c r="L555" s="2" t="s">
        <v>62</v>
      </c>
      <c r="M555" s="2">
        <v>2016</v>
      </c>
      <c r="N555" s="2">
        <v>2016</v>
      </c>
      <c r="O555" s="2" t="s">
        <v>23</v>
      </c>
      <c r="P555" s="2">
        <v>9157680</v>
      </c>
      <c r="Q555" s="2" t="s">
        <v>143</v>
      </c>
      <c r="R555" s="2" t="s">
        <v>144</v>
      </c>
    </row>
    <row r="556" spans="5:18" ht="13.5" customHeight="1" x14ac:dyDescent="0.25">
      <c r="E556" s="2" t="s">
        <v>140</v>
      </c>
      <c r="F556" s="2" t="s">
        <v>141</v>
      </c>
      <c r="G556" s="2">
        <v>729</v>
      </c>
      <c r="H556" s="2" t="s">
        <v>206</v>
      </c>
      <c r="I556" s="2">
        <v>5312</v>
      </c>
      <c r="J556" s="2" t="s">
        <v>142</v>
      </c>
      <c r="K556" s="2" t="s">
        <v>198</v>
      </c>
      <c r="L556" s="2" t="s">
        <v>62</v>
      </c>
      <c r="M556" s="2">
        <v>2017</v>
      </c>
      <c r="N556" s="2">
        <v>2017</v>
      </c>
      <c r="O556" s="2" t="s">
        <v>23</v>
      </c>
      <c r="P556" s="2">
        <v>6476820</v>
      </c>
      <c r="Q556" s="2" t="s">
        <v>143</v>
      </c>
      <c r="R556" s="2" t="s">
        <v>144</v>
      </c>
    </row>
    <row r="557" spans="5:18" ht="13.5" customHeight="1" x14ac:dyDescent="0.25">
      <c r="E557" s="2" t="s">
        <v>140</v>
      </c>
      <c r="F557" s="2" t="s">
        <v>141</v>
      </c>
      <c r="G557" s="2">
        <v>729</v>
      </c>
      <c r="H557" s="2" t="s">
        <v>206</v>
      </c>
      <c r="I557" s="2">
        <v>5312</v>
      </c>
      <c r="J557" s="2" t="s">
        <v>142</v>
      </c>
      <c r="K557" s="2" t="s">
        <v>198</v>
      </c>
      <c r="L557" s="2" t="s">
        <v>62</v>
      </c>
      <c r="M557" s="2">
        <v>2018</v>
      </c>
      <c r="N557" s="2">
        <v>2018</v>
      </c>
      <c r="O557" s="2" t="s">
        <v>23</v>
      </c>
      <c r="P557" s="2">
        <v>8045940</v>
      </c>
      <c r="Q557" s="2" t="s">
        <v>143</v>
      </c>
      <c r="R557" s="2" t="s">
        <v>144</v>
      </c>
    </row>
    <row r="558" spans="5:18" ht="13.5" customHeight="1" x14ac:dyDescent="0.25">
      <c r="E558" s="2" t="s">
        <v>140</v>
      </c>
      <c r="F558" s="2" t="s">
        <v>141</v>
      </c>
      <c r="G558" s="2">
        <v>729</v>
      </c>
      <c r="H558" s="2" t="s">
        <v>206</v>
      </c>
      <c r="I558" s="2">
        <v>5312</v>
      </c>
      <c r="J558" s="2" t="s">
        <v>142</v>
      </c>
      <c r="K558" s="2" t="s">
        <v>198</v>
      </c>
      <c r="L558" s="2" t="s">
        <v>62</v>
      </c>
      <c r="M558" s="2">
        <v>2019</v>
      </c>
      <c r="N558" s="2">
        <v>2019</v>
      </c>
      <c r="O558" s="2" t="s">
        <v>23</v>
      </c>
      <c r="P558" s="2">
        <v>6827520</v>
      </c>
      <c r="Q558" s="2" t="s">
        <v>143</v>
      </c>
      <c r="R558" s="2" t="s">
        <v>144</v>
      </c>
    </row>
    <row r="559" spans="5:18" ht="13.5" customHeight="1" x14ac:dyDescent="0.25">
      <c r="E559" s="2" t="s">
        <v>140</v>
      </c>
      <c r="F559" s="2" t="s">
        <v>141</v>
      </c>
      <c r="G559" s="2">
        <v>729</v>
      </c>
      <c r="H559" s="2" t="s">
        <v>206</v>
      </c>
      <c r="I559" s="2">
        <v>5312</v>
      </c>
      <c r="J559" s="2" t="s">
        <v>142</v>
      </c>
      <c r="K559" s="2" t="s">
        <v>198</v>
      </c>
      <c r="L559" s="2" t="s">
        <v>62</v>
      </c>
      <c r="M559" s="2">
        <v>2020</v>
      </c>
      <c r="N559" s="2">
        <v>2020</v>
      </c>
      <c r="O559" s="2" t="s">
        <v>23</v>
      </c>
      <c r="P559" s="2">
        <v>5793609</v>
      </c>
      <c r="Q559" s="2" t="s">
        <v>143</v>
      </c>
      <c r="R559" s="2" t="s">
        <v>144</v>
      </c>
    </row>
    <row r="560" spans="5:18" ht="13.5" customHeight="1" x14ac:dyDescent="0.25">
      <c r="E560" s="2" t="s">
        <v>140</v>
      </c>
      <c r="F560" s="2" t="s">
        <v>141</v>
      </c>
      <c r="G560" s="2">
        <v>729</v>
      </c>
      <c r="H560" s="2" t="s">
        <v>206</v>
      </c>
      <c r="I560" s="2">
        <v>5312</v>
      </c>
      <c r="J560" s="2" t="s">
        <v>142</v>
      </c>
      <c r="K560" s="2" t="s">
        <v>198</v>
      </c>
      <c r="L560" s="2" t="s">
        <v>62</v>
      </c>
      <c r="M560" s="2">
        <v>2021</v>
      </c>
      <c r="N560" s="2">
        <v>2021</v>
      </c>
      <c r="O560" s="2" t="s">
        <v>23</v>
      </c>
      <c r="P560" s="2">
        <v>6920000</v>
      </c>
      <c r="Q560" s="2" t="s">
        <v>168</v>
      </c>
      <c r="R560" s="2" t="s">
        <v>169</v>
      </c>
    </row>
    <row r="561" spans="5:18" ht="13.5" customHeight="1" x14ac:dyDescent="0.25">
      <c r="E561" s="2" t="s">
        <v>140</v>
      </c>
      <c r="F561" s="2" t="s">
        <v>141</v>
      </c>
      <c r="G561" s="2">
        <v>729</v>
      </c>
      <c r="H561" s="2" t="s">
        <v>206</v>
      </c>
      <c r="I561" s="2">
        <v>5419</v>
      </c>
      <c r="J561" s="2" t="s">
        <v>209</v>
      </c>
      <c r="K561" s="2" t="s">
        <v>198</v>
      </c>
      <c r="L561" s="2" t="s">
        <v>62</v>
      </c>
      <c r="M561" s="2">
        <v>2015</v>
      </c>
      <c r="N561" s="2">
        <v>2015</v>
      </c>
      <c r="O561" s="2" t="s">
        <v>210</v>
      </c>
      <c r="P561" s="2">
        <v>5280</v>
      </c>
      <c r="Q561" s="2" t="s">
        <v>143</v>
      </c>
      <c r="R561" s="2" t="s">
        <v>144</v>
      </c>
    </row>
    <row r="562" spans="5:18" ht="13.5" customHeight="1" x14ac:dyDescent="0.25">
      <c r="E562" s="2" t="s">
        <v>140</v>
      </c>
      <c r="F562" s="2" t="s">
        <v>141</v>
      </c>
      <c r="G562" s="2">
        <v>729</v>
      </c>
      <c r="H562" s="2" t="s">
        <v>206</v>
      </c>
      <c r="I562" s="2">
        <v>5419</v>
      </c>
      <c r="J562" s="2" t="s">
        <v>209</v>
      </c>
      <c r="K562" s="2" t="s">
        <v>198</v>
      </c>
      <c r="L562" s="2" t="s">
        <v>62</v>
      </c>
      <c r="M562" s="2">
        <v>2016</v>
      </c>
      <c r="N562" s="2">
        <v>2016</v>
      </c>
      <c r="O562" s="2" t="s">
        <v>210</v>
      </c>
      <c r="P562" s="2">
        <v>7061</v>
      </c>
      <c r="Q562" s="2" t="s">
        <v>143</v>
      </c>
      <c r="R562" s="2" t="s">
        <v>144</v>
      </c>
    </row>
    <row r="563" spans="5:18" ht="13.5" customHeight="1" x14ac:dyDescent="0.25">
      <c r="E563" s="2" t="s">
        <v>140</v>
      </c>
      <c r="F563" s="2" t="s">
        <v>141</v>
      </c>
      <c r="G563" s="2">
        <v>729</v>
      </c>
      <c r="H563" s="2" t="s">
        <v>206</v>
      </c>
      <c r="I563" s="2">
        <v>5419</v>
      </c>
      <c r="J563" s="2" t="s">
        <v>209</v>
      </c>
      <c r="K563" s="2" t="s">
        <v>198</v>
      </c>
      <c r="L563" s="2" t="s">
        <v>62</v>
      </c>
      <c r="M563" s="2">
        <v>2017</v>
      </c>
      <c r="N563" s="2">
        <v>2017</v>
      </c>
      <c r="O563" s="2" t="s">
        <v>210</v>
      </c>
      <c r="P563" s="2">
        <v>6352</v>
      </c>
      <c r="Q563" s="2" t="s">
        <v>115</v>
      </c>
      <c r="R563" s="2" t="s">
        <v>116</v>
      </c>
    </row>
    <row r="564" spans="5:18" ht="13.5" customHeight="1" x14ac:dyDescent="0.25">
      <c r="E564" s="2" t="s">
        <v>140</v>
      </c>
      <c r="F564" s="2" t="s">
        <v>141</v>
      </c>
      <c r="G564" s="2">
        <v>729</v>
      </c>
      <c r="H564" s="2" t="s">
        <v>206</v>
      </c>
      <c r="I564" s="2">
        <v>5419</v>
      </c>
      <c r="J564" s="2" t="s">
        <v>209</v>
      </c>
      <c r="K564" s="2" t="s">
        <v>198</v>
      </c>
      <c r="L564" s="2" t="s">
        <v>62</v>
      </c>
      <c r="M564" s="2">
        <v>2018</v>
      </c>
      <c r="N564" s="2">
        <v>2018</v>
      </c>
      <c r="O564" s="2" t="s">
        <v>210</v>
      </c>
      <c r="P564" s="2">
        <v>6755</v>
      </c>
      <c r="Q564" s="2" t="s">
        <v>143</v>
      </c>
      <c r="R564" s="2" t="s">
        <v>144</v>
      </c>
    </row>
    <row r="565" spans="5:18" ht="13.5" customHeight="1" x14ac:dyDescent="0.25">
      <c r="E565" s="2" t="s">
        <v>140</v>
      </c>
      <c r="F565" s="2" t="s">
        <v>141</v>
      </c>
      <c r="G565" s="2">
        <v>729</v>
      </c>
      <c r="H565" s="2" t="s">
        <v>206</v>
      </c>
      <c r="I565" s="2">
        <v>5419</v>
      </c>
      <c r="J565" s="2" t="s">
        <v>209</v>
      </c>
      <c r="K565" s="2" t="s">
        <v>198</v>
      </c>
      <c r="L565" s="2" t="s">
        <v>62</v>
      </c>
      <c r="M565" s="2">
        <v>2019</v>
      </c>
      <c r="N565" s="2">
        <v>2019</v>
      </c>
      <c r="O565" s="2" t="s">
        <v>210</v>
      </c>
      <c r="P565" s="2">
        <v>5440</v>
      </c>
      <c r="Q565" s="2" t="s">
        <v>143</v>
      </c>
      <c r="R565" s="2" t="s">
        <v>144</v>
      </c>
    </row>
    <row r="566" spans="5:18" ht="13.5" customHeight="1" x14ac:dyDescent="0.25">
      <c r="E566" s="2" t="s">
        <v>140</v>
      </c>
      <c r="F566" s="2" t="s">
        <v>141</v>
      </c>
      <c r="G566" s="2">
        <v>729</v>
      </c>
      <c r="H566" s="2" t="s">
        <v>206</v>
      </c>
      <c r="I566" s="2">
        <v>5419</v>
      </c>
      <c r="J566" s="2" t="s">
        <v>209</v>
      </c>
      <c r="K566" s="2" t="s">
        <v>198</v>
      </c>
      <c r="L566" s="2" t="s">
        <v>62</v>
      </c>
      <c r="M566" s="2">
        <v>2020</v>
      </c>
      <c r="N566" s="2">
        <v>2020</v>
      </c>
      <c r="O566" s="2" t="s">
        <v>210</v>
      </c>
      <c r="P566" s="2">
        <v>5193</v>
      </c>
      <c r="Q566" s="2" t="s">
        <v>143</v>
      </c>
      <c r="R566" s="2" t="s">
        <v>144</v>
      </c>
    </row>
    <row r="567" spans="5:18" ht="13.5" customHeight="1" x14ac:dyDescent="0.25">
      <c r="E567" s="2" t="s">
        <v>140</v>
      </c>
      <c r="F567" s="2" t="s">
        <v>141</v>
      </c>
      <c r="G567" s="2">
        <v>729</v>
      </c>
      <c r="H567" s="2" t="s">
        <v>206</v>
      </c>
      <c r="I567" s="2">
        <v>5419</v>
      </c>
      <c r="J567" s="2" t="s">
        <v>209</v>
      </c>
      <c r="K567" s="2" t="s">
        <v>198</v>
      </c>
      <c r="L567" s="2" t="s">
        <v>62</v>
      </c>
      <c r="M567" s="2">
        <v>2021</v>
      </c>
      <c r="N567" s="2">
        <v>2021</v>
      </c>
      <c r="O567" s="2" t="s">
        <v>210</v>
      </c>
      <c r="P567" s="2">
        <v>5101</v>
      </c>
      <c r="Q567" s="2" t="s">
        <v>115</v>
      </c>
      <c r="R567" s="2" t="s">
        <v>116</v>
      </c>
    </row>
    <row r="568" spans="5:18" ht="13.5" customHeight="1" x14ac:dyDescent="0.25">
      <c r="E568" s="2" t="s">
        <v>140</v>
      </c>
      <c r="F568" s="2" t="s">
        <v>141</v>
      </c>
      <c r="G568" s="2">
        <v>729</v>
      </c>
      <c r="H568" s="2" t="s">
        <v>206</v>
      </c>
      <c r="I568" s="2">
        <v>5312</v>
      </c>
      <c r="J568" s="2" t="s">
        <v>142</v>
      </c>
      <c r="K568" s="2" t="s">
        <v>199</v>
      </c>
      <c r="L568" s="2" t="s">
        <v>200</v>
      </c>
      <c r="M568" s="2">
        <v>2015</v>
      </c>
      <c r="N568" s="2">
        <v>2015</v>
      </c>
      <c r="O568" s="2" t="s">
        <v>23</v>
      </c>
      <c r="P568" s="2">
        <v>69876</v>
      </c>
      <c r="Q568" s="2" t="s">
        <v>143</v>
      </c>
      <c r="R568" s="2" t="s">
        <v>144</v>
      </c>
    </row>
    <row r="569" spans="5:18" ht="13.5" customHeight="1" x14ac:dyDescent="0.25">
      <c r="E569" s="2" t="s">
        <v>140</v>
      </c>
      <c r="F569" s="2" t="s">
        <v>141</v>
      </c>
      <c r="G569" s="2">
        <v>729</v>
      </c>
      <c r="H569" s="2" t="s">
        <v>206</v>
      </c>
      <c r="I569" s="2">
        <v>5312</v>
      </c>
      <c r="J569" s="2" t="s">
        <v>142</v>
      </c>
      <c r="K569" s="2" t="s">
        <v>199</v>
      </c>
      <c r="L569" s="2" t="s">
        <v>200</v>
      </c>
      <c r="M569" s="2">
        <v>2016</v>
      </c>
      <c r="N569" s="2">
        <v>2016</v>
      </c>
      <c r="O569" s="2" t="s">
        <v>23</v>
      </c>
      <c r="P569" s="2">
        <v>71919</v>
      </c>
      <c r="Q569" s="2" t="s">
        <v>145</v>
      </c>
      <c r="R569" s="2" t="s">
        <v>146</v>
      </c>
    </row>
    <row r="570" spans="5:18" ht="13.5" customHeight="1" x14ac:dyDescent="0.25">
      <c r="E570" s="2" t="s">
        <v>140</v>
      </c>
      <c r="F570" s="2" t="s">
        <v>141</v>
      </c>
      <c r="G570" s="2">
        <v>729</v>
      </c>
      <c r="H570" s="2" t="s">
        <v>206</v>
      </c>
      <c r="I570" s="2">
        <v>5312</v>
      </c>
      <c r="J570" s="2" t="s">
        <v>142</v>
      </c>
      <c r="K570" s="2" t="s">
        <v>199</v>
      </c>
      <c r="L570" s="2" t="s">
        <v>200</v>
      </c>
      <c r="M570" s="2">
        <v>2017</v>
      </c>
      <c r="N570" s="2">
        <v>2017</v>
      </c>
      <c r="O570" s="2" t="s">
        <v>23</v>
      </c>
      <c r="P570" s="2">
        <v>82200</v>
      </c>
      <c r="Q570" s="2" t="s">
        <v>143</v>
      </c>
      <c r="R570" s="2" t="s">
        <v>144</v>
      </c>
    </row>
    <row r="571" spans="5:18" ht="13.5" customHeight="1" x14ac:dyDescent="0.25">
      <c r="E571" s="2" t="s">
        <v>140</v>
      </c>
      <c r="F571" s="2" t="s">
        <v>141</v>
      </c>
      <c r="G571" s="2">
        <v>729</v>
      </c>
      <c r="H571" s="2" t="s">
        <v>206</v>
      </c>
      <c r="I571" s="2">
        <v>5312</v>
      </c>
      <c r="J571" s="2" t="s">
        <v>142</v>
      </c>
      <c r="K571" s="2" t="s">
        <v>199</v>
      </c>
      <c r="L571" s="2" t="s">
        <v>200</v>
      </c>
      <c r="M571" s="2">
        <v>2018</v>
      </c>
      <c r="N571" s="2">
        <v>2018</v>
      </c>
      <c r="O571" s="2" t="s">
        <v>23</v>
      </c>
      <c r="P571" s="2">
        <v>72800</v>
      </c>
      <c r="Q571" s="2" t="s">
        <v>143</v>
      </c>
      <c r="R571" s="2" t="s">
        <v>144</v>
      </c>
    </row>
    <row r="572" spans="5:18" ht="13.5" customHeight="1" x14ac:dyDescent="0.25">
      <c r="E572" s="2" t="s">
        <v>140</v>
      </c>
      <c r="F572" s="2" t="s">
        <v>141</v>
      </c>
      <c r="G572" s="2">
        <v>729</v>
      </c>
      <c r="H572" s="2" t="s">
        <v>206</v>
      </c>
      <c r="I572" s="2">
        <v>5312</v>
      </c>
      <c r="J572" s="2" t="s">
        <v>142</v>
      </c>
      <c r="K572" s="2" t="s">
        <v>199</v>
      </c>
      <c r="L572" s="2" t="s">
        <v>200</v>
      </c>
      <c r="M572" s="2">
        <v>2019</v>
      </c>
      <c r="N572" s="2">
        <v>2019</v>
      </c>
      <c r="O572" s="2" t="s">
        <v>23</v>
      </c>
      <c r="P572" s="2">
        <v>71100</v>
      </c>
      <c r="Q572" s="2" t="s">
        <v>143</v>
      </c>
      <c r="R572" s="2" t="s">
        <v>144</v>
      </c>
    </row>
    <row r="573" spans="5:18" ht="13.5" customHeight="1" x14ac:dyDescent="0.25">
      <c r="E573" s="2" t="s">
        <v>140</v>
      </c>
      <c r="F573" s="2" t="s">
        <v>141</v>
      </c>
      <c r="G573" s="2">
        <v>729</v>
      </c>
      <c r="H573" s="2" t="s">
        <v>206</v>
      </c>
      <c r="I573" s="2">
        <v>5312</v>
      </c>
      <c r="J573" s="2" t="s">
        <v>142</v>
      </c>
      <c r="K573" s="2" t="s">
        <v>199</v>
      </c>
      <c r="L573" s="2" t="s">
        <v>200</v>
      </c>
      <c r="M573" s="2">
        <v>2020</v>
      </c>
      <c r="N573" s="2">
        <v>2020</v>
      </c>
      <c r="O573" s="2" t="s">
        <v>23</v>
      </c>
      <c r="P573" s="2">
        <v>69440</v>
      </c>
      <c r="Q573" s="2" t="s">
        <v>143</v>
      </c>
      <c r="R573" s="2" t="s">
        <v>144</v>
      </c>
    </row>
    <row r="574" spans="5:18" ht="13.5" customHeight="1" x14ac:dyDescent="0.25">
      <c r="E574" s="2" t="s">
        <v>140</v>
      </c>
      <c r="F574" s="2" t="s">
        <v>141</v>
      </c>
      <c r="G574" s="2">
        <v>729</v>
      </c>
      <c r="H574" s="2" t="s">
        <v>206</v>
      </c>
      <c r="I574" s="2">
        <v>5312</v>
      </c>
      <c r="J574" s="2" t="s">
        <v>142</v>
      </c>
      <c r="K574" s="2" t="s">
        <v>199</v>
      </c>
      <c r="L574" s="2" t="s">
        <v>200</v>
      </c>
      <c r="M574" s="2">
        <v>2021</v>
      </c>
      <c r="N574" s="2">
        <v>2021</v>
      </c>
      <c r="O574" s="2" t="s">
        <v>23</v>
      </c>
      <c r="P574" s="2">
        <v>73369</v>
      </c>
      <c r="Q574" s="2" t="s">
        <v>145</v>
      </c>
      <c r="R574" s="2" t="s">
        <v>146</v>
      </c>
    </row>
    <row r="575" spans="5:18" ht="13.5" customHeight="1" x14ac:dyDescent="0.25">
      <c r="E575" s="2" t="s">
        <v>140</v>
      </c>
      <c r="F575" s="2" t="s">
        <v>141</v>
      </c>
      <c r="G575" s="2">
        <v>729</v>
      </c>
      <c r="H575" s="2" t="s">
        <v>206</v>
      </c>
      <c r="I575" s="2">
        <v>5419</v>
      </c>
      <c r="J575" s="2" t="s">
        <v>209</v>
      </c>
      <c r="K575" s="2" t="s">
        <v>199</v>
      </c>
      <c r="L575" s="2" t="s">
        <v>200</v>
      </c>
      <c r="M575" s="2">
        <v>2015</v>
      </c>
      <c r="N575" s="2">
        <v>2015</v>
      </c>
      <c r="O575" s="2" t="s">
        <v>210</v>
      </c>
      <c r="P575" s="2">
        <v>844353</v>
      </c>
      <c r="Q575" s="2" t="s">
        <v>115</v>
      </c>
      <c r="R575" s="2" t="s">
        <v>116</v>
      </c>
    </row>
    <row r="576" spans="5:18" ht="13.5" customHeight="1" x14ac:dyDescent="0.25">
      <c r="E576" s="2" t="s">
        <v>140</v>
      </c>
      <c r="F576" s="2" t="s">
        <v>141</v>
      </c>
      <c r="G576" s="2">
        <v>729</v>
      </c>
      <c r="H576" s="2" t="s">
        <v>206</v>
      </c>
      <c r="I576" s="2">
        <v>5419</v>
      </c>
      <c r="J576" s="2" t="s">
        <v>209</v>
      </c>
      <c r="K576" s="2" t="s">
        <v>199</v>
      </c>
      <c r="L576" s="2" t="s">
        <v>200</v>
      </c>
      <c r="M576" s="2">
        <v>2016</v>
      </c>
      <c r="N576" s="2">
        <v>2016</v>
      </c>
      <c r="O576" s="2" t="s">
        <v>210</v>
      </c>
      <c r="P576" s="2">
        <v>834274</v>
      </c>
      <c r="Q576" s="2" t="s">
        <v>115</v>
      </c>
      <c r="R576" s="2" t="s">
        <v>116</v>
      </c>
    </row>
    <row r="577" spans="5:18" ht="13.5" customHeight="1" x14ac:dyDescent="0.25">
      <c r="E577" s="2" t="s">
        <v>140</v>
      </c>
      <c r="F577" s="2" t="s">
        <v>141</v>
      </c>
      <c r="G577" s="2">
        <v>729</v>
      </c>
      <c r="H577" s="2" t="s">
        <v>206</v>
      </c>
      <c r="I577" s="2">
        <v>5419</v>
      </c>
      <c r="J577" s="2" t="s">
        <v>209</v>
      </c>
      <c r="K577" s="2" t="s">
        <v>199</v>
      </c>
      <c r="L577" s="2" t="s">
        <v>200</v>
      </c>
      <c r="M577" s="2">
        <v>2017</v>
      </c>
      <c r="N577" s="2">
        <v>2017</v>
      </c>
      <c r="O577" s="2" t="s">
        <v>210</v>
      </c>
      <c r="P577" s="2">
        <v>788564</v>
      </c>
      <c r="Q577" s="2" t="s">
        <v>115</v>
      </c>
      <c r="R577" s="2" t="s">
        <v>116</v>
      </c>
    </row>
    <row r="578" spans="5:18" ht="13.5" customHeight="1" x14ac:dyDescent="0.25">
      <c r="E578" s="2" t="s">
        <v>140</v>
      </c>
      <c r="F578" s="2" t="s">
        <v>141</v>
      </c>
      <c r="G578" s="2">
        <v>729</v>
      </c>
      <c r="H578" s="2" t="s">
        <v>206</v>
      </c>
      <c r="I578" s="2">
        <v>5419</v>
      </c>
      <c r="J578" s="2" t="s">
        <v>209</v>
      </c>
      <c r="K578" s="2" t="s">
        <v>199</v>
      </c>
      <c r="L578" s="2" t="s">
        <v>200</v>
      </c>
      <c r="M578" s="2">
        <v>2018</v>
      </c>
      <c r="N578" s="2">
        <v>2018</v>
      </c>
      <c r="O578" s="2" t="s">
        <v>210</v>
      </c>
      <c r="P578" s="2">
        <v>835714</v>
      </c>
      <c r="Q578" s="2" t="s">
        <v>115</v>
      </c>
      <c r="R578" s="2" t="s">
        <v>116</v>
      </c>
    </row>
    <row r="579" spans="5:18" ht="13.5" customHeight="1" x14ac:dyDescent="0.25">
      <c r="E579" s="2" t="s">
        <v>140</v>
      </c>
      <c r="F579" s="2" t="s">
        <v>141</v>
      </c>
      <c r="G579" s="2">
        <v>729</v>
      </c>
      <c r="H579" s="2" t="s">
        <v>206</v>
      </c>
      <c r="I579" s="2">
        <v>5419</v>
      </c>
      <c r="J579" s="2" t="s">
        <v>209</v>
      </c>
      <c r="K579" s="2" t="s">
        <v>199</v>
      </c>
      <c r="L579" s="2" t="s">
        <v>200</v>
      </c>
      <c r="M579" s="2">
        <v>2019</v>
      </c>
      <c r="N579" s="2">
        <v>2019</v>
      </c>
      <c r="O579" s="2" t="s">
        <v>210</v>
      </c>
      <c r="P579" s="2">
        <v>766385</v>
      </c>
      <c r="Q579" s="2" t="s">
        <v>115</v>
      </c>
      <c r="R579" s="2" t="s">
        <v>116</v>
      </c>
    </row>
    <row r="580" spans="5:18" ht="13.5" customHeight="1" x14ac:dyDescent="0.25">
      <c r="E580" s="2" t="s">
        <v>140</v>
      </c>
      <c r="F580" s="2" t="s">
        <v>141</v>
      </c>
      <c r="G580" s="2">
        <v>729</v>
      </c>
      <c r="H580" s="2" t="s">
        <v>206</v>
      </c>
      <c r="I580" s="2">
        <v>5419</v>
      </c>
      <c r="J580" s="2" t="s">
        <v>209</v>
      </c>
      <c r="K580" s="2" t="s">
        <v>199</v>
      </c>
      <c r="L580" s="2" t="s">
        <v>200</v>
      </c>
      <c r="M580" s="2">
        <v>2020</v>
      </c>
      <c r="N580" s="2">
        <v>2020</v>
      </c>
      <c r="O580" s="2" t="s">
        <v>210</v>
      </c>
      <c r="P580" s="2">
        <v>739615</v>
      </c>
      <c r="Q580" s="2" t="s">
        <v>115</v>
      </c>
      <c r="R580" s="2" t="s">
        <v>116</v>
      </c>
    </row>
    <row r="581" spans="5:18" ht="13.5" customHeight="1" x14ac:dyDescent="0.25">
      <c r="E581" s="2" t="s">
        <v>140</v>
      </c>
      <c r="F581" s="2" t="s">
        <v>141</v>
      </c>
      <c r="G581" s="2">
        <v>729</v>
      </c>
      <c r="H581" s="2" t="s">
        <v>206</v>
      </c>
      <c r="I581" s="2">
        <v>5419</v>
      </c>
      <c r="J581" s="2" t="s">
        <v>209</v>
      </c>
      <c r="K581" s="2" t="s">
        <v>199</v>
      </c>
      <c r="L581" s="2" t="s">
        <v>200</v>
      </c>
      <c r="M581" s="2">
        <v>2021</v>
      </c>
      <c r="N581" s="2">
        <v>2021</v>
      </c>
      <c r="O581" s="2" t="s">
        <v>210</v>
      </c>
      <c r="P581" s="2">
        <v>726670</v>
      </c>
      <c r="Q581" s="2" t="s">
        <v>115</v>
      </c>
      <c r="R581" s="2" t="s">
        <v>116</v>
      </c>
    </row>
    <row r="582" spans="5:18" ht="13.5" customHeight="1" x14ac:dyDescent="0.25">
      <c r="E582" s="2" t="s">
        <v>140</v>
      </c>
      <c r="F582" s="2" t="s">
        <v>141</v>
      </c>
      <c r="G582" s="2">
        <v>729</v>
      </c>
      <c r="H582" s="2" t="s">
        <v>206</v>
      </c>
      <c r="I582" s="2">
        <v>5312</v>
      </c>
      <c r="J582" s="2" t="s">
        <v>142</v>
      </c>
      <c r="K582" s="2" t="s">
        <v>229</v>
      </c>
      <c r="L582" s="2" t="s">
        <v>230</v>
      </c>
      <c r="M582" s="2">
        <v>2015</v>
      </c>
      <c r="N582" s="2">
        <v>2015</v>
      </c>
      <c r="O582" s="2" t="s">
        <v>23</v>
      </c>
      <c r="P582" s="2">
        <v>92400</v>
      </c>
      <c r="Q582" s="2" t="s">
        <v>143</v>
      </c>
      <c r="R582" s="2" t="s">
        <v>144</v>
      </c>
    </row>
    <row r="583" spans="5:18" ht="13.5" customHeight="1" x14ac:dyDescent="0.25">
      <c r="E583" s="2" t="s">
        <v>140</v>
      </c>
      <c r="F583" s="2" t="s">
        <v>141</v>
      </c>
      <c r="G583" s="2">
        <v>729</v>
      </c>
      <c r="H583" s="2" t="s">
        <v>206</v>
      </c>
      <c r="I583" s="2">
        <v>5312</v>
      </c>
      <c r="J583" s="2" t="s">
        <v>142</v>
      </c>
      <c r="K583" s="2" t="s">
        <v>229</v>
      </c>
      <c r="L583" s="2" t="s">
        <v>230</v>
      </c>
      <c r="M583" s="2">
        <v>2016</v>
      </c>
      <c r="N583" s="2">
        <v>2016</v>
      </c>
      <c r="O583" s="2" t="s">
        <v>23</v>
      </c>
      <c r="P583" s="2">
        <v>122220</v>
      </c>
      <c r="Q583" s="2" t="s">
        <v>143</v>
      </c>
      <c r="R583" s="2" t="s">
        <v>144</v>
      </c>
    </row>
    <row r="584" spans="5:18" ht="13.5" customHeight="1" x14ac:dyDescent="0.25">
      <c r="E584" s="2" t="s">
        <v>140</v>
      </c>
      <c r="F584" s="2" t="s">
        <v>141</v>
      </c>
      <c r="G584" s="2">
        <v>729</v>
      </c>
      <c r="H584" s="2" t="s">
        <v>206</v>
      </c>
      <c r="I584" s="2">
        <v>5312</v>
      </c>
      <c r="J584" s="2" t="s">
        <v>142</v>
      </c>
      <c r="K584" s="2" t="s">
        <v>229</v>
      </c>
      <c r="L584" s="2" t="s">
        <v>230</v>
      </c>
      <c r="M584" s="2">
        <v>2017</v>
      </c>
      <c r="N584" s="2">
        <v>2017</v>
      </c>
      <c r="O584" s="2" t="s">
        <v>23</v>
      </c>
      <c r="P584" s="2">
        <v>202000</v>
      </c>
      <c r="Q584" s="2" t="s">
        <v>168</v>
      </c>
      <c r="R584" s="2" t="s">
        <v>169</v>
      </c>
    </row>
    <row r="585" spans="5:18" ht="13.5" customHeight="1" x14ac:dyDescent="0.25">
      <c r="E585" s="2" t="s">
        <v>140</v>
      </c>
      <c r="F585" s="2" t="s">
        <v>141</v>
      </c>
      <c r="G585" s="2">
        <v>729</v>
      </c>
      <c r="H585" s="2" t="s">
        <v>206</v>
      </c>
      <c r="I585" s="2">
        <v>5312</v>
      </c>
      <c r="J585" s="2" t="s">
        <v>142</v>
      </c>
      <c r="K585" s="2" t="s">
        <v>229</v>
      </c>
      <c r="L585" s="2" t="s">
        <v>230</v>
      </c>
      <c r="M585" s="2">
        <v>2018</v>
      </c>
      <c r="N585" s="2">
        <v>2018</v>
      </c>
      <c r="O585" s="2" t="s">
        <v>23</v>
      </c>
      <c r="P585" s="2">
        <v>207900</v>
      </c>
      <c r="Q585" s="2" t="s">
        <v>143</v>
      </c>
      <c r="R585" s="2" t="s">
        <v>144</v>
      </c>
    </row>
    <row r="586" spans="5:18" ht="13.5" customHeight="1" x14ac:dyDescent="0.25">
      <c r="E586" s="2" t="s">
        <v>140</v>
      </c>
      <c r="F586" s="2" t="s">
        <v>141</v>
      </c>
      <c r="G586" s="2">
        <v>729</v>
      </c>
      <c r="H586" s="2" t="s">
        <v>206</v>
      </c>
      <c r="I586" s="2">
        <v>5312</v>
      </c>
      <c r="J586" s="2" t="s">
        <v>142</v>
      </c>
      <c r="K586" s="2" t="s">
        <v>229</v>
      </c>
      <c r="L586" s="2" t="s">
        <v>230</v>
      </c>
      <c r="M586" s="2">
        <v>2019</v>
      </c>
      <c r="N586" s="2">
        <v>2019</v>
      </c>
      <c r="O586" s="2" t="s">
        <v>23</v>
      </c>
      <c r="P586" s="2">
        <v>206220</v>
      </c>
      <c r="Q586" s="2" t="s">
        <v>143</v>
      </c>
      <c r="R586" s="2" t="s">
        <v>144</v>
      </c>
    </row>
    <row r="587" spans="5:18" ht="13.5" customHeight="1" x14ac:dyDescent="0.25">
      <c r="E587" s="2" t="s">
        <v>140</v>
      </c>
      <c r="F587" s="2" t="s">
        <v>141</v>
      </c>
      <c r="G587" s="2">
        <v>729</v>
      </c>
      <c r="H587" s="2" t="s">
        <v>206</v>
      </c>
      <c r="I587" s="2">
        <v>5312</v>
      </c>
      <c r="J587" s="2" t="s">
        <v>142</v>
      </c>
      <c r="K587" s="2" t="s">
        <v>229</v>
      </c>
      <c r="L587" s="2" t="s">
        <v>230</v>
      </c>
      <c r="M587" s="2">
        <v>2020</v>
      </c>
      <c r="N587" s="2">
        <v>2020</v>
      </c>
      <c r="O587" s="2" t="s">
        <v>23</v>
      </c>
      <c r="P587" s="2">
        <v>204554</v>
      </c>
      <c r="Q587" s="2" t="s">
        <v>143</v>
      </c>
      <c r="R587" s="2" t="s">
        <v>144</v>
      </c>
    </row>
    <row r="588" spans="5:18" ht="13.5" customHeight="1" x14ac:dyDescent="0.25">
      <c r="E588" s="2" t="s">
        <v>140</v>
      </c>
      <c r="F588" s="2" t="s">
        <v>141</v>
      </c>
      <c r="G588" s="2">
        <v>729</v>
      </c>
      <c r="H588" s="2" t="s">
        <v>206</v>
      </c>
      <c r="I588" s="2">
        <v>5312</v>
      </c>
      <c r="J588" s="2" t="s">
        <v>142</v>
      </c>
      <c r="K588" s="2" t="s">
        <v>229</v>
      </c>
      <c r="L588" s="2" t="s">
        <v>230</v>
      </c>
      <c r="M588" s="2">
        <v>2021</v>
      </c>
      <c r="N588" s="2">
        <v>2021</v>
      </c>
      <c r="O588" s="2" t="s">
        <v>23</v>
      </c>
      <c r="P588" s="2">
        <v>231656</v>
      </c>
      <c r="Q588" s="2" t="s">
        <v>145</v>
      </c>
      <c r="R588" s="2" t="s">
        <v>146</v>
      </c>
    </row>
    <row r="589" spans="5:18" ht="13.5" customHeight="1" x14ac:dyDescent="0.25">
      <c r="E589" s="2" t="s">
        <v>140</v>
      </c>
      <c r="F589" s="2" t="s">
        <v>141</v>
      </c>
      <c r="G589" s="2">
        <v>729</v>
      </c>
      <c r="H589" s="2" t="s">
        <v>206</v>
      </c>
      <c r="I589" s="2">
        <v>5419</v>
      </c>
      <c r="J589" s="2" t="s">
        <v>209</v>
      </c>
      <c r="K589" s="2" t="s">
        <v>229</v>
      </c>
      <c r="L589" s="2" t="s">
        <v>230</v>
      </c>
      <c r="M589" s="2">
        <v>2015</v>
      </c>
      <c r="N589" s="2">
        <v>2015</v>
      </c>
      <c r="O589" s="2" t="s">
        <v>210</v>
      </c>
      <c r="P589" s="2">
        <v>7576</v>
      </c>
      <c r="Q589" s="2" t="s">
        <v>143</v>
      </c>
      <c r="R589" s="2" t="s">
        <v>144</v>
      </c>
    </row>
    <row r="590" spans="5:18" ht="13.5" customHeight="1" x14ac:dyDescent="0.25">
      <c r="E590" s="2" t="s">
        <v>140</v>
      </c>
      <c r="F590" s="2" t="s">
        <v>141</v>
      </c>
      <c r="G590" s="2">
        <v>729</v>
      </c>
      <c r="H590" s="2" t="s">
        <v>206</v>
      </c>
      <c r="I590" s="2">
        <v>5419</v>
      </c>
      <c r="J590" s="2" t="s">
        <v>209</v>
      </c>
      <c r="K590" s="2" t="s">
        <v>229</v>
      </c>
      <c r="L590" s="2" t="s">
        <v>230</v>
      </c>
      <c r="M590" s="2">
        <v>2016</v>
      </c>
      <c r="N590" s="2">
        <v>2016</v>
      </c>
      <c r="O590" s="2" t="s">
        <v>210</v>
      </c>
      <c r="P590" s="2">
        <v>7118</v>
      </c>
      <c r="Q590" s="2" t="s">
        <v>143</v>
      </c>
      <c r="R590" s="2" t="s">
        <v>144</v>
      </c>
    </row>
    <row r="591" spans="5:18" ht="13.5" customHeight="1" x14ac:dyDescent="0.25">
      <c r="E591" s="2" t="s">
        <v>140</v>
      </c>
      <c r="F591" s="2" t="s">
        <v>141</v>
      </c>
      <c r="G591" s="2">
        <v>729</v>
      </c>
      <c r="H591" s="2" t="s">
        <v>206</v>
      </c>
      <c r="I591" s="2">
        <v>5419</v>
      </c>
      <c r="J591" s="2" t="s">
        <v>209</v>
      </c>
      <c r="K591" s="2" t="s">
        <v>229</v>
      </c>
      <c r="L591" s="2" t="s">
        <v>230</v>
      </c>
      <c r="M591" s="2">
        <v>2017</v>
      </c>
      <c r="N591" s="2">
        <v>2017</v>
      </c>
      <c r="O591" s="2" t="s">
        <v>210</v>
      </c>
      <c r="P591" s="2">
        <v>7574</v>
      </c>
      <c r="Q591" s="2" t="s">
        <v>115</v>
      </c>
      <c r="R591" s="2" t="s">
        <v>116</v>
      </c>
    </row>
    <row r="592" spans="5:18" ht="13.5" customHeight="1" x14ac:dyDescent="0.25">
      <c r="E592" s="2" t="s">
        <v>140</v>
      </c>
      <c r="F592" s="2" t="s">
        <v>141</v>
      </c>
      <c r="G592" s="2">
        <v>729</v>
      </c>
      <c r="H592" s="2" t="s">
        <v>206</v>
      </c>
      <c r="I592" s="2">
        <v>5419</v>
      </c>
      <c r="J592" s="2" t="s">
        <v>209</v>
      </c>
      <c r="K592" s="2" t="s">
        <v>229</v>
      </c>
      <c r="L592" s="2" t="s">
        <v>230</v>
      </c>
      <c r="M592" s="2">
        <v>2018</v>
      </c>
      <c r="N592" s="2">
        <v>2018</v>
      </c>
      <c r="O592" s="2" t="s">
        <v>210</v>
      </c>
      <c r="P592" s="2">
        <v>5195</v>
      </c>
      <c r="Q592" s="2" t="s">
        <v>143</v>
      </c>
      <c r="R592" s="2" t="s">
        <v>144</v>
      </c>
    </row>
    <row r="593" spans="5:18" ht="13.5" customHeight="1" x14ac:dyDescent="0.25">
      <c r="E593" s="2" t="s">
        <v>140</v>
      </c>
      <c r="F593" s="2" t="s">
        <v>141</v>
      </c>
      <c r="G593" s="2">
        <v>729</v>
      </c>
      <c r="H593" s="2" t="s">
        <v>206</v>
      </c>
      <c r="I593" s="2">
        <v>5419</v>
      </c>
      <c r="J593" s="2" t="s">
        <v>209</v>
      </c>
      <c r="K593" s="2" t="s">
        <v>229</v>
      </c>
      <c r="L593" s="2" t="s">
        <v>230</v>
      </c>
      <c r="M593" s="2">
        <v>2019</v>
      </c>
      <c r="N593" s="2">
        <v>2019</v>
      </c>
      <c r="O593" s="2" t="s">
        <v>210</v>
      </c>
      <c r="P593" s="2">
        <v>5189</v>
      </c>
      <c r="Q593" s="2" t="s">
        <v>143</v>
      </c>
      <c r="R593" s="2" t="s">
        <v>144</v>
      </c>
    </row>
    <row r="594" spans="5:18" ht="13.5" customHeight="1" x14ac:dyDescent="0.25">
      <c r="E594" s="2" t="s">
        <v>140</v>
      </c>
      <c r="F594" s="2" t="s">
        <v>141</v>
      </c>
      <c r="G594" s="2">
        <v>729</v>
      </c>
      <c r="H594" s="2" t="s">
        <v>206</v>
      </c>
      <c r="I594" s="2">
        <v>5419</v>
      </c>
      <c r="J594" s="2" t="s">
        <v>209</v>
      </c>
      <c r="K594" s="2" t="s">
        <v>229</v>
      </c>
      <c r="L594" s="2" t="s">
        <v>230</v>
      </c>
      <c r="M594" s="2">
        <v>2020</v>
      </c>
      <c r="N594" s="2">
        <v>2020</v>
      </c>
      <c r="O594" s="2" t="s">
        <v>210</v>
      </c>
      <c r="P594" s="2">
        <v>5182</v>
      </c>
      <c r="Q594" s="2" t="s">
        <v>143</v>
      </c>
      <c r="R594" s="2" t="s">
        <v>144</v>
      </c>
    </row>
    <row r="595" spans="5:18" ht="13.5" customHeight="1" x14ac:dyDescent="0.25">
      <c r="E595" s="2" t="s">
        <v>140</v>
      </c>
      <c r="F595" s="2" t="s">
        <v>141</v>
      </c>
      <c r="G595" s="2">
        <v>729</v>
      </c>
      <c r="H595" s="2" t="s">
        <v>206</v>
      </c>
      <c r="I595" s="2">
        <v>5419</v>
      </c>
      <c r="J595" s="2" t="s">
        <v>209</v>
      </c>
      <c r="K595" s="2" t="s">
        <v>229</v>
      </c>
      <c r="L595" s="2" t="s">
        <v>230</v>
      </c>
      <c r="M595" s="2">
        <v>2021</v>
      </c>
      <c r="N595" s="2">
        <v>2021</v>
      </c>
      <c r="O595" s="2" t="s">
        <v>210</v>
      </c>
      <c r="P595" s="2">
        <v>4771</v>
      </c>
      <c r="Q595" s="2" t="s">
        <v>115</v>
      </c>
      <c r="R595" s="2" t="s">
        <v>116</v>
      </c>
    </row>
    <row r="596" spans="5:18" ht="13.5" customHeight="1" x14ac:dyDescent="0.25">
      <c r="E596" s="2" t="s">
        <v>140</v>
      </c>
      <c r="F596" s="2" t="s">
        <v>141</v>
      </c>
      <c r="G596" s="2">
        <v>729</v>
      </c>
      <c r="H596" s="2" t="s">
        <v>206</v>
      </c>
      <c r="I596" s="2">
        <v>5312</v>
      </c>
      <c r="J596" s="2" t="s">
        <v>142</v>
      </c>
      <c r="K596" s="2" t="s">
        <v>201</v>
      </c>
      <c r="L596" s="2" t="s">
        <v>131</v>
      </c>
      <c r="M596" s="2">
        <v>2015</v>
      </c>
      <c r="N596" s="2">
        <v>2015</v>
      </c>
      <c r="O596" s="2" t="s">
        <v>23</v>
      </c>
      <c r="P596" s="2">
        <v>16380</v>
      </c>
      <c r="Q596" s="2" t="s">
        <v>143</v>
      </c>
      <c r="R596" s="2" t="s">
        <v>144</v>
      </c>
    </row>
    <row r="597" spans="5:18" ht="13.5" customHeight="1" x14ac:dyDescent="0.25">
      <c r="E597" s="2" t="s">
        <v>140</v>
      </c>
      <c r="F597" s="2" t="s">
        <v>141</v>
      </c>
      <c r="G597" s="2">
        <v>729</v>
      </c>
      <c r="H597" s="2" t="s">
        <v>206</v>
      </c>
      <c r="I597" s="2">
        <v>5312</v>
      </c>
      <c r="J597" s="2" t="s">
        <v>142</v>
      </c>
      <c r="K597" s="2" t="s">
        <v>201</v>
      </c>
      <c r="L597" s="2" t="s">
        <v>131</v>
      </c>
      <c r="M597" s="2">
        <v>2016</v>
      </c>
      <c r="N597" s="2">
        <v>2016</v>
      </c>
      <c r="O597" s="2" t="s">
        <v>23</v>
      </c>
      <c r="P597" s="2">
        <v>24024</v>
      </c>
      <c r="Q597" s="2" t="s">
        <v>143</v>
      </c>
      <c r="R597" s="2" t="s">
        <v>144</v>
      </c>
    </row>
    <row r="598" spans="5:18" ht="13.5" customHeight="1" x14ac:dyDescent="0.25">
      <c r="E598" s="2" t="s">
        <v>140</v>
      </c>
      <c r="F598" s="2" t="s">
        <v>141</v>
      </c>
      <c r="G598" s="2">
        <v>729</v>
      </c>
      <c r="H598" s="2" t="s">
        <v>206</v>
      </c>
      <c r="I598" s="2">
        <v>5312</v>
      </c>
      <c r="J598" s="2" t="s">
        <v>142</v>
      </c>
      <c r="K598" s="2" t="s">
        <v>201</v>
      </c>
      <c r="L598" s="2" t="s">
        <v>131</v>
      </c>
      <c r="M598" s="2">
        <v>2017</v>
      </c>
      <c r="N598" s="2">
        <v>2017</v>
      </c>
      <c r="O598" s="2" t="s">
        <v>23</v>
      </c>
      <c r="P598" s="2">
        <v>24144</v>
      </c>
      <c r="Q598" s="2" t="s">
        <v>143</v>
      </c>
      <c r="R598" s="2" t="s">
        <v>144</v>
      </c>
    </row>
    <row r="599" spans="5:18" ht="13.5" customHeight="1" x14ac:dyDescent="0.25">
      <c r="E599" s="2" t="s">
        <v>140</v>
      </c>
      <c r="F599" s="2" t="s">
        <v>141</v>
      </c>
      <c r="G599" s="2">
        <v>729</v>
      </c>
      <c r="H599" s="2" t="s">
        <v>206</v>
      </c>
      <c r="I599" s="2">
        <v>5312</v>
      </c>
      <c r="J599" s="2" t="s">
        <v>142</v>
      </c>
      <c r="K599" s="2" t="s">
        <v>201</v>
      </c>
      <c r="L599" s="2" t="s">
        <v>131</v>
      </c>
      <c r="M599" s="2">
        <v>2018</v>
      </c>
      <c r="N599" s="2">
        <v>2018</v>
      </c>
      <c r="O599" s="2" t="s">
        <v>23</v>
      </c>
      <c r="P599" s="2">
        <v>24163</v>
      </c>
      <c r="Q599" s="2" t="s">
        <v>143</v>
      </c>
      <c r="R599" s="2" t="s">
        <v>144</v>
      </c>
    </row>
    <row r="600" spans="5:18" ht="13.5" customHeight="1" x14ac:dyDescent="0.25">
      <c r="E600" s="2" t="s">
        <v>140</v>
      </c>
      <c r="F600" s="2" t="s">
        <v>141</v>
      </c>
      <c r="G600" s="2">
        <v>729</v>
      </c>
      <c r="H600" s="2" t="s">
        <v>206</v>
      </c>
      <c r="I600" s="2">
        <v>5312</v>
      </c>
      <c r="J600" s="2" t="s">
        <v>142</v>
      </c>
      <c r="K600" s="2" t="s">
        <v>201</v>
      </c>
      <c r="L600" s="2" t="s">
        <v>131</v>
      </c>
      <c r="M600" s="2">
        <v>2019</v>
      </c>
      <c r="N600" s="2">
        <v>2019</v>
      </c>
      <c r="O600" s="2" t="s">
        <v>23</v>
      </c>
      <c r="P600" s="2">
        <v>25130</v>
      </c>
      <c r="Q600" s="2" t="s">
        <v>143</v>
      </c>
      <c r="R600" s="2" t="s">
        <v>144</v>
      </c>
    </row>
    <row r="601" spans="5:18" ht="13.5" customHeight="1" x14ac:dyDescent="0.25">
      <c r="E601" s="2" t="s">
        <v>140</v>
      </c>
      <c r="F601" s="2" t="s">
        <v>141</v>
      </c>
      <c r="G601" s="2">
        <v>729</v>
      </c>
      <c r="H601" s="2" t="s">
        <v>206</v>
      </c>
      <c r="I601" s="2">
        <v>5312</v>
      </c>
      <c r="J601" s="2" t="s">
        <v>142</v>
      </c>
      <c r="K601" s="2" t="s">
        <v>201</v>
      </c>
      <c r="L601" s="2" t="s">
        <v>131</v>
      </c>
      <c r="M601" s="2">
        <v>2020</v>
      </c>
      <c r="N601" s="2">
        <v>2020</v>
      </c>
      <c r="O601" s="2" t="s">
        <v>23</v>
      </c>
      <c r="P601" s="2">
        <v>26135</v>
      </c>
      <c r="Q601" s="2" t="s">
        <v>143</v>
      </c>
      <c r="R601" s="2" t="s">
        <v>144</v>
      </c>
    </row>
    <row r="602" spans="5:18" ht="13.5" customHeight="1" x14ac:dyDescent="0.25">
      <c r="E602" s="2" t="s">
        <v>140</v>
      </c>
      <c r="F602" s="2" t="s">
        <v>141</v>
      </c>
      <c r="G602" s="2">
        <v>729</v>
      </c>
      <c r="H602" s="2" t="s">
        <v>206</v>
      </c>
      <c r="I602" s="2">
        <v>5312</v>
      </c>
      <c r="J602" s="2" t="s">
        <v>142</v>
      </c>
      <c r="K602" s="2" t="s">
        <v>201</v>
      </c>
      <c r="L602" s="2" t="s">
        <v>131</v>
      </c>
      <c r="M602" s="2">
        <v>2021</v>
      </c>
      <c r="N602" s="2">
        <v>2021</v>
      </c>
      <c r="O602" s="2" t="s">
        <v>23</v>
      </c>
      <c r="P602" s="2">
        <v>26911</v>
      </c>
      <c r="Q602" s="2" t="s">
        <v>145</v>
      </c>
      <c r="R602" s="2" t="s">
        <v>146</v>
      </c>
    </row>
    <row r="603" spans="5:18" ht="13.5" customHeight="1" x14ac:dyDescent="0.25">
      <c r="E603" s="2" t="s">
        <v>140</v>
      </c>
      <c r="F603" s="2" t="s">
        <v>141</v>
      </c>
      <c r="G603" s="2">
        <v>729</v>
      </c>
      <c r="H603" s="2" t="s">
        <v>206</v>
      </c>
      <c r="I603" s="2">
        <v>5419</v>
      </c>
      <c r="J603" s="2" t="s">
        <v>209</v>
      </c>
      <c r="K603" s="2" t="s">
        <v>201</v>
      </c>
      <c r="L603" s="2" t="s">
        <v>131</v>
      </c>
      <c r="M603" s="2">
        <v>2015</v>
      </c>
      <c r="N603" s="2">
        <v>2015</v>
      </c>
      <c r="O603" s="2" t="s">
        <v>210</v>
      </c>
      <c r="P603" s="2">
        <v>144689</v>
      </c>
      <c r="Q603" s="2" t="s">
        <v>143</v>
      </c>
      <c r="R603" s="2" t="s">
        <v>144</v>
      </c>
    </row>
    <row r="604" spans="5:18" ht="13.5" customHeight="1" x14ac:dyDescent="0.25">
      <c r="E604" s="2" t="s">
        <v>140</v>
      </c>
      <c r="F604" s="2" t="s">
        <v>141</v>
      </c>
      <c r="G604" s="2">
        <v>729</v>
      </c>
      <c r="H604" s="2" t="s">
        <v>206</v>
      </c>
      <c r="I604" s="2">
        <v>5419</v>
      </c>
      <c r="J604" s="2" t="s">
        <v>209</v>
      </c>
      <c r="K604" s="2" t="s">
        <v>201</v>
      </c>
      <c r="L604" s="2" t="s">
        <v>131</v>
      </c>
      <c r="M604" s="2">
        <v>2016</v>
      </c>
      <c r="N604" s="2">
        <v>2016</v>
      </c>
      <c r="O604" s="2" t="s">
        <v>210</v>
      </c>
      <c r="P604" s="2">
        <v>99692</v>
      </c>
      <c r="Q604" s="2" t="s">
        <v>143</v>
      </c>
      <c r="R604" s="2" t="s">
        <v>144</v>
      </c>
    </row>
    <row r="605" spans="5:18" ht="13.5" customHeight="1" x14ac:dyDescent="0.25">
      <c r="E605" s="2" t="s">
        <v>140</v>
      </c>
      <c r="F605" s="2" t="s">
        <v>141</v>
      </c>
      <c r="G605" s="2">
        <v>729</v>
      </c>
      <c r="H605" s="2" t="s">
        <v>206</v>
      </c>
      <c r="I605" s="2">
        <v>5419</v>
      </c>
      <c r="J605" s="2" t="s">
        <v>209</v>
      </c>
      <c r="K605" s="2" t="s">
        <v>201</v>
      </c>
      <c r="L605" s="2" t="s">
        <v>131</v>
      </c>
      <c r="M605" s="2">
        <v>2017</v>
      </c>
      <c r="N605" s="2">
        <v>2017</v>
      </c>
      <c r="O605" s="2" t="s">
        <v>210</v>
      </c>
      <c r="P605" s="2">
        <v>99792</v>
      </c>
      <c r="Q605" s="2" t="s">
        <v>143</v>
      </c>
      <c r="R605" s="2" t="s">
        <v>144</v>
      </c>
    </row>
    <row r="606" spans="5:18" ht="13.5" customHeight="1" x14ac:dyDescent="0.25">
      <c r="E606" s="2" t="s">
        <v>140</v>
      </c>
      <c r="F606" s="2" t="s">
        <v>141</v>
      </c>
      <c r="G606" s="2">
        <v>729</v>
      </c>
      <c r="H606" s="2" t="s">
        <v>206</v>
      </c>
      <c r="I606" s="2">
        <v>5419</v>
      </c>
      <c r="J606" s="2" t="s">
        <v>209</v>
      </c>
      <c r="K606" s="2" t="s">
        <v>201</v>
      </c>
      <c r="L606" s="2" t="s">
        <v>131</v>
      </c>
      <c r="M606" s="2">
        <v>2018</v>
      </c>
      <c r="N606" s="2">
        <v>2018</v>
      </c>
      <c r="O606" s="2" t="s">
        <v>210</v>
      </c>
      <c r="P606" s="2">
        <v>100928</v>
      </c>
      <c r="Q606" s="2" t="s">
        <v>143</v>
      </c>
      <c r="R606" s="2" t="s">
        <v>144</v>
      </c>
    </row>
    <row r="607" spans="5:18" ht="13.5" customHeight="1" x14ac:dyDescent="0.25">
      <c r="E607" s="2" t="s">
        <v>140</v>
      </c>
      <c r="F607" s="2" t="s">
        <v>141</v>
      </c>
      <c r="G607" s="2">
        <v>729</v>
      </c>
      <c r="H607" s="2" t="s">
        <v>206</v>
      </c>
      <c r="I607" s="2">
        <v>5419</v>
      </c>
      <c r="J607" s="2" t="s">
        <v>209</v>
      </c>
      <c r="K607" s="2" t="s">
        <v>201</v>
      </c>
      <c r="L607" s="2" t="s">
        <v>131</v>
      </c>
      <c r="M607" s="2">
        <v>2019</v>
      </c>
      <c r="N607" s="2">
        <v>2019</v>
      </c>
      <c r="O607" s="2" t="s">
        <v>210</v>
      </c>
      <c r="P607" s="2">
        <v>100928</v>
      </c>
      <c r="Q607" s="2" t="s">
        <v>143</v>
      </c>
      <c r="R607" s="2" t="s">
        <v>144</v>
      </c>
    </row>
    <row r="608" spans="5:18" ht="13.5" customHeight="1" x14ac:dyDescent="0.25">
      <c r="E608" s="2" t="s">
        <v>140</v>
      </c>
      <c r="F608" s="2" t="s">
        <v>141</v>
      </c>
      <c r="G608" s="2">
        <v>729</v>
      </c>
      <c r="H608" s="2" t="s">
        <v>206</v>
      </c>
      <c r="I608" s="2">
        <v>5419</v>
      </c>
      <c r="J608" s="2" t="s">
        <v>209</v>
      </c>
      <c r="K608" s="2" t="s">
        <v>201</v>
      </c>
      <c r="L608" s="2" t="s">
        <v>131</v>
      </c>
      <c r="M608" s="2">
        <v>2020</v>
      </c>
      <c r="N608" s="2">
        <v>2020</v>
      </c>
      <c r="O608" s="2" t="s">
        <v>210</v>
      </c>
      <c r="P608" s="2">
        <v>100928</v>
      </c>
      <c r="Q608" s="2" t="s">
        <v>143</v>
      </c>
      <c r="R608" s="2" t="s">
        <v>144</v>
      </c>
    </row>
    <row r="609" spans="5:18" ht="13.5" customHeight="1" x14ac:dyDescent="0.25">
      <c r="E609" s="2" t="s">
        <v>140</v>
      </c>
      <c r="F609" s="2" t="s">
        <v>141</v>
      </c>
      <c r="G609" s="2">
        <v>729</v>
      </c>
      <c r="H609" s="2" t="s">
        <v>206</v>
      </c>
      <c r="I609" s="2">
        <v>5419</v>
      </c>
      <c r="J609" s="2" t="s">
        <v>209</v>
      </c>
      <c r="K609" s="2" t="s">
        <v>201</v>
      </c>
      <c r="L609" s="2" t="s">
        <v>131</v>
      </c>
      <c r="M609" s="2">
        <v>2021</v>
      </c>
      <c r="N609" s="2">
        <v>2021</v>
      </c>
      <c r="O609" s="2" t="s">
        <v>210</v>
      </c>
      <c r="P609" s="2">
        <v>100439</v>
      </c>
      <c r="Q609" s="2" t="s">
        <v>115</v>
      </c>
      <c r="R609" s="2" t="s">
        <v>116</v>
      </c>
    </row>
    <row r="610" spans="5:18" ht="13.5" customHeight="1" x14ac:dyDescent="0.25">
      <c r="E610" s="2" t="s">
        <v>140</v>
      </c>
      <c r="F610" s="2" t="s">
        <v>141</v>
      </c>
      <c r="G610" s="2">
        <v>729</v>
      </c>
      <c r="H610" s="2" t="s">
        <v>206</v>
      </c>
      <c r="I610" s="2">
        <v>5312</v>
      </c>
      <c r="J610" s="2" t="s">
        <v>142</v>
      </c>
      <c r="K610" s="2" t="s">
        <v>231</v>
      </c>
      <c r="L610" s="2" t="s">
        <v>232</v>
      </c>
      <c r="M610" s="2">
        <v>2015</v>
      </c>
      <c r="N610" s="2">
        <v>2015</v>
      </c>
      <c r="O610" s="2" t="s">
        <v>23</v>
      </c>
      <c r="P610" s="2">
        <v>0</v>
      </c>
      <c r="Q610" s="2" t="s">
        <v>178</v>
      </c>
      <c r="R610" s="2" t="s">
        <v>179</v>
      </c>
    </row>
    <row r="611" spans="5:18" ht="13.5" customHeight="1" x14ac:dyDescent="0.25">
      <c r="E611" s="2" t="s">
        <v>140</v>
      </c>
      <c r="F611" s="2" t="s">
        <v>141</v>
      </c>
      <c r="G611" s="2">
        <v>729</v>
      </c>
      <c r="H611" s="2" t="s">
        <v>206</v>
      </c>
      <c r="I611" s="2">
        <v>5312</v>
      </c>
      <c r="J611" s="2" t="s">
        <v>142</v>
      </c>
      <c r="K611" s="2" t="s">
        <v>231</v>
      </c>
      <c r="L611" s="2" t="s">
        <v>232</v>
      </c>
      <c r="M611" s="2">
        <v>2016</v>
      </c>
      <c r="N611" s="2">
        <v>2016</v>
      </c>
      <c r="O611" s="2" t="s">
        <v>23</v>
      </c>
      <c r="P611" s="2">
        <v>0</v>
      </c>
      <c r="Q611" s="2" t="s">
        <v>178</v>
      </c>
      <c r="R611" s="2" t="s">
        <v>179</v>
      </c>
    </row>
    <row r="612" spans="5:18" ht="13.5" customHeight="1" x14ac:dyDescent="0.25">
      <c r="E612" s="2" t="s">
        <v>140</v>
      </c>
      <c r="F612" s="2" t="s">
        <v>141</v>
      </c>
      <c r="G612" s="2">
        <v>729</v>
      </c>
      <c r="H612" s="2" t="s">
        <v>206</v>
      </c>
      <c r="I612" s="2">
        <v>5312</v>
      </c>
      <c r="J612" s="2" t="s">
        <v>142</v>
      </c>
      <c r="K612" s="2" t="s">
        <v>231</v>
      </c>
      <c r="L612" s="2" t="s">
        <v>232</v>
      </c>
      <c r="M612" s="2">
        <v>2017</v>
      </c>
      <c r="N612" s="2">
        <v>2017</v>
      </c>
      <c r="O612" s="2" t="s">
        <v>23</v>
      </c>
      <c r="P612" s="2">
        <v>0</v>
      </c>
      <c r="Q612" s="2" t="s">
        <v>178</v>
      </c>
      <c r="R612" s="2" t="s">
        <v>179</v>
      </c>
    </row>
    <row r="613" spans="5:18" ht="13.5" customHeight="1" x14ac:dyDescent="0.25">
      <c r="E613" s="2" t="s">
        <v>140</v>
      </c>
      <c r="F613" s="2" t="s">
        <v>141</v>
      </c>
      <c r="G613" s="2">
        <v>729</v>
      </c>
      <c r="H613" s="2" t="s">
        <v>206</v>
      </c>
      <c r="I613" s="2">
        <v>5312</v>
      </c>
      <c r="J613" s="2" t="s">
        <v>142</v>
      </c>
      <c r="K613" s="2" t="s">
        <v>231</v>
      </c>
      <c r="L613" s="2" t="s">
        <v>232</v>
      </c>
      <c r="M613" s="2">
        <v>2018</v>
      </c>
      <c r="N613" s="2">
        <v>2018</v>
      </c>
      <c r="O613" s="2" t="s">
        <v>23</v>
      </c>
      <c r="P613" s="2">
        <v>0</v>
      </c>
      <c r="Q613" s="2" t="s">
        <v>178</v>
      </c>
      <c r="R613" s="2" t="s">
        <v>179</v>
      </c>
    </row>
    <row r="614" spans="5:18" ht="13.5" customHeight="1" x14ac:dyDescent="0.25">
      <c r="E614" s="2" t="s">
        <v>140</v>
      </c>
      <c r="F614" s="2" t="s">
        <v>141</v>
      </c>
      <c r="G614" s="2">
        <v>729</v>
      </c>
      <c r="H614" s="2" t="s">
        <v>206</v>
      </c>
      <c r="I614" s="2">
        <v>5312</v>
      </c>
      <c r="J614" s="2" t="s">
        <v>142</v>
      </c>
      <c r="K614" s="2" t="s">
        <v>231</v>
      </c>
      <c r="L614" s="2" t="s">
        <v>232</v>
      </c>
      <c r="M614" s="2">
        <v>2019</v>
      </c>
      <c r="N614" s="2">
        <v>2019</v>
      </c>
      <c r="O614" s="2" t="s">
        <v>23</v>
      </c>
      <c r="P614" s="2">
        <v>0</v>
      </c>
      <c r="Q614" s="2" t="s">
        <v>178</v>
      </c>
      <c r="R614" s="2" t="s">
        <v>179</v>
      </c>
    </row>
    <row r="615" spans="5:18" ht="13.5" customHeight="1" x14ac:dyDescent="0.25">
      <c r="E615" s="2" t="s">
        <v>140</v>
      </c>
      <c r="F615" s="2" t="s">
        <v>141</v>
      </c>
      <c r="G615" s="2">
        <v>729</v>
      </c>
      <c r="H615" s="2" t="s">
        <v>206</v>
      </c>
      <c r="I615" s="2">
        <v>5312</v>
      </c>
      <c r="J615" s="2" t="s">
        <v>142</v>
      </c>
      <c r="K615" s="2" t="s">
        <v>231</v>
      </c>
      <c r="L615" s="2" t="s">
        <v>232</v>
      </c>
      <c r="M615" s="2">
        <v>2020</v>
      </c>
      <c r="N615" s="2">
        <v>2020</v>
      </c>
      <c r="O615" s="2" t="s">
        <v>23</v>
      </c>
      <c r="P615" s="2">
        <v>0</v>
      </c>
      <c r="Q615" s="2" t="s">
        <v>178</v>
      </c>
      <c r="R615" s="2" t="s">
        <v>179</v>
      </c>
    </row>
    <row r="616" spans="5:18" ht="13.5" customHeight="1" x14ac:dyDescent="0.25">
      <c r="E616" s="2" t="s">
        <v>140</v>
      </c>
      <c r="F616" s="2" t="s">
        <v>141</v>
      </c>
      <c r="G616" s="2">
        <v>729</v>
      </c>
      <c r="H616" s="2" t="s">
        <v>206</v>
      </c>
      <c r="I616" s="2">
        <v>5312</v>
      </c>
      <c r="J616" s="2" t="s">
        <v>142</v>
      </c>
      <c r="K616" s="2" t="s">
        <v>231</v>
      </c>
      <c r="L616" s="2" t="s">
        <v>232</v>
      </c>
      <c r="M616" s="2">
        <v>2021</v>
      </c>
      <c r="N616" s="2">
        <v>2021</v>
      </c>
      <c r="O616" s="2" t="s">
        <v>23</v>
      </c>
      <c r="P616" s="2">
        <v>0</v>
      </c>
      <c r="Q616" s="2" t="s">
        <v>178</v>
      </c>
      <c r="R616" s="2" t="s">
        <v>179</v>
      </c>
    </row>
    <row r="617" spans="5:18" ht="13.5" customHeight="1" x14ac:dyDescent="0.25">
      <c r="E617" s="2" t="s">
        <v>140</v>
      </c>
      <c r="F617" s="2" t="s">
        <v>141</v>
      </c>
      <c r="G617" s="2">
        <v>729</v>
      </c>
      <c r="H617" s="2" t="s">
        <v>206</v>
      </c>
      <c r="I617" s="2">
        <v>5312</v>
      </c>
      <c r="J617" s="2" t="s">
        <v>142</v>
      </c>
      <c r="K617" s="2" t="s">
        <v>202</v>
      </c>
      <c r="L617" s="2" t="s">
        <v>127</v>
      </c>
      <c r="M617" s="2">
        <v>2015</v>
      </c>
      <c r="N617" s="2">
        <v>2015</v>
      </c>
      <c r="O617" s="2" t="s">
        <v>23</v>
      </c>
      <c r="P617" s="2">
        <v>44814</v>
      </c>
      <c r="Q617" s="2" t="s">
        <v>143</v>
      </c>
      <c r="R617" s="2" t="s">
        <v>144</v>
      </c>
    </row>
    <row r="618" spans="5:18" ht="13.5" customHeight="1" x14ac:dyDescent="0.25">
      <c r="E618" s="2" t="s">
        <v>140</v>
      </c>
      <c r="F618" s="2" t="s">
        <v>141</v>
      </c>
      <c r="G618" s="2">
        <v>729</v>
      </c>
      <c r="H618" s="2" t="s">
        <v>206</v>
      </c>
      <c r="I618" s="2">
        <v>5312</v>
      </c>
      <c r="J618" s="2" t="s">
        <v>142</v>
      </c>
      <c r="K618" s="2" t="s">
        <v>202</v>
      </c>
      <c r="L618" s="2" t="s">
        <v>127</v>
      </c>
      <c r="M618" s="2">
        <v>2016</v>
      </c>
      <c r="N618" s="2">
        <v>2016</v>
      </c>
      <c r="O618" s="2" t="s">
        <v>23</v>
      </c>
      <c r="P618" s="2">
        <v>46746</v>
      </c>
      <c r="Q618" s="2" t="s">
        <v>143</v>
      </c>
      <c r="R618" s="2" t="s">
        <v>144</v>
      </c>
    </row>
    <row r="619" spans="5:18" ht="13.5" customHeight="1" x14ac:dyDescent="0.25">
      <c r="E619" s="2" t="s">
        <v>140</v>
      </c>
      <c r="F619" s="2" t="s">
        <v>141</v>
      </c>
      <c r="G619" s="2">
        <v>729</v>
      </c>
      <c r="H619" s="2" t="s">
        <v>206</v>
      </c>
      <c r="I619" s="2">
        <v>5312</v>
      </c>
      <c r="J619" s="2" t="s">
        <v>142</v>
      </c>
      <c r="K619" s="2" t="s">
        <v>202</v>
      </c>
      <c r="L619" s="2" t="s">
        <v>127</v>
      </c>
      <c r="M619" s="2">
        <v>2017</v>
      </c>
      <c r="N619" s="2">
        <v>2017</v>
      </c>
      <c r="O619" s="2" t="s">
        <v>23</v>
      </c>
      <c r="P619" s="2">
        <v>47681</v>
      </c>
      <c r="Q619" s="2" t="s">
        <v>143</v>
      </c>
      <c r="R619" s="2" t="s">
        <v>144</v>
      </c>
    </row>
    <row r="620" spans="5:18" ht="13.5" customHeight="1" x14ac:dyDescent="0.25">
      <c r="E620" s="2" t="s">
        <v>140</v>
      </c>
      <c r="F620" s="2" t="s">
        <v>141</v>
      </c>
      <c r="G620" s="2">
        <v>729</v>
      </c>
      <c r="H620" s="2" t="s">
        <v>206</v>
      </c>
      <c r="I620" s="2">
        <v>5312</v>
      </c>
      <c r="J620" s="2" t="s">
        <v>142</v>
      </c>
      <c r="K620" s="2" t="s">
        <v>202</v>
      </c>
      <c r="L620" s="2" t="s">
        <v>127</v>
      </c>
      <c r="M620" s="2">
        <v>2018</v>
      </c>
      <c r="N620" s="2">
        <v>2018</v>
      </c>
      <c r="O620" s="2" t="s">
        <v>23</v>
      </c>
      <c r="P620" s="2">
        <v>51322</v>
      </c>
      <c r="Q620" s="2" t="s">
        <v>145</v>
      </c>
      <c r="R620" s="2" t="s">
        <v>146</v>
      </c>
    </row>
    <row r="621" spans="5:18" ht="13.5" customHeight="1" x14ac:dyDescent="0.25">
      <c r="E621" s="2" t="s">
        <v>140</v>
      </c>
      <c r="F621" s="2" t="s">
        <v>141</v>
      </c>
      <c r="G621" s="2">
        <v>729</v>
      </c>
      <c r="H621" s="2" t="s">
        <v>206</v>
      </c>
      <c r="I621" s="2">
        <v>5312</v>
      </c>
      <c r="J621" s="2" t="s">
        <v>142</v>
      </c>
      <c r="K621" s="2" t="s">
        <v>202</v>
      </c>
      <c r="L621" s="2" t="s">
        <v>127</v>
      </c>
      <c r="M621" s="2">
        <v>2019</v>
      </c>
      <c r="N621" s="2">
        <v>2019</v>
      </c>
      <c r="O621" s="2" t="s">
        <v>23</v>
      </c>
      <c r="P621" s="2">
        <v>53009</v>
      </c>
      <c r="Q621" s="2" t="s">
        <v>145</v>
      </c>
      <c r="R621" s="2" t="s">
        <v>146</v>
      </c>
    </row>
    <row r="622" spans="5:18" ht="13.5" customHeight="1" x14ac:dyDescent="0.25">
      <c r="E622" s="2" t="s">
        <v>140</v>
      </c>
      <c r="F622" s="2" t="s">
        <v>141</v>
      </c>
      <c r="G622" s="2">
        <v>729</v>
      </c>
      <c r="H622" s="2" t="s">
        <v>206</v>
      </c>
      <c r="I622" s="2">
        <v>5312</v>
      </c>
      <c r="J622" s="2" t="s">
        <v>142</v>
      </c>
      <c r="K622" s="2" t="s">
        <v>202</v>
      </c>
      <c r="L622" s="2" t="s">
        <v>127</v>
      </c>
      <c r="M622" s="2">
        <v>2020</v>
      </c>
      <c r="N622" s="2">
        <v>2020</v>
      </c>
      <c r="O622" s="2" t="s">
        <v>23</v>
      </c>
      <c r="P622" s="2">
        <v>54516</v>
      </c>
      <c r="Q622" s="2" t="s">
        <v>145</v>
      </c>
      <c r="R622" s="2" t="s">
        <v>146</v>
      </c>
    </row>
    <row r="623" spans="5:18" ht="13.5" customHeight="1" x14ac:dyDescent="0.25">
      <c r="E623" s="2" t="s">
        <v>140</v>
      </c>
      <c r="F623" s="2" t="s">
        <v>141</v>
      </c>
      <c r="G623" s="2">
        <v>729</v>
      </c>
      <c r="H623" s="2" t="s">
        <v>206</v>
      </c>
      <c r="I623" s="2">
        <v>5312</v>
      </c>
      <c r="J623" s="2" t="s">
        <v>142</v>
      </c>
      <c r="K623" s="2" t="s">
        <v>202</v>
      </c>
      <c r="L623" s="2" t="s">
        <v>127</v>
      </c>
      <c r="M623" s="2">
        <v>2021</v>
      </c>
      <c r="N623" s="2">
        <v>2021</v>
      </c>
      <c r="O623" s="2" t="s">
        <v>23</v>
      </c>
      <c r="P623" s="2">
        <v>56883</v>
      </c>
      <c r="Q623" s="2" t="s">
        <v>145</v>
      </c>
      <c r="R623" s="2" t="s">
        <v>146</v>
      </c>
    </row>
    <row r="624" spans="5:18" ht="13.5" customHeight="1" x14ac:dyDescent="0.25">
      <c r="E624" s="2" t="s">
        <v>140</v>
      </c>
      <c r="F624" s="2" t="s">
        <v>141</v>
      </c>
      <c r="G624" s="2">
        <v>729</v>
      </c>
      <c r="H624" s="2" t="s">
        <v>206</v>
      </c>
      <c r="I624" s="2">
        <v>5419</v>
      </c>
      <c r="J624" s="2" t="s">
        <v>209</v>
      </c>
      <c r="K624" s="2" t="s">
        <v>202</v>
      </c>
      <c r="L624" s="2" t="s">
        <v>127</v>
      </c>
      <c r="M624" s="2">
        <v>2015</v>
      </c>
      <c r="N624" s="2">
        <v>2015</v>
      </c>
      <c r="O624" s="2" t="s">
        <v>210</v>
      </c>
      <c r="P624" s="2">
        <v>137613</v>
      </c>
      <c r="Q624" s="2" t="s">
        <v>143</v>
      </c>
      <c r="R624" s="2" t="s">
        <v>144</v>
      </c>
    </row>
    <row r="625" spans="5:18" ht="13.5" customHeight="1" x14ac:dyDescent="0.25">
      <c r="E625" s="2" t="s">
        <v>140</v>
      </c>
      <c r="F625" s="2" t="s">
        <v>141</v>
      </c>
      <c r="G625" s="2">
        <v>729</v>
      </c>
      <c r="H625" s="2" t="s">
        <v>206</v>
      </c>
      <c r="I625" s="2">
        <v>5419</v>
      </c>
      <c r="J625" s="2" t="s">
        <v>209</v>
      </c>
      <c r="K625" s="2" t="s">
        <v>202</v>
      </c>
      <c r="L625" s="2" t="s">
        <v>127</v>
      </c>
      <c r="M625" s="2">
        <v>2016</v>
      </c>
      <c r="N625" s="2">
        <v>2016</v>
      </c>
      <c r="O625" s="2" t="s">
        <v>210</v>
      </c>
      <c r="P625" s="2">
        <v>132075</v>
      </c>
      <c r="Q625" s="2" t="s">
        <v>143</v>
      </c>
      <c r="R625" s="2" t="s">
        <v>144</v>
      </c>
    </row>
    <row r="626" spans="5:18" ht="13.5" customHeight="1" x14ac:dyDescent="0.25">
      <c r="E626" s="2" t="s">
        <v>140</v>
      </c>
      <c r="F626" s="2" t="s">
        <v>141</v>
      </c>
      <c r="G626" s="2">
        <v>729</v>
      </c>
      <c r="H626" s="2" t="s">
        <v>206</v>
      </c>
      <c r="I626" s="2">
        <v>5419</v>
      </c>
      <c r="J626" s="2" t="s">
        <v>209</v>
      </c>
      <c r="K626" s="2" t="s">
        <v>202</v>
      </c>
      <c r="L626" s="2" t="s">
        <v>127</v>
      </c>
      <c r="M626" s="2">
        <v>2017</v>
      </c>
      <c r="N626" s="2">
        <v>2017</v>
      </c>
      <c r="O626" s="2" t="s">
        <v>210</v>
      </c>
      <c r="P626" s="2">
        <v>130132</v>
      </c>
      <c r="Q626" s="2" t="s">
        <v>143</v>
      </c>
      <c r="R626" s="2" t="s">
        <v>144</v>
      </c>
    </row>
    <row r="627" spans="5:18" ht="13.5" customHeight="1" x14ac:dyDescent="0.25">
      <c r="E627" s="2" t="s">
        <v>140</v>
      </c>
      <c r="F627" s="2" t="s">
        <v>141</v>
      </c>
      <c r="G627" s="2">
        <v>729</v>
      </c>
      <c r="H627" s="2" t="s">
        <v>206</v>
      </c>
      <c r="I627" s="2">
        <v>5419</v>
      </c>
      <c r="J627" s="2" t="s">
        <v>209</v>
      </c>
      <c r="K627" s="2" t="s">
        <v>202</v>
      </c>
      <c r="L627" s="2" t="s">
        <v>127</v>
      </c>
      <c r="M627" s="2">
        <v>2018</v>
      </c>
      <c r="N627" s="2">
        <v>2018</v>
      </c>
      <c r="O627" s="2" t="s">
        <v>210</v>
      </c>
      <c r="P627" s="2">
        <v>126362</v>
      </c>
      <c r="Q627" s="2" t="s">
        <v>115</v>
      </c>
      <c r="R627" s="2" t="s">
        <v>116</v>
      </c>
    </row>
    <row r="628" spans="5:18" ht="13.5" customHeight="1" x14ac:dyDescent="0.25">
      <c r="E628" s="2" t="s">
        <v>140</v>
      </c>
      <c r="F628" s="2" t="s">
        <v>141</v>
      </c>
      <c r="G628" s="2">
        <v>729</v>
      </c>
      <c r="H628" s="2" t="s">
        <v>206</v>
      </c>
      <c r="I628" s="2">
        <v>5419</v>
      </c>
      <c r="J628" s="2" t="s">
        <v>209</v>
      </c>
      <c r="K628" s="2" t="s">
        <v>202</v>
      </c>
      <c r="L628" s="2" t="s">
        <v>127</v>
      </c>
      <c r="M628" s="2">
        <v>2019</v>
      </c>
      <c r="N628" s="2">
        <v>2019</v>
      </c>
      <c r="O628" s="2" t="s">
        <v>210</v>
      </c>
      <c r="P628" s="2">
        <v>127661</v>
      </c>
      <c r="Q628" s="2" t="s">
        <v>115</v>
      </c>
      <c r="R628" s="2" t="s">
        <v>116</v>
      </c>
    </row>
    <row r="629" spans="5:18" ht="13.5" customHeight="1" x14ac:dyDescent="0.25">
      <c r="E629" s="2" t="s">
        <v>140</v>
      </c>
      <c r="F629" s="2" t="s">
        <v>141</v>
      </c>
      <c r="G629" s="2">
        <v>729</v>
      </c>
      <c r="H629" s="2" t="s">
        <v>206</v>
      </c>
      <c r="I629" s="2">
        <v>5419</v>
      </c>
      <c r="J629" s="2" t="s">
        <v>209</v>
      </c>
      <c r="K629" s="2" t="s">
        <v>202</v>
      </c>
      <c r="L629" s="2" t="s">
        <v>127</v>
      </c>
      <c r="M629" s="2">
        <v>2020</v>
      </c>
      <c r="N629" s="2">
        <v>2020</v>
      </c>
      <c r="O629" s="2" t="s">
        <v>210</v>
      </c>
      <c r="P629" s="2">
        <v>126947</v>
      </c>
      <c r="Q629" s="2" t="s">
        <v>115</v>
      </c>
      <c r="R629" s="2" t="s">
        <v>116</v>
      </c>
    </row>
    <row r="630" spans="5:18" ht="13.5" customHeight="1" x14ac:dyDescent="0.25">
      <c r="E630" s="2" t="s">
        <v>140</v>
      </c>
      <c r="F630" s="2" t="s">
        <v>141</v>
      </c>
      <c r="G630" s="2">
        <v>729</v>
      </c>
      <c r="H630" s="2" t="s">
        <v>206</v>
      </c>
      <c r="I630" s="2">
        <v>5419</v>
      </c>
      <c r="J630" s="2" t="s">
        <v>209</v>
      </c>
      <c r="K630" s="2" t="s">
        <v>202</v>
      </c>
      <c r="L630" s="2" t="s">
        <v>127</v>
      </c>
      <c r="M630" s="2">
        <v>2021</v>
      </c>
      <c r="N630" s="2">
        <v>2021</v>
      </c>
      <c r="O630" s="2" t="s">
        <v>210</v>
      </c>
      <c r="P630" s="2">
        <v>124970</v>
      </c>
      <c r="Q630" s="2" t="s">
        <v>115</v>
      </c>
      <c r="R630" s="2" t="s">
        <v>116</v>
      </c>
    </row>
    <row r="631" spans="5:18" ht="13.5" customHeight="1" x14ac:dyDescent="0.25">
      <c r="E631" s="2" t="s">
        <v>140</v>
      </c>
      <c r="F631" s="2" t="s">
        <v>141</v>
      </c>
      <c r="G631" s="2">
        <v>729</v>
      </c>
      <c r="H631" s="2" t="s">
        <v>206</v>
      </c>
      <c r="I631" s="2">
        <v>5312</v>
      </c>
      <c r="J631" s="2" t="s">
        <v>142</v>
      </c>
      <c r="K631" s="2" t="s">
        <v>203</v>
      </c>
      <c r="L631" s="2" t="s">
        <v>132</v>
      </c>
      <c r="M631" s="2">
        <v>2015</v>
      </c>
      <c r="N631" s="2">
        <v>2015</v>
      </c>
      <c r="O631" s="2" t="s">
        <v>23</v>
      </c>
      <c r="P631" s="2">
        <v>36456</v>
      </c>
      <c r="Q631" s="2" t="s">
        <v>143</v>
      </c>
      <c r="R631" s="2" t="s">
        <v>144</v>
      </c>
    </row>
    <row r="632" spans="5:18" ht="13.5" customHeight="1" x14ac:dyDescent="0.25">
      <c r="E632" s="2" t="s">
        <v>140</v>
      </c>
      <c r="F632" s="2" t="s">
        <v>141</v>
      </c>
      <c r="G632" s="2">
        <v>729</v>
      </c>
      <c r="H632" s="2" t="s">
        <v>206</v>
      </c>
      <c r="I632" s="2">
        <v>5312</v>
      </c>
      <c r="J632" s="2" t="s">
        <v>142</v>
      </c>
      <c r="K632" s="2" t="s">
        <v>203</v>
      </c>
      <c r="L632" s="2" t="s">
        <v>132</v>
      </c>
      <c r="M632" s="2">
        <v>2016</v>
      </c>
      <c r="N632" s="2">
        <v>2016</v>
      </c>
      <c r="O632" s="2" t="s">
        <v>23</v>
      </c>
      <c r="P632" s="2">
        <v>37716</v>
      </c>
      <c r="Q632" s="2" t="s">
        <v>143</v>
      </c>
      <c r="R632" s="2" t="s">
        <v>144</v>
      </c>
    </row>
    <row r="633" spans="5:18" ht="13.5" customHeight="1" x14ac:dyDescent="0.25">
      <c r="E633" s="2" t="s">
        <v>140</v>
      </c>
      <c r="F633" s="2" t="s">
        <v>141</v>
      </c>
      <c r="G633" s="2">
        <v>729</v>
      </c>
      <c r="H633" s="2" t="s">
        <v>206</v>
      </c>
      <c r="I633" s="2">
        <v>5312</v>
      </c>
      <c r="J633" s="2" t="s">
        <v>142</v>
      </c>
      <c r="K633" s="2" t="s">
        <v>203</v>
      </c>
      <c r="L633" s="2" t="s">
        <v>132</v>
      </c>
      <c r="M633" s="2">
        <v>2017</v>
      </c>
      <c r="N633" s="2">
        <v>2017</v>
      </c>
      <c r="O633" s="2" t="s">
        <v>23</v>
      </c>
      <c r="P633" s="2">
        <v>38000</v>
      </c>
      <c r="Q633" s="2" t="s">
        <v>115</v>
      </c>
      <c r="R633" s="2" t="s">
        <v>116</v>
      </c>
    </row>
    <row r="634" spans="5:18" ht="13.5" customHeight="1" x14ac:dyDescent="0.25">
      <c r="E634" s="2" t="s">
        <v>140</v>
      </c>
      <c r="F634" s="2" t="s">
        <v>141</v>
      </c>
      <c r="G634" s="2">
        <v>729</v>
      </c>
      <c r="H634" s="2" t="s">
        <v>206</v>
      </c>
      <c r="I634" s="2">
        <v>5312</v>
      </c>
      <c r="J634" s="2" t="s">
        <v>142</v>
      </c>
      <c r="K634" s="2" t="s">
        <v>203</v>
      </c>
      <c r="L634" s="2" t="s">
        <v>132</v>
      </c>
      <c r="M634" s="2">
        <v>2018</v>
      </c>
      <c r="N634" s="2">
        <v>2018</v>
      </c>
      <c r="O634" s="2" t="s">
        <v>23</v>
      </c>
      <c r="P634" s="2">
        <v>30564</v>
      </c>
      <c r="Q634" s="2" t="s">
        <v>115</v>
      </c>
      <c r="R634" s="2" t="s">
        <v>116</v>
      </c>
    </row>
    <row r="635" spans="5:18" ht="13.5" customHeight="1" x14ac:dyDescent="0.25">
      <c r="E635" s="2" t="s">
        <v>140</v>
      </c>
      <c r="F635" s="2" t="s">
        <v>141</v>
      </c>
      <c r="G635" s="2">
        <v>729</v>
      </c>
      <c r="H635" s="2" t="s">
        <v>206</v>
      </c>
      <c r="I635" s="2">
        <v>5312</v>
      </c>
      <c r="J635" s="2" t="s">
        <v>142</v>
      </c>
      <c r="K635" s="2" t="s">
        <v>203</v>
      </c>
      <c r="L635" s="2" t="s">
        <v>132</v>
      </c>
      <c r="M635" s="2">
        <v>2019</v>
      </c>
      <c r="N635" s="2">
        <v>2019</v>
      </c>
      <c r="O635" s="2" t="s">
        <v>23</v>
      </c>
      <c r="P635" s="2">
        <v>24286</v>
      </c>
      <c r="Q635" s="2" t="s">
        <v>115</v>
      </c>
      <c r="R635" s="2" t="s">
        <v>116</v>
      </c>
    </row>
    <row r="636" spans="5:18" ht="13.5" customHeight="1" x14ac:dyDescent="0.25">
      <c r="E636" s="2" t="s">
        <v>140</v>
      </c>
      <c r="F636" s="2" t="s">
        <v>141</v>
      </c>
      <c r="G636" s="2">
        <v>729</v>
      </c>
      <c r="H636" s="2" t="s">
        <v>206</v>
      </c>
      <c r="I636" s="2">
        <v>5312</v>
      </c>
      <c r="J636" s="2" t="s">
        <v>142</v>
      </c>
      <c r="K636" s="2" t="s">
        <v>203</v>
      </c>
      <c r="L636" s="2" t="s">
        <v>132</v>
      </c>
      <c r="M636" s="2">
        <v>2020</v>
      </c>
      <c r="N636" s="2">
        <v>2020</v>
      </c>
      <c r="O636" s="2" t="s">
        <v>23</v>
      </c>
      <c r="P636" s="2">
        <v>17491</v>
      </c>
      <c r="Q636" s="2" t="s">
        <v>115</v>
      </c>
      <c r="R636" s="2" t="s">
        <v>116</v>
      </c>
    </row>
    <row r="637" spans="5:18" ht="13.5" customHeight="1" x14ac:dyDescent="0.25">
      <c r="E637" s="2" t="s">
        <v>140</v>
      </c>
      <c r="F637" s="2" t="s">
        <v>141</v>
      </c>
      <c r="G637" s="2">
        <v>729</v>
      </c>
      <c r="H637" s="2" t="s">
        <v>206</v>
      </c>
      <c r="I637" s="2">
        <v>5312</v>
      </c>
      <c r="J637" s="2" t="s">
        <v>142</v>
      </c>
      <c r="K637" s="2" t="s">
        <v>203</v>
      </c>
      <c r="L637" s="2" t="s">
        <v>132</v>
      </c>
      <c r="M637" s="2">
        <v>2021</v>
      </c>
      <c r="N637" s="2">
        <v>2021</v>
      </c>
      <c r="O637" s="2" t="s">
        <v>23</v>
      </c>
      <c r="P637" s="2">
        <v>37858</v>
      </c>
      <c r="Q637" s="2" t="s">
        <v>115</v>
      </c>
      <c r="R637" s="2" t="s">
        <v>116</v>
      </c>
    </row>
    <row r="638" spans="5:18" ht="13.5" customHeight="1" x14ac:dyDescent="0.25">
      <c r="E638" s="2" t="s">
        <v>140</v>
      </c>
      <c r="F638" s="2" t="s">
        <v>141</v>
      </c>
      <c r="G638" s="2">
        <v>729</v>
      </c>
      <c r="H638" s="2" t="s">
        <v>206</v>
      </c>
      <c r="I638" s="2">
        <v>5419</v>
      </c>
      <c r="J638" s="2" t="s">
        <v>209</v>
      </c>
      <c r="K638" s="2" t="s">
        <v>203</v>
      </c>
      <c r="L638" s="2" t="s">
        <v>132</v>
      </c>
      <c r="M638" s="2">
        <v>2015</v>
      </c>
      <c r="N638" s="2">
        <v>2015</v>
      </c>
      <c r="O638" s="2" t="s">
        <v>210</v>
      </c>
      <c r="P638" s="2">
        <v>46906</v>
      </c>
      <c r="Q638" s="2" t="s">
        <v>143</v>
      </c>
      <c r="R638" s="2" t="s">
        <v>144</v>
      </c>
    </row>
    <row r="639" spans="5:18" ht="13.5" customHeight="1" x14ac:dyDescent="0.25">
      <c r="E639" s="2" t="s">
        <v>140</v>
      </c>
      <c r="F639" s="2" t="s">
        <v>141</v>
      </c>
      <c r="G639" s="2">
        <v>729</v>
      </c>
      <c r="H639" s="2" t="s">
        <v>206</v>
      </c>
      <c r="I639" s="2">
        <v>5419</v>
      </c>
      <c r="J639" s="2" t="s">
        <v>209</v>
      </c>
      <c r="K639" s="2" t="s">
        <v>203</v>
      </c>
      <c r="L639" s="2" t="s">
        <v>132</v>
      </c>
      <c r="M639" s="2">
        <v>2016</v>
      </c>
      <c r="N639" s="2">
        <v>2016</v>
      </c>
      <c r="O639" s="2" t="s">
        <v>210</v>
      </c>
      <c r="P639" s="2">
        <v>45763</v>
      </c>
      <c r="Q639" s="2" t="s">
        <v>143</v>
      </c>
      <c r="R639" s="2" t="s">
        <v>144</v>
      </c>
    </row>
    <row r="640" spans="5:18" ht="13.5" customHeight="1" x14ac:dyDescent="0.25">
      <c r="E640" s="2" t="s">
        <v>140</v>
      </c>
      <c r="F640" s="2" t="s">
        <v>141</v>
      </c>
      <c r="G640" s="2">
        <v>729</v>
      </c>
      <c r="H640" s="2" t="s">
        <v>206</v>
      </c>
      <c r="I640" s="2">
        <v>5419</v>
      </c>
      <c r="J640" s="2" t="s">
        <v>209</v>
      </c>
      <c r="K640" s="2" t="s">
        <v>203</v>
      </c>
      <c r="L640" s="2" t="s">
        <v>132</v>
      </c>
      <c r="M640" s="2">
        <v>2017</v>
      </c>
      <c r="N640" s="2">
        <v>2017</v>
      </c>
      <c r="O640" s="2" t="s">
        <v>210</v>
      </c>
      <c r="P640" s="2">
        <v>46053</v>
      </c>
      <c r="Q640" s="2" t="s">
        <v>115</v>
      </c>
      <c r="R640" s="2" t="s">
        <v>116</v>
      </c>
    </row>
    <row r="641" spans="5:18" ht="13.5" customHeight="1" x14ac:dyDescent="0.25">
      <c r="E641" s="2" t="s">
        <v>140</v>
      </c>
      <c r="F641" s="2" t="s">
        <v>141</v>
      </c>
      <c r="G641" s="2">
        <v>729</v>
      </c>
      <c r="H641" s="2" t="s">
        <v>206</v>
      </c>
      <c r="I641" s="2">
        <v>5419</v>
      </c>
      <c r="J641" s="2" t="s">
        <v>209</v>
      </c>
      <c r="K641" s="2" t="s">
        <v>203</v>
      </c>
      <c r="L641" s="2" t="s">
        <v>132</v>
      </c>
      <c r="M641" s="2">
        <v>2018</v>
      </c>
      <c r="N641" s="2">
        <v>2018</v>
      </c>
      <c r="O641" s="2" t="s">
        <v>210</v>
      </c>
      <c r="P641" s="2">
        <v>56559</v>
      </c>
      <c r="Q641" s="2" t="s">
        <v>115</v>
      </c>
      <c r="R641" s="2" t="s">
        <v>116</v>
      </c>
    </row>
    <row r="642" spans="5:18" ht="13.5" customHeight="1" x14ac:dyDescent="0.25">
      <c r="E642" s="2" t="s">
        <v>140</v>
      </c>
      <c r="F642" s="2" t="s">
        <v>141</v>
      </c>
      <c r="G642" s="2">
        <v>729</v>
      </c>
      <c r="H642" s="2" t="s">
        <v>206</v>
      </c>
      <c r="I642" s="2">
        <v>5419</v>
      </c>
      <c r="J642" s="2" t="s">
        <v>209</v>
      </c>
      <c r="K642" s="2" t="s">
        <v>203</v>
      </c>
      <c r="L642" s="2" t="s">
        <v>132</v>
      </c>
      <c r="M642" s="2">
        <v>2019</v>
      </c>
      <c r="N642" s="2">
        <v>2019</v>
      </c>
      <c r="O642" s="2" t="s">
        <v>210</v>
      </c>
      <c r="P642" s="2">
        <v>87907</v>
      </c>
      <c r="Q642" s="2" t="s">
        <v>115</v>
      </c>
      <c r="R642" s="2" t="s">
        <v>116</v>
      </c>
    </row>
    <row r="643" spans="5:18" ht="13.5" customHeight="1" x14ac:dyDescent="0.25">
      <c r="E643" s="2" t="s">
        <v>140</v>
      </c>
      <c r="F643" s="2" t="s">
        <v>141</v>
      </c>
      <c r="G643" s="2">
        <v>729</v>
      </c>
      <c r="H643" s="2" t="s">
        <v>206</v>
      </c>
      <c r="I643" s="2">
        <v>5419</v>
      </c>
      <c r="J643" s="2" t="s">
        <v>209</v>
      </c>
      <c r="K643" s="2" t="s">
        <v>203</v>
      </c>
      <c r="L643" s="2" t="s">
        <v>132</v>
      </c>
      <c r="M643" s="2">
        <v>2020</v>
      </c>
      <c r="N643" s="2">
        <v>2020</v>
      </c>
      <c r="O643" s="2" t="s">
        <v>210</v>
      </c>
      <c r="P643" s="2">
        <v>120062</v>
      </c>
      <c r="Q643" s="2" t="s">
        <v>115</v>
      </c>
      <c r="R643" s="2" t="s">
        <v>116</v>
      </c>
    </row>
    <row r="644" spans="5:18" ht="13.5" customHeight="1" x14ac:dyDescent="0.25">
      <c r="E644" s="2" t="s">
        <v>140</v>
      </c>
      <c r="F644" s="2" t="s">
        <v>141</v>
      </c>
      <c r="G644" s="2">
        <v>729</v>
      </c>
      <c r="H644" s="2" t="s">
        <v>206</v>
      </c>
      <c r="I644" s="2">
        <v>5419</v>
      </c>
      <c r="J644" s="2" t="s">
        <v>209</v>
      </c>
      <c r="K644" s="2" t="s">
        <v>203</v>
      </c>
      <c r="L644" s="2" t="s">
        <v>132</v>
      </c>
      <c r="M644" s="2">
        <v>2021</v>
      </c>
      <c r="N644" s="2">
        <v>2021</v>
      </c>
      <c r="O644" s="2" t="s">
        <v>210</v>
      </c>
      <c r="P644" s="2">
        <v>45908</v>
      </c>
      <c r="Q644" s="2" t="s">
        <v>115</v>
      </c>
      <c r="R644" s="2" t="s">
        <v>116</v>
      </c>
    </row>
    <row r="645" spans="5:18" ht="13.5" customHeight="1" x14ac:dyDescent="0.25">
      <c r="E645" s="2" t="s">
        <v>140</v>
      </c>
      <c r="F645" s="2" t="s">
        <v>141</v>
      </c>
      <c r="G645" s="2">
        <v>729</v>
      </c>
      <c r="H645" s="2" t="s">
        <v>206</v>
      </c>
      <c r="I645" s="2">
        <v>5312</v>
      </c>
      <c r="J645" s="2" t="s">
        <v>142</v>
      </c>
      <c r="K645" s="2" t="s">
        <v>204</v>
      </c>
      <c r="L645" s="2" t="s">
        <v>84</v>
      </c>
      <c r="M645" s="2">
        <v>2015</v>
      </c>
      <c r="N645" s="2">
        <v>2015</v>
      </c>
      <c r="O645" s="2" t="s">
        <v>23</v>
      </c>
      <c r="P645" s="2">
        <v>226380</v>
      </c>
      <c r="Q645" s="2" t="s">
        <v>143</v>
      </c>
      <c r="R645" s="2" t="s">
        <v>144</v>
      </c>
    </row>
    <row r="646" spans="5:18" ht="13.5" customHeight="1" x14ac:dyDescent="0.25">
      <c r="E646" s="2" t="s">
        <v>140</v>
      </c>
      <c r="F646" s="2" t="s">
        <v>141</v>
      </c>
      <c r="G646" s="2">
        <v>729</v>
      </c>
      <c r="H646" s="2" t="s">
        <v>206</v>
      </c>
      <c r="I646" s="2">
        <v>5312</v>
      </c>
      <c r="J646" s="2" t="s">
        <v>142</v>
      </c>
      <c r="K646" s="2" t="s">
        <v>204</v>
      </c>
      <c r="L646" s="2" t="s">
        <v>84</v>
      </c>
      <c r="M646" s="2">
        <v>2016</v>
      </c>
      <c r="N646" s="2">
        <v>2016</v>
      </c>
      <c r="O646" s="2" t="s">
        <v>23</v>
      </c>
      <c r="P646" s="2">
        <v>216720</v>
      </c>
      <c r="Q646" s="2" t="s">
        <v>143</v>
      </c>
      <c r="R646" s="2" t="s">
        <v>144</v>
      </c>
    </row>
    <row r="647" spans="5:18" ht="13.5" customHeight="1" x14ac:dyDescent="0.25">
      <c r="E647" s="2" t="s">
        <v>140</v>
      </c>
      <c r="F647" s="2" t="s">
        <v>141</v>
      </c>
      <c r="G647" s="2">
        <v>729</v>
      </c>
      <c r="H647" s="2" t="s">
        <v>206</v>
      </c>
      <c r="I647" s="2">
        <v>5312</v>
      </c>
      <c r="J647" s="2" t="s">
        <v>142</v>
      </c>
      <c r="K647" s="2" t="s">
        <v>204</v>
      </c>
      <c r="L647" s="2" t="s">
        <v>84</v>
      </c>
      <c r="M647" s="2">
        <v>2017</v>
      </c>
      <c r="N647" s="2">
        <v>2017</v>
      </c>
      <c r="O647" s="2" t="s">
        <v>23</v>
      </c>
      <c r="P647" s="2">
        <v>172200</v>
      </c>
      <c r="Q647" s="2" t="s">
        <v>143</v>
      </c>
      <c r="R647" s="2" t="s">
        <v>144</v>
      </c>
    </row>
    <row r="648" spans="5:18" ht="13.5" customHeight="1" x14ac:dyDescent="0.25">
      <c r="E648" s="2" t="s">
        <v>140</v>
      </c>
      <c r="F648" s="2" t="s">
        <v>141</v>
      </c>
      <c r="G648" s="2">
        <v>729</v>
      </c>
      <c r="H648" s="2" t="s">
        <v>206</v>
      </c>
      <c r="I648" s="2">
        <v>5312</v>
      </c>
      <c r="J648" s="2" t="s">
        <v>142</v>
      </c>
      <c r="K648" s="2" t="s">
        <v>204</v>
      </c>
      <c r="L648" s="2" t="s">
        <v>84</v>
      </c>
      <c r="M648" s="2">
        <v>2018</v>
      </c>
      <c r="N648" s="2">
        <v>2018</v>
      </c>
      <c r="O648" s="2" t="s">
        <v>23</v>
      </c>
      <c r="P648" s="2">
        <v>286860</v>
      </c>
      <c r="Q648" s="2" t="s">
        <v>143</v>
      </c>
      <c r="R648" s="2" t="s">
        <v>144</v>
      </c>
    </row>
    <row r="649" spans="5:18" ht="13.5" customHeight="1" x14ac:dyDescent="0.25">
      <c r="E649" s="2" t="s">
        <v>140</v>
      </c>
      <c r="F649" s="2" t="s">
        <v>141</v>
      </c>
      <c r="G649" s="2">
        <v>729</v>
      </c>
      <c r="H649" s="2" t="s">
        <v>206</v>
      </c>
      <c r="I649" s="2">
        <v>5312</v>
      </c>
      <c r="J649" s="2" t="s">
        <v>142</v>
      </c>
      <c r="K649" s="2" t="s">
        <v>204</v>
      </c>
      <c r="L649" s="2" t="s">
        <v>84</v>
      </c>
      <c r="M649" s="2">
        <v>2019</v>
      </c>
      <c r="N649" s="2">
        <v>2019</v>
      </c>
      <c r="O649" s="2" t="s">
        <v>23</v>
      </c>
      <c r="P649" s="2">
        <v>303660</v>
      </c>
      <c r="Q649" s="2" t="s">
        <v>143</v>
      </c>
      <c r="R649" s="2" t="s">
        <v>144</v>
      </c>
    </row>
    <row r="650" spans="5:18" ht="13.5" customHeight="1" x14ac:dyDescent="0.25">
      <c r="E650" s="2" t="s">
        <v>140</v>
      </c>
      <c r="F650" s="2" t="s">
        <v>141</v>
      </c>
      <c r="G650" s="2">
        <v>729</v>
      </c>
      <c r="H650" s="2" t="s">
        <v>206</v>
      </c>
      <c r="I650" s="2">
        <v>5312</v>
      </c>
      <c r="J650" s="2" t="s">
        <v>142</v>
      </c>
      <c r="K650" s="2" t="s">
        <v>204</v>
      </c>
      <c r="L650" s="2" t="s">
        <v>84</v>
      </c>
      <c r="M650" s="2">
        <v>2020</v>
      </c>
      <c r="N650" s="2">
        <v>2020</v>
      </c>
      <c r="O650" s="2" t="s">
        <v>23</v>
      </c>
      <c r="P650" s="2">
        <v>321444</v>
      </c>
      <c r="Q650" s="2" t="s">
        <v>143</v>
      </c>
      <c r="R650" s="2" t="s">
        <v>144</v>
      </c>
    </row>
    <row r="651" spans="5:18" ht="13.5" customHeight="1" x14ac:dyDescent="0.25">
      <c r="E651" s="2" t="s">
        <v>140</v>
      </c>
      <c r="F651" s="2" t="s">
        <v>141</v>
      </c>
      <c r="G651" s="2">
        <v>729</v>
      </c>
      <c r="H651" s="2" t="s">
        <v>206</v>
      </c>
      <c r="I651" s="2">
        <v>5312</v>
      </c>
      <c r="J651" s="2" t="s">
        <v>142</v>
      </c>
      <c r="K651" s="2" t="s">
        <v>204</v>
      </c>
      <c r="L651" s="2" t="s">
        <v>84</v>
      </c>
      <c r="M651" s="2">
        <v>2021</v>
      </c>
      <c r="N651" s="2">
        <v>2021</v>
      </c>
      <c r="O651" s="2" t="s">
        <v>23</v>
      </c>
      <c r="P651" s="2">
        <v>260000</v>
      </c>
      <c r="Q651" s="2" t="s">
        <v>168</v>
      </c>
      <c r="R651" s="2" t="s">
        <v>169</v>
      </c>
    </row>
    <row r="652" spans="5:18" ht="13.5" customHeight="1" x14ac:dyDescent="0.25">
      <c r="E652" s="2" t="s">
        <v>140</v>
      </c>
      <c r="F652" s="2" t="s">
        <v>141</v>
      </c>
      <c r="G652" s="2">
        <v>729</v>
      </c>
      <c r="H652" s="2" t="s">
        <v>206</v>
      </c>
      <c r="I652" s="2">
        <v>5419</v>
      </c>
      <c r="J652" s="2" t="s">
        <v>209</v>
      </c>
      <c r="K652" s="2" t="s">
        <v>204</v>
      </c>
      <c r="L652" s="2" t="s">
        <v>84</v>
      </c>
      <c r="M652" s="2">
        <v>2015</v>
      </c>
      <c r="N652" s="2">
        <v>2015</v>
      </c>
      <c r="O652" s="2" t="s">
        <v>210</v>
      </c>
      <c r="P652" s="2">
        <v>34393</v>
      </c>
      <c r="Q652" s="2" t="s">
        <v>143</v>
      </c>
      <c r="R652" s="2" t="s">
        <v>144</v>
      </c>
    </row>
    <row r="653" spans="5:18" ht="13.5" customHeight="1" x14ac:dyDescent="0.25">
      <c r="E653" s="2" t="s">
        <v>140</v>
      </c>
      <c r="F653" s="2" t="s">
        <v>141</v>
      </c>
      <c r="G653" s="2">
        <v>729</v>
      </c>
      <c r="H653" s="2" t="s">
        <v>206</v>
      </c>
      <c r="I653" s="2">
        <v>5419</v>
      </c>
      <c r="J653" s="2" t="s">
        <v>209</v>
      </c>
      <c r="K653" s="2" t="s">
        <v>204</v>
      </c>
      <c r="L653" s="2" t="s">
        <v>84</v>
      </c>
      <c r="M653" s="2">
        <v>2016</v>
      </c>
      <c r="N653" s="2">
        <v>2016</v>
      </c>
      <c r="O653" s="2" t="s">
        <v>210</v>
      </c>
      <c r="P653" s="2">
        <v>23810</v>
      </c>
      <c r="Q653" s="2" t="s">
        <v>143</v>
      </c>
      <c r="R653" s="2" t="s">
        <v>144</v>
      </c>
    </row>
    <row r="654" spans="5:18" ht="13.5" customHeight="1" x14ac:dyDescent="0.25">
      <c r="E654" s="2" t="s">
        <v>140</v>
      </c>
      <c r="F654" s="2" t="s">
        <v>141</v>
      </c>
      <c r="G654" s="2">
        <v>729</v>
      </c>
      <c r="H654" s="2" t="s">
        <v>206</v>
      </c>
      <c r="I654" s="2">
        <v>5419</v>
      </c>
      <c r="J654" s="2" t="s">
        <v>209</v>
      </c>
      <c r="K654" s="2" t="s">
        <v>204</v>
      </c>
      <c r="L654" s="2" t="s">
        <v>84</v>
      </c>
      <c r="M654" s="2">
        <v>2017</v>
      </c>
      <c r="N654" s="2">
        <v>2017</v>
      </c>
      <c r="O654" s="2" t="s">
        <v>210</v>
      </c>
      <c r="P654" s="2">
        <v>26887</v>
      </c>
      <c r="Q654" s="2" t="s">
        <v>143</v>
      </c>
      <c r="R654" s="2" t="s">
        <v>144</v>
      </c>
    </row>
    <row r="655" spans="5:18" ht="13.5" customHeight="1" x14ac:dyDescent="0.25">
      <c r="E655" s="2" t="s">
        <v>140</v>
      </c>
      <c r="F655" s="2" t="s">
        <v>141</v>
      </c>
      <c r="G655" s="2">
        <v>729</v>
      </c>
      <c r="H655" s="2" t="s">
        <v>206</v>
      </c>
      <c r="I655" s="2">
        <v>5419</v>
      </c>
      <c r="J655" s="2" t="s">
        <v>209</v>
      </c>
      <c r="K655" s="2" t="s">
        <v>204</v>
      </c>
      <c r="L655" s="2" t="s">
        <v>84</v>
      </c>
      <c r="M655" s="2">
        <v>2018</v>
      </c>
      <c r="N655" s="2">
        <v>2018</v>
      </c>
      <c r="O655" s="2" t="s">
        <v>210</v>
      </c>
      <c r="P655" s="2">
        <v>24472</v>
      </c>
      <c r="Q655" s="2" t="s">
        <v>143</v>
      </c>
      <c r="R655" s="2" t="s">
        <v>144</v>
      </c>
    </row>
    <row r="656" spans="5:18" ht="13.5" customHeight="1" x14ac:dyDescent="0.25">
      <c r="E656" s="2" t="s">
        <v>140</v>
      </c>
      <c r="F656" s="2" t="s">
        <v>141</v>
      </c>
      <c r="G656" s="2">
        <v>729</v>
      </c>
      <c r="H656" s="2" t="s">
        <v>206</v>
      </c>
      <c r="I656" s="2">
        <v>5419</v>
      </c>
      <c r="J656" s="2" t="s">
        <v>209</v>
      </c>
      <c r="K656" s="2" t="s">
        <v>204</v>
      </c>
      <c r="L656" s="2" t="s">
        <v>84</v>
      </c>
      <c r="M656" s="2">
        <v>2019</v>
      </c>
      <c r="N656" s="2">
        <v>2019</v>
      </c>
      <c r="O656" s="2" t="s">
        <v>210</v>
      </c>
      <c r="P656" s="2">
        <v>23908</v>
      </c>
      <c r="Q656" s="2" t="s">
        <v>143</v>
      </c>
      <c r="R656" s="2" t="s">
        <v>144</v>
      </c>
    </row>
    <row r="657" spans="5:18" ht="13.5" customHeight="1" x14ac:dyDescent="0.25">
      <c r="E657" s="2" t="s">
        <v>140</v>
      </c>
      <c r="F657" s="2" t="s">
        <v>141</v>
      </c>
      <c r="G657" s="2">
        <v>729</v>
      </c>
      <c r="H657" s="2" t="s">
        <v>206</v>
      </c>
      <c r="I657" s="2">
        <v>5419</v>
      </c>
      <c r="J657" s="2" t="s">
        <v>209</v>
      </c>
      <c r="K657" s="2" t="s">
        <v>204</v>
      </c>
      <c r="L657" s="2" t="s">
        <v>84</v>
      </c>
      <c r="M657" s="2">
        <v>2020</v>
      </c>
      <c r="N657" s="2">
        <v>2020</v>
      </c>
      <c r="O657" s="2" t="s">
        <v>210</v>
      </c>
      <c r="P657" s="2">
        <v>22324</v>
      </c>
      <c r="Q657" s="2" t="s">
        <v>143</v>
      </c>
      <c r="R657" s="2" t="s">
        <v>144</v>
      </c>
    </row>
    <row r="658" spans="5:18" ht="13.5" customHeight="1" x14ac:dyDescent="0.25">
      <c r="E658" s="2" t="s">
        <v>140</v>
      </c>
      <c r="F658" s="2" t="s">
        <v>141</v>
      </c>
      <c r="G658" s="2">
        <v>729</v>
      </c>
      <c r="H658" s="2" t="s">
        <v>206</v>
      </c>
      <c r="I658" s="2">
        <v>5419</v>
      </c>
      <c r="J658" s="2" t="s">
        <v>209</v>
      </c>
      <c r="K658" s="2" t="s">
        <v>204</v>
      </c>
      <c r="L658" s="2" t="s">
        <v>84</v>
      </c>
      <c r="M658" s="2">
        <v>2021</v>
      </c>
      <c r="N658" s="2">
        <v>2021</v>
      </c>
      <c r="O658" s="2" t="s">
        <v>210</v>
      </c>
      <c r="P658" s="2">
        <v>23077</v>
      </c>
      <c r="Q658" s="2" t="s">
        <v>115</v>
      </c>
      <c r="R658" s="2" t="s">
        <v>116</v>
      </c>
    </row>
    <row r="659" spans="5:18" ht="13.5" customHeight="1" x14ac:dyDescent="0.25">
      <c r="E659" s="2" t="s">
        <v>140</v>
      </c>
      <c r="F659" s="2" t="s">
        <v>141</v>
      </c>
      <c r="G659" s="2">
        <v>729</v>
      </c>
      <c r="H659" s="2" t="s">
        <v>206</v>
      </c>
      <c r="I659" s="2">
        <v>5312</v>
      </c>
      <c r="J659" s="2" t="s">
        <v>142</v>
      </c>
      <c r="K659" s="2" t="s">
        <v>233</v>
      </c>
      <c r="L659" s="2" t="s">
        <v>234</v>
      </c>
      <c r="M659" s="2">
        <v>2015</v>
      </c>
      <c r="N659" s="2">
        <v>2015</v>
      </c>
      <c r="O659" s="2" t="s">
        <v>23</v>
      </c>
      <c r="P659" s="2">
        <v>81762</v>
      </c>
      <c r="Q659" s="2" t="s">
        <v>145</v>
      </c>
      <c r="R659" s="2" t="s">
        <v>146</v>
      </c>
    </row>
    <row r="660" spans="5:18" ht="13.5" customHeight="1" x14ac:dyDescent="0.25">
      <c r="E660" s="2" t="s">
        <v>140</v>
      </c>
      <c r="F660" s="2" t="s">
        <v>141</v>
      </c>
      <c r="G660" s="2">
        <v>729</v>
      </c>
      <c r="H660" s="2" t="s">
        <v>206</v>
      </c>
      <c r="I660" s="2">
        <v>5312</v>
      </c>
      <c r="J660" s="2" t="s">
        <v>142</v>
      </c>
      <c r="K660" s="2" t="s">
        <v>233</v>
      </c>
      <c r="L660" s="2" t="s">
        <v>234</v>
      </c>
      <c r="M660" s="2">
        <v>2016</v>
      </c>
      <c r="N660" s="2">
        <v>2016</v>
      </c>
      <c r="O660" s="2" t="s">
        <v>23</v>
      </c>
      <c r="P660" s="2">
        <v>79254</v>
      </c>
      <c r="Q660" s="2" t="s">
        <v>115</v>
      </c>
      <c r="R660" s="2" t="s">
        <v>116</v>
      </c>
    </row>
    <row r="661" spans="5:18" ht="13.5" customHeight="1" x14ac:dyDescent="0.25">
      <c r="E661" s="2" t="s">
        <v>140</v>
      </c>
      <c r="F661" s="2" t="s">
        <v>141</v>
      </c>
      <c r="G661" s="2">
        <v>729</v>
      </c>
      <c r="H661" s="2" t="s">
        <v>206</v>
      </c>
      <c r="I661" s="2">
        <v>5312</v>
      </c>
      <c r="J661" s="2" t="s">
        <v>142</v>
      </c>
      <c r="K661" s="2" t="s">
        <v>233</v>
      </c>
      <c r="L661" s="2" t="s">
        <v>234</v>
      </c>
      <c r="M661" s="2">
        <v>2017</v>
      </c>
      <c r="N661" s="2">
        <v>2017</v>
      </c>
      <c r="O661" s="2" t="s">
        <v>23</v>
      </c>
      <c r="P661" s="2">
        <v>80604</v>
      </c>
      <c r="Q661" s="2" t="s">
        <v>145</v>
      </c>
      <c r="R661" s="2" t="s">
        <v>146</v>
      </c>
    </row>
    <row r="662" spans="5:18" ht="13.5" customHeight="1" x14ac:dyDescent="0.25">
      <c r="E662" s="2" t="s">
        <v>140</v>
      </c>
      <c r="F662" s="2" t="s">
        <v>141</v>
      </c>
      <c r="G662" s="2">
        <v>729</v>
      </c>
      <c r="H662" s="2" t="s">
        <v>206</v>
      </c>
      <c r="I662" s="2">
        <v>5312</v>
      </c>
      <c r="J662" s="2" t="s">
        <v>142</v>
      </c>
      <c r="K662" s="2" t="s">
        <v>233</v>
      </c>
      <c r="L662" s="2" t="s">
        <v>234</v>
      </c>
      <c r="M662" s="2">
        <v>2018</v>
      </c>
      <c r="N662" s="2">
        <v>2018</v>
      </c>
      <c r="O662" s="2" t="s">
        <v>23</v>
      </c>
      <c r="P662" s="2">
        <v>83215</v>
      </c>
      <c r="Q662" s="2" t="s">
        <v>145</v>
      </c>
      <c r="R662" s="2" t="s">
        <v>146</v>
      </c>
    </row>
    <row r="663" spans="5:18" ht="13.5" customHeight="1" x14ac:dyDescent="0.25">
      <c r="E663" s="2" t="s">
        <v>140</v>
      </c>
      <c r="F663" s="2" t="s">
        <v>141</v>
      </c>
      <c r="G663" s="2">
        <v>729</v>
      </c>
      <c r="H663" s="2" t="s">
        <v>206</v>
      </c>
      <c r="I663" s="2">
        <v>5312</v>
      </c>
      <c r="J663" s="2" t="s">
        <v>142</v>
      </c>
      <c r="K663" s="2" t="s">
        <v>233</v>
      </c>
      <c r="L663" s="2" t="s">
        <v>234</v>
      </c>
      <c r="M663" s="2">
        <v>2019</v>
      </c>
      <c r="N663" s="2">
        <v>2019</v>
      </c>
      <c r="O663" s="2" t="s">
        <v>23</v>
      </c>
      <c r="P663" s="2">
        <v>84349</v>
      </c>
      <c r="Q663" s="2" t="s">
        <v>145</v>
      </c>
      <c r="R663" s="2" t="s">
        <v>146</v>
      </c>
    </row>
    <row r="664" spans="5:18" ht="13.5" customHeight="1" x14ac:dyDescent="0.25">
      <c r="E664" s="2" t="s">
        <v>140</v>
      </c>
      <c r="F664" s="2" t="s">
        <v>141</v>
      </c>
      <c r="G664" s="2">
        <v>729</v>
      </c>
      <c r="H664" s="2" t="s">
        <v>206</v>
      </c>
      <c r="I664" s="2">
        <v>5312</v>
      </c>
      <c r="J664" s="2" t="s">
        <v>142</v>
      </c>
      <c r="K664" s="2" t="s">
        <v>233</v>
      </c>
      <c r="L664" s="2" t="s">
        <v>234</v>
      </c>
      <c r="M664" s="2">
        <v>2020</v>
      </c>
      <c r="N664" s="2">
        <v>2020</v>
      </c>
      <c r="O664" s="2" t="s">
        <v>23</v>
      </c>
      <c r="P664" s="2">
        <v>82723</v>
      </c>
      <c r="Q664" s="2" t="s">
        <v>115</v>
      </c>
      <c r="R664" s="2" t="s">
        <v>116</v>
      </c>
    </row>
    <row r="665" spans="5:18" ht="13.5" customHeight="1" x14ac:dyDescent="0.25">
      <c r="E665" s="2" t="s">
        <v>140</v>
      </c>
      <c r="F665" s="2" t="s">
        <v>141</v>
      </c>
      <c r="G665" s="2">
        <v>729</v>
      </c>
      <c r="H665" s="2" t="s">
        <v>206</v>
      </c>
      <c r="I665" s="2">
        <v>5312</v>
      </c>
      <c r="J665" s="2" t="s">
        <v>142</v>
      </c>
      <c r="K665" s="2" t="s">
        <v>233</v>
      </c>
      <c r="L665" s="2" t="s">
        <v>234</v>
      </c>
      <c r="M665" s="2">
        <v>2021</v>
      </c>
      <c r="N665" s="2">
        <v>2021</v>
      </c>
      <c r="O665" s="2" t="s">
        <v>23</v>
      </c>
      <c r="P665" s="2">
        <v>83429</v>
      </c>
      <c r="Q665" s="2" t="s">
        <v>115</v>
      </c>
      <c r="R665" s="2" t="s">
        <v>116</v>
      </c>
    </row>
    <row r="666" spans="5:18" ht="13.5" customHeight="1" x14ac:dyDescent="0.25">
      <c r="E666" s="2" t="s">
        <v>140</v>
      </c>
      <c r="F666" s="2" t="s">
        <v>141</v>
      </c>
      <c r="G666" s="2">
        <v>729</v>
      </c>
      <c r="H666" s="2" t="s">
        <v>206</v>
      </c>
      <c r="I666" s="2">
        <v>5419</v>
      </c>
      <c r="J666" s="2" t="s">
        <v>209</v>
      </c>
      <c r="K666" s="2" t="s">
        <v>233</v>
      </c>
      <c r="L666" s="2" t="s">
        <v>234</v>
      </c>
      <c r="M666" s="2">
        <v>2015</v>
      </c>
      <c r="N666" s="2">
        <v>2015</v>
      </c>
      <c r="O666" s="2" t="s">
        <v>210</v>
      </c>
      <c r="P666" s="2">
        <v>20820</v>
      </c>
      <c r="Q666" s="2" t="s">
        <v>115</v>
      </c>
      <c r="R666" s="2" t="s">
        <v>116</v>
      </c>
    </row>
    <row r="667" spans="5:18" ht="13.5" customHeight="1" x14ac:dyDescent="0.25">
      <c r="E667" s="2" t="s">
        <v>140</v>
      </c>
      <c r="F667" s="2" t="s">
        <v>141</v>
      </c>
      <c r="G667" s="2">
        <v>729</v>
      </c>
      <c r="H667" s="2" t="s">
        <v>206</v>
      </c>
      <c r="I667" s="2">
        <v>5419</v>
      </c>
      <c r="J667" s="2" t="s">
        <v>209</v>
      </c>
      <c r="K667" s="2" t="s">
        <v>233</v>
      </c>
      <c r="L667" s="2" t="s">
        <v>234</v>
      </c>
      <c r="M667" s="2">
        <v>2016</v>
      </c>
      <c r="N667" s="2">
        <v>2016</v>
      </c>
      <c r="O667" s="2" t="s">
        <v>210</v>
      </c>
      <c r="P667" s="2">
        <v>20829</v>
      </c>
      <c r="Q667" s="2" t="s">
        <v>115</v>
      </c>
      <c r="R667" s="2" t="s">
        <v>116</v>
      </c>
    </row>
    <row r="668" spans="5:18" ht="13.5" customHeight="1" x14ac:dyDescent="0.25">
      <c r="E668" s="2" t="s">
        <v>140</v>
      </c>
      <c r="F668" s="2" t="s">
        <v>141</v>
      </c>
      <c r="G668" s="2">
        <v>729</v>
      </c>
      <c r="H668" s="2" t="s">
        <v>206</v>
      </c>
      <c r="I668" s="2">
        <v>5419</v>
      </c>
      <c r="J668" s="2" t="s">
        <v>209</v>
      </c>
      <c r="K668" s="2" t="s">
        <v>233</v>
      </c>
      <c r="L668" s="2" t="s">
        <v>234</v>
      </c>
      <c r="M668" s="2">
        <v>2017</v>
      </c>
      <c r="N668" s="2">
        <v>2017</v>
      </c>
      <c r="O668" s="2" t="s">
        <v>210</v>
      </c>
      <c r="P668" s="2">
        <v>21036</v>
      </c>
      <c r="Q668" s="2" t="s">
        <v>115</v>
      </c>
      <c r="R668" s="2" t="s">
        <v>116</v>
      </c>
    </row>
    <row r="669" spans="5:18" ht="13.5" customHeight="1" x14ac:dyDescent="0.25">
      <c r="E669" s="2" t="s">
        <v>140</v>
      </c>
      <c r="F669" s="2" t="s">
        <v>141</v>
      </c>
      <c r="G669" s="2">
        <v>729</v>
      </c>
      <c r="H669" s="2" t="s">
        <v>206</v>
      </c>
      <c r="I669" s="2">
        <v>5419</v>
      </c>
      <c r="J669" s="2" t="s">
        <v>209</v>
      </c>
      <c r="K669" s="2" t="s">
        <v>233</v>
      </c>
      <c r="L669" s="2" t="s">
        <v>234</v>
      </c>
      <c r="M669" s="2">
        <v>2018</v>
      </c>
      <c r="N669" s="2">
        <v>2018</v>
      </c>
      <c r="O669" s="2" t="s">
        <v>210</v>
      </c>
      <c r="P669" s="2">
        <v>20223</v>
      </c>
      <c r="Q669" s="2" t="s">
        <v>115</v>
      </c>
      <c r="R669" s="2" t="s">
        <v>116</v>
      </c>
    </row>
    <row r="670" spans="5:18" ht="13.5" customHeight="1" x14ac:dyDescent="0.25">
      <c r="E670" s="2" t="s">
        <v>140</v>
      </c>
      <c r="F670" s="2" t="s">
        <v>141</v>
      </c>
      <c r="G670" s="2">
        <v>729</v>
      </c>
      <c r="H670" s="2" t="s">
        <v>206</v>
      </c>
      <c r="I670" s="2">
        <v>5419</v>
      </c>
      <c r="J670" s="2" t="s">
        <v>209</v>
      </c>
      <c r="K670" s="2" t="s">
        <v>233</v>
      </c>
      <c r="L670" s="2" t="s">
        <v>234</v>
      </c>
      <c r="M670" s="2">
        <v>2019</v>
      </c>
      <c r="N670" s="2">
        <v>2019</v>
      </c>
      <c r="O670" s="2" t="s">
        <v>210</v>
      </c>
      <c r="P670" s="2">
        <v>19875</v>
      </c>
      <c r="Q670" s="2" t="s">
        <v>115</v>
      </c>
      <c r="R670" s="2" t="s">
        <v>116</v>
      </c>
    </row>
    <row r="671" spans="5:18" ht="13.5" customHeight="1" x14ac:dyDescent="0.25">
      <c r="E671" s="2" t="s">
        <v>140</v>
      </c>
      <c r="F671" s="2" t="s">
        <v>141</v>
      </c>
      <c r="G671" s="2">
        <v>729</v>
      </c>
      <c r="H671" s="2" t="s">
        <v>206</v>
      </c>
      <c r="I671" s="2">
        <v>5419</v>
      </c>
      <c r="J671" s="2" t="s">
        <v>209</v>
      </c>
      <c r="K671" s="2" t="s">
        <v>233</v>
      </c>
      <c r="L671" s="2" t="s">
        <v>234</v>
      </c>
      <c r="M671" s="2">
        <v>2020</v>
      </c>
      <c r="N671" s="2">
        <v>2020</v>
      </c>
      <c r="O671" s="2" t="s">
        <v>210</v>
      </c>
      <c r="P671" s="2">
        <v>20369</v>
      </c>
      <c r="Q671" s="2" t="s">
        <v>115</v>
      </c>
      <c r="R671" s="2" t="s">
        <v>116</v>
      </c>
    </row>
    <row r="672" spans="5:18" ht="13.5" customHeight="1" x14ac:dyDescent="0.25">
      <c r="E672" s="2" t="s">
        <v>140</v>
      </c>
      <c r="F672" s="2" t="s">
        <v>141</v>
      </c>
      <c r="G672" s="2">
        <v>729</v>
      </c>
      <c r="H672" s="2" t="s">
        <v>206</v>
      </c>
      <c r="I672" s="2">
        <v>5419</v>
      </c>
      <c r="J672" s="2" t="s">
        <v>209</v>
      </c>
      <c r="K672" s="2" t="s">
        <v>233</v>
      </c>
      <c r="L672" s="2" t="s">
        <v>234</v>
      </c>
      <c r="M672" s="2">
        <v>2021</v>
      </c>
      <c r="N672" s="2">
        <v>2021</v>
      </c>
      <c r="O672" s="2" t="s">
        <v>210</v>
      </c>
      <c r="P672" s="2">
        <v>20154</v>
      </c>
      <c r="Q672" s="2" t="s">
        <v>115</v>
      </c>
      <c r="R672" s="2" t="s">
        <v>116</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A8EF-9386-4DE3-9654-92BCD7AAD4FB}">
  <dimension ref="A1:Z245"/>
  <sheetViews>
    <sheetView showGridLines="0" zoomScale="80" zoomScaleNormal="80" workbookViewId="0">
      <pane ySplit="10" topLeftCell="A158" activePane="bottomLeft" state="frozen"/>
      <selection pane="bottomLeft" activeCell="O165" sqref="O165"/>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453125" style="2" customWidth="1"/>
    <col min="5" max="5" width="20.26953125" style="2" customWidth="1"/>
    <col min="6" max="6" width="35" style="2" bestFit="1" customWidth="1"/>
    <col min="7" max="7" width="20.26953125" style="2" customWidth="1"/>
    <col min="8" max="8" width="13.81640625" style="2" customWidth="1"/>
    <col min="9" max="13" width="20.26953125" style="2" customWidth="1"/>
    <col min="14" max="14" width="9.26953125" style="2"/>
    <col min="15" max="15" width="32.453125" style="2" bestFit="1" customWidth="1"/>
    <col min="16" max="16" width="24.81640625" style="2" bestFit="1" customWidth="1"/>
    <col min="17" max="17" width="34.54296875" style="2" bestFit="1" customWidth="1"/>
    <col min="18" max="18" width="35.08984375" style="2" customWidth="1"/>
    <col min="19" max="19" width="35.81640625" style="2" customWidth="1"/>
    <col min="20" max="20" width="30.54296875" style="2" bestFit="1" customWidth="1"/>
    <col min="21" max="21" width="13.81640625" style="2" customWidth="1"/>
    <col min="22" max="22" width="9.26953125" style="2"/>
    <col min="23" max="23" width="0" style="2" hidden="1" customWidth="1"/>
    <col min="24" max="16384" width="9.26953125" style="2"/>
  </cols>
  <sheetData>
    <row r="1" spans="1:24" s="7" customFormat="1" ht="13.5" customHeight="1" x14ac:dyDescent="0.25">
      <c r="A1" s="5"/>
      <c r="B1" s="5"/>
      <c r="C1" s="5"/>
      <c r="D1" s="6"/>
      <c r="E1" s="25"/>
    </row>
    <row r="2" spans="1:24" s="7" customFormat="1" ht="13.5" customHeight="1" x14ac:dyDescent="0.25">
      <c r="A2" s="5"/>
      <c r="B2" s="5"/>
      <c r="C2" s="5"/>
      <c r="D2" s="6"/>
      <c r="E2" s="26" t="str">
        <f>Title</f>
        <v>OCP Africa - Sudan P205</v>
      </c>
    </row>
    <row r="3" spans="1:24" s="7" customFormat="1" ht="13.5" customHeight="1" x14ac:dyDescent="0.25">
      <c r="A3" s="5"/>
      <c r="B3" s="5"/>
      <c r="C3" s="5"/>
      <c r="D3" s="6"/>
      <c r="E3" s="27" t="str">
        <f ca="1">MID(CELL("filename",E3),FIND("]",CELL("filename",E3))+1,256)</f>
        <v>ProjectedP205_Consumption</v>
      </c>
    </row>
    <row r="4" spans="1:24" s="7" customFormat="1" ht="13.5" customHeight="1" x14ac:dyDescent="0.25">
      <c r="A4" s="5"/>
      <c r="B4" s="5"/>
      <c r="C4" s="5"/>
      <c r="D4" s="6"/>
      <c r="E4" s="25"/>
    </row>
    <row r="5" spans="1:24" s="11" customFormat="1" ht="13.5" customHeight="1" x14ac:dyDescent="0.3">
      <c r="A5" s="8"/>
      <c r="B5" s="8"/>
      <c r="C5" s="8"/>
      <c r="D5" s="9"/>
      <c r="E5" s="10"/>
    </row>
    <row r="6" spans="1:24" ht="13.5" customHeight="1" thickBot="1" x14ac:dyDescent="0.3">
      <c r="F6" s="7"/>
      <c r="G6" s="7"/>
      <c r="H6" s="59"/>
      <c r="I6" s="59"/>
    </row>
    <row r="7" spans="1:24" ht="13.5" customHeight="1" x14ac:dyDescent="0.35">
      <c r="B7" s="29">
        <v>1</v>
      </c>
      <c r="D7" s="28" t="s">
        <v>10</v>
      </c>
      <c r="F7" s="153"/>
      <c r="G7" s="154"/>
      <c r="H7" s="339" t="s">
        <v>11</v>
      </c>
      <c r="I7" s="340"/>
      <c r="L7" s="161" t="s">
        <v>12</v>
      </c>
    </row>
    <row r="8" spans="1:24" ht="13.5" customHeight="1" x14ac:dyDescent="0.3">
      <c r="F8" s="155" t="s">
        <v>13</v>
      </c>
      <c r="G8" s="156" t="s">
        <v>14</v>
      </c>
      <c r="H8" s="157">
        <f>M44</f>
        <v>169.41443355012015</v>
      </c>
      <c r="I8" s="160">
        <f>M82</f>
        <v>203.52315820423212</v>
      </c>
      <c r="K8" s="164" t="s">
        <v>15</v>
      </c>
      <c r="L8" s="162">
        <f>P44</f>
        <v>0.26691621900402618</v>
      </c>
    </row>
    <row r="9" spans="1:24" ht="13.5" customHeight="1" thickBot="1" x14ac:dyDescent="0.35">
      <c r="D9" s="32" t="s">
        <v>16</v>
      </c>
      <c r="E9" s="7"/>
      <c r="F9" s="158" t="s">
        <v>17</v>
      </c>
      <c r="G9" s="159" t="s">
        <v>14</v>
      </c>
      <c r="H9" s="204">
        <f>M45</f>
        <v>368.29224684808725</v>
      </c>
      <c r="I9" s="205">
        <f>M83</f>
        <v>442.44164827006978</v>
      </c>
      <c r="J9" s="170"/>
      <c r="K9" s="165" t="s">
        <v>18</v>
      </c>
      <c r="L9" s="163">
        <f>P82</f>
        <v>0.3263671350164068</v>
      </c>
    </row>
    <row r="10" spans="1:24" ht="13.5" customHeight="1" x14ac:dyDescent="0.3">
      <c r="D10" s="33" t="s">
        <v>19</v>
      </c>
      <c r="E10" s="7"/>
      <c r="F10" s="7"/>
      <c r="G10" s="7"/>
      <c r="H10" s="206"/>
      <c r="I10" s="7"/>
    </row>
    <row r="11" spans="1:24" ht="13.5" customHeight="1" outlineLevel="1" x14ac:dyDescent="0.25">
      <c r="E11" s="7"/>
      <c r="F11" s="7"/>
      <c r="G11" s="7"/>
      <c r="H11" s="7"/>
      <c r="I11" s="7"/>
    </row>
    <row r="12" spans="1:24" ht="13.5" customHeight="1" outlineLevel="1" x14ac:dyDescent="0.3">
      <c r="D12" s="30"/>
      <c r="E12" s="34">
        <v>2017</v>
      </c>
      <c r="F12" s="34">
        <v>2018</v>
      </c>
      <c r="G12" s="34">
        <v>2019</v>
      </c>
      <c r="H12" s="34">
        <v>2020</v>
      </c>
      <c r="I12" s="34">
        <v>2021</v>
      </c>
      <c r="J12" s="34">
        <v>2022</v>
      </c>
      <c r="K12" s="34">
        <v>2023</v>
      </c>
      <c r="L12" s="34">
        <v>2024</v>
      </c>
      <c r="M12" s="34">
        <v>2025</v>
      </c>
      <c r="O12" s="30" t="s">
        <v>20</v>
      </c>
      <c r="P12" s="30" t="s">
        <v>12</v>
      </c>
      <c r="R12" s="1" t="s">
        <v>318</v>
      </c>
      <c r="S12" s="1" t="s">
        <v>319</v>
      </c>
      <c r="T12" s="2" t="s">
        <v>320</v>
      </c>
      <c r="U12" s="2" t="s">
        <v>321</v>
      </c>
    </row>
    <row r="13" spans="1:24" ht="13.5" customHeight="1" outlineLevel="1" x14ac:dyDescent="0.25">
      <c r="D13" s="82" t="str">
        <f t="shared" ref="D13:D43" si="0">D51</f>
        <v>Sorghum</v>
      </c>
      <c r="E13" s="130">
        <f>(E92*E131)/1000000</f>
        <v>0.74556478000000004</v>
      </c>
      <c r="F13" s="130">
        <f t="shared" ref="F13:I13" si="1">(F92*F131)/1000000</f>
        <v>0.88579644999999996</v>
      </c>
      <c r="G13" s="130">
        <f t="shared" si="1"/>
        <v>4.3389295999999993</v>
      </c>
      <c r="H13" s="130">
        <f t="shared" si="1"/>
        <v>3.6822392700000002</v>
      </c>
      <c r="I13" s="130">
        <f t="shared" si="1"/>
        <v>10.369742503837504</v>
      </c>
      <c r="J13" s="104">
        <f t="shared" ref="J13:M13" si="2">(J92*J131)/1000000</f>
        <v>10.858375072490006</v>
      </c>
      <c r="K13" s="104">
        <f t="shared" si="2"/>
        <v>11.370032493211838</v>
      </c>
      <c r="L13" s="104">
        <f t="shared" si="2"/>
        <v>11.905799719906668</v>
      </c>
      <c r="M13" s="104">
        <f t="shared" si="2"/>
        <v>12.466812830583939</v>
      </c>
      <c r="O13" s="149">
        <f>IFERROR(_xlfn.RRI($H$12-$E$12,E13,H13),0)</f>
        <v>0.70297735775128212</v>
      </c>
      <c r="P13" s="149">
        <f>IFERROR(_xlfn.RRI($M$12-$I$12,I13,M13),0)</f>
        <v>4.7120993454916826E-2</v>
      </c>
      <c r="R13" s="181">
        <f>J13/$J$44</f>
        <v>0.13274380276117714</v>
      </c>
      <c r="S13" s="181">
        <f>M13/$M$44</f>
        <v>7.358766646583105E-2</v>
      </c>
      <c r="T13" s="2">
        <f>M13-J13</f>
        <v>1.6084377580939329</v>
      </c>
      <c r="U13" s="181">
        <f>(M13-J13)/($M$44-$J$44)</f>
        <v>1.8358029489681443E-2</v>
      </c>
      <c r="X13" s="2" t="s">
        <v>62</v>
      </c>
    </row>
    <row r="14" spans="1:24" ht="13.5" customHeight="1" outlineLevel="1" x14ac:dyDescent="0.25">
      <c r="D14" s="82" t="str">
        <f t="shared" si="0"/>
        <v>Sesame seed</v>
      </c>
      <c r="E14" s="130">
        <f t="shared" ref="E14:I14" si="3">(E93*E132)/1000000</f>
        <v>1.058393208</v>
      </c>
      <c r="F14" s="130">
        <f t="shared" si="3"/>
        <v>1.3029105319999998</v>
      </c>
      <c r="G14" s="130">
        <f t="shared" si="3"/>
        <v>9.168260429</v>
      </c>
      <c r="H14" s="130">
        <f t="shared" si="3"/>
        <v>11.175996570999999</v>
      </c>
      <c r="I14" s="130">
        <f t="shared" si="3"/>
        <v>19.442638318292211</v>
      </c>
      <c r="J14" s="104">
        <f t="shared" ref="J14:M14" si="4">(J93*J132)/1000000</f>
        <v>25.427430535938441</v>
      </c>
      <c r="K14" s="104">
        <f t="shared" si="4"/>
        <v>33.254448962910409</v>
      </c>
      <c r="L14" s="104">
        <f t="shared" si="4"/>
        <v>43.490763813662696</v>
      </c>
      <c r="M14" s="104">
        <f t="shared" si="4"/>
        <v>56.877999668717244</v>
      </c>
      <c r="O14" s="149">
        <f t="shared" ref="O14:O32" si="5">IFERROR(_xlfn.RRI($I$91-$E$91,E14,I14),0)</f>
        <v>1.070270235495685</v>
      </c>
      <c r="P14" s="149">
        <f t="shared" ref="P14:P45" si="6">IFERROR(_xlfn.RRI($M$12-$I$12,I14,M14),0)</f>
        <v>0.30781790617457294</v>
      </c>
      <c r="R14" s="181">
        <f t="shared" ref="R14:R43" si="7">J14/$J$44</f>
        <v>0.31085073054233014</v>
      </c>
      <c r="S14" s="181">
        <f t="shared" ref="S14:S43" si="8">M14/$M$44</f>
        <v>0.3357329034889478</v>
      </c>
      <c r="T14" s="2">
        <f t="shared" ref="T14:T43" si="9">M14-J14</f>
        <v>31.450569132778803</v>
      </c>
      <c r="U14" s="181">
        <f t="shared" ref="U14:U43" si="10">(M14-J14)/($M$44-$J$44)</f>
        <v>0.35896351767508039</v>
      </c>
      <c r="X14" s="2" t="s">
        <v>123</v>
      </c>
    </row>
    <row r="15" spans="1:24" ht="13.5" customHeight="1" outlineLevel="1" x14ac:dyDescent="0.25">
      <c r="D15" s="82" t="str">
        <f t="shared" si="0"/>
        <v>Groundnuts, excluding shelled</v>
      </c>
      <c r="E15" s="130">
        <f t="shared" ref="E15:I15" si="11">(E94*E133)/1000000</f>
        <v>0.86897404</v>
      </c>
      <c r="F15" s="130">
        <f t="shared" si="11"/>
        <v>1.1497321</v>
      </c>
      <c r="G15" s="130">
        <f t="shared" si="11"/>
        <v>6.7777357459999994</v>
      </c>
      <c r="H15" s="130">
        <f t="shared" si="11"/>
        <v>6.9214409449999996</v>
      </c>
      <c r="I15" s="130">
        <f t="shared" si="11"/>
        <v>20.06945248297701</v>
      </c>
      <c r="J15" s="104">
        <f t="shared" ref="J15:M15" si="12">(J94*J133)/1000000</f>
        <v>27.793161189437512</v>
      </c>
      <c r="K15" s="104">
        <f t="shared" si="12"/>
        <v>38.489331463190588</v>
      </c>
      <c r="L15" s="104">
        <f t="shared" si="12"/>
        <v>53.30191216414611</v>
      </c>
      <c r="M15" s="104">
        <f t="shared" si="12"/>
        <v>73.815099726308262</v>
      </c>
      <c r="O15" s="149">
        <f t="shared" si="5"/>
        <v>1.1922101315217963</v>
      </c>
      <c r="P15" s="149">
        <f t="shared" si="6"/>
        <v>0.38484899939406825</v>
      </c>
      <c r="R15" s="181">
        <f t="shared" si="7"/>
        <v>0.3397718242748326</v>
      </c>
      <c r="S15" s="181">
        <f t="shared" si="8"/>
        <v>0.43570726637332557</v>
      </c>
      <c r="T15" s="2">
        <f t="shared" si="9"/>
        <v>46.021938536870749</v>
      </c>
      <c r="U15" s="181">
        <f t="shared" si="10"/>
        <v>0.52527497603226458</v>
      </c>
      <c r="X15" s="2" t="s">
        <v>167</v>
      </c>
    </row>
    <row r="16" spans="1:24" ht="13.5" customHeight="1" outlineLevel="1" x14ac:dyDescent="0.25">
      <c r="D16" s="82" t="str">
        <f t="shared" si="0"/>
        <v>Millet</v>
      </c>
      <c r="E16" s="130">
        <f t="shared" ref="E16:I16" si="13">(E95*E134)/1000000</f>
        <v>0.28928422500000006</v>
      </c>
      <c r="F16" s="130">
        <f t="shared" si="13"/>
        <v>0.41357294</v>
      </c>
      <c r="G16" s="130">
        <f t="shared" si="13"/>
        <v>1.9178244600000001</v>
      </c>
      <c r="H16" s="130">
        <f t="shared" si="13"/>
        <v>1.540745585</v>
      </c>
      <c r="I16" s="130">
        <f t="shared" si="13"/>
        <v>4.2007805693141611</v>
      </c>
      <c r="J16" s="104">
        <f t="shared" ref="J16:M16" si="14">(J95*J134)/1000000</f>
        <v>4.4463897399626049</v>
      </c>
      <c r="K16" s="104">
        <f t="shared" si="14"/>
        <v>4.7063590667085302</v>
      </c>
      <c r="L16" s="104">
        <f t="shared" si="14"/>
        <v>4.9815281520903909</v>
      </c>
      <c r="M16" s="273">
        <f t="shared" si="14"/>
        <v>5.2727856881145962</v>
      </c>
      <c r="O16" s="149">
        <f t="shared" si="5"/>
        <v>0.95209662763725977</v>
      </c>
      <c r="P16" s="149">
        <f t="shared" si="6"/>
        <v>5.8467507787140605E-2</v>
      </c>
      <c r="R16" s="181">
        <f t="shared" si="7"/>
        <v>5.4357183160515757E-2</v>
      </c>
      <c r="S16" s="181">
        <f t="shared" si="8"/>
        <v>3.1123591878342981E-2</v>
      </c>
      <c r="T16" s="2">
        <f t="shared" si="9"/>
        <v>0.82639594815199136</v>
      </c>
      <c r="U16" s="181">
        <f t="shared" si="10"/>
        <v>9.4321344484637037E-3</v>
      </c>
      <c r="X16" s="2" t="s">
        <v>58</v>
      </c>
    </row>
    <row r="17" spans="4:24" ht="13.5" customHeight="1" outlineLevel="1" x14ac:dyDescent="0.25">
      <c r="D17" s="82" t="str">
        <f t="shared" si="0"/>
        <v>Sugar cane</v>
      </c>
      <c r="E17" s="130">
        <f t="shared" ref="E17:I17" si="15">(E96*E135)/1000000</f>
        <v>0.12016543200000002</v>
      </c>
      <c r="F17" s="130">
        <f t="shared" si="15"/>
        <v>0.11992384800000001</v>
      </c>
      <c r="G17" s="130">
        <f t="shared" si="15"/>
        <v>0.63816357000000001</v>
      </c>
      <c r="H17" s="130">
        <f t="shared" si="15"/>
        <v>0.61649991000000004</v>
      </c>
      <c r="I17" s="130">
        <f t="shared" si="15"/>
        <v>1.4375874240149251</v>
      </c>
      <c r="J17" s="104">
        <f t="shared" ref="J17:M17" si="16">(J96*J135)/1000000</f>
        <v>1.4926455004635664</v>
      </c>
      <c r="K17" s="104">
        <f t="shared" si="16"/>
        <v>1.5498122429533709</v>
      </c>
      <c r="L17" s="104">
        <f t="shared" si="16"/>
        <v>1.6091684111613929</v>
      </c>
      <c r="M17" s="104">
        <f t="shared" si="16"/>
        <v>1.6707978577748201</v>
      </c>
      <c r="O17" s="149">
        <f t="shared" si="5"/>
        <v>0.85978901507488237</v>
      </c>
      <c r="P17" s="149">
        <f t="shared" si="6"/>
        <v>3.8298941357509664E-2</v>
      </c>
      <c r="R17" s="181">
        <f t="shared" si="7"/>
        <v>1.8247614268536917E-2</v>
      </c>
      <c r="S17" s="181">
        <f t="shared" si="8"/>
        <v>9.8621931010413316E-3</v>
      </c>
      <c r="T17" s="2">
        <f t="shared" si="9"/>
        <v>0.17815235731125378</v>
      </c>
      <c r="U17" s="181">
        <f t="shared" si="10"/>
        <v>2.0333557905603851E-3</v>
      </c>
      <c r="X17" s="2" t="s">
        <v>200</v>
      </c>
    </row>
    <row r="18" spans="4:24" ht="13.5" customHeight="1" outlineLevel="1" x14ac:dyDescent="0.25">
      <c r="D18" s="82" t="str">
        <f t="shared" si="0"/>
        <v>Melonseed</v>
      </c>
      <c r="E18" s="130">
        <f t="shared" ref="E18:I18" si="17">(E97*E136)/1000000</f>
        <v>7.9580598000000016E-2</v>
      </c>
      <c r="F18" s="130">
        <f t="shared" si="17"/>
        <v>0.10632402000000001</v>
      </c>
      <c r="G18" s="130">
        <f t="shared" si="17"/>
        <v>0.43876874399999999</v>
      </c>
      <c r="H18" s="130">
        <f t="shared" si="17"/>
        <v>0.31379083800000002</v>
      </c>
      <c r="I18" s="130">
        <f t="shared" si="17"/>
        <v>0.87742105568808515</v>
      </c>
      <c r="J18" s="104">
        <f t="shared" ref="J18:M18" si="18">(J97*J136)/1000000</f>
        <v>0.8837645145784635</v>
      </c>
      <c r="K18" s="104">
        <f t="shared" si="18"/>
        <v>0.8901538345413943</v>
      </c>
      <c r="L18" s="104">
        <f t="shared" si="18"/>
        <v>0.89658934713699501</v>
      </c>
      <c r="M18" s="104">
        <f t="shared" si="18"/>
        <v>0.90307138632245143</v>
      </c>
      <c r="O18" s="149">
        <f t="shared" si="5"/>
        <v>0.82221750124596027</v>
      </c>
      <c r="P18" s="149">
        <f t="shared" si="6"/>
        <v>7.2296633973569779E-3</v>
      </c>
      <c r="R18" s="181">
        <f t="shared" si="7"/>
        <v>1.0804034823566738E-2</v>
      </c>
      <c r="S18" s="181">
        <f t="shared" si="8"/>
        <v>5.3305457356753704E-3</v>
      </c>
      <c r="T18" s="2">
        <f t="shared" si="9"/>
        <v>1.930687174398793E-2</v>
      </c>
      <c r="U18" s="181">
        <f t="shared" si="10"/>
        <v>2.203604827392573E-4</v>
      </c>
      <c r="X18" s="2" t="s">
        <v>222</v>
      </c>
    </row>
    <row r="19" spans="4:24" ht="13.5" customHeight="1" outlineLevel="1" x14ac:dyDescent="0.25">
      <c r="D19" s="82" t="str">
        <f t="shared" si="0"/>
        <v>Cow peas, dry</v>
      </c>
      <c r="E19" s="130">
        <f t="shared" ref="E19:I19" si="19">(E98*E137)/1000000</f>
        <v>2.3365884000000003E-2</v>
      </c>
      <c r="F19" s="130">
        <f t="shared" si="19"/>
        <v>1.9569792000000003E-2</v>
      </c>
      <c r="G19" s="130">
        <f t="shared" si="19"/>
        <v>0.26252271599999999</v>
      </c>
      <c r="H19" s="130">
        <f t="shared" si="19"/>
        <v>0.65137665</v>
      </c>
      <c r="I19" s="130">
        <f t="shared" si="19"/>
        <v>0.41112636688932269</v>
      </c>
      <c r="J19" s="104">
        <f t="shared" ref="J19:M19" si="20">(J98*J137)/1000000</f>
        <v>0.46542735292183196</v>
      </c>
      <c r="K19" s="104">
        <f t="shared" si="20"/>
        <v>0.52690033598876296</v>
      </c>
      <c r="L19" s="104">
        <f t="shared" si="20"/>
        <v>0.59649258326185639</v>
      </c>
      <c r="M19" s="104">
        <f t="shared" si="20"/>
        <v>0.67527647561414861</v>
      </c>
      <c r="O19" s="149">
        <f t="shared" si="5"/>
        <v>1.0480864226842899</v>
      </c>
      <c r="P19" s="149">
        <f t="shared" si="6"/>
        <v>0.13207857828084135</v>
      </c>
      <c r="R19" s="181">
        <f t="shared" si="7"/>
        <v>5.6898565690957177E-3</v>
      </c>
      <c r="S19" s="181">
        <f t="shared" si="8"/>
        <v>3.985944181163127E-3</v>
      </c>
      <c r="T19" s="2">
        <f t="shared" si="9"/>
        <v>0.20984912269231665</v>
      </c>
      <c r="U19" s="181">
        <f t="shared" si="10"/>
        <v>2.39512928826951E-3</v>
      </c>
      <c r="X19" s="2" t="s">
        <v>122</v>
      </c>
    </row>
    <row r="20" spans="4:24" ht="13.5" customHeight="1" outlineLevel="1" x14ac:dyDescent="0.25">
      <c r="D20" s="82" t="str">
        <f t="shared" si="0"/>
        <v>Wheat</v>
      </c>
      <c r="E20" s="130">
        <f t="shared" ref="E20:I20" si="21">(E99*E138)/1000000</f>
        <v>9.6159021000000011E-2</v>
      </c>
      <c r="F20" s="130">
        <f t="shared" si="21"/>
        <v>0.14383538400000001</v>
      </c>
      <c r="G20" s="130">
        <f t="shared" si="21"/>
        <v>0.87362385600000003</v>
      </c>
      <c r="H20" s="130">
        <f t="shared" si="21"/>
        <v>0.91682925600000009</v>
      </c>
      <c r="I20" s="130">
        <f t="shared" si="21"/>
        <v>1.7803104264886531</v>
      </c>
      <c r="J20" s="104">
        <f t="shared" ref="J20:M20" si="22">(J99*J138)/1000000</f>
        <v>2.4414216389523813</v>
      </c>
      <c r="K20" s="104">
        <f t="shared" si="22"/>
        <v>3.3480338768228419</v>
      </c>
      <c r="L20" s="104">
        <f t="shared" si="22"/>
        <v>4.5913129717173033</v>
      </c>
      <c r="M20" s="104">
        <f t="shared" si="22"/>
        <v>6.2962788250708641</v>
      </c>
      <c r="O20" s="149">
        <f t="shared" si="5"/>
        <v>1.074323204140494</v>
      </c>
      <c r="P20" s="149">
        <f t="shared" si="6"/>
        <v>0.37134603192076621</v>
      </c>
      <c r="R20" s="181">
        <f t="shared" si="7"/>
        <v>2.9846417197269187E-2</v>
      </c>
      <c r="S20" s="181">
        <f t="shared" si="8"/>
        <v>3.7164949249782496E-2</v>
      </c>
      <c r="T20" s="2">
        <f t="shared" si="9"/>
        <v>3.8548571861184828</v>
      </c>
      <c r="U20" s="181">
        <f t="shared" si="10"/>
        <v>4.3997712404573321E-2</v>
      </c>
      <c r="X20" s="2" t="s">
        <v>84</v>
      </c>
    </row>
    <row r="21" spans="4:24" ht="13.5" customHeight="1" outlineLevel="1" x14ac:dyDescent="0.25">
      <c r="D21" s="82" t="str">
        <f t="shared" si="0"/>
        <v>Onions and shallots, dry (excluding dehydrated)</v>
      </c>
      <c r="E21" s="130">
        <f t="shared" ref="E21:I21" si="23">(E100*E139)/1000000</f>
        <v>3.0853465E-2</v>
      </c>
      <c r="F21" s="130">
        <f t="shared" si="23"/>
        <v>3.0322709999999999E-2</v>
      </c>
      <c r="G21" s="130">
        <f t="shared" si="23"/>
        <v>0.18297779</v>
      </c>
      <c r="H21" s="130">
        <f t="shared" si="23"/>
        <v>0.18418302</v>
      </c>
      <c r="I21" s="130">
        <f t="shared" si="23"/>
        <v>0.44314616730184503</v>
      </c>
      <c r="J21" s="104">
        <f t="shared" ref="J21:M21" si="24">(J100*J139)/1000000</f>
        <v>0.47475065123615462</v>
      </c>
      <c r="K21" s="104">
        <f t="shared" si="24"/>
        <v>0.50860911699058375</v>
      </c>
      <c r="L21" s="104">
        <f t="shared" si="24"/>
        <v>0.54488231498447137</v>
      </c>
      <c r="M21" s="104">
        <f t="shared" si="24"/>
        <v>0.58374246010287956</v>
      </c>
      <c r="O21" s="149">
        <f t="shared" si="5"/>
        <v>0.9467525992908703</v>
      </c>
      <c r="P21" s="149">
        <f t="shared" si="6"/>
        <v>7.1318418766290304E-2</v>
      </c>
      <c r="R21" s="181">
        <f t="shared" si="7"/>
        <v>5.8038340348083896E-3</v>
      </c>
      <c r="S21" s="181">
        <f t="shared" si="8"/>
        <v>3.4456477401034616E-3</v>
      </c>
      <c r="T21" s="2">
        <f t="shared" si="9"/>
        <v>0.10899180886672494</v>
      </c>
      <c r="U21" s="181">
        <f t="shared" si="10"/>
        <v>1.2439864901456811E-3</v>
      </c>
      <c r="X21" s="2" t="s">
        <v>125</v>
      </c>
    </row>
    <row r="22" spans="4:24" ht="13.5" customHeight="1" outlineLevel="1" x14ac:dyDescent="0.25">
      <c r="D22" s="82" t="str">
        <f t="shared" si="0"/>
        <v>Bananas</v>
      </c>
      <c r="E22" s="130">
        <f t="shared" ref="E22:I22" si="25">(E101*E140)/1000000</f>
        <v>2.8118765E-2</v>
      </c>
      <c r="F22" s="130">
        <f t="shared" si="25"/>
        <v>2.6543110000000002E-2</v>
      </c>
      <c r="G22" s="130">
        <f t="shared" si="25"/>
        <v>0.15394876500000002</v>
      </c>
      <c r="H22" s="130">
        <f t="shared" si="25"/>
        <v>0.15467520500000001</v>
      </c>
      <c r="I22" s="130">
        <f t="shared" si="25"/>
        <v>0.36322918740078552</v>
      </c>
      <c r="J22" s="104">
        <f t="shared" ref="J22:M22" si="26">(J101*J140)/1000000</f>
        <v>0.38063187770006063</v>
      </c>
      <c r="K22" s="104">
        <f t="shared" si="26"/>
        <v>0.39886834909446095</v>
      </c>
      <c r="L22" s="104">
        <f t="shared" si="26"/>
        <v>0.41797854890837327</v>
      </c>
      <c r="M22" s="104">
        <f t="shared" si="26"/>
        <v>0.43800433838428005</v>
      </c>
      <c r="O22" s="149">
        <f t="shared" si="5"/>
        <v>0.89581573808613935</v>
      </c>
      <c r="P22" s="149">
        <f t="shared" si="6"/>
        <v>4.7911045981205769E-2</v>
      </c>
      <c r="R22" s="181">
        <f t="shared" si="7"/>
        <v>4.6532305764647695E-3</v>
      </c>
      <c r="S22" s="181">
        <f t="shared" si="8"/>
        <v>2.5854015458175194E-3</v>
      </c>
      <c r="T22" s="2">
        <f t="shared" si="9"/>
        <v>5.7372460684219417E-2</v>
      </c>
      <c r="U22" s="181">
        <f t="shared" si="10"/>
        <v>6.5482504364025227E-4</v>
      </c>
      <c r="X22" s="2" t="s">
        <v>208</v>
      </c>
    </row>
    <row r="23" spans="4:24" ht="13.5" customHeight="1" outlineLevel="1" x14ac:dyDescent="0.25">
      <c r="D23" s="82" t="str">
        <f t="shared" si="0"/>
        <v>Mangoes, guavas and mangosteens</v>
      </c>
      <c r="E23" s="130">
        <f t="shared" ref="E23:I23" si="27">(E102*E141)/1000000</f>
        <v>2.6809375E-2</v>
      </c>
      <c r="F23" s="130">
        <f t="shared" si="27"/>
        <v>2.608628E-2</v>
      </c>
      <c r="G23" s="130">
        <f t="shared" si="27"/>
        <v>0.151891365</v>
      </c>
      <c r="H23" s="130">
        <f t="shared" si="27"/>
        <v>0.15320708499999999</v>
      </c>
      <c r="I23" s="130">
        <f t="shared" si="27"/>
        <v>0.35856324568499565</v>
      </c>
      <c r="J23" s="104">
        <f t="shared" ref="J23:M23" si="28">(J102*J141)/1000000</f>
        <v>0.37902149007522634</v>
      </c>
      <c r="K23" s="104">
        <f t="shared" si="28"/>
        <v>0.4006470034718797</v>
      </c>
      <c r="L23" s="104">
        <f t="shared" si="28"/>
        <v>0.42350638577020405</v>
      </c>
      <c r="M23" s="104">
        <f t="shared" si="28"/>
        <v>0.44767003680018663</v>
      </c>
      <c r="O23" s="149">
        <f t="shared" si="5"/>
        <v>0.91236052424161862</v>
      </c>
      <c r="P23" s="149">
        <f t="shared" si="6"/>
        <v>5.7056166900618877E-2</v>
      </c>
      <c r="R23" s="181">
        <f t="shared" si="7"/>
        <v>4.6335435629095241E-3</v>
      </c>
      <c r="S23" s="181">
        <f t="shared" si="8"/>
        <v>2.6424551168348145E-3</v>
      </c>
      <c r="T23" s="2">
        <f t="shared" si="9"/>
        <v>6.8648546724960291E-2</v>
      </c>
      <c r="U23" s="181">
        <f t="shared" si="10"/>
        <v>7.8352552895428649E-4</v>
      </c>
      <c r="X23" s="2" t="s">
        <v>172</v>
      </c>
    </row>
    <row r="24" spans="4:24" ht="13.5" customHeight="1" outlineLevel="1" x14ac:dyDescent="0.25">
      <c r="D24" s="82" t="str">
        <f t="shared" si="0"/>
        <v>Cantaloupes and other melons</v>
      </c>
      <c r="E24" s="130">
        <f t="shared" ref="E24:I24" si="29">(E103*E142)/1000000</f>
        <v>2.8301385000000002E-2</v>
      </c>
      <c r="F24" s="130">
        <f t="shared" si="29"/>
        <v>2.6027430000000001E-2</v>
      </c>
      <c r="G24" s="130">
        <f t="shared" si="29"/>
        <v>0.14595919500000001</v>
      </c>
      <c r="H24" s="130">
        <f t="shared" si="29"/>
        <v>0.14599793</v>
      </c>
      <c r="I24" s="130">
        <f t="shared" si="29"/>
        <v>0.34756623799540637</v>
      </c>
      <c r="J24" s="104">
        <f t="shared" ref="J24:M24" si="30">(J103*J142)/1000000</f>
        <v>0.36842545786201764</v>
      </c>
      <c r="K24" s="104">
        <f t="shared" si="30"/>
        <v>0.3905365457350069</v>
      </c>
      <c r="L24" s="104">
        <f t="shared" si="30"/>
        <v>0.41397463258837103</v>
      </c>
      <c r="M24" s="104">
        <f t="shared" si="30"/>
        <v>0.43881935838844877</v>
      </c>
      <c r="O24" s="149">
        <f t="shared" si="5"/>
        <v>0.87200702196675528</v>
      </c>
      <c r="P24" s="149">
        <f t="shared" si="6"/>
        <v>6.0015092337268205E-2</v>
      </c>
      <c r="R24" s="181">
        <f t="shared" si="7"/>
        <v>4.5040069056499306E-3</v>
      </c>
      <c r="S24" s="181">
        <f t="shared" si="8"/>
        <v>2.5902123519990811E-3</v>
      </c>
      <c r="T24" s="2">
        <f t="shared" si="9"/>
        <v>7.039390052643113E-2</v>
      </c>
      <c r="U24" s="181">
        <f t="shared" si="10"/>
        <v>8.0344626035722209E-4</v>
      </c>
      <c r="X24" s="2" t="s">
        <v>135</v>
      </c>
    </row>
    <row r="25" spans="4:24" ht="13.5" customHeight="1" outlineLevel="1" x14ac:dyDescent="0.25">
      <c r="D25" s="82" t="str">
        <f t="shared" si="0"/>
        <v>Sunflower seed</v>
      </c>
      <c r="E25" s="130">
        <f t="shared" ref="E25:I25" si="31">(E104*E143)/1000000</f>
        <v>2.8921212000000002E-2</v>
      </c>
      <c r="F25" s="130">
        <f t="shared" si="31"/>
        <v>2.812854E-2</v>
      </c>
      <c r="G25" s="130">
        <f t="shared" si="31"/>
        <v>0.161093658</v>
      </c>
      <c r="H25" s="130">
        <f t="shared" si="31"/>
        <v>0.15981883199999999</v>
      </c>
      <c r="I25" s="130">
        <f t="shared" si="31"/>
        <v>0.42483489167100191</v>
      </c>
      <c r="J25" s="104">
        <f t="shared" ref="J25:M25" si="32">(J104*J143)/1000000</f>
        <v>0.45972634750810631</v>
      </c>
      <c r="K25" s="104">
        <f t="shared" si="32"/>
        <v>0.49748341940994628</v>
      </c>
      <c r="L25" s="104">
        <f t="shared" si="32"/>
        <v>0.53834145884677309</v>
      </c>
      <c r="M25" s="104">
        <f t="shared" si="32"/>
        <v>0.58255514657555973</v>
      </c>
      <c r="O25" s="149">
        <f t="shared" si="5"/>
        <v>0.95772155387153846</v>
      </c>
      <c r="P25" s="149">
        <f t="shared" si="6"/>
        <v>8.2129449631281437E-2</v>
      </c>
      <c r="R25" s="181">
        <f t="shared" si="7"/>
        <v>5.6201616899698983E-3</v>
      </c>
      <c r="S25" s="181">
        <f t="shared" si="8"/>
        <v>3.4386394026056501E-3</v>
      </c>
      <c r="T25" s="2">
        <f t="shared" si="9"/>
        <v>0.12282879906745342</v>
      </c>
      <c r="U25" s="181">
        <f t="shared" si="10"/>
        <v>1.4019160543300179E-3</v>
      </c>
      <c r="X25" s="2" t="s">
        <v>230</v>
      </c>
    </row>
    <row r="26" spans="4:24" ht="13.5" customHeight="1" outlineLevel="1" x14ac:dyDescent="0.25">
      <c r="D26" s="82" t="str">
        <f t="shared" si="0"/>
        <v>Cauliflowers and broccoli</v>
      </c>
      <c r="E26" s="130">
        <f t="shared" ref="E26:I26" si="33">(E105*E144)/1000000</f>
        <v>2.401706E-2</v>
      </c>
      <c r="F26" s="130">
        <f t="shared" si="33"/>
        <v>2.3146200000000002E-2</v>
      </c>
      <c r="G26" s="130">
        <f t="shared" si="33"/>
        <v>0.13336397</v>
      </c>
      <c r="H26" s="130">
        <f t="shared" si="33"/>
        <v>0.13406691500000001</v>
      </c>
      <c r="I26" s="130">
        <f t="shared" si="33"/>
        <v>0.31780513671128496</v>
      </c>
      <c r="J26" s="104">
        <f t="shared" ref="J26:M26" si="34">(J105*J144)/1000000</f>
        <v>0.33504217077352272</v>
      </c>
      <c r="K26" s="104">
        <f t="shared" si="34"/>
        <v>0.35321410269907805</v>
      </c>
      <c r="L26" s="104">
        <f t="shared" si="34"/>
        <v>0.37237163924014977</v>
      </c>
      <c r="M26" s="104">
        <f t="shared" si="34"/>
        <v>0.39256823736884783</v>
      </c>
      <c r="O26" s="149">
        <f t="shared" si="5"/>
        <v>0.90726161051795029</v>
      </c>
      <c r="P26" s="149">
        <f t="shared" si="6"/>
        <v>5.4237745307109231E-2</v>
      </c>
      <c r="R26" s="181">
        <f t="shared" si="7"/>
        <v>4.095895706026512E-3</v>
      </c>
      <c r="S26" s="181">
        <f t="shared" si="8"/>
        <v>2.3172065634697475E-3</v>
      </c>
      <c r="T26" s="2">
        <f t="shared" si="9"/>
        <v>5.7526066595325109E-2</v>
      </c>
      <c r="U26" s="181">
        <f t="shared" si="10"/>
        <v>6.5657823665731343E-4</v>
      </c>
      <c r="X26" s="2" t="s">
        <v>218</v>
      </c>
    </row>
    <row r="27" spans="4:24" ht="13.5" customHeight="1" outlineLevel="1" x14ac:dyDescent="0.25">
      <c r="D27" s="82" t="str">
        <f t="shared" si="0"/>
        <v>Seed cotton, unginned</v>
      </c>
      <c r="E27" s="130">
        <f t="shared" ref="E27:I27" si="35">(E106*E145)/1000000</f>
        <v>5.7346107000000014E-2</v>
      </c>
      <c r="F27" s="130">
        <f t="shared" si="35"/>
        <v>6.0149232000000004E-2</v>
      </c>
      <c r="G27" s="130">
        <f t="shared" si="35"/>
        <v>0.34886950800000005</v>
      </c>
      <c r="H27" s="130">
        <f t="shared" si="35"/>
        <v>0.359931208</v>
      </c>
      <c r="I27" s="130">
        <f t="shared" si="35"/>
        <v>0.8356255383637009</v>
      </c>
      <c r="J27" s="104">
        <f t="shared" ref="J27:M27" si="36">(J106*J145)/1000000</f>
        <v>1.0243728425747411</v>
      </c>
      <c r="K27" s="104">
        <f t="shared" si="36"/>
        <v>1.2557535312521015</v>
      </c>
      <c r="L27" s="104">
        <f t="shared" si="36"/>
        <v>1.53939743979211</v>
      </c>
      <c r="M27" s="104">
        <f t="shared" si="36"/>
        <v>1.8871095471064694</v>
      </c>
      <c r="O27" s="149">
        <f t="shared" si="5"/>
        <v>0.95378576433896201</v>
      </c>
      <c r="P27" s="149">
        <f t="shared" si="6"/>
        <v>0.22587546161004179</v>
      </c>
      <c r="R27" s="181">
        <f t="shared" si="7"/>
        <v>1.2522973802328375E-2</v>
      </c>
      <c r="S27" s="181">
        <f t="shared" si="8"/>
        <v>1.113901281940172E-2</v>
      </c>
      <c r="T27" s="2">
        <f t="shared" si="9"/>
        <v>0.86273670453172824</v>
      </c>
      <c r="U27" s="181">
        <f t="shared" si="10"/>
        <v>9.8469124987422135E-3</v>
      </c>
      <c r="X27" s="2" t="s">
        <v>196</v>
      </c>
    </row>
    <row r="28" spans="4:24" ht="13.5" customHeight="1" outlineLevel="1" x14ac:dyDescent="0.25">
      <c r="D28" s="82" t="str">
        <f t="shared" si="0"/>
        <v>Cucumbers and gherkins</v>
      </c>
      <c r="E28" s="130">
        <f t="shared" ref="E28:I28" si="37">(E107*E146)/1000000</f>
        <v>2.343516E-2</v>
      </c>
      <c r="F28" s="130">
        <f t="shared" si="37"/>
        <v>1.8755000000000001E-2</v>
      </c>
      <c r="G28" s="130">
        <f t="shared" si="37"/>
        <v>0.10980801</v>
      </c>
      <c r="H28" s="130">
        <f t="shared" si="37"/>
        <v>0.11093322999999999</v>
      </c>
      <c r="I28" s="130">
        <f t="shared" si="37"/>
        <v>0.26714013736797693</v>
      </c>
      <c r="J28" s="104">
        <f t="shared" ref="J28:M28" si="38">(J107*J146)/1000000</f>
        <v>0.28644272418066424</v>
      </c>
      <c r="K28" s="104">
        <f t="shared" si="38"/>
        <v>0.30714004658543559</v>
      </c>
      <c r="L28" s="104">
        <f t="shared" si="38"/>
        <v>0.32933288316656573</v>
      </c>
      <c r="M28" s="104">
        <f t="shared" si="38"/>
        <v>0.35312929440685309</v>
      </c>
      <c r="O28" s="149">
        <f t="shared" si="5"/>
        <v>0.837459627169298</v>
      </c>
      <c r="P28" s="149">
        <f t="shared" si="6"/>
        <v>7.225640820158219E-2</v>
      </c>
      <c r="R28" s="181">
        <f t="shared" si="7"/>
        <v>3.5017667217396042E-3</v>
      </c>
      <c r="S28" s="181">
        <f t="shared" si="8"/>
        <v>2.0844109147428818E-3</v>
      </c>
      <c r="T28" s="2">
        <f t="shared" si="9"/>
        <v>6.6686570226188846E-2</v>
      </c>
      <c r="U28" s="181">
        <f t="shared" si="10"/>
        <v>7.6113235754230032E-4</v>
      </c>
      <c r="X28" s="2" t="s">
        <v>137</v>
      </c>
    </row>
    <row r="29" spans="4:24" ht="13.5" customHeight="1" outlineLevel="1" x14ac:dyDescent="0.25">
      <c r="D29" s="82" t="str">
        <f t="shared" si="0"/>
        <v>Tomatoes</v>
      </c>
      <c r="E29" s="130">
        <f t="shared" ref="E29:I29" si="39">(E108*E147)/1000000</f>
        <v>2.0448495000000004E-2</v>
      </c>
      <c r="F29" s="130">
        <f t="shared" si="39"/>
        <v>1.9545240000000002E-2</v>
      </c>
      <c r="G29" s="130">
        <f t="shared" si="39"/>
        <v>0.11472544999999999</v>
      </c>
      <c r="H29" s="130">
        <f t="shared" si="39"/>
        <v>0.11522900500000001</v>
      </c>
      <c r="I29" s="130">
        <f t="shared" si="39"/>
        <v>0.2723092101545323</v>
      </c>
      <c r="J29" s="104">
        <f t="shared" ref="J29:M29" si="40">(J108*J147)/1000000</f>
        <v>0.28653917952389063</v>
      </c>
      <c r="K29" s="104">
        <f t="shared" si="40"/>
        <v>0.30151275954137197</v>
      </c>
      <c r="L29" s="104">
        <f t="shared" si="40"/>
        <v>0.31726880881458464</v>
      </c>
      <c r="M29" s="104">
        <f t="shared" si="40"/>
        <v>0.33384821657211983</v>
      </c>
      <c r="O29" s="149">
        <f t="shared" si="5"/>
        <v>0.91029414774096273</v>
      </c>
      <c r="P29" s="149">
        <f t="shared" si="6"/>
        <v>5.2256658382149324E-2</v>
      </c>
      <c r="R29" s="181">
        <f t="shared" si="7"/>
        <v>3.5029458897984549E-3</v>
      </c>
      <c r="S29" s="181">
        <f t="shared" si="8"/>
        <v>1.9706007898869669E-3</v>
      </c>
      <c r="T29" s="2">
        <f t="shared" si="9"/>
        <v>4.7309037048229197E-2</v>
      </c>
      <c r="U29" s="181">
        <f t="shared" si="10"/>
        <v>5.3996537502889368E-4</v>
      </c>
      <c r="X29" s="2" t="s">
        <v>127</v>
      </c>
    </row>
    <row r="30" spans="4:24" ht="13.5" customHeight="1" outlineLevel="1" x14ac:dyDescent="0.25">
      <c r="D30" s="82" t="str">
        <f t="shared" si="0"/>
        <v>Potatoes</v>
      </c>
      <c r="E30" s="130">
        <f t="shared" ref="E30:I30" si="41">(E109*E148)/1000000</f>
        <v>1.8859540000000001E-2</v>
      </c>
      <c r="F30" s="130">
        <f t="shared" si="41"/>
        <v>1.8213470000000002E-2</v>
      </c>
      <c r="G30" s="130">
        <f t="shared" si="41"/>
        <v>0.10640695</v>
      </c>
      <c r="H30" s="130">
        <f t="shared" si="41"/>
        <v>0.10774807</v>
      </c>
      <c r="I30" s="130">
        <f t="shared" si="41"/>
        <v>0.25408418556439183</v>
      </c>
      <c r="J30" s="104">
        <f t="shared" ref="J30:M30" si="42">(J109*J148)/1000000</f>
        <v>0.26678839484261141</v>
      </c>
      <c r="K30" s="104">
        <f t="shared" si="42"/>
        <v>0.28012781458474201</v>
      </c>
      <c r="L30" s="104">
        <f t="shared" si="42"/>
        <v>0.2941342053139791</v>
      </c>
      <c r="M30" s="104">
        <f t="shared" si="42"/>
        <v>0.30884091557967808</v>
      </c>
      <c r="O30" s="149">
        <f t="shared" si="5"/>
        <v>0.91585058008855946</v>
      </c>
      <c r="P30" s="149">
        <f t="shared" si="6"/>
        <v>5.0000000000000044E-2</v>
      </c>
      <c r="R30" s="181">
        <f t="shared" si="7"/>
        <v>3.2614922423965897E-3</v>
      </c>
      <c r="S30" s="181">
        <f t="shared" si="8"/>
        <v>1.8229905746980496E-3</v>
      </c>
      <c r="T30" s="2">
        <f t="shared" si="9"/>
        <v>4.2052520737066668E-2</v>
      </c>
      <c r="U30" s="181">
        <f t="shared" si="10"/>
        <v>4.7996971715048815E-4</v>
      </c>
      <c r="X30" s="2" t="s">
        <v>130</v>
      </c>
    </row>
    <row r="31" spans="4:24" ht="13.5" customHeight="1" outlineLevel="1" x14ac:dyDescent="0.25">
      <c r="D31" s="82" t="str">
        <f t="shared" si="0"/>
        <v>Pumpkins, squash and gourds</v>
      </c>
      <c r="E31" s="130">
        <f t="shared" ref="E31:I31" si="43">(E110*E149)/1000000</f>
        <v>1.8660475000000003E-2</v>
      </c>
      <c r="F31" s="130">
        <f t="shared" si="43"/>
        <v>1.773013E-2</v>
      </c>
      <c r="G31" s="130">
        <f t="shared" si="43"/>
        <v>0.102788085</v>
      </c>
      <c r="H31" s="130">
        <f t="shared" si="43"/>
        <v>0.10272458500000001</v>
      </c>
      <c r="I31" s="130">
        <f t="shared" si="43"/>
        <v>0.24198957348530509</v>
      </c>
      <c r="J31" s="104">
        <f t="shared" ref="J31:M31" si="44">(J110*J149)/1000000</f>
        <v>0.25382832073886769</v>
      </c>
      <c r="K31" s="104">
        <f t="shared" si="44"/>
        <v>0.26624624970887828</v>
      </c>
      <c r="L31" s="104">
        <f t="shared" si="44"/>
        <v>0.27927169544240593</v>
      </c>
      <c r="M31" s="104">
        <f t="shared" si="44"/>
        <v>0.29293437920930521</v>
      </c>
      <c r="O31" s="149">
        <f t="shared" si="5"/>
        <v>0.89766037811274568</v>
      </c>
      <c r="P31" s="149">
        <f t="shared" si="6"/>
        <v>4.8922551013469651E-2</v>
      </c>
      <c r="R31" s="181">
        <f t="shared" si="7"/>
        <v>3.1030551365577794E-3</v>
      </c>
      <c r="S31" s="181">
        <f t="shared" si="8"/>
        <v>1.729099304414594E-3</v>
      </c>
      <c r="T31" s="2">
        <f t="shared" si="9"/>
        <v>3.9106058470437521E-2</v>
      </c>
      <c r="U31" s="181">
        <f t="shared" si="10"/>
        <v>4.463400408333194E-4</v>
      </c>
      <c r="X31" s="2" t="s">
        <v>193</v>
      </c>
    </row>
    <row r="32" spans="4:24" ht="13.5" customHeight="1" outlineLevel="1" x14ac:dyDescent="0.25">
      <c r="D32" s="82" t="str">
        <f t="shared" si="0"/>
        <v>Dates</v>
      </c>
      <c r="E32" s="177">
        <f t="shared" ref="E32:I32" si="45">(E111*E150)/1000000</f>
        <v>1.7992785000000001E-2</v>
      </c>
      <c r="F32" s="177">
        <f t="shared" si="45"/>
        <v>1.6366240000000001E-2</v>
      </c>
      <c r="G32" s="177">
        <f t="shared" si="45"/>
        <v>9.8785680000000001E-2</v>
      </c>
      <c r="H32" s="177">
        <f t="shared" si="45"/>
        <v>0.103354505</v>
      </c>
      <c r="I32" s="177">
        <f t="shared" si="45"/>
        <v>0.24073623805009453</v>
      </c>
      <c r="J32" s="178">
        <f t="shared" ref="J32:M32" si="46">(J111*J150)/1000000</f>
        <v>0.2544957495505426</v>
      </c>
      <c r="K32" s="178">
        <f t="shared" si="46"/>
        <v>0.26904169918039084</v>
      </c>
      <c r="L32" s="178">
        <f t="shared" si="46"/>
        <v>0.28441903656821838</v>
      </c>
      <c r="M32" s="178">
        <f t="shared" si="46"/>
        <v>0.30067528048190956</v>
      </c>
      <c r="O32" s="175">
        <f t="shared" si="5"/>
        <v>0.91254106905398613</v>
      </c>
      <c r="P32" s="149">
        <f t="shared" si="6"/>
        <v>5.7155962940589111E-2</v>
      </c>
      <c r="R32" s="181">
        <f t="shared" si="7"/>
        <v>3.1112144640761817E-3</v>
      </c>
      <c r="S32" s="181">
        <f t="shared" si="8"/>
        <v>1.7747914046116781E-3</v>
      </c>
      <c r="T32" s="2">
        <f t="shared" si="9"/>
        <v>4.6179530931366952E-2</v>
      </c>
      <c r="U32" s="181">
        <f t="shared" si="10"/>
        <v>5.2707366908765472E-4</v>
      </c>
      <c r="X32" s="2" t="s">
        <v>162</v>
      </c>
    </row>
    <row r="33" spans="4:24" ht="13.5" customHeight="1" outlineLevel="1" x14ac:dyDescent="0.25">
      <c r="D33" s="82" t="str">
        <f t="shared" si="0"/>
        <v>Pomelos and grapefruits</v>
      </c>
      <c r="E33" s="177">
        <f t="shared" ref="E33:I33" si="47">(E112*E151)/1000000</f>
        <v>1.4270465E-2</v>
      </c>
      <c r="F33" s="177">
        <f t="shared" si="47"/>
        <v>1.432376E-2</v>
      </c>
      <c r="G33" s="177">
        <f t="shared" si="47"/>
        <v>8.6810214999999996E-2</v>
      </c>
      <c r="H33" s="177">
        <f t="shared" si="47"/>
        <v>9.1180919999999999E-2</v>
      </c>
      <c r="I33" s="177">
        <f t="shared" si="47"/>
        <v>0.21478156290253853</v>
      </c>
      <c r="J33" s="178">
        <f t="shared" ref="J33:M33" si="48">(J112*J151)/1000000</f>
        <v>0.23383795844590755</v>
      </c>
      <c r="K33" s="178">
        <f t="shared" si="48"/>
        <v>0.25458512393339011</v>
      </c>
      <c r="L33" s="178">
        <f t="shared" si="48"/>
        <v>0.27717307215189596</v>
      </c>
      <c r="M33" s="178">
        <f t="shared" si="48"/>
        <v>0.30176512570396957</v>
      </c>
      <c r="O33" s="175">
        <f t="shared" ref="O33:O43" si="49">IFERROR(_xlfn.RRI($I$91-$E$91,E33,I33),0)</f>
        <v>0.96965298421774526</v>
      </c>
      <c r="P33" s="149">
        <f t="shared" ref="P33:P43" si="50">IFERROR(_xlfn.RRI($M$12-$I$12,I33,M33),0)</f>
        <v>8.8724540811802699E-2</v>
      </c>
      <c r="R33" s="181">
        <f t="shared" si="7"/>
        <v>2.8586726491574193E-3</v>
      </c>
      <c r="S33" s="181">
        <f t="shared" si="8"/>
        <v>1.7812244174265962E-3</v>
      </c>
      <c r="T33" s="2">
        <f t="shared" si="9"/>
        <v>6.7927167258062027E-2</v>
      </c>
      <c r="U33" s="181">
        <f t="shared" si="10"/>
        <v>7.7529200828497396E-4</v>
      </c>
      <c r="X33" s="2" t="s">
        <v>228</v>
      </c>
    </row>
    <row r="34" spans="4:24" ht="13.5" customHeight="1" outlineLevel="1" x14ac:dyDescent="0.25">
      <c r="D34" s="82" t="str">
        <f t="shared" si="0"/>
        <v>Okra</v>
      </c>
      <c r="E34" s="177">
        <f t="shared" ref="E34:I34" si="51">(E113*E152)/1000000</f>
        <v>1.5487625E-2</v>
      </c>
      <c r="F34" s="177">
        <f t="shared" si="51"/>
        <v>1.4752870000000001E-2</v>
      </c>
      <c r="G34" s="177">
        <f t="shared" si="51"/>
        <v>8.5556090000000001E-2</v>
      </c>
      <c r="H34" s="177">
        <f t="shared" si="51"/>
        <v>8.6246970000000006E-2</v>
      </c>
      <c r="I34" s="177">
        <f t="shared" si="51"/>
        <v>0.2033652793206446</v>
      </c>
      <c r="J34" s="178">
        <f t="shared" ref="J34:M34" si="52">(J113*J152)/1000000</f>
        <v>0.21351624955682338</v>
      </c>
      <c r="K34" s="178">
        <f t="shared" si="52"/>
        <v>0.2241739050889387</v>
      </c>
      <c r="L34" s="178">
        <f t="shared" si="52"/>
        <v>0.23536353709439961</v>
      </c>
      <c r="M34" s="178">
        <f t="shared" si="52"/>
        <v>0.24711169915878048</v>
      </c>
      <c r="O34" s="175">
        <f t="shared" si="49"/>
        <v>0.90358816372067419</v>
      </c>
      <c r="P34" s="149">
        <f t="shared" si="50"/>
        <v>4.9914962229977489E-2</v>
      </c>
      <c r="R34" s="181">
        <f t="shared" si="7"/>
        <v>2.6102394445081303E-3</v>
      </c>
      <c r="S34" s="181">
        <f t="shared" si="8"/>
        <v>1.4586224678765289E-3</v>
      </c>
      <c r="T34" s="2">
        <f t="shared" si="9"/>
        <v>3.3595449601957095E-2</v>
      </c>
      <c r="U34" s="181">
        <f t="shared" si="10"/>
        <v>3.8344427778337257E-4</v>
      </c>
      <c r="X34" s="2" t="s">
        <v>124</v>
      </c>
    </row>
    <row r="35" spans="4:24" ht="13.5" customHeight="1" outlineLevel="1" x14ac:dyDescent="0.25">
      <c r="D35" s="82" t="str">
        <f t="shared" si="0"/>
        <v>Lemons and limes</v>
      </c>
      <c r="E35" s="177">
        <f t="shared" ref="E35:I35" si="53">(E114*E153)/1000000</f>
        <v>1.3774815000000001E-2</v>
      </c>
      <c r="F35" s="177">
        <f t="shared" si="53"/>
        <v>1.414149E-2</v>
      </c>
      <c r="G35" s="177">
        <f t="shared" si="53"/>
        <v>8.4700744999999994E-2</v>
      </c>
      <c r="H35" s="177">
        <f t="shared" si="53"/>
        <v>8.7920195000000007E-2</v>
      </c>
      <c r="I35" s="177">
        <f t="shared" si="53"/>
        <v>0.21332158434897783</v>
      </c>
      <c r="J35" s="178">
        <f t="shared" ref="J35:M35" si="54">(J114*J153)/1000000</f>
        <v>0.2304634836207137</v>
      </c>
      <c r="K35" s="178">
        <f t="shared" si="54"/>
        <v>0.24898285583565455</v>
      </c>
      <c r="L35" s="178">
        <f t="shared" si="54"/>
        <v>0.26899039069505126</v>
      </c>
      <c r="M35" s="178">
        <f t="shared" si="54"/>
        <v>0.29060567260115316</v>
      </c>
      <c r="O35" s="175">
        <f t="shared" si="49"/>
        <v>0.98375144642663104</v>
      </c>
      <c r="P35" s="149">
        <f t="shared" si="50"/>
        <v>8.0357078370902224E-2</v>
      </c>
      <c r="R35" s="181">
        <f t="shared" si="7"/>
        <v>2.8174196423651821E-3</v>
      </c>
      <c r="S35" s="181">
        <f t="shared" si="8"/>
        <v>1.7153536833399699E-3</v>
      </c>
      <c r="T35" s="2">
        <f t="shared" si="9"/>
        <v>6.0142188980439465E-2</v>
      </c>
      <c r="U35" s="181">
        <f t="shared" si="10"/>
        <v>6.8643755303611997E-4</v>
      </c>
      <c r="X35" s="2" t="s">
        <v>220</v>
      </c>
    </row>
    <row r="36" spans="4:24" ht="13.5" customHeight="1" outlineLevel="1" x14ac:dyDescent="0.25">
      <c r="D36" s="82" t="str">
        <f t="shared" si="0"/>
        <v>Green garlic</v>
      </c>
      <c r="E36" s="177">
        <f t="shared" ref="E36:I36" si="55">(E115*E154)/1000000</f>
        <v>1.2346630000000001E-2</v>
      </c>
      <c r="F36" s="177">
        <f t="shared" si="55"/>
        <v>1.3138510000000001E-2</v>
      </c>
      <c r="G36" s="177">
        <f t="shared" si="55"/>
        <v>8.6846409999999999E-2</v>
      </c>
      <c r="H36" s="177">
        <f t="shared" si="55"/>
        <v>8.4539454999999999E-2</v>
      </c>
      <c r="I36" s="177">
        <f t="shared" si="55"/>
        <v>0.21518286982803006</v>
      </c>
      <c r="J36" s="178">
        <f t="shared" ref="J36:M36" si="56">(J115*J154)/1000000</f>
        <v>0.24302491769806359</v>
      </c>
      <c r="K36" s="178">
        <f t="shared" si="56"/>
        <v>0.27446938815041866</v>
      </c>
      <c r="L36" s="178">
        <f t="shared" si="56"/>
        <v>0.30998239088084012</v>
      </c>
      <c r="M36" s="178">
        <f t="shared" si="56"/>
        <v>0.35009034451427368</v>
      </c>
      <c r="O36" s="175">
        <f t="shared" si="49"/>
        <v>1.0432185152664526</v>
      </c>
      <c r="P36" s="149">
        <f t="shared" si="50"/>
        <v>0.12938784528844871</v>
      </c>
      <c r="R36" s="181">
        <f t="shared" si="7"/>
        <v>2.9709833677319547E-3</v>
      </c>
      <c r="S36" s="181">
        <f t="shared" si="8"/>
        <v>2.0664729514365829E-3</v>
      </c>
      <c r="T36" s="2">
        <f t="shared" si="9"/>
        <v>0.10706542681621009</v>
      </c>
      <c r="U36" s="181">
        <f t="shared" si="10"/>
        <v>1.2219995787381467E-3</v>
      </c>
      <c r="X36" s="2" t="s">
        <v>165</v>
      </c>
    </row>
    <row r="37" spans="4:24" ht="13.5" customHeight="1" outlineLevel="1" x14ac:dyDescent="0.25">
      <c r="D37" s="82" t="str">
        <f t="shared" si="0"/>
        <v>Sweet potatoes</v>
      </c>
      <c r="E37" s="177">
        <f t="shared" ref="E37:I37" si="57">(E116*E155)/1000000</f>
        <v>1.425264E-2</v>
      </c>
      <c r="F37" s="177">
        <f t="shared" si="57"/>
        <v>1.376001E-2</v>
      </c>
      <c r="G37" s="177">
        <f t="shared" si="57"/>
        <v>8.0046829999999999E-2</v>
      </c>
      <c r="H37" s="177">
        <f t="shared" si="57"/>
        <v>8.0685005000000004E-2</v>
      </c>
      <c r="I37" s="177">
        <f t="shared" si="57"/>
        <v>0.19069566030354013</v>
      </c>
      <c r="J37" s="178">
        <f t="shared" ref="J37:M37" si="58">(J116*J155)/1000000</f>
        <v>0.20068270823637588</v>
      </c>
      <c r="K37" s="178">
        <f t="shared" si="58"/>
        <v>0.21119279442951608</v>
      </c>
      <c r="L37" s="178">
        <f t="shared" si="58"/>
        <v>0.22225331126393064</v>
      </c>
      <c r="M37" s="178">
        <f t="shared" si="58"/>
        <v>0.23389308570500181</v>
      </c>
      <c r="O37" s="175">
        <f t="shared" si="49"/>
        <v>0.91254372794409244</v>
      </c>
      <c r="P37" s="149">
        <f t="shared" si="50"/>
        <v>5.2371658153829381E-2</v>
      </c>
      <c r="R37" s="181">
        <f t="shared" si="7"/>
        <v>2.4533492038969957E-3</v>
      </c>
      <c r="S37" s="181">
        <f t="shared" si="8"/>
        <v>1.3805971593075987E-3</v>
      </c>
      <c r="T37" s="2">
        <f t="shared" si="9"/>
        <v>3.3210377468625929E-2</v>
      </c>
      <c r="U37" s="181">
        <f t="shared" si="10"/>
        <v>3.7904922703069357E-4</v>
      </c>
      <c r="X37" s="2" t="s">
        <v>131</v>
      </c>
    </row>
    <row r="38" spans="4:24" ht="13.5" customHeight="1" outlineLevel="1" x14ac:dyDescent="0.25">
      <c r="D38" s="82" t="str">
        <f t="shared" si="0"/>
        <v>Other pulses n.e.c.</v>
      </c>
      <c r="E38" s="177">
        <f t="shared" ref="E38:I38" si="59">(E117*E156)/1000000</f>
        <v>8.2755840000000011E-2</v>
      </c>
      <c r="F38" s="177">
        <f t="shared" si="59"/>
        <v>8.1642176000000011E-2</v>
      </c>
      <c r="G38" s="177">
        <f t="shared" si="59"/>
        <v>0.45864678399999997</v>
      </c>
      <c r="H38" s="177">
        <f t="shared" si="59"/>
        <v>0.46271891200000004</v>
      </c>
      <c r="I38" s="177">
        <f t="shared" si="59"/>
        <v>1.0955703024541703</v>
      </c>
      <c r="J38" s="178">
        <f t="shared" ref="J38:M38" si="60">(J117*J156)/1000000</f>
        <v>1.3814232179533983</v>
      </c>
      <c r="K38" s="178">
        <f t="shared" si="60"/>
        <v>1.7418600183173099</v>
      </c>
      <c r="L38" s="178">
        <f t="shared" si="60"/>
        <v>2.1963409069578357</v>
      </c>
      <c r="M38" s="178">
        <f t="shared" si="60"/>
        <v>2.7694035851608896</v>
      </c>
      <c r="O38" s="175">
        <f t="shared" si="49"/>
        <v>0.90748178743758712</v>
      </c>
      <c r="P38" s="149">
        <f t="shared" si="50"/>
        <v>0.2609169989902913</v>
      </c>
      <c r="R38" s="181">
        <f t="shared" si="7"/>
        <v>1.6887920149148569E-2</v>
      </c>
      <c r="S38" s="181">
        <f t="shared" si="8"/>
        <v>1.6346916417493907E-2</v>
      </c>
      <c r="T38" s="2">
        <f t="shared" si="9"/>
        <v>1.3879803672074913</v>
      </c>
      <c r="U38" s="181">
        <f t="shared" si="10"/>
        <v>1.5841821907046982E-2</v>
      </c>
      <c r="X38" s="2" t="s">
        <v>187</v>
      </c>
    </row>
    <row r="39" spans="4:24" ht="13.5" customHeight="1" outlineLevel="1" x14ac:dyDescent="0.25">
      <c r="D39" s="82" t="str">
        <f t="shared" si="0"/>
        <v>Other vegetables, fresh n.e.c.</v>
      </c>
      <c r="E39" s="177">
        <f t="shared" ref="E39:I39" si="61">(E118*E157)/1000000</f>
        <v>1.287724E-2</v>
      </c>
      <c r="F39" s="177">
        <f t="shared" si="61"/>
        <v>1.2317360000000001E-2</v>
      </c>
      <c r="G39" s="177">
        <f t="shared" si="61"/>
        <v>7.0895844999999999E-2</v>
      </c>
      <c r="H39" s="177">
        <f t="shared" si="61"/>
        <v>7.1034274999999994E-2</v>
      </c>
      <c r="I39" s="177">
        <f t="shared" si="61"/>
        <v>0.16745130431695315</v>
      </c>
      <c r="J39" s="178">
        <f t="shared" ref="J39:M39" si="62">(J118*J157)/1000000</f>
        <v>0.17576414301385165</v>
      </c>
      <c r="K39" s="178">
        <f t="shared" si="62"/>
        <v>0.18448965862289804</v>
      </c>
      <c r="L39" s="178">
        <f t="shared" si="62"/>
        <v>0.19364833779612892</v>
      </c>
      <c r="M39" s="178">
        <f t="shared" si="62"/>
        <v>0.20326168421100513</v>
      </c>
      <c r="O39" s="175">
        <f t="shared" si="49"/>
        <v>0.89896270836525516</v>
      </c>
      <c r="P39" s="149">
        <f t="shared" si="50"/>
        <v>4.9643320073302633E-2</v>
      </c>
      <c r="R39" s="181">
        <f t="shared" si="7"/>
        <v>2.1487193596608496E-3</v>
      </c>
      <c r="S39" s="181">
        <f t="shared" si="8"/>
        <v>1.1997896516347971E-3</v>
      </c>
      <c r="T39" s="2">
        <f t="shared" si="9"/>
        <v>2.7497541197153474E-2</v>
      </c>
      <c r="U39" s="181">
        <f t="shared" si="10"/>
        <v>3.1384532578325198E-4</v>
      </c>
      <c r="X39" s="2" t="s">
        <v>128</v>
      </c>
    </row>
    <row r="40" spans="4:24" ht="13.5" customHeight="1" outlineLevel="1" x14ac:dyDescent="0.25">
      <c r="D40" s="82" t="str">
        <f t="shared" si="0"/>
        <v>Other fruits, n.e.c.</v>
      </c>
      <c r="E40" s="177">
        <f t="shared" ref="E40:I40" si="63">(E119*E158)/1000000</f>
        <v>1.2882875E-2</v>
      </c>
      <c r="F40" s="177">
        <f t="shared" si="63"/>
        <v>1.231967E-2</v>
      </c>
      <c r="G40" s="177">
        <f t="shared" si="63"/>
        <v>7.0584060000000004E-2</v>
      </c>
      <c r="H40" s="177">
        <f t="shared" si="63"/>
        <v>7.0859014999999997E-2</v>
      </c>
      <c r="I40" s="177">
        <f t="shared" si="63"/>
        <v>0.16707844825558224</v>
      </c>
      <c r="J40" s="178">
        <f t="shared" ref="J40:M40" si="64">(J119*J158)/1000000</f>
        <v>0.1752571064813272</v>
      </c>
      <c r="K40" s="178">
        <f t="shared" si="64"/>
        <v>0.18383611825998056</v>
      </c>
      <c r="L40" s="178">
        <f t="shared" si="64"/>
        <v>0.19283508130095897</v>
      </c>
      <c r="M40" s="178">
        <f t="shared" si="64"/>
        <v>0.20227455264128238</v>
      </c>
      <c r="O40" s="175">
        <f t="shared" si="49"/>
        <v>0.89769717043067532</v>
      </c>
      <c r="P40" s="149">
        <f t="shared" si="50"/>
        <v>4.8951006614772474E-2</v>
      </c>
      <c r="R40" s="181">
        <f t="shared" si="7"/>
        <v>2.1425208302292536E-3</v>
      </c>
      <c r="S40" s="181">
        <f t="shared" si="8"/>
        <v>1.193962925133181E-3</v>
      </c>
      <c r="T40" s="2">
        <f t="shared" si="9"/>
        <v>2.7017446159955189E-2</v>
      </c>
      <c r="U40" s="181">
        <f t="shared" si="10"/>
        <v>3.0836572372443168E-4</v>
      </c>
      <c r="X40" s="2" t="s">
        <v>183</v>
      </c>
    </row>
    <row r="41" spans="4:24" ht="13.5" customHeight="1" outlineLevel="1" x14ac:dyDescent="0.25">
      <c r="D41" s="82" t="str">
        <f t="shared" si="0"/>
        <v>Broad beans and horse beans, dry</v>
      </c>
      <c r="E41" s="177">
        <f t="shared" ref="E41:I41" si="65">(E120*E159)/1000000</f>
        <v>9.0186450000000005E-3</v>
      </c>
      <c r="F41" s="177">
        <f t="shared" si="65"/>
        <v>8.8957000000000012E-3</v>
      </c>
      <c r="G41" s="177">
        <f t="shared" si="65"/>
        <v>5.2381150000000001E-2</v>
      </c>
      <c r="H41" s="177">
        <f t="shared" si="65"/>
        <v>5.3460649999999998E-2</v>
      </c>
      <c r="I41" s="177">
        <f t="shared" si="65"/>
        <v>0.12861587479223924</v>
      </c>
      <c r="J41" s="178">
        <f t="shared" ref="J41:M41" si="66">(J120*J159)/1000000</f>
        <v>0.13777679597978101</v>
      </c>
      <c r="K41" s="178">
        <f t="shared" si="66"/>
        <v>0.14759022197778976</v>
      </c>
      <c r="L41" s="178">
        <f t="shared" si="66"/>
        <v>0.15810262873764266</v>
      </c>
      <c r="M41" s="178">
        <f t="shared" si="66"/>
        <v>0.16936380255268182</v>
      </c>
      <c r="O41" s="175">
        <f t="shared" si="49"/>
        <v>0.94329315509965461</v>
      </c>
      <c r="P41" s="149">
        <f t="shared" si="50"/>
        <v>7.1226986577978435E-2</v>
      </c>
      <c r="R41" s="181">
        <f t="shared" si="7"/>
        <v>1.6843234561810933E-3</v>
      </c>
      <c r="S41" s="181">
        <f t="shared" si="8"/>
        <v>9.9970114118155492E-4</v>
      </c>
      <c r="T41" s="2">
        <f t="shared" si="9"/>
        <v>3.1587006572900811E-2</v>
      </c>
      <c r="U41" s="181">
        <f t="shared" si="10"/>
        <v>3.6052075701284913E-4</v>
      </c>
      <c r="X41" s="2" t="s">
        <v>214</v>
      </c>
    </row>
    <row r="42" spans="4:24" ht="13.5" customHeight="1" outlineLevel="1" x14ac:dyDescent="0.25">
      <c r="D42" s="82" t="str">
        <f t="shared" si="0"/>
        <v>Chick peas, dry</v>
      </c>
      <c r="E42" s="177">
        <f t="shared" ref="E42:I42" si="67">(E121*E160)/1000000</f>
        <v>6.3030350000000002E-3</v>
      </c>
      <c r="F42" s="177">
        <f t="shared" si="67"/>
        <v>6.1865100000000001E-3</v>
      </c>
      <c r="G42" s="177">
        <f t="shared" si="67"/>
        <v>3.7214810000000001E-2</v>
      </c>
      <c r="H42" s="177">
        <f t="shared" si="67"/>
        <v>3.8942009999999999E-2</v>
      </c>
      <c r="I42" s="177">
        <f t="shared" si="67"/>
        <v>9.8375601059769738E-2</v>
      </c>
      <c r="J42" s="178">
        <f t="shared" ref="J42:M42" si="68">(J121*J160)/1000000</f>
        <v>0.10808118879954903</v>
      </c>
      <c r="K42" s="178">
        <f t="shared" si="68"/>
        <v>0.11874431511962452</v>
      </c>
      <c r="L42" s="178">
        <f t="shared" si="68"/>
        <v>0.13045944932544559</v>
      </c>
      <c r="M42" s="178">
        <f t="shared" si="68"/>
        <v>0.14333038092099551</v>
      </c>
      <c r="O42" s="175">
        <f t="shared" si="49"/>
        <v>0.98762486015748752</v>
      </c>
      <c r="P42" s="149">
        <f t="shared" si="50"/>
        <v>9.8658484778990196E-2</v>
      </c>
      <c r="R42" s="181">
        <f t="shared" si="7"/>
        <v>1.3212942003218953E-3</v>
      </c>
      <c r="S42" s="181">
        <f t="shared" si="8"/>
        <v>8.460340593034073E-4</v>
      </c>
      <c r="T42" s="2">
        <f t="shared" si="9"/>
        <v>3.5249192121446477E-2</v>
      </c>
      <c r="U42" s="181">
        <f t="shared" si="10"/>
        <v>4.0231939669198573E-4</v>
      </c>
      <c r="X42" s="2" t="s">
        <v>155</v>
      </c>
    </row>
    <row r="43" spans="4:24" ht="13.5" customHeight="1" outlineLevel="1" x14ac:dyDescent="0.25">
      <c r="D43" s="82" t="str">
        <f t="shared" si="0"/>
        <v>Beans, dry</v>
      </c>
      <c r="E43" s="177">
        <f t="shared" ref="E43:I43" si="69">(E122*E161)/1000000</f>
        <v>7.9788150000000002E-3</v>
      </c>
      <c r="F43" s="177">
        <f t="shared" si="69"/>
        <v>7.9960320000000001E-3</v>
      </c>
      <c r="G43" s="177">
        <f t="shared" si="69"/>
        <v>4.6394370000000004E-2</v>
      </c>
      <c r="H43" s="177">
        <f t="shared" si="69"/>
        <v>4.5828584999999998E-2</v>
      </c>
      <c r="I43" s="177">
        <f t="shared" si="69"/>
        <v>0.10902131544816383</v>
      </c>
      <c r="J43" s="178">
        <f t="shared" ref="J43:M43" si="70">(J122*J161)/1000000</f>
        <v>0.1209792638476634</v>
      </c>
      <c r="K43" s="178">
        <f t="shared" si="70"/>
        <v>0.13424881383018628</v>
      </c>
      <c r="L43" s="178">
        <f t="shared" si="70"/>
        <v>0.14897382775866597</v>
      </c>
      <c r="M43" s="178">
        <f t="shared" si="70"/>
        <v>0.16531394746728451</v>
      </c>
      <c r="O43" s="150">
        <f t="shared" si="49"/>
        <v>0.92261911404991248</v>
      </c>
      <c r="P43" s="149">
        <f t="shared" si="50"/>
        <v>0.10968449931412905</v>
      </c>
      <c r="R43" s="181">
        <f t="shared" si="7"/>
        <v>1.4789733667492468E-3</v>
      </c>
      <c r="S43" s="181">
        <f t="shared" si="8"/>
        <v>9.757961231702106E-4</v>
      </c>
      <c r="T43" s="2">
        <f t="shared" si="9"/>
        <v>4.4334683619621104E-2</v>
      </c>
      <c r="U43" s="181">
        <f t="shared" si="10"/>
        <v>5.0601736076452469E-4</v>
      </c>
      <c r="X43" s="2" t="s">
        <v>148</v>
      </c>
    </row>
    <row r="44" spans="4:24" ht="13.5" customHeight="1" outlineLevel="1" thickBot="1" x14ac:dyDescent="0.3">
      <c r="D44" s="83" t="s">
        <v>13</v>
      </c>
      <c r="E44" s="105">
        <f>SUM(E13:E43)</f>
        <v>3.8071996369999996</v>
      </c>
      <c r="F44" s="105">
        <f t="shared" ref="F44:M44" si="71">SUM(F13:F43)</f>
        <v>4.6521527360000015</v>
      </c>
      <c r="G44" s="105">
        <f t="shared" si="71"/>
        <v>27.386524855999991</v>
      </c>
      <c r="H44" s="105">
        <f t="shared" si="71"/>
        <v>28.824204606999995</v>
      </c>
      <c r="I44" s="105">
        <f t="shared" si="71"/>
        <v>65.759548700283801</v>
      </c>
      <c r="J44" s="106">
        <f t="shared" si="71"/>
        <v>81.799487784944603</v>
      </c>
      <c r="K44" s="106">
        <f t="shared" si="71"/>
        <v>103.08842612814729</v>
      </c>
      <c r="L44" s="106">
        <f t="shared" si="71"/>
        <v>131.46256914648245</v>
      </c>
      <c r="M44" s="106">
        <f t="shared" si="71"/>
        <v>169.41443355012015</v>
      </c>
      <c r="O44" s="151">
        <f t="shared" ref="O44" si="72">IFERROR(_xlfn.RRI($I$91-$E$91,E44,I44),0)</f>
        <v>1.0386294485064385</v>
      </c>
      <c r="P44" s="176">
        <f t="shared" si="6"/>
        <v>0.26691621900402618</v>
      </c>
    </row>
    <row r="45" spans="4:24" ht="13.5" customHeight="1" outlineLevel="1" thickTop="1" thickBot="1" x14ac:dyDescent="0.35">
      <c r="D45" s="132" t="s">
        <v>17</v>
      </c>
      <c r="E45" s="107">
        <f>E44/46%</f>
        <v>8.2765209499999983</v>
      </c>
      <c r="F45" s="107">
        <f t="shared" ref="F45:M45" si="73">F44/46%</f>
        <v>10.113375513043481</v>
      </c>
      <c r="G45" s="107">
        <f t="shared" si="73"/>
        <v>59.535923599999975</v>
      </c>
      <c r="H45" s="107">
        <f t="shared" si="73"/>
        <v>62.661314363043466</v>
      </c>
      <c r="I45" s="107">
        <f>I44/46%</f>
        <v>142.95554065279086</v>
      </c>
      <c r="J45" s="108">
        <f t="shared" si="73"/>
        <v>177.82497344553173</v>
      </c>
      <c r="K45" s="108">
        <f t="shared" si="73"/>
        <v>224.10527419162455</v>
      </c>
      <c r="L45" s="108">
        <f t="shared" si="73"/>
        <v>285.78819379670097</v>
      </c>
      <c r="M45" s="108">
        <f t="shared" si="73"/>
        <v>368.29224684808725</v>
      </c>
      <c r="O45" s="151">
        <f t="shared" ref="O45" si="74">IFERROR(_xlfn.RRI($I$91-$E$91,E45,I45),0)</f>
        <v>1.0386294485064385</v>
      </c>
      <c r="P45" s="151">
        <f t="shared" si="6"/>
        <v>0.26691621900402618</v>
      </c>
      <c r="Q45" s="1"/>
    </row>
    <row r="46" spans="4:24" ht="13.5" customHeight="1" thickTop="1" x14ac:dyDescent="0.25">
      <c r="E46" s="37"/>
      <c r="F46" s="37"/>
      <c r="G46" s="37"/>
      <c r="H46" s="37"/>
      <c r="I46" s="37"/>
      <c r="J46" s="181">
        <f>J16/J44</f>
        <v>5.4357183160515757E-2</v>
      </c>
      <c r="K46" s="37"/>
      <c r="L46" s="37"/>
      <c r="M46" s="37"/>
    </row>
    <row r="47" spans="4:24" ht="13.5" customHeight="1" x14ac:dyDescent="0.3">
      <c r="D47" s="32" t="s">
        <v>322</v>
      </c>
      <c r="F47" s="35"/>
      <c r="G47" s="7"/>
      <c r="H47" s="7"/>
      <c r="I47" s="7"/>
    </row>
    <row r="48" spans="4:24" ht="13.5" customHeight="1" x14ac:dyDescent="0.3">
      <c r="D48" s="33" t="s">
        <v>19</v>
      </c>
      <c r="F48" s="64"/>
      <c r="G48" s="7"/>
      <c r="H48" s="7"/>
      <c r="I48" s="7"/>
    </row>
    <row r="49" spans="4:26" ht="13.5" customHeight="1" outlineLevel="1" x14ac:dyDescent="0.3">
      <c r="E49" s="133" t="s">
        <v>12</v>
      </c>
      <c r="F49" s="141">
        <f>_xlfn.RRI(M50-I50,I82,M82)</f>
        <v>0.3263671350164068</v>
      </c>
      <c r="G49" s="7"/>
      <c r="H49" s="7"/>
      <c r="I49" s="7"/>
      <c r="R49" s="1"/>
    </row>
    <row r="50" spans="4:26" ht="13.5" customHeight="1" outlineLevel="1" x14ac:dyDescent="0.3">
      <c r="D50" s="30"/>
      <c r="E50" s="34">
        <v>2017</v>
      </c>
      <c r="F50" s="34">
        <v>2018</v>
      </c>
      <c r="G50" s="34">
        <v>2019</v>
      </c>
      <c r="H50" s="34">
        <v>2020</v>
      </c>
      <c r="I50" s="34">
        <v>2021</v>
      </c>
      <c r="J50" s="34">
        <v>2022</v>
      </c>
      <c r="K50" s="34">
        <v>2023</v>
      </c>
      <c r="L50" s="34">
        <v>2024</v>
      </c>
      <c r="M50" s="34">
        <v>2025</v>
      </c>
      <c r="O50" s="30" t="s">
        <v>20</v>
      </c>
      <c r="P50" s="30" t="s">
        <v>12</v>
      </c>
      <c r="R50" s="1" t="s">
        <v>318</v>
      </c>
      <c r="S50" s="1" t="s">
        <v>319</v>
      </c>
      <c r="T50" s="2" t="s">
        <v>320</v>
      </c>
      <c r="U50" s="2" t="s">
        <v>321</v>
      </c>
      <c r="X50" s="2" t="s">
        <v>333</v>
      </c>
    </row>
    <row r="51" spans="4:26" ht="13.5" customHeight="1" outlineLevel="1" x14ac:dyDescent="0.25">
      <c r="D51" s="82" t="str">
        <f>D92</f>
        <v>Sorghum</v>
      </c>
      <c r="E51" s="134">
        <f>(E92*E178)/1000000</f>
        <v>0.74556478000000004</v>
      </c>
      <c r="F51" s="134">
        <f t="shared" ref="F51:I51" si="75">(F92*F178)/1000000</f>
        <v>0.88579644999999996</v>
      </c>
      <c r="G51" s="134">
        <f t="shared" si="75"/>
        <v>4.3389295999999993</v>
      </c>
      <c r="H51" s="134">
        <f t="shared" si="75"/>
        <v>3.6822392700000002</v>
      </c>
      <c r="I51" s="134">
        <f t="shared" si="75"/>
        <v>10.369742503837504</v>
      </c>
      <c r="J51" s="109">
        <f t="shared" ref="J51:M51" si="76">(J92*J178)/1000000</f>
        <v>10.858375072490006</v>
      </c>
      <c r="K51" s="109">
        <f t="shared" si="76"/>
        <v>11.370032493211838</v>
      </c>
      <c r="L51" s="109">
        <f t="shared" si="76"/>
        <v>12.672030423717485</v>
      </c>
      <c r="M51" s="104">
        <f t="shared" si="76"/>
        <v>13.637003843798706</v>
      </c>
      <c r="O51" s="149">
        <f>IFERROR(_xlfn.RRI($H$12-$E$12,E51,H51),0)</f>
        <v>0.70297735775128212</v>
      </c>
      <c r="P51" s="149">
        <f>IFERROR(_xlfn.RRI($M$12-$I$12,I51,M51),0)</f>
        <v>7.0872454659931305E-2</v>
      </c>
      <c r="Q51" s="2" t="s">
        <v>62</v>
      </c>
      <c r="R51" s="181">
        <f>J51/$J$82</f>
        <v>0.13274380276117714</v>
      </c>
      <c r="S51" s="181">
        <f>M51/$M$82</f>
        <v>6.7004678799815975E-2</v>
      </c>
      <c r="T51" s="2">
        <f>M51-J51</f>
        <v>2.7786287713086999</v>
      </c>
      <c r="U51" s="181">
        <f>(M51-J51)/($M$82-$J$82)</f>
        <v>2.2827349534708222E-2</v>
      </c>
      <c r="X51" s="2">
        <f>T51-T13</f>
        <v>1.170191013214767</v>
      </c>
      <c r="Z51" s="2" t="s">
        <v>62</v>
      </c>
    </row>
    <row r="52" spans="4:26" ht="13.5" customHeight="1" outlineLevel="1" x14ac:dyDescent="0.25">
      <c r="D52" s="82" t="str">
        <f t="shared" ref="D52:D81" si="77">D93</f>
        <v>Sesame seed</v>
      </c>
      <c r="E52" s="134">
        <f t="shared" ref="E52:I52" si="78">(E93*E179)/1000000</f>
        <v>1.058393208</v>
      </c>
      <c r="F52" s="134">
        <f t="shared" si="78"/>
        <v>1.3029105319999998</v>
      </c>
      <c r="G52" s="134">
        <f t="shared" si="78"/>
        <v>9.168260429</v>
      </c>
      <c r="H52" s="134">
        <f t="shared" si="78"/>
        <v>11.175996570999999</v>
      </c>
      <c r="I52" s="134">
        <f t="shared" si="78"/>
        <v>19.442638318292211</v>
      </c>
      <c r="J52" s="109">
        <f t="shared" ref="J52:M52" si="79">(J93*J179)/1000000</f>
        <v>25.427430535938441</v>
      </c>
      <c r="K52" s="109">
        <f t="shared" si="79"/>
        <v>33.254448962910409</v>
      </c>
      <c r="L52" s="109">
        <f t="shared" si="79"/>
        <v>47.441604593409103</v>
      </c>
      <c r="M52" s="109">
        <f t="shared" si="79"/>
        <v>59.841176058345226</v>
      </c>
      <c r="O52" s="149">
        <f t="shared" ref="O52:O69" si="80">IFERROR(_xlfn.RRI($I$91-$E$91,E52,I52),0)</f>
        <v>1.070270235495685</v>
      </c>
      <c r="P52" s="149">
        <f t="shared" ref="P52:P83" si="81">IFERROR(_xlfn.RRI($M$12-$I$12,I52,M52),0)</f>
        <v>0.32452826584330219</v>
      </c>
      <c r="Q52" s="2" t="s">
        <v>123</v>
      </c>
      <c r="R52" s="181">
        <f t="shared" ref="R52:R81" si="82">J52/$J$82</f>
        <v>0.31085073054233014</v>
      </c>
      <c r="S52" s="181">
        <f t="shared" ref="S52:S81" si="83">M52/$M$82</f>
        <v>0.2940263731476474</v>
      </c>
      <c r="T52" s="2">
        <f t="shared" ref="T52:T81" si="84">M52-J52</f>
        <v>34.413745522406785</v>
      </c>
      <c r="U52" s="181">
        <f t="shared" ref="U52:U81" si="85">(M52-J52)/($M$82-$J$82)</f>
        <v>0.28272024170702148</v>
      </c>
      <c r="X52" s="2">
        <f t="shared" ref="X52:X81" si="86">T52-T14</f>
        <v>2.9631763896279821</v>
      </c>
      <c r="Z52" s="2" t="s">
        <v>123</v>
      </c>
    </row>
    <row r="53" spans="4:26" ht="13.5" customHeight="1" outlineLevel="1" x14ac:dyDescent="0.25">
      <c r="D53" s="82" t="str">
        <f t="shared" si="77"/>
        <v>Groundnuts, excluding shelled</v>
      </c>
      <c r="E53" s="134">
        <f t="shared" ref="E53:I53" si="87">(E94*E180)/1000000</f>
        <v>0.86897404</v>
      </c>
      <c r="F53" s="134">
        <f t="shared" si="87"/>
        <v>1.1497321</v>
      </c>
      <c r="G53" s="134">
        <f t="shared" si="87"/>
        <v>6.7777357459999994</v>
      </c>
      <c r="H53" s="134">
        <f t="shared" si="87"/>
        <v>6.9214409449999996</v>
      </c>
      <c r="I53" s="134">
        <f t="shared" si="87"/>
        <v>20.06945248297701</v>
      </c>
      <c r="J53" s="109">
        <f t="shared" ref="J53:M53" si="88">(J94*J180)/1000000</f>
        <v>27.793161189437512</v>
      </c>
      <c r="K53" s="109">
        <f t="shared" si="88"/>
        <v>38.489331463190588</v>
      </c>
      <c r="L53" s="109">
        <f t="shared" si="88"/>
        <v>58.144029196600101</v>
      </c>
      <c r="M53" s="109">
        <f t="shared" si="88"/>
        <v>77.660649182706109</v>
      </c>
      <c r="O53" s="149">
        <f t="shared" si="80"/>
        <v>1.1922101315217963</v>
      </c>
      <c r="P53" s="149">
        <f t="shared" si="81"/>
        <v>0.40254360715062054</v>
      </c>
      <c r="Q53" s="2" t="s">
        <v>167</v>
      </c>
      <c r="R53" s="181">
        <f t="shared" si="82"/>
        <v>0.3397718242748326</v>
      </c>
      <c r="S53" s="181">
        <f t="shared" si="83"/>
        <v>0.38158138792625718</v>
      </c>
      <c r="T53" s="2">
        <f t="shared" si="84"/>
        <v>49.867487993268597</v>
      </c>
      <c r="U53" s="181">
        <f t="shared" si="85"/>
        <v>0.40967782043949053</v>
      </c>
      <c r="X53" s="2">
        <f t="shared" si="86"/>
        <v>3.8455494563978476</v>
      </c>
      <c r="Z53" s="2" t="s">
        <v>167</v>
      </c>
    </row>
    <row r="54" spans="4:26" ht="13.5" customHeight="1" outlineLevel="1" x14ac:dyDescent="0.25">
      <c r="D54" s="82" t="str">
        <f t="shared" si="77"/>
        <v>Millet</v>
      </c>
      <c r="E54" s="134">
        <f t="shared" ref="E54:I54" si="89">(E95*E181)/1000000</f>
        <v>0.28928422500000006</v>
      </c>
      <c r="F54" s="134">
        <f t="shared" si="89"/>
        <v>0.41357294</v>
      </c>
      <c r="G54" s="134">
        <f t="shared" si="89"/>
        <v>1.9178244600000001</v>
      </c>
      <c r="H54" s="134">
        <f t="shared" si="89"/>
        <v>1.540745585</v>
      </c>
      <c r="I54" s="134">
        <f t="shared" si="89"/>
        <v>4.2007805693141611</v>
      </c>
      <c r="J54" s="109">
        <f t="shared" ref="J54:M54" si="90">(J95*J181)/1000000</f>
        <v>4.4463897399626049</v>
      </c>
      <c r="K54" s="109">
        <f t="shared" si="90"/>
        <v>4.7063590667085302</v>
      </c>
      <c r="L54" s="109">
        <f t="shared" si="90"/>
        <v>5.1194611006875288</v>
      </c>
      <c r="M54" s="109">
        <f t="shared" si="90"/>
        <v>5.4548535114617147</v>
      </c>
      <c r="O54" s="149">
        <f t="shared" si="80"/>
        <v>0.95209662763725977</v>
      </c>
      <c r="P54" s="149">
        <f t="shared" si="81"/>
        <v>6.7488669238738419E-2</v>
      </c>
      <c r="Q54" s="2" t="s">
        <v>58</v>
      </c>
      <c r="R54" s="181">
        <f t="shared" si="82"/>
        <v>5.4357183160515757E-2</v>
      </c>
      <c r="S54" s="181">
        <f t="shared" si="83"/>
        <v>2.6802126891072805E-2</v>
      </c>
      <c r="T54" s="2">
        <f t="shared" si="84"/>
        <v>1.0084637714991098</v>
      </c>
      <c r="U54" s="181">
        <f t="shared" si="85"/>
        <v>8.2848616709089596E-3</v>
      </c>
      <c r="X54" s="2">
        <f t="shared" si="86"/>
        <v>0.18206782334711846</v>
      </c>
      <c r="Z54" s="2" t="s">
        <v>58</v>
      </c>
    </row>
    <row r="55" spans="4:26" ht="13.5" customHeight="1" outlineLevel="1" x14ac:dyDescent="0.25">
      <c r="D55" s="82" t="str">
        <f t="shared" si="77"/>
        <v>Sugar cane</v>
      </c>
      <c r="E55" s="134">
        <f t="shared" ref="E55:I55" si="91">(E96*E182)/1000000</f>
        <v>0.12016543200000002</v>
      </c>
      <c r="F55" s="134">
        <f t="shared" si="91"/>
        <v>0.11992384800000001</v>
      </c>
      <c r="G55" s="134">
        <f t="shared" si="91"/>
        <v>0.63816357000000001</v>
      </c>
      <c r="H55" s="134">
        <f t="shared" si="91"/>
        <v>0.61649991000000004</v>
      </c>
      <c r="I55" s="134">
        <f t="shared" si="91"/>
        <v>1.4375874240149251</v>
      </c>
      <c r="J55" s="109">
        <f t="shared" ref="J55:M55" si="92">(J96*J182)/1000000</f>
        <v>1.4926455004635664</v>
      </c>
      <c r="K55" s="109">
        <f t="shared" si="92"/>
        <v>1.5498122429533709</v>
      </c>
      <c r="L55" s="109">
        <f t="shared" si="92"/>
        <v>2.4319234804973702</v>
      </c>
      <c r="M55" s="109">
        <f t="shared" si="92"/>
        <v>2.9977288146879912</v>
      </c>
      <c r="O55" s="149">
        <f t="shared" si="80"/>
        <v>0.85978901507488237</v>
      </c>
      <c r="P55" s="149">
        <f t="shared" si="81"/>
        <v>0.20168189889763943</v>
      </c>
      <c r="Q55" s="2" t="s">
        <v>200</v>
      </c>
      <c r="R55" s="181">
        <f t="shared" si="82"/>
        <v>1.8247614268536917E-2</v>
      </c>
      <c r="S55" s="181">
        <f t="shared" si="83"/>
        <v>1.4729177952711505E-2</v>
      </c>
      <c r="T55" s="2">
        <f t="shared" si="84"/>
        <v>1.5050833142244249</v>
      </c>
      <c r="U55" s="181">
        <f t="shared" si="85"/>
        <v>1.2364754603932314E-2</v>
      </c>
      <c r="X55" s="2">
        <f t="shared" si="86"/>
        <v>1.3269309569131711</v>
      </c>
      <c r="Z55" s="2" t="s">
        <v>200</v>
      </c>
    </row>
    <row r="56" spans="4:26" ht="13.5" customHeight="1" outlineLevel="1" x14ac:dyDescent="0.25">
      <c r="D56" s="82" t="str">
        <f t="shared" si="77"/>
        <v>Melonseed</v>
      </c>
      <c r="E56" s="134">
        <f t="shared" ref="E56:I56" si="93">(E97*E183)/1000000</f>
        <v>7.9580598000000016E-2</v>
      </c>
      <c r="F56" s="134">
        <f t="shared" si="93"/>
        <v>0.10632402000000001</v>
      </c>
      <c r="G56" s="134">
        <f t="shared" si="93"/>
        <v>0.43876874399999999</v>
      </c>
      <c r="H56" s="134">
        <f t="shared" si="93"/>
        <v>0.31379083800000002</v>
      </c>
      <c r="I56" s="134">
        <f t="shared" si="93"/>
        <v>0.87742105568808515</v>
      </c>
      <c r="J56" s="109">
        <f t="shared" ref="J56:M56" si="94">(J97*J183)/1000000</f>
        <v>0.8837645145784635</v>
      </c>
      <c r="K56" s="109">
        <f t="shared" si="94"/>
        <v>0.8901538345413943</v>
      </c>
      <c r="L56" s="109">
        <f t="shared" si="94"/>
        <v>1.3550083823063419</v>
      </c>
      <c r="M56" s="109">
        <f t="shared" si="94"/>
        <v>1.6202816540023945</v>
      </c>
      <c r="O56" s="149">
        <f t="shared" si="80"/>
        <v>0.82221750124596027</v>
      </c>
      <c r="P56" s="149">
        <f t="shared" si="81"/>
        <v>0.1657236719849533</v>
      </c>
      <c r="Q56" s="2" t="s">
        <v>222</v>
      </c>
      <c r="R56" s="181">
        <f t="shared" si="82"/>
        <v>1.0804034823566738E-2</v>
      </c>
      <c r="S56" s="181">
        <f t="shared" si="83"/>
        <v>7.9611660328917887E-3</v>
      </c>
      <c r="T56" s="2">
        <f t="shared" si="84"/>
        <v>0.73651713942393104</v>
      </c>
      <c r="U56" s="181">
        <f t="shared" si="85"/>
        <v>6.0507306170355796E-3</v>
      </c>
      <c r="X56" s="2">
        <f t="shared" si="86"/>
        <v>0.71721026767994311</v>
      </c>
      <c r="Z56" s="2" t="s">
        <v>222</v>
      </c>
    </row>
    <row r="57" spans="4:26" ht="13.5" customHeight="1" outlineLevel="1" x14ac:dyDescent="0.25">
      <c r="D57" s="82" t="str">
        <f t="shared" si="77"/>
        <v>Cow peas, dry</v>
      </c>
      <c r="E57" s="134">
        <f t="shared" ref="E57:I57" si="95">(E98*E184)/1000000</f>
        <v>2.3365884000000003E-2</v>
      </c>
      <c r="F57" s="134">
        <f t="shared" si="95"/>
        <v>1.9569792000000003E-2</v>
      </c>
      <c r="G57" s="134">
        <f t="shared" si="95"/>
        <v>0.26252271599999999</v>
      </c>
      <c r="H57" s="134">
        <f t="shared" si="95"/>
        <v>0.65137665</v>
      </c>
      <c r="I57" s="134">
        <f t="shared" si="95"/>
        <v>0.41112636688932269</v>
      </c>
      <c r="J57" s="109">
        <f t="shared" ref="J57:M57" si="96">(J98*J184)/1000000</f>
        <v>0.46542735292183196</v>
      </c>
      <c r="K57" s="109">
        <f t="shared" si="96"/>
        <v>0.52690033598876296</v>
      </c>
      <c r="L57" s="109">
        <f t="shared" si="96"/>
        <v>1.0019918122032203</v>
      </c>
      <c r="M57" s="109">
        <f t="shared" si="96"/>
        <v>1.3921988651138459</v>
      </c>
      <c r="O57" s="149">
        <f t="shared" si="80"/>
        <v>1.0480864226842899</v>
      </c>
      <c r="P57" s="149">
        <f t="shared" si="81"/>
        <v>0.35653650791977309</v>
      </c>
      <c r="Q57" s="2" t="s">
        <v>122</v>
      </c>
      <c r="R57" s="181">
        <f t="shared" si="82"/>
        <v>5.6898565690957177E-3</v>
      </c>
      <c r="S57" s="181">
        <f t="shared" si="83"/>
        <v>6.8404936194867687E-3</v>
      </c>
      <c r="T57" s="2">
        <f t="shared" si="84"/>
        <v>0.92677151219201392</v>
      </c>
      <c r="U57" s="181">
        <f t="shared" si="85"/>
        <v>7.6137328836673327E-3</v>
      </c>
      <c r="X57" s="2">
        <f t="shared" si="86"/>
        <v>0.71692238949969722</v>
      </c>
      <c r="Z57" s="2" t="s">
        <v>122</v>
      </c>
    </row>
    <row r="58" spans="4:26" ht="13.5" customHeight="1" outlineLevel="1" x14ac:dyDescent="0.25">
      <c r="D58" s="82" t="str">
        <f t="shared" si="77"/>
        <v>Wheat</v>
      </c>
      <c r="E58" s="134">
        <f t="shared" ref="E58:I58" si="97">(E99*E185)/1000000</f>
        <v>9.6159021000000011E-2</v>
      </c>
      <c r="F58" s="134">
        <f t="shared" si="97"/>
        <v>0.14383538400000001</v>
      </c>
      <c r="G58" s="134">
        <f t="shared" si="97"/>
        <v>0.87362385600000003</v>
      </c>
      <c r="H58" s="134">
        <f t="shared" si="97"/>
        <v>0.91682925600000009</v>
      </c>
      <c r="I58" s="134">
        <f t="shared" si="97"/>
        <v>1.7803104264886531</v>
      </c>
      <c r="J58" s="109">
        <f t="shared" ref="J58:M58" si="98">(J99*J185)/1000000</f>
        <v>2.4414216389523813</v>
      </c>
      <c r="K58" s="109">
        <f t="shared" si="98"/>
        <v>3.3480338768228419</v>
      </c>
      <c r="L58" s="109">
        <f t="shared" si="98"/>
        <v>5.6582445581500904</v>
      </c>
      <c r="M58" s="109">
        <f t="shared" si="98"/>
        <v>7.6363158367672561</v>
      </c>
      <c r="O58" s="149">
        <f t="shared" si="80"/>
        <v>1.074323204140494</v>
      </c>
      <c r="P58" s="149">
        <f t="shared" si="81"/>
        <v>0.43912009277390429</v>
      </c>
      <c r="Q58" s="2" t="s">
        <v>84</v>
      </c>
      <c r="R58" s="181">
        <f t="shared" si="82"/>
        <v>2.9846417197269187E-2</v>
      </c>
      <c r="S58" s="181">
        <f t="shared" si="83"/>
        <v>3.7520623717446147E-2</v>
      </c>
      <c r="T58" s="2">
        <f t="shared" si="84"/>
        <v>5.1948941978148753</v>
      </c>
      <c r="U58" s="181">
        <f t="shared" si="85"/>
        <v>4.2677764973078951E-2</v>
      </c>
      <c r="X58" s="2">
        <f t="shared" si="86"/>
        <v>1.3400370116963924</v>
      </c>
      <c r="Z58" s="2" t="s">
        <v>84</v>
      </c>
    </row>
    <row r="59" spans="4:26" ht="13.5" customHeight="1" outlineLevel="1" x14ac:dyDescent="0.25">
      <c r="D59" s="82" t="str">
        <f t="shared" si="77"/>
        <v>Onions and shallots, dry (excluding dehydrated)</v>
      </c>
      <c r="E59" s="134">
        <f t="shared" ref="E59:I59" si="99">(E100*E186)/1000000</f>
        <v>3.0853465E-2</v>
      </c>
      <c r="F59" s="134">
        <f t="shared" si="99"/>
        <v>3.0322709999999999E-2</v>
      </c>
      <c r="G59" s="134">
        <f t="shared" si="99"/>
        <v>0.18297779</v>
      </c>
      <c r="H59" s="134">
        <f t="shared" si="99"/>
        <v>0.18418302</v>
      </c>
      <c r="I59" s="134">
        <f t="shared" si="99"/>
        <v>0.44314616730184503</v>
      </c>
      <c r="J59" s="109">
        <f t="shared" ref="J59:M59" si="100">(J100*J186)/1000000</f>
        <v>0.47475065123615462</v>
      </c>
      <c r="K59" s="109">
        <f t="shared" si="100"/>
        <v>0.50860911699058375</v>
      </c>
      <c r="L59" s="109">
        <f t="shared" si="100"/>
        <v>1.6974017317284347</v>
      </c>
      <c r="M59" s="109">
        <f t="shared" si="100"/>
        <v>2.5334597765194875</v>
      </c>
      <c r="O59" s="149">
        <f t="shared" si="80"/>
        <v>0.9467525992908703</v>
      </c>
      <c r="P59" s="149">
        <f t="shared" si="81"/>
        <v>0.54629287225423884</v>
      </c>
      <c r="Q59" s="2" t="s">
        <v>125</v>
      </c>
      <c r="R59" s="181">
        <f t="shared" si="82"/>
        <v>5.8038340348083896E-3</v>
      </c>
      <c r="S59" s="181">
        <f t="shared" si="83"/>
        <v>1.2448017212749827E-2</v>
      </c>
      <c r="T59" s="2">
        <f t="shared" si="84"/>
        <v>2.0587091252833329</v>
      </c>
      <c r="U59" s="181">
        <f t="shared" si="85"/>
        <v>1.6912972786574169E-2</v>
      </c>
      <c r="X59" s="2">
        <f t="shared" si="86"/>
        <v>1.9497173164166079</v>
      </c>
      <c r="Z59" s="2" t="s">
        <v>125</v>
      </c>
    </row>
    <row r="60" spans="4:26" ht="13.5" customHeight="1" outlineLevel="1" x14ac:dyDescent="0.25">
      <c r="D60" s="82" t="str">
        <f t="shared" si="77"/>
        <v>Bananas</v>
      </c>
      <c r="E60" s="134">
        <f t="shared" ref="E60:I60" si="101">(E101*E187)/1000000</f>
        <v>2.8118765E-2</v>
      </c>
      <c r="F60" s="134">
        <f t="shared" si="101"/>
        <v>2.6543110000000002E-2</v>
      </c>
      <c r="G60" s="134">
        <f t="shared" si="101"/>
        <v>0.15394876500000002</v>
      </c>
      <c r="H60" s="134">
        <f t="shared" si="101"/>
        <v>0.15467520500000001</v>
      </c>
      <c r="I60" s="134">
        <f t="shared" si="101"/>
        <v>0.36322918740078552</v>
      </c>
      <c r="J60" s="109">
        <f t="shared" ref="J60:M60" si="102">(J101*J187)/1000000</f>
        <v>0.38063187770006063</v>
      </c>
      <c r="K60" s="109">
        <f t="shared" si="102"/>
        <v>0.39886834909446095</v>
      </c>
      <c r="L60" s="109">
        <f t="shared" si="102"/>
        <v>1.3020747659292822</v>
      </c>
      <c r="M60" s="109">
        <f t="shared" si="102"/>
        <v>1.9009519592630539</v>
      </c>
      <c r="O60" s="149">
        <f t="shared" si="80"/>
        <v>0.89581573808613935</v>
      </c>
      <c r="P60" s="149">
        <f t="shared" si="81"/>
        <v>0.51250772204889183</v>
      </c>
      <c r="Q60" s="2" t="s">
        <v>208</v>
      </c>
      <c r="R60" s="181">
        <f t="shared" si="82"/>
        <v>4.6532305764647695E-3</v>
      </c>
      <c r="S60" s="181">
        <f t="shared" si="83"/>
        <v>9.3402243559697531E-3</v>
      </c>
      <c r="T60" s="2">
        <f t="shared" si="84"/>
        <v>1.5203200815629934</v>
      </c>
      <c r="U60" s="181">
        <f t="shared" si="85"/>
        <v>1.2489929660567429E-2</v>
      </c>
      <c r="X60" s="2">
        <f t="shared" si="86"/>
        <v>1.4629476208787739</v>
      </c>
      <c r="Z60" s="2" t="s">
        <v>208</v>
      </c>
    </row>
    <row r="61" spans="4:26" ht="13.5" customHeight="1" outlineLevel="1" x14ac:dyDescent="0.25">
      <c r="D61" s="82" t="str">
        <f t="shared" si="77"/>
        <v>Mangoes, guavas and mangosteens</v>
      </c>
      <c r="E61" s="134">
        <f t="shared" ref="E61:I61" si="103">(E102*E188)/1000000</f>
        <v>2.6809375E-2</v>
      </c>
      <c r="F61" s="134">
        <f t="shared" si="103"/>
        <v>2.608628E-2</v>
      </c>
      <c r="G61" s="134">
        <f t="shared" si="103"/>
        <v>0.151891365</v>
      </c>
      <c r="H61" s="134">
        <f t="shared" si="103"/>
        <v>0.15320708499999999</v>
      </c>
      <c r="I61" s="134">
        <f t="shared" si="103"/>
        <v>0.35856324568499565</v>
      </c>
      <c r="J61" s="109">
        <f t="shared" ref="J61:M61" si="104">(J102*J188)/1000000</f>
        <v>0.37902149007522634</v>
      </c>
      <c r="K61" s="109">
        <f t="shared" si="104"/>
        <v>0.4006470034718797</v>
      </c>
      <c r="L61" s="109">
        <f t="shared" si="104"/>
        <v>1.3192949244918724</v>
      </c>
      <c r="M61" s="109">
        <f t="shared" si="104"/>
        <v>1.9429013801503947</v>
      </c>
      <c r="O61" s="149">
        <f t="shared" si="80"/>
        <v>0.91236052424161862</v>
      </c>
      <c r="P61" s="149">
        <f t="shared" si="81"/>
        <v>0.52570737870174367</v>
      </c>
      <c r="Q61" s="2" t="s">
        <v>172</v>
      </c>
      <c r="R61" s="181">
        <f t="shared" si="82"/>
        <v>4.6335435629095241E-3</v>
      </c>
      <c r="S61" s="181">
        <f t="shared" si="83"/>
        <v>9.5463405604227381E-3</v>
      </c>
      <c r="T61" s="2">
        <f t="shared" si="84"/>
        <v>1.5638798900751683</v>
      </c>
      <c r="U61" s="181">
        <f t="shared" si="85"/>
        <v>1.2847787818821526E-2</v>
      </c>
      <c r="X61" s="2">
        <f t="shared" si="86"/>
        <v>1.495231343350208</v>
      </c>
      <c r="Z61" s="2" t="s">
        <v>172</v>
      </c>
    </row>
    <row r="62" spans="4:26" ht="13.5" customHeight="1" outlineLevel="1" x14ac:dyDescent="0.25">
      <c r="D62" s="82" t="str">
        <f t="shared" si="77"/>
        <v>Cantaloupes and other melons</v>
      </c>
      <c r="E62" s="134">
        <f t="shared" ref="E62:I62" si="105">(E103*E189)/1000000</f>
        <v>2.8301385000000002E-2</v>
      </c>
      <c r="F62" s="134">
        <f t="shared" si="105"/>
        <v>2.6027430000000001E-2</v>
      </c>
      <c r="G62" s="134">
        <f t="shared" si="105"/>
        <v>0.14595919500000001</v>
      </c>
      <c r="H62" s="134">
        <f t="shared" si="105"/>
        <v>0.14599793</v>
      </c>
      <c r="I62" s="134">
        <f t="shared" si="105"/>
        <v>0.34756623799540637</v>
      </c>
      <c r="J62" s="109">
        <f t="shared" ref="J62:M62" si="106">(J103*J189)/1000000</f>
        <v>0.36842545786201764</v>
      </c>
      <c r="K62" s="109">
        <f t="shared" si="106"/>
        <v>0.3905365457350069</v>
      </c>
      <c r="L62" s="109">
        <f t="shared" si="106"/>
        <v>1.2896018808523253</v>
      </c>
      <c r="M62" s="109">
        <f t="shared" si="106"/>
        <v>1.9044891705141531</v>
      </c>
      <c r="O62" s="149">
        <f t="shared" si="80"/>
        <v>0.87200702196675528</v>
      </c>
      <c r="P62" s="149">
        <f t="shared" si="81"/>
        <v>0.52997815873508958</v>
      </c>
      <c r="Q62" s="2" t="s">
        <v>135</v>
      </c>
      <c r="R62" s="181">
        <f t="shared" si="82"/>
        <v>4.5040069056499306E-3</v>
      </c>
      <c r="S62" s="181">
        <f t="shared" si="83"/>
        <v>9.3576042516155811E-3</v>
      </c>
      <c r="T62" s="2">
        <f t="shared" si="84"/>
        <v>1.5360637126521355</v>
      </c>
      <c r="U62" s="181">
        <f t="shared" si="85"/>
        <v>1.2619268769673422E-2</v>
      </c>
      <c r="X62" s="2">
        <f t="shared" si="86"/>
        <v>1.4656698121257044</v>
      </c>
      <c r="Z62" s="2" t="s">
        <v>135</v>
      </c>
    </row>
    <row r="63" spans="4:26" ht="13.5" customHeight="1" outlineLevel="1" x14ac:dyDescent="0.25">
      <c r="D63" s="82" t="str">
        <f t="shared" si="77"/>
        <v>Sunflower seed</v>
      </c>
      <c r="E63" s="134">
        <f t="shared" ref="E63:I63" si="107">(E104*E190)/1000000</f>
        <v>2.8921212000000002E-2</v>
      </c>
      <c r="F63" s="134">
        <f t="shared" si="107"/>
        <v>2.812854E-2</v>
      </c>
      <c r="G63" s="134">
        <f t="shared" si="107"/>
        <v>0.161093658</v>
      </c>
      <c r="H63" s="134">
        <f t="shared" si="107"/>
        <v>0.15981883199999999</v>
      </c>
      <c r="I63" s="134">
        <f t="shared" si="107"/>
        <v>0.42483489167100191</v>
      </c>
      <c r="J63" s="109">
        <f t="shared" ref="J63:M63" si="108">(J104*J190)/1000000</f>
        <v>0.45972634750810631</v>
      </c>
      <c r="K63" s="109">
        <f t="shared" si="108"/>
        <v>0.49748341940994628</v>
      </c>
      <c r="L63" s="109">
        <f t="shared" si="108"/>
        <v>0.90430920529518877</v>
      </c>
      <c r="M63" s="109">
        <f t="shared" si="108"/>
        <v>1.2010378611088277</v>
      </c>
      <c r="O63" s="149">
        <f t="shared" si="80"/>
        <v>0.95772155387153846</v>
      </c>
      <c r="P63" s="149">
        <f t="shared" si="81"/>
        <v>0.29668393420991146</v>
      </c>
      <c r="Q63" s="2" t="s">
        <v>230</v>
      </c>
      <c r="R63" s="181">
        <f t="shared" si="82"/>
        <v>5.6201616899698983E-3</v>
      </c>
      <c r="S63" s="181">
        <f t="shared" si="83"/>
        <v>5.9012343936978712E-3</v>
      </c>
      <c r="T63" s="2">
        <f t="shared" si="84"/>
        <v>0.74131151360072134</v>
      </c>
      <c r="U63" s="181">
        <f t="shared" si="85"/>
        <v>6.0901179782634788E-3</v>
      </c>
      <c r="X63" s="2">
        <f t="shared" si="86"/>
        <v>0.61848271453326786</v>
      </c>
      <c r="Z63" s="2" t="s">
        <v>230</v>
      </c>
    </row>
    <row r="64" spans="4:26" ht="13.5" customHeight="1" outlineLevel="1" x14ac:dyDescent="0.25">
      <c r="D64" s="82" t="str">
        <f t="shared" si="77"/>
        <v>Cauliflowers and broccoli</v>
      </c>
      <c r="E64" s="134">
        <f t="shared" ref="E64:I64" si="109">(E105*E191)/1000000</f>
        <v>2.401706E-2</v>
      </c>
      <c r="F64" s="134">
        <f t="shared" si="109"/>
        <v>2.3146200000000002E-2</v>
      </c>
      <c r="G64" s="134">
        <f t="shared" si="109"/>
        <v>0.13336397</v>
      </c>
      <c r="H64" s="134">
        <f t="shared" si="109"/>
        <v>0.13406691500000001</v>
      </c>
      <c r="I64" s="134">
        <f t="shared" si="109"/>
        <v>0.31780513671128496</v>
      </c>
      <c r="J64" s="109">
        <f t="shared" ref="J64:M64" si="110">(J105*J191)/1000000</f>
        <v>0.33504217077352272</v>
      </c>
      <c r="K64" s="109">
        <f t="shared" si="110"/>
        <v>0.35321410269907805</v>
      </c>
      <c r="L64" s="109">
        <f t="shared" si="110"/>
        <v>1.1600014313380667</v>
      </c>
      <c r="M64" s="109">
        <f t="shared" si="110"/>
        <v>1.7037579187538427</v>
      </c>
      <c r="O64" s="149">
        <f t="shared" si="80"/>
        <v>0.90726161051795029</v>
      </c>
      <c r="P64" s="149">
        <f t="shared" si="81"/>
        <v>0.52163939560287198</v>
      </c>
      <c r="Q64" s="2" t="s">
        <v>218</v>
      </c>
      <c r="R64" s="181">
        <f t="shared" si="82"/>
        <v>4.095895706026512E-3</v>
      </c>
      <c r="S64" s="181">
        <f t="shared" si="83"/>
        <v>8.3713221325120643E-3</v>
      </c>
      <c r="T64" s="2">
        <f t="shared" si="84"/>
        <v>1.36871574798032</v>
      </c>
      <c r="U64" s="181">
        <f t="shared" si="85"/>
        <v>1.1244450181839427E-2</v>
      </c>
      <c r="X64" s="2">
        <f t="shared" si="86"/>
        <v>1.3111896813849948</v>
      </c>
      <c r="Z64" s="2" t="s">
        <v>218</v>
      </c>
    </row>
    <row r="65" spans="4:26" ht="13.5" customHeight="1" outlineLevel="1" x14ac:dyDescent="0.25">
      <c r="D65" s="82" t="str">
        <f t="shared" si="77"/>
        <v>Seed cotton, unginned</v>
      </c>
      <c r="E65" s="134">
        <f t="shared" ref="E65:I65" si="111">(E106*E192)/1000000</f>
        <v>5.7346107000000014E-2</v>
      </c>
      <c r="F65" s="134">
        <f t="shared" si="111"/>
        <v>6.0149232000000004E-2</v>
      </c>
      <c r="G65" s="134">
        <f t="shared" si="111"/>
        <v>0.34886950800000005</v>
      </c>
      <c r="H65" s="134">
        <f t="shared" si="111"/>
        <v>0.359931208</v>
      </c>
      <c r="I65" s="134">
        <f t="shared" si="111"/>
        <v>0.8356255383637009</v>
      </c>
      <c r="J65" s="109">
        <f t="shared" ref="J65:M65" si="112">(J106*J192)/1000000</f>
        <v>1.0243728425747411</v>
      </c>
      <c r="K65" s="109">
        <f t="shared" si="112"/>
        <v>1.2557535312521015</v>
      </c>
      <c r="L65" s="109">
        <f t="shared" si="112"/>
        <v>1.9270225477252025</v>
      </c>
      <c r="M65" s="109">
        <f t="shared" si="112"/>
        <v>2.4177112345946568</v>
      </c>
      <c r="O65" s="149">
        <f t="shared" si="80"/>
        <v>0.95378576433896201</v>
      </c>
      <c r="P65" s="149">
        <f t="shared" si="81"/>
        <v>0.3042119676451942</v>
      </c>
      <c r="Q65" s="2" t="s">
        <v>196</v>
      </c>
      <c r="R65" s="181">
        <f t="shared" si="82"/>
        <v>1.2522973802328375E-2</v>
      </c>
      <c r="S65" s="181">
        <f t="shared" si="83"/>
        <v>1.1879293029486716E-2</v>
      </c>
      <c r="T65" s="2">
        <f t="shared" si="84"/>
        <v>1.3933383920199156</v>
      </c>
      <c r="U65" s="181">
        <f t="shared" si="85"/>
        <v>1.1446733303559145E-2</v>
      </c>
      <c r="X65" s="2">
        <f t="shared" si="86"/>
        <v>0.53060168748818737</v>
      </c>
      <c r="Z65" s="2" t="s">
        <v>196</v>
      </c>
    </row>
    <row r="66" spans="4:26" ht="13.5" customHeight="1" outlineLevel="1" x14ac:dyDescent="0.25">
      <c r="D66" s="82" t="str">
        <f t="shared" si="77"/>
        <v>Cucumbers and gherkins</v>
      </c>
      <c r="E66" s="134">
        <f t="shared" ref="E66:I66" si="113">(E107*E193)/1000000</f>
        <v>2.343516E-2</v>
      </c>
      <c r="F66" s="134">
        <f t="shared" si="113"/>
        <v>1.8755000000000001E-2</v>
      </c>
      <c r="G66" s="134">
        <f t="shared" si="113"/>
        <v>0.10980801</v>
      </c>
      <c r="H66" s="134">
        <f t="shared" si="113"/>
        <v>0.11093322999999999</v>
      </c>
      <c r="I66" s="134">
        <f t="shared" si="113"/>
        <v>0.26714013736797693</v>
      </c>
      <c r="J66" s="109">
        <f t="shared" ref="J66:M66" si="114">(J107*J193)/1000000</f>
        <v>0.28644272418066424</v>
      </c>
      <c r="K66" s="109">
        <f t="shared" si="114"/>
        <v>0.30714004658543559</v>
      </c>
      <c r="L66" s="109">
        <f t="shared" si="114"/>
        <v>1.8427564267896841</v>
      </c>
      <c r="M66" s="109">
        <f t="shared" si="114"/>
        <v>2.9228284791929577</v>
      </c>
      <c r="O66" s="149">
        <f t="shared" si="80"/>
        <v>0.837459627169298</v>
      </c>
      <c r="P66" s="149">
        <f t="shared" si="81"/>
        <v>0.81872085301781516</v>
      </c>
      <c r="Q66" s="2" t="s">
        <v>137</v>
      </c>
      <c r="R66" s="181">
        <f t="shared" si="82"/>
        <v>3.5017667217396042E-3</v>
      </c>
      <c r="S66" s="181">
        <f t="shared" si="83"/>
        <v>1.4361159216387295E-2</v>
      </c>
      <c r="T66" s="2">
        <f t="shared" si="84"/>
        <v>2.6363857550122933</v>
      </c>
      <c r="U66" s="181">
        <f t="shared" si="85"/>
        <v>2.1658776357392436E-2</v>
      </c>
      <c r="X66" s="2">
        <f t="shared" si="86"/>
        <v>2.5696991847861046</v>
      </c>
      <c r="Z66" s="2" t="s">
        <v>137</v>
      </c>
    </row>
    <row r="67" spans="4:26" ht="13.5" customHeight="1" outlineLevel="1" x14ac:dyDescent="0.25">
      <c r="D67" s="82" t="str">
        <f t="shared" si="77"/>
        <v>Tomatoes</v>
      </c>
      <c r="E67" s="134">
        <f t="shared" ref="E67:I67" si="115">(E108*E194)/1000000</f>
        <v>2.0448495000000004E-2</v>
      </c>
      <c r="F67" s="134">
        <f t="shared" si="115"/>
        <v>1.9545240000000002E-2</v>
      </c>
      <c r="G67" s="134">
        <f t="shared" si="115"/>
        <v>0.11472544999999999</v>
      </c>
      <c r="H67" s="134">
        <f t="shared" si="115"/>
        <v>0.11522900500000001</v>
      </c>
      <c r="I67" s="134">
        <f t="shared" si="115"/>
        <v>0.2723092101545323</v>
      </c>
      <c r="J67" s="109">
        <f t="shared" ref="J67:M67" si="116">(J108*J194)/1000000</f>
        <v>0.28653917952389063</v>
      </c>
      <c r="K67" s="109">
        <f t="shared" si="116"/>
        <v>0.30151275954137197</v>
      </c>
      <c r="L67" s="109">
        <f t="shared" si="116"/>
        <v>0.98834667724651915</v>
      </c>
      <c r="M67" s="109">
        <f t="shared" si="116"/>
        <v>1.4489112681629648</v>
      </c>
      <c r="O67" s="149">
        <f t="shared" si="80"/>
        <v>0.91029414774096273</v>
      </c>
      <c r="P67" s="149">
        <f t="shared" si="81"/>
        <v>0.51877998374387579</v>
      </c>
      <c r="Q67" s="2" t="s">
        <v>127</v>
      </c>
      <c r="R67" s="181">
        <f t="shared" si="82"/>
        <v>3.5029458897984549E-3</v>
      </c>
      <c r="S67" s="181">
        <f t="shared" si="83"/>
        <v>7.1191469361388659E-3</v>
      </c>
      <c r="T67" s="2">
        <f t="shared" si="84"/>
        <v>1.1623720886390743</v>
      </c>
      <c r="U67" s="181">
        <f t="shared" si="85"/>
        <v>9.5492691325786104E-3</v>
      </c>
      <c r="X67" s="2">
        <f t="shared" si="86"/>
        <v>1.1150630515908451</v>
      </c>
      <c r="Z67" s="2" t="s">
        <v>127</v>
      </c>
    </row>
    <row r="68" spans="4:26" ht="13.5" customHeight="1" outlineLevel="1" x14ac:dyDescent="0.25">
      <c r="D68" s="82" t="str">
        <f t="shared" si="77"/>
        <v>Potatoes</v>
      </c>
      <c r="E68" s="134">
        <f t="shared" ref="E68:I68" si="117">(E109*E195)/1000000</f>
        <v>1.8859540000000001E-2</v>
      </c>
      <c r="F68" s="134">
        <f t="shared" si="117"/>
        <v>1.8213470000000002E-2</v>
      </c>
      <c r="G68" s="134">
        <f t="shared" si="117"/>
        <v>0.10640695</v>
      </c>
      <c r="H68" s="134">
        <f t="shared" si="117"/>
        <v>0.10774807</v>
      </c>
      <c r="I68" s="134">
        <f t="shared" si="117"/>
        <v>0.25408418556439183</v>
      </c>
      <c r="J68" s="109">
        <f t="shared" ref="J68:M68" si="118">(J109*J195)/1000000</f>
        <v>0.26678839484261141</v>
      </c>
      <c r="K68" s="109">
        <f t="shared" si="118"/>
        <v>0.28012781458474201</v>
      </c>
      <c r="L68" s="109">
        <f t="shared" si="118"/>
        <v>1.025723315139828</v>
      </c>
      <c r="M68" s="109">
        <f t="shared" si="118"/>
        <v>1.5227869821765518</v>
      </c>
      <c r="O68" s="149">
        <f t="shared" si="80"/>
        <v>0.91585058008855946</v>
      </c>
      <c r="P68" s="149">
        <f t="shared" si="81"/>
        <v>0.56464342742583606</v>
      </c>
      <c r="Q68" s="2" t="s">
        <v>130</v>
      </c>
      <c r="R68" s="181">
        <f t="shared" si="82"/>
        <v>3.2614922423965897E-3</v>
      </c>
      <c r="S68" s="181">
        <f t="shared" si="83"/>
        <v>7.4821312503831157E-3</v>
      </c>
      <c r="T68" s="2">
        <f t="shared" si="84"/>
        <v>1.2559985873339405</v>
      </c>
      <c r="U68" s="181">
        <f t="shared" si="85"/>
        <v>1.031844162279651E-2</v>
      </c>
      <c r="X68" s="2">
        <f t="shared" si="86"/>
        <v>1.2139460665968738</v>
      </c>
      <c r="Z68" s="2" t="s">
        <v>130</v>
      </c>
    </row>
    <row r="69" spans="4:26" ht="13.5" customHeight="1" outlineLevel="1" x14ac:dyDescent="0.25">
      <c r="D69" s="82" t="str">
        <f t="shared" si="77"/>
        <v>Pumpkins, squash and gourds</v>
      </c>
      <c r="E69" s="134">
        <f t="shared" ref="E69:I69" si="119">(E110*E196)/1000000</f>
        <v>1.8660475000000003E-2</v>
      </c>
      <c r="F69" s="134">
        <f t="shared" si="119"/>
        <v>1.773013E-2</v>
      </c>
      <c r="G69" s="134">
        <f t="shared" si="119"/>
        <v>0.102788085</v>
      </c>
      <c r="H69" s="134">
        <f t="shared" si="119"/>
        <v>0.10272458500000001</v>
      </c>
      <c r="I69" s="134">
        <f t="shared" si="119"/>
        <v>0.24198957348530509</v>
      </c>
      <c r="J69" s="109">
        <f t="shared" ref="J69:M69" si="120">(J110*J196)/1000000</f>
        <v>0.25382832073886769</v>
      </c>
      <c r="K69" s="109">
        <f t="shared" si="120"/>
        <v>0.26624624970887828</v>
      </c>
      <c r="L69" s="109">
        <f t="shared" si="120"/>
        <v>0.47101025045976969</v>
      </c>
      <c r="M69" s="109">
        <f t="shared" si="120"/>
        <v>0.60707813371930552</v>
      </c>
      <c r="O69" s="149">
        <f t="shared" si="80"/>
        <v>0.89766037811274568</v>
      </c>
      <c r="P69" s="149">
        <f t="shared" si="81"/>
        <v>0.25852539712126799</v>
      </c>
      <c r="Q69" s="2" t="s">
        <v>193</v>
      </c>
      <c r="R69" s="181">
        <f t="shared" si="82"/>
        <v>3.1030551365577794E-3</v>
      </c>
      <c r="S69" s="181">
        <f t="shared" si="83"/>
        <v>2.9828454858690464E-3</v>
      </c>
      <c r="T69" s="2">
        <f t="shared" si="84"/>
        <v>0.35324981298043784</v>
      </c>
      <c r="U69" s="181">
        <f t="shared" si="85"/>
        <v>2.9020634340357868E-3</v>
      </c>
      <c r="X69" s="2">
        <f t="shared" si="86"/>
        <v>0.31414375451000032</v>
      </c>
      <c r="Z69" s="2" t="s">
        <v>193</v>
      </c>
    </row>
    <row r="70" spans="4:26" ht="13.5" customHeight="1" outlineLevel="1" x14ac:dyDescent="0.25">
      <c r="D70" s="82" t="str">
        <f t="shared" si="77"/>
        <v>Dates</v>
      </c>
      <c r="E70" s="134">
        <f t="shared" ref="E70:I70" si="121">(E111*E197)/1000000</f>
        <v>1.7992785000000001E-2</v>
      </c>
      <c r="F70" s="134">
        <f t="shared" si="121"/>
        <v>1.6366240000000001E-2</v>
      </c>
      <c r="G70" s="134">
        <f t="shared" si="121"/>
        <v>9.8785680000000001E-2</v>
      </c>
      <c r="H70" s="134">
        <f t="shared" si="121"/>
        <v>0.103354505</v>
      </c>
      <c r="I70" s="134">
        <f t="shared" si="121"/>
        <v>0.24073623805009453</v>
      </c>
      <c r="J70" s="109">
        <f t="shared" ref="J70:M70" si="122">(J111*J197)/1000000</f>
        <v>0.2544957495505426</v>
      </c>
      <c r="K70" s="109">
        <f t="shared" si="122"/>
        <v>0.26904169918039084</v>
      </c>
      <c r="L70" s="109">
        <f t="shared" si="122"/>
        <v>0.88601401060554785</v>
      </c>
      <c r="M70" s="109">
        <f t="shared" si="122"/>
        <v>1.3049397310594488</v>
      </c>
      <c r="O70" s="149">
        <f t="shared" ref="O70:O81" si="123">IFERROR(_xlfn.RRI($I$91-$E$91,E70,I70),0)</f>
        <v>0.91254106905398613</v>
      </c>
      <c r="P70" s="149">
        <f t="shared" ref="P70:P81" si="124">IFERROR(_xlfn.RRI($M$12-$I$12,I70,M70),0)</f>
        <v>0.52585141982208872</v>
      </c>
      <c r="Q70" s="2" t="s">
        <v>162</v>
      </c>
      <c r="R70" s="181">
        <f t="shared" si="82"/>
        <v>3.1112144640761817E-3</v>
      </c>
      <c r="S70" s="181">
        <f t="shared" si="83"/>
        <v>6.4117505967058721E-3</v>
      </c>
      <c r="T70" s="2">
        <f t="shared" si="84"/>
        <v>1.0504439815089062</v>
      </c>
      <c r="U70" s="181">
        <f t="shared" si="85"/>
        <v>8.6297429077726844E-3</v>
      </c>
      <c r="X70" s="2">
        <f t="shared" si="86"/>
        <v>1.0042644505775393</v>
      </c>
      <c r="Z70" s="2" t="s">
        <v>162</v>
      </c>
    </row>
    <row r="71" spans="4:26" ht="13.5" customHeight="1" outlineLevel="1" x14ac:dyDescent="0.25">
      <c r="D71" s="82" t="str">
        <f t="shared" si="77"/>
        <v>Pomelos and grapefruits</v>
      </c>
      <c r="E71" s="134">
        <f t="shared" ref="E71:I71" si="125">(E112*E198)/1000000</f>
        <v>1.4270465E-2</v>
      </c>
      <c r="F71" s="134">
        <f t="shared" si="125"/>
        <v>1.432376E-2</v>
      </c>
      <c r="G71" s="134">
        <f t="shared" si="125"/>
        <v>8.6810214999999996E-2</v>
      </c>
      <c r="H71" s="134">
        <f t="shared" si="125"/>
        <v>9.1180919999999999E-2</v>
      </c>
      <c r="I71" s="134">
        <f t="shared" si="125"/>
        <v>0.21478156290253853</v>
      </c>
      <c r="J71" s="109">
        <f t="shared" ref="J71:M71" si="126">(J112*J198)/1000000</f>
        <v>0.23383795844590755</v>
      </c>
      <c r="K71" s="109">
        <f t="shared" si="126"/>
        <v>0.25458512393339011</v>
      </c>
      <c r="L71" s="109">
        <f t="shared" si="126"/>
        <v>0.86344159045155766</v>
      </c>
      <c r="M71" s="109">
        <f t="shared" si="126"/>
        <v>1.3096696919950206</v>
      </c>
      <c r="O71" s="149">
        <f t="shared" si="123"/>
        <v>0.96965298421774526</v>
      </c>
      <c r="P71" s="149">
        <f t="shared" si="124"/>
        <v>0.5714160867729976</v>
      </c>
      <c r="Q71" s="2" t="s">
        <v>228</v>
      </c>
      <c r="R71" s="181">
        <f t="shared" si="82"/>
        <v>2.8586726491574193E-3</v>
      </c>
      <c r="S71" s="181">
        <f t="shared" si="83"/>
        <v>6.434991003238996E-3</v>
      </c>
      <c r="T71" s="2">
        <f t="shared" si="84"/>
        <v>1.075831733549113</v>
      </c>
      <c r="U71" s="181">
        <f t="shared" si="85"/>
        <v>8.8383116434405835E-3</v>
      </c>
      <c r="X71" s="2">
        <f t="shared" si="86"/>
        <v>1.0079045662910509</v>
      </c>
      <c r="Z71" s="2" t="s">
        <v>228</v>
      </c>
    </row>
    <row r="72" spans="4:26" ht="13.5" customHeight="1" outlineLevel="1" x14ac:dyDescent="0.25">
      <c r="D72" s="82" t="str">
        <f t="shared" si="77"/>
        <v>Okra</v>
      </c>
      <c r="E72" s="134">
        <f t="shared" ref="E72:I72" si="127">(E113*E199)/1000000</f>
        <v>1.5487625E-2</v>
      </c>
      <c r="F72" s="134">
        <f t="shared" si="127"/>
        <v>1.4752870000000001E-2</v>
      </c>
      <c r="G72" s="134">
        <f t="shared" si="127"/>
        <v>8.5556090000000001E-2</v>
      </c>
      <c r="H72" s="134">
        <f t="shared" si="127"/>
        <v>8.6246970000000006E-2</v>
      </c>
      <c r="I72" s="134">
        <f t="shared" si="127"/>
        <v>0.2033652793206446</v>
      </c>
      <c r="J72" s="109">
        <f t="shared" ref="J72:M72" si="128">(J113*J199)/1000000</f>
        <v>0.21351624955682338</v>
      </c>
      <c r="K72" s="109">
        <f t="shared" si="128"/>
        <v>0.2241739050889387</v>
      </c>
      <c r="L72" s="109">
        <f t="shared" si="128"/>
        <v>0.73319772813905526</v>
      </c>
      <c r="M72" s="109">
        <f t="shared" si="128"/>
        <v>1.0724721823658661</v>
      </c>
      <c r="O72" s="149">
        <f t="shared" si="123"/>
        <v>0.90358816372067419</v>
      </c>
      <c r="P72" s="149">
        <f t="shared" si="124"/>
        <v>0.51540008472817656</v>
      </c>
      <c r="Q72" s="2" t="s">
        <v>124</v>
      </c>
      <c r="R72" s="181">
        <f t="shared" si="82"/>
        <v>2.6102394445081303E-3</v>
      </c>
      <c r="S72" s="181">
        <f t="shared" si="83"/>
        <v>5.2695339038010503E-3</v>
      </c>
      <c r="T72" s="2">
        <f t="shared" si="84"/>
        <v>0.8589559328090427</v>
      </c>
      <c r="U72" s="181">
        <f t="shared" si="85"/>
        <v>7.0566055874777362E-3</v>
      </c>
      <c r="X72" s="2">
        <f t="shared" si="86"/>
        <v>0.82536048320708555</v>
      </c>
      <c r="Z72" s="2" t="s">
        <v>124</v>
      </c>
    </row>
    <row r="73" spans="4:26" ht="13.5" customHeight="1" outlineLevel="1" x14ac:dyDescent="0.25">
      <c r="D73" s="82" t="str">
        <f t="shared" si="77"/>
        <v>Lemons and limes</v>
      </c>
      <c r="E73" s="134">
        <f t="shared" ref="E73:I73" si="129">(E114*E200)/1000000</f>
        <v>1.3774815000000001E-2</v>
      </c>
      <c r="F73" s="134">
        <f t="shared" si="129"/>
        <v>1.414149E-2</v>
      </c>
      <c r="G73" s="134">
        <f t="shared" si="129"/>
        <v>8.4700744999999994E-2</v>
      </c>
      <c r="H73" s="134">
        <f t="shared" si="129"/>
        <v>8.7920195000000007E-2</v>
      </c>
      <c r="I73" s="134">
        <f t="shared" si="129"/>
        <v>0.21332158434897783</v>
      </c>
      <c r="J73" s="109">
        <f t="shared" ref="J73:M73" si="130">(J114*J200)/1000000</f>
        <v>0.2304634836207137</v>
      </c>
      <c r="K73" s="109">
        <f t="shared" si="130"/>
        <v>0.24898285583565455</v>
      </c>
      <c r="L73" s="109">
        <f t="shared" si="130"/>
        <v>0.83795113628729256</v>
      </c>
      <c r="M73" s="109">
        <f t="shared" si="130"/>
        <v>1.2612373309860947</v>
      </c>
      <c r="O73" s="149">
        <f t="shared" si="123"/>
        <v>0.98375144642663104</v>
      </c>
      <c r="P73" s="149">
        <f t="shared" si="124"/>
        <v>0.55933886742852001</v>
      </c>
      <c r="Q73" s="2" t="s">
        <v>220</v>
      </c>
      <c r="R73" s="181">
        <f t="shared" si="82"/>
        <v>2.8174196423651821E-3</v>
      </c>
      <c r="S73" s="181">
        <f t="shared" si="83"/>
        <v>6.1970212240931516E-3</v>
      </c>
      <c r="T73" s="2">
        <f t="shared" si="84"/>
        <v>1.0307738473653809</v>
      </c>
      <c r="U73" s="181">
        <f t="shared" si="85"/>
        <v>8.468146284241947E-3</v>
      </c>
      <c r="X73" s="2">
        <f t="shared" si="86"/>
        <v>0.97063165838494148</v>
      </c>
      <c r="Z73" s="2" t="s">
        <v>220</v>
      </c>
    </row>
    <row r="74" spans="4:26" ht="13.5" customHeight="1" outlineLevel="1" x14ac:dyDescent="0.25">
      <c r="D74" s="82" t="str">
        <f t="shared" si="77"/>
        <v>Green garlic</v>
      </c>
      <c r="E74" s="134">
        <f t="shared" ref="E74:I74" si="131">(E115*E201)/1000000</f>
        <v>1.2346630000000001E-2</v>
      </c>
      <c r="F74" s="134">
        <f t="shared" si="131"/>
        <v>1.3138510000000001E-2</v>
      </c>
      <c r="G74" s="134">
        <f t="shared" si="131"/>
        <v>8.6846409999999999E-2</v>
      </c>
      <c r="H74" s="134">
        <f t="shared" si="131"/>
        <v>8.4539454999999999E-2</v>
      </c>
      <c r="I74" s="134">
        <f t="shared" si="131"/>
        <v>0.21518286982803006</v>
      </c>
      <c r="J74" s="109">
        <f t="shared" ref="J74:M74" si="132">(J115*J201)/1000000</f>
        <v>0.24302491769806359</v>
      </c>
      <c r="K74" s="109">
        <f t="shared" si="132"/>
        <v>0.27446938815041866</v>
      </c>
      <c r="L74" s="109">
        <f t="shared" si="132"/>
        <v>0.96564823745739237</v>
      </c>
      <c r="M74" s="109">
        <f t="shared" si="132"/>
        <v>1.519402590345144</v>
      </c>
      <c r="O74" s="149">
        <f t="shared" si="123"/>
        <v>1.0432185152664526</v>
      </c>
      <c r="P74" s="149">
        <f t="shared" si="124"/>
        <v>0.63010767348813124</v>
      </c>
      <c r="Q74" s="2" t="s">
        <v>165</v>
      </c>
      <c r="R74" s="181">
        <f t="shared" si="82"/>
        <v>2.9709833677319547E-3</v>
      </c>
      <c r="S74" s="181">
        <f t="shared" si="83"/>
        <v>7.4655022246679602E-3</v>
      </c>
      <c r="T74" s="2">
        <f t="shared" si="84"/>
        <v>1.2763776726470804</v>
      </c>
      <c r="U74" s="181">
        <f t="shared" si="85"/>
        <v>1.0485862513433001E-2</v>
      </c>
      <c r="X74" s="2">
        <f t="shared" si="86"/>
        <v>1.1693122458308702</v>
      </c>
      <c r="Z74" s="2" t="s">
        <v>165</v>
      </c>
    </row>
    <row r="75" spans="4:26" ht="13.5" customHeight="1" outlineLevel="1" x14ac:dyDescent="0.25">
      <c r="D75" s="82" t="str">
        <f t="shared" si="77"/>
        <v>Sweet potatoes</v>
      </c>
      <c r="E75" s="134">
        <f t="shared" ref="E75:I75" si="133">(E116*E202)/1000000</f>
        <v>1.425264E-2</v>
      </c>
      <c r="F75" s="134">
        <f t="shared" si="133"/>
        <v>1.376001E-2</v>
      </c>
      <c r="G75" s="134">
        <f t="shared" si="133"/>
        <v>8.0046829999999999E-2</v>
      </c>
      <c r="H75" s="134">
        <f t="shared" si="133"/>
        <v>8.0685005000000004E-2</v>
      </c>
      <c r="I75" s="134">
        <f t="shared" si="133"/>
        <v>0.19069566030354013</v>
      </c>
      <c r="J75" s="109">
        <f t="shared" ref="J75:M75" si="134">(J116*J202)/1000000</f>
        <v>0.20068270823637588</v>
      </c>
      <c r="K75" s="109">
        <f t="shared" si="134"/>
        <v>0.21119279442951608</v>
      </c>
      <c r="L75" s="109">
        <f t="shared" si="134"/>
        <v>0.77505573684329454</v>
      </c>
      <c r="M75" s="109">
        <f t="shared" si="134"/>
        <v>1.1532453381838035</v>
      </c>
      <c r="O75" s="149">
        <f t="shared" si="123"/>
        <v>0.91254372794409244</v>
      </c>
      <c r="P75" s="149">
        <f t="shared" si="124"/>
        <v>0.56817752203773142</v>
      </c>
      <c r="Q75" s="2" t="s">
        <v>131</v>
      </c>
      <c r="R75" s="181">
        <f t="shared" si="82"/>
        <v>2.4533492038969957E-3</v>
      </c>
      <c r="S75" s="181">
        <f t="shared" si="83"/>
        <v>5.6664084242764199E-3</v>
      </c>
      <c r="T75" s="2">
        <f t="shared" si="84"/>
        <v>0.95256262994742757</v>
      </c>
      <c r="U75" s="181">
        <f t="shared" si="85"/>
        <v>7.8256154013943615E-3</v>
      </c>
      <c r="X75" s="2">
        <f t="shared" si="86"/>
        <v>0.91935225247880159</v>
      </c>
      <c r="Z75" s="2" t="s">
        <v>131</v>
      </c>
    </row>
    <row r="76" spans="4:26" ht="13.5" customHeight="1" outlineLevel="1" x14ac:dyDescent="0.25">
      <c r="D76" s="82" t="str">
        <f t="shared" si="77"/>
        <v>Other pulses n.e.c.</v>
      </c>
      <c r="E76" s="134">
        <f t="shared" ref="E76:I76" si="135">(E117*E203)/1000000</f>
        <v>8.2755840000000011E-2</v>
      </c>
      <c r="F76" s="134">
        <f t="shared" si="135"/>
        <v>8.1642176000000011E-2</v>
      </c>
      <c r="G76" s="134">
        <f t="shared" si="135"/>
        <v>0.45864678399999997</v>
      </c>
      <c r="H76" s="134">
        <f t="shared" si="135"/>
        <v>0.46271891200000004</v>
      </c>
      <c r="I76" s="134">
        <f t="shared" si="135"/>
        <v>1.0955703024541703</v>
      </c>
      <c r="J76" s="109">
        <f t="shared" ref="J76:M76" si="136">(J117*J203)/1000000</f>
        <v>1.3814232179533983</v>
      </c>
      <c r="K76" s="109">
        <f t="shared" si="136"/>
        <v>1.7418600183173099</v>
      </c>
      <c r="L76" s="109">
        <f t="shared" si="136"/>
        <v>2.3635736859993566</v>
      </c>
      <c r="M76" s="104">
        <f t="shared" si="136"/>
        <v>2.7845767322048265</v>
      </c>
      <c r="O76" s="149">
        <f t="shared" si="123"/>
        <v>0.90748178743758712</v>
      </c>
      <c r="P76" s="149">
        <f t="shared" si="124"/>
        <v>0.26264055565456834</v>
      </c>
      <c r="Q76" s="2" t="s">
        <v>187</v>
      </c>
      <c r="R76" s="181">
        <f t="shared" si="82"/>
        <v>1.6887920149148569E-2</v>
      </c>
      <c r="S76" s="181">
        <f t="shared" si="83"/>
        <v>1.3681866755480228E-2</v>
      </c>
      <c r="T76" s="2">
        <f t="shared" si="84"/>
        <v>1.4031535142514282</v>
      </c>
      <c r="U76" s="181">
        <f t="shared" si="85"/>
        <v>1.1527367761899939E-2</v>
      </c>
      <c r="X76" s="2">
        <f t="shared" si="86"/>
        <v>1.5173147043936908E-2</v>
      </c>
      <c r="Z76" s="2" t="s">
        <v>187</v>
      </c>
    </row>
    <row r="77" spans="4:26" ht="13.5" customHeight="1" outlineLevel="1" x14ac:dyDescent="0.25">
      <c r="D77" s="82" t="str">
        <f t="shared" si="77"/>
        <v>Other vegetables, fresh n.e.c.</v>
      </c>
      <c r="E77" s="134">
        <f t="shared" ref="E77:I77" si="137">(E118*E204)/1000000</f>
        <v>1.287724E-2</v>
      </c>
      <c r="F77" s="134">
        <f t="shared" si="137"/>
        <v>1.2317360000000001E-2</v>
      </c>
      <c r="G77" s="134">
        <f t="shared" si="137"/>
        <v>7.0895844999999999E-2</v>
      </c>
      <c r="H77" s="134">
        <f t="shared" si="137"/>
        <v>7.1034274999999994E-2</v>
      </c>
      <c r="I77" s="134">
        <f t="shared" si="137"/>
        <v>0.16745130431695315</v>
      </c>
      <c r="J77" s="109">
        <f t="shared" ref="J77:M77" si="138">(J118*J204)/1000000</f>
        <v>0.17576414301385165</v>
      </c>
      <c r="K77" s="109">
        <f t="shared" si="138"/>
        <v>0.18448965862289804</v>
      </c>
      <c r="L77" s="109">
        <f t="shared" si="138"/>
        <v>0.60324773787317665</v>
      </c>
      <c r="M77" s="109">
        <f t="shared" si="138"/>
        <v>0.88216180293863022</v>
      </c>
      <c r="O77" s="149">
        <f t="shared" si="123"/>
        <v>0.89896270836525516</v>
      </c>
      <c r="P77" s="149">
        <f t="shared" si="124"/>
        <v>0.51500800864387486</v>
      </c>
      <c r="Q77" s="2" t="s">
        <v>128</v>
      </c>
      <c r="R77" s="181">
        <f t="shared" si="82"/>
        <v>2.1487193596608496E-3</v>
      </c>
      <c r="S77" s="181">
        <f t="shared" si="83"/>
        <v>4.334454175742475E-3</v>
      </c>
      <c r="T77" s="2">
        <f t="shared" si="84"/>
        <v>0.70639765992477854</v>
      </c>
      <c r="U77" s="181">
        <f t="shared" si="85"/>
        <v>5.8032891835378591E-3</v>
      </c>
      <c r="X77" s="2">
        <f t="shared" si="86"/>
        <v>0.67890011872762512</v>
      </c>
      <c r="Z77" s="2" t="s">
        <v>128</v>
      </c>
    </row>
    <row r="78" spans="4:26" ht="13.5" customHeight="1" outlineLevel="1" x14ac:dyDescent="0.25">
      <c r="D78" s="82" t="str">
        <f t="shared" si="77"/>
        <v>Other fruits, n.e.c.</v>
      </c>
      <c r="E78" s="134">
        <f t="shared" ref="E78:I78" si="139">(E119*E205)/1000000</f>
        <v>1.2882875E-2</v>
      </c>
      <c r="F78" s="134">
        <f t="shared" si="139"/>
        <v>1.231967E-2</v>
      </c>
      <c r="G78" s="134">
        <f t="shared" si="139"/>
        <v>7.0584060000000004E-2</v>
      </c>
      <c r="H78" s="134">
        <f t="shared" si="139"/>
        <v>7.0859014999999997E-2</v>
      </c>
      <c r="I78" s="134">
        <f t="shared" si="139"/>
        <v>0.16707844825558224</v>
      </c>
      <c r="J78" s="109">
        <f t="shared" ref="J78:M78" si="140">(J119*J205)/1000000</f>
        <v>0.1752571064813272</v>
      </c>
      <c r="K78" s="109">
        <f t="shared" si="140"/>
        <v>0.18383611825998056</v>
      </c>
      <c r="L78" s="109">
        <f t="shared" si="140"/>
        <v>0.60071430460643505</v>
      </c>
      <c r="M78" s="109">
        <f t="shared" si="140"/>
        <v>0.87787762233339484</v>
      </c>
      <c r="O78" s="149">
        <f t="shared" si="123"/>
        <v>0.89769717043067532</v>
      </c>
      <c r="P78" s="149">
        <f t="shared" si="124"/>
        <v>0.51400875450286665</v>
      </c>
      <c r="Q78" s="2" t="s">
        <v>183</v>
      </c>
      <c r="R78" s="181">
        <f t="shared" si="82"/>
        <v>2.1425208302292536E-3</v>
      </c>
      <c r="S78" s="181">
        <f t="shared" si="83"/>
        <v>4.3134040866860922E-3</v>
      </c>
      <c r="T78" s="2">
        <f t="shared" si="84"/>
        <v>0.70262051585206764</v>
      </c>
      <c r="U78" s="181">
        <f t="shared" si="85"/>
        <v>5.7722587022871691E-3</v>
      </c>
      <c r="X78" s="2">
        <f t="shared" si="86"/>
        <v>0.67560306969211248</v>
      </c>
      <c r="Z78" s="2" t="s">
        <v>183</v>
      </c>
    </row>
    <row r="79" spans="4:26" ht="13.5" customHeight="1" outlineLevel="1" x14ac:dyDescent="0.25">
      <c r="D79" s="82" t="str">
        <f t="shared" si="77"/>
        <v>Broad beans and horse beans, dry</v>
      </c>
      <c r="E79" s="134">
        <f t="shared" ref="E79:I79" si="141">(E120*E206)/1000000</f>
        <v>9.0186450000000005E-3</v>
      </c>
      <c r="F79" s="134">
        <f t="shared" si="141"/>
        <v>8.8957000000000012E-3</v>
      </c>
      <c r="G79" s="134">
        <f t="shared" si="141"/>
        <v>5.2381150000000001E-2</v>
      </c>
      <c r="H79" s="134">
        <f t="shared" si="141"/>
        <v>5.3460649999999998E-2</v>
      </c>
      <c r="I79" s="134">
        <f t="shared" si="141"/>
        <v>0.12861587479223924</v>
      </c>
      <c r="J79" s="109">
        <f t="shared" ref="J79:M79" si="142">(J120*J206)/1000000</f>
        <v>0.13777679597978101</v>
      </c>
      <c r="K79" s="109">
        <f t="shared" si="142"/>
        <v>0.14759022197778976</v>
      </c>
      <c r="L79" s="109">
        <f t="shared" si="142"/>
        <v>0.29862156637770487</v>
      </c>
      <c r="M79" s="109">
        <f t="shared" si="142"/>
        <v>0.40535228071173246</v>
      </c>
      <c r="O79" s="149">
        <f t="shared" si="123"/>
        <v>0.94329315509965461</v>
      </c>
      <c r="P79" s="149">
        <f t="shared" si="124"/>
        <v>0.33239965398688254</v>
      </c>
      <c r="Q79" s="2" t="s">
        <v>214</v>
      </c>
      <c r="R79" s="181">
        <f t="shared" si="82"/>
        <v>1.6843234561810933E-3</v>
      </c>
      <c r="S79" s="181">
        <f t="shared" si="83"/>
        <v>1.99167644747812E-3</v>
      </c>
      <c r="T79" s="2">
        <f t="shared" si="84"/>
        <v>0.26757548473195147</v>
      </c>
      <c r="U79" s="181">
        <f t="shared" si="85"/>
        <v>2.1982206403262819E-3</v>
      </c>
      <c r="X79" s="2">
        <f t="shared" si="86"/>
        <v>0.23598847815905066</v>
      </c>
      <c r="Z79" s="2" t="s">
        <v>214</v>
      </c>
    </row>
    <row r="80" spans="4:26" ht="13.5" customHeight="1" outlineLevel="1" x14ac:dyDescent="0.25">
      <c r="D80" s="82" t="str">
        <f t="shared" si="77"/>
        <v>Chick peas, dry</v>
      </c>
      <c r="E80" s="173">
        <f t="shared" ref="E80:I80" si="143">(E121*E207)/1000000</f>
        <v>6.3030350000000002E-3</v>
      </c>
      <c r="F80" s="173">
        <f t="shared" si="143"/>
        <v>6.1865100000000001E-3</v>
      </c>
      <c r="G80" s="173">
        <f t="shared" si="143"/>
        <v>3.7214810000000001E-2</v>
      </c>
      <c r="H80" s="173">
        <f t="shared" si="143"/>
        <v>3.8942009999999999E-2</v>
      </c>
      <c r="I80" s="173">
        <f t="shared" si="143"/>
        <v>9.8375601059769738E-2</v>
      </c>
      <c r="J80" s="174">
        <f t="shared" ref="J80:M80" si="144">(J121*J207)/1000000</f>
        <v>0.10808118879954903</v>
      </c>
      <c r="K80" s="174">
        <f t="shared" si="144"/>
        <v>0.11874431511962452</v>
      </c>
      <c r="L80" s="174">
        <f t="shared" si="144"/>
        <v>0.24640959747092342</v>
      </c>
      <c r="M80" s="174">
        <f t="shared" si="144"/>
        <v>0.3430443573297472</v>
      </c>
      <c r="O80" s="175">
        <f t="shared" si="123"/>
        <v>0.98762486015748752</v>
      </c>
      <c r="P80" s="149">
        <f t="shared" si="124"/>
        <v>0.36651914422501375</v>
      </c>
      <c r="Q80" s="2" t="s">
        <v>155</v>
      </c>
      <c r="R80" s="181">
        <f t="shared" si="82"/>
        <v>1.3212942003218953E-3</v>
      </c>
      <c r="S80" s="181">
        <f t="shared" si="83"/>
        <v>1.6855298451368757E-3</v>
      </c>
      <c r="T80" s="2">
        <f t="shared" si="84"/>
        <v>0.23496316853019816</v>
      </c>
      <c r="U80" s="181">
        <f t="shared" si="85"/>
        <v>1.930299733164861E-3</v>
      </c>
      <c r="X80" s="2">
        <f t="shared" si="86"/>
        <v>0.19971397640875169</v>
      </c>
      <c r="Z80" s="2" t="s">
        <v>155</v>
      </c>
    </row>
    <row r="81" spans="1:26" ht="13.5" customHeight="1" outlineLevel="1" x14ac:dyDescent="0.25">
      <c r="D81" s="82" t="str">
        <f t="shared" si="77"/>
        <v>Beans, dry</v>
      </c>
      <c r="E81" s="173">
        <f t="shared" ref="E81:I81" si="145">(E122*E208)/1000000</f>
        <v>7.9788150000000002E-3</v>
      </c>
      <c r="F81" s="173">
        <f t="shared" si="145"/>
        <v>7.9960320000000001E-3</v>
      </c>
      <c r="G81" s="173">
        <f t="shared" si="145"/>
        <v>4.6394370000000004E-2</v>
      </c>
      <c r="H81" s="173">
        <f t="shared" si="145"/>
        <v>4.5828584999999998E-2</v>
      </c>
      <c r="I81" s="173">
        <f t="shared" si="145"/>
        <v>0.10902131544816383</v>
      </c>
      <c r="J81" s="174">
        <f t="shared" ref="J81:M81" si="146">(J122*J208)/1000000</f>
        <v>0.1209792638476634</v>
      </c>
      <c r="K81" s="174">
        <f t="shared" si="146"/>
        <v>0.13424881383018628</v>
      </c>
      <c r="L81" s="174">
        <f t="shared" si="146"/>
        <v>0.21062881140319262</v>
      </c>
      <c r="M81" s="174">
        <f t="shared" si="146"/>
        <v>0.26305661273894798</v>
      </c>
      <c r="O81" s="150">
        <f t="shared" si="123"/>
        <v>0.92261911404991248</v>
      </c>
      <c r="P81" s="149">
        <f t="shared" si="124"/>
        <v>0.24633402491987244</v>
      </c>
      <c r="Q81" s="2" t="s">
        <v>148</v>
      </c>
      <c r="R81" s="181">
        <f t="shared" si="82"/>
        <v>1.4789733667492468E-3</v>
      </c>
      <c r="S81" s="181">
        <f t="shared" si="83"/>
        <v>1.2925144001302055E-3</v>
      </c>
      <c r="T81" s="2">
        <f t="shared" si="84"/>
        <v>0.14207734889128459</v>
      </c>
      <c r="U81" s="181">
        <f t="shared" si="85"/>
        <v>1.1672121650775655E-3</v>
      </c>
      <c r="X81" s="2">
        <f t="shared" si="86"/>
        <v>9.774266527166349E-2</v>
      </c>
      <c r="Z81" s="2" t="s">
        <v>148</v>
      </c>
    </row>
    <row r="82" spans="1:26" ht="13.5" customHeight="1" outlineLevel="1" thickBot="1" x14ac:dyDescent="0.3">
      <c r="D82" s="83" t="s">
        <v>13</v>
      </c>
      <c r="E82" s="135">
        <f>SUM(E51:E81)</f>
        <v>3.8071996369999996</v>
      </c>
      <c r="F82" s="135">
        <f t="shared" ref="F82:M82" si="147">SUM(F51:F81)</f>
        <v>4.6521527360000015</v>
      </c>
      <c r="G82" s="135">
        <f t="shared" si="147"/>
        <v>27.386524855999991</v>
      </c>
      <c r="H82" s="135">
        <f t="shared" si="147"/>
        <v>28.824204606999995</v>
      </c>
      <c r="I82" s="135">
        <f t="shared" si="147"/>
        <v>65.759548700283801</v>
      </c>
      <c r="J82" s="106">
        <f t="shared" si="147"/>
        <v>81.799487784944603</v>
      </c>
      <c r="K82" s="106">
        <f t="shared" si="147"/>
        <v>103.08842612814729</v>
      </c>
      <c r="L82" s="106">
        <f t="shared" si="147"/>
        <v>157.13634084808237</v>
      </c>
      <c r="M82" s="106">
        <f t="shared" si="147"/>
        <v>203.52315820423212</v>
      </c>
      <c r="O82" s="151">
        <f>IFERROR(_xlfn.RRI($I$91-$E$91,E82,I82),0)</f>
        <v>1.0386294485064385</v>
      </c>
      <c r="P82" s="176">
        <f t="shared" si="81"/>
        <v>0.3263671350164068</v>
      </c>
    </row>
    <row r="83" spans="1:26" ht="13.5" customHeight="1" outlineLevel="1" thickTop="1" thickBot="1" x14ac:dyDescent="0.35">
      <c r="D83" s="132" t="s">
        <v>17</v>
      </c>
      <c r="E83" s="136">
        <f>E82/46%</f>
        <v>8.2765209499999983</v>
      </c>
      <c r="F83" s="136">
        <f t="shared" ref="F83:M83" si="148">F82/46%</f>
        <v>10.113375513043481</v>
      </c>
      <c r="G83" s="136">
        <f t="shared" si="148"/>
        <v>59.535923599999975</v>
      </c>
      <c r="H83" s="136">
        <f t="shared" si="148"/>
        <v>62.661314363043466</v>
      </c>
      <c r="I83" s="136">
        <f t="shared" si="148"/>
        <v>142.95554065279086</v>
      </c>
      <c r="J83" s="110">
        <f t="shared" si="148"/>
        <v>177.82497344553173</v>
      </c>
      <c r="K83" s="110">
        <f t="shared" si="148"/>
        <v>224.10527419162455</v>
      </c>
      <c r="L83" s="110">
        <f t="shared" si="148"/>
        <v>341.6007409740921</v>
      </c>
      <c r="M83" s="110">
        <f t="shared" si="148"/>
        <v>442.44164827006978</v>
      </c>
      <c r="O83" s="151">
        <f>IFERROR(_xlfn.RRI($I$91-$E$91,E83,I83),0)</f>
        <v>1.0386294485064385</v>
      </c>
      <c r="P83" s="151">
        <f t="shared" si="81"/>
        <v>0.3263671350164068</v>
      </c>
    </row>
    <row r="84" spans="1:26" ht="13.5" customHeight="1" thickTop="1" x14ac:dyDescent="0.25">
      <c r="E84" s="78"/>
      <c r="F84" s="78"/>
      <c r="G84" s="78"/>
      <c r="H84" s="78"/>
      <c r="I84" s="78"/>
      <c r="J84" s="181">
        <f>J53/J82</f>
        <v>0.3397718242748326</v>
      </c>
      <c r="K84" s="78"/>
      <c r="L84" s="78"/>
      <c r="M84" s="181">
        <f>(M52+M53+M58)/M82</f>
        <v>0.71312838479135077</v>
      </c>
    </row>
    <row r="86" spans="1:26" ht="13.5" customHeight="1" x14ac:dyDescent="0.35">
      <c r="B86" s="29">
        <v>2</v>
      </c>
      <c r="D86" s="28" t="s">
        <v>21</v>
      </c>
    </row>
    <row r="88" spans="1:26" ht="13.5" customHeight="1" x14ac:dyDescent="0.3">
      <c r="D88" s="32" t="s">
        <v>22</v>
      </c>
    </row>
    <row r="89" spans="1:26" ht="13.5" customHeight="1" x14ac:dyDescent="0.3">
      <c r="D89" s="33" t="s">
        <v>23</v>
      </c>
      <c r="O89" s="39" t="s">
        <v>24</v>
      </c>
    </row>
    <row r="90" spans="1:26" ht="13.5" customHeight="1" outlineLevel="1" x14ac:dyDescent="0.25">
      <c r="A90" s="170"/>
      <c r="B90" s="170"/>
      <c r="C90" s="170"/>
      <c r="D90" s="170"/>
      <c r="E90" s="336" t="s">
        <v>25</v>
      </c>
      <c r="F90" s="337"/>
      <c r="G90" s="337"/>
      <c r="H90" s="337"/>
      <c r="I90" s="338"/>
      <c r="J90" s="137" t="s">
        <v>9</v>
      </c>
      <c r="K90" s="138"/>
      <c r="L90" s="138"/>
      <c r="M90" s="139"/>
      <c r="Q90" s="170"/>
      <c r="R90" s="1"/>
    </row>
    <row r="91" spans="1:26" ht="13.5" customHeight="1" outlineLevel="1" x14ac:dyDescent="0.3">
      <c r="D91" s="44"/>
      <c r="E91" s="45">
        <v>2017</v>
      </c>
      <c r="F91" s="45">
        <v>2018</v>
      </c>
      <c r="G91" s="45">
        <v>2019</v>
      </c>
      <c r="H91" s="45">
        <v>2020</v>
      </c>
      <c r="I91" s="45">
        <v>2021</v>
      </c>
      <c r="J91" s="45">
        <v>2022</v>
      </c>
      <c r="K91" s="45">
        <v>2023</v>
      </c>
      <c r="L91" s="45">
        <v>2024</v>
      </c>
      <c r="M91" s="45">
        <v>2025</v>
      </c>
      <c r="O91" s="30" t="s">
        <v>26</v>
      </c>
      <c r="P91" s="30" t="s">
        <v>27</v>
      </c>
      <c r="Q91" s="30" t="s">
        <v>28</v>
      </c>
      <c r="R91" s="30" t="s">
        <v>29</v>
      </c>
      <c r="S91" s="30" t="s">
        <v>30</v>
      </c>
      <c r="T91" s="30" t="s">
        <v>31</v>
      </c>
    </row>
    <row r="92" spans="1:26" ht="13.5" customHeight="1" outlineLevel="1" x14ac:dyDescent="0.25">
      <c r="D92" s="168" t="str">
        <f>HarvestedAreas_TCD_Sudan!E10</f>
        <v>Sorghum</v>
      </c>
      <c r="E92" s="171">
        <f>HarvestedAreas_TCD_Sudan!F10</f>
        <v>6483172</v>
      </c>
      <c r="F92" s="171">
        <f>HarvestedAreas_TCD_Sudan!G10</f>
        <v>8052695</v>
      </c>
      <c r="G92" s="171">
        <f>HarvestedAreas_TCD_Sudan!H10</f>
        <v>6832960</v>
      </c>
      <c r="H92" s="171">
        <f>HarvestedAreas_TCD_Sudan!I10</f>
        <v>5798802</v>
      </c>
      <c r="I92" s="171">
        <f>HarvestedAreas_TCD_Sudan!J10</f>
        <v>6925101</v>
      </c>
      <c r="J92" s="111">
        <f t="shared" ref="J92" si="149">I92*(1+$Q92)</f>
        <v>7040212.2707724646</v>
      </c>
      <c r="K92" s="111">
        <f t="shared" ref="K92:K122" si="150">J92*(1+$Q92)</f>
        <v>7157236.958354135</v>
      </c>
      <c r="L92" s="111">
        <f t="shared" ref="L92:L122" si="151">K92*(1+$Q92)</f>
        <v>7276206.8681786694</v>
      </c>
      <c r="M92" s="111">
        <f t="shared" ref="M92:M122" si="152">L92*(1+$Q92)</f>
        <v>7397154.3343599392</v>
      </c>
      <c r="N92" s="2" t="s">
        <v>62</v>
      </c>
      <c r="O92" s="113">
        <f t="shared" ref="O92:O123" si="153">IFERROR(_xlfn.RRI($I$91-$E$91,E92,I92),0)</f>
        <v>1.6622323742637723E-2</v>
      </c>
      <c r="P92" s="113">
        <f t="shared" ref="P92:P123" si="154">IFERROR(_xlfn.RRI($I$91-$H$91,H92,I92),0)</f>
        <v>0.19422960121763078</v>
      </c>
      <c r="Q92" s="169">
        <f>MIN(O92:P92)</f>
        <v>1.6622323742637723E-2</v>
      </c>
      <c r="R92" s="191" t="s">
        <v>32</v>
      </c>
      <c r="S92" s="143"/>
      <c r="T92" s="142"/>
    </row>
    <row r="93" spans="1:26" ht="13.5" customHeight="1" outlineLevel="1" x14ac:dyDescent="0.25">
      <c r="D93" s="168" t="str">
        <f>HarvestedAreas_TCD_Sudan!E11</f>
        <v>Sesame seed</v>
      </c>
      <c r="E93" s="171">
        <f>HarvestedAreas_TCD_Sudan!F11</f>
        <v>2706888</v>
      </c>
      <c r="F93" s="171">
        <f>HarvestedAreas_TCD_Sudan!G11</f>
        <v>3483718</v>
      </c>
      <c r="G93" s="171">
        <f>HarvestedAreas_TCD_Sudan!H11</f>
        <v>4246531</v>
      </c>
      <c r="H93" s="171">
        <f>HarvestedAreas_TCD_Sudan!I11</f>
        <v>5176469</v>
      </c>
      <c r="I93" s="171">
        <f>HarvestedAreas_TCD_Sudan!J11</f>
        <v>3818866</v>
      </c>
      <c r="J93" s="111">
        <f t="shared" ref="J93:J122" si="155">I93*(1+$Q93)</f>
        <v>4161984.4467343893</v>
      </c>
      <c r="K93" s="111">
        <f t="shared" si="150"/>
        <v>4535931.4872160899</v>
      </c>
      <c r="L93" s="111">
        <f t="shared" si="151"/>
        <v>4943477.0168018863</v>
      </c>
      <c r="M93" s="111">
        <f t="shared" si="152"/>
        <v>5387639.8011133065</v>
      </c>
      <c r="N93" s="2" t="s">
        <v>123</v>
      </c>
      <c r="O93" s="113">
        <f t="shared" si="153"/>
        <v>8.9848255145477562E-2</v>
      </c>
      <c r="P93" s="113">
        <f t="shared" si="154"/>
        <v>-0.26226429637654547</v>
      </c>
      <c r="Q93" s="169">
        <f>O93</f>
        <v>8.9848255145477562E-2</v>
      </c>
      <c r="R93" s="191" t="s">
        <v>237</v>
      </c>
      <c r="S93" s="143" t="s">
        <v>238</v>
      </c>
      <c r="T93" s="142"/>
    </row>
    <row r="94" spans="1:26" ht="13.5" customHeight="1" outlineLevel="1" x14ac:dyDescent="0.25">
      <c r="D94" s="168" t="str">
        <f>HarvestedAreas_TCD_Sudan!E12</f>
        <v>Groundnuts, excluding shelled</v>
      </c>
      <c r="E94" s="171">
        <f>HarvestedAreas_TCD_Sudan!F12</f>
        <v>2222440</v>
      </c>
      <c r="F94" s="171">
        <f>HarvestedAreas_TCD_Sudan!G12</f>
        <v>3074150</v>
      </c>
      <c r="G94" s="171">
        <f>HarvestedAreas_TCD_Sudan!H12</f>
        <v>3139294</v>
      </c>
      <c r="H94" s="171">
        <f>HarvestedAreas_TCD_Sudan!I12</f>
        <v>3205855</v>
      </c>
      <c r="I94" s="171">
        <f>HarvestedAreas_TCD_Sudan!J12</f>
        <v>3941983</v>
      </c>
      <c r="J94" s="111">
        <f t="shared" si="155"/>
        <v>4549209.3443153566</v>
      </c>
      <c r="K94" s="111">
        <f t="shared" si="150"/>
        <v>5249973.3404243886</v>
      </c>
      <c r="L94" s="111">
        <f t="shared" si="151"/>
        <v>6058683.6061102068</v>
      </c>
      <c r="M94" s="111">
        <f t="shared" si="152"/>
        <v>6991968.2746391371</v>
      </c>
      <c r="N94" s="2" t="s">
        <v>167</v>
      </c>
      <c r="O94" s="113">
        <f t="shared" si="153"/>
        <v>0.15404083282839021</v>
      </c>
      <c r="P94" s="113">
        <f t="shared" si="154"/>
        <v>0.22961986739886853</v>
      </c>
      <c r="Q94" s="169">
        <f t="shared" ref="Q94:Q122" si="156">MIN(O94:P94)</f>
        <v>0.15404083282839021</v>
      </c>
      <c r="R94" s="191" t="s">
        <v>237</v>
      </c>
      <c r="S94" s="143" t="s">
        <v>238</v>
      </c>
      <c r="T94" s="142"/>
    </row>
    <row r="95" spans="1:26" ht="13.5" customHeight="1" outlineLevel="1" x14ac:dyDescent="0.25">
      <c r="D95" s="168" t="str">
        <f>HarvestedAreas_TCD_Sudan!E13</f>
        <v>Millet</v>
      </c>
      <c r="E95" s="171">
        <f>HarvestedAreas_TCD_Sudan!F13</f>
        <v>2515515</v>
      </c>
      <c r="F95" s="171">
        <f>HarvestedAreas_TCD_Sudan!G13</f>
        <v>3759754</v>
      </c>
      <c r="G95" s="171">
        <f>HarvestedAreas_TCD_Sudan!H13</f>
        <v>3020196</v>
      </c>
      <c r="H95" s="171">
        <f>HarvestedAreas_TCD_Sudan!I13</f>
        <v>2426371</v>
      </c>
      <c r="I95" s="171">
        <f>HarvestedAreas_TCD_Sudan!J13</f>
        <v>2805357</v>
      </c>
      <c r="J95" s="111">
        <f t="shared" si="155"/>
        <v>2882892.4584885524</v>
      </c>
      <c r="K95" s="111">
        <f t="shared" si="150"/>
        <v>2962570.8696647771</v>
      </c>
      <c r="L95" s="111">
        <f t="shared" si="151"/>
        <v>3044451.4612202505</v>
      </c>
      <c r="M95" s="111">
        <f t="shared" si="152"/>
        <v>3128595.0978026376</v>
      </c>
      <c r="N95" s="2" t="s">
        <v>58</v>
      </c>
      <c r="O95" s="113">
        <f t="shared" si="153"/>
        <v>2.7638357074893705E-2</v>
      </c>
      <c r="P95" s="113">
        <f t="shared" si="154"/>
        <v>0.15619458030119882</v>
      </c>
      <c r="Q95" s="169">
        <f t="shared" si="156"/>
        <v>2.7638357074893705E-2</v>
      </c>
      <c r="R95" s="191" t="s">
        <v>32</v>
      </c>
      <c r="S95" s="143"/>
      <c r="T95" s="142"/>
    </row>
    <row r="96" spans="1:26" ht="13.5" customHeight="1" outlineLevel="1" x14ac:dyDescent="0.25">
      <c r="D96" s="168" t="str">
        <f>HarvestedAreas_TCD_Sudan!E14</f>
        <v>Sugar cane</v>
      </c>
      <c r="E96" s="171">
        <f>HarvestedAreas_TCD_Sudan!F14</f>
        <v>870764</v>
      </c>
      <c r="F96" s="171">
        <f>HarvestedAreas_TCD_Sudan!G14</f>
        <v>908514</v>
      </c>
      <c r="G96" s="171">
        <f>HarvestedAreas_TCD_Sudan!H14</f>
        <v>837485</v>
      </c>
      <c r="H96" s="171">
        <f>HarvestedAreas_TCD_Sudan!I14</f>
        <v>809055</v>
      </c>
      <c r="I96" s="171">
        <f>HarvestedAreas_TCD_Sudan!J14</f>
        <v>800039</v>
      </c>
      <c r="J96" s="111">
        <f t="shared" si="155"/>
        <v>791123.47309021023</v>
      </c>
      <c r="K96" s="111">
        <f t="shared" si="150"/>
        <v>782307.29961203958</v>
      </c>
      <c r="L96" s="111">
        <f t="shared" si="151"/>
        <v>773589.37238422176</v>
      </c>
      <c r="M96" s="111">
        <f t="shared" si="152"/>
        <v>764968.59656376927</v>
      </c>
      <c r="N96" s="2" t="s">
        <v>200</v>
      </c>
      <c r="O96" s="113">
        <f t="shared" si="153"/>
        <v>-2.0954956379021117E-2</v>
      </c>
      <c r="P96" s="113">
        <f t="shared" si="154"/>
        <v>-1.1143865373800299E-2</v>
      </c>
      <c r="Q96" s="169">
        <f>P96</f>
        <v>-1.1143865373800299E-2</v>
      </c>
      <c r="R96" s="191"/>
      <c r="S96" s="143"/>
      <c r="T96" s="142"/>
    </row>
    <row r="97" spans="4:20" ht="13.5" customHeight="1" outlineLevel="1" x14ac:dyDescent="0.25">
      <c r="D97" s="168" t="str">
        <f>HarvestedAreas_TCD_Sudan!E15</f>
        <v>Melonseed</v>
      </c>
      <c r="E97" s="171">
        <f>HarvestedAreas_TCD_Sudan!F15</f>
        <v>576671</v>
      </c>
      <c r="F97" s="171">
        <f>HarvestedAreas_TCD_Sudan!G15</f>
        <v>805485</v>
      </c>
      <c r="G97" s="171">
        <f>HarvestedAreas_TCD_Sudan!H15</f>
        <v>575812</v>
      </c>
      <c r="H97" s="171">
        <f>HarvestedAreas_TCD_Sudan!I15</f>
        <v>411799</v>
      </c>
      <c r="I97" s="171">
        <f>HarvestedAreas_TCD_Sudan!J15</f>
        <v>488298</v>
      </c>
      <c r="J97" s="111">
        <f t="shared" si="155"/>
        <v>468407.83826438338</v>
      </c>
      <c r="K97" s="111">
        <f t="shared" si="150"/>
        <v>449327.87549306516</v>
      </c>
      <c r="L97" s="111">
        <f t="shared" si="151"/>
        <v>431025.1093218376</v>
      </c>
      <c r="M97" s="111">
        <f t="shared" si="152"/>
        <v>413467.88169337466</v>
      </c>
      <c r="N97" s="2" t="s">
        <v>222</v>
      </c>
      <c r="O97" s="113">
        <f t="shared" si="153"/>
        <v>-4.0733653907279233E-2</v>
      </c>
      <c r="P97" s="113">
        <f t="shared" si="154"/>
        <v>0.18576781390921293</v>
      </c>
      <c r="Q97" s="169">
        <f t="shared" si="156"/>
        <v>-4.0733653907279233E-2</v>
      </c>
      <c r="R97" s="191"/>
      <c r="S97" s="143"/>
      <c r="T97" s="142"/>
    </row>
    <row r="98" spans="4:20" ht="13.5" customHeight="1" outlineLevel="1" x14ac:dyDescent="0.25">
      <c r="D98" s="168" t="str">
        <f>HarvestedAreas_TCD_Sudan!E16</f>
        <v>Cow peas, dry</v>
      </c>
      <c r="E98" s="171">
        <f>HarvestedAreas_TCD_Sudan!F16</f>
        <v>169318</v>
      </c>
      <c r="F98" s="171">
        <f>HarvestedAreas_TCD_Sudan!G16</f>
        <v>148256</v>
      </c>
      <c r="G98" s="171">
        <f>HarvestedAreas_TCD_Sudan!H16</f>
        <v>344518</v>
      </c>
      <c r="H98" s="171">
        <f>HarvestedAreas_TCD_Sudan!I16</f>
        <v>854825</v>
      </c>
      <c r="I98" s="171">
        <f>HarvestedAreas_TCD_Sudan!J16</f>
        <v>228798</v>
      </c>
      <c r="J98" s="111">
        <f t="shared" si="155"/>
        <v>246683.15671761896</v>
      </c>
      <c r="K98" s="111">
        <f t="shared" si="150"/>
        <v>265966.39746924955</v>
      </c>
      <c r="L98" s="111">
        <f t="shared" si="151"/>
        <v>286757.01058806205</v>
      </c>
      <c r="M98" s="111">
        <f t="shared" si="152"/>
        <v>309172.82748437853</v>
      </c>
      <c r="N98" s="2" t="s">
        <v>122</v>
      </c>
      <c r="O98" s="113">
        <f t="shared" si="153"/>
        <v>7.8170074553182145E-2</v>
      </c>
      <c r="P98" s="113">
        <f t="shared" si="154"/>
        <v>-0.73234521685725151</v>
      </c>
      <c r="Q98" s="169">
        <f>O98</f>
        <v>7.8170074553182145E-2</v>
      </c>
      <c r="R98" s="191"/>
      <c r="S98" s="143"/>
      <c r="T98" s="142"/>
    </row>
    <row r="99" spans="4:20" ht="13.5" customHeight="1" outlineLevel="1" x14ac:dyDescent="0.25">
      <c r="D99" s="168" t="str">
        <f>HarvestedAreas_TCD_Sudan!E17</f>
        <v>Wheat</v>
      </c>
      <c r="E99" s="171">
        <f>HarvestedAreas_TCD_Sudan!F17</f>
        <v>199087</v>
      </c>
      <c r="F99" s="171">
        <f>HarvestedAreas_TCD_Sudan!G17</f>
        <v>311332</v>
      </c>
      <c r="G99" s="171">
        <f>HarvestedAreas_TCD_Sudan!H17</f>
        <v>327568</v>
      </c>
      <c r="H99" s="171">
        <f>HarvestedAreas_TCD_Sudan!I17</f>
        <v>343768</v>
      </c>
      <c r="I99" s="171">
        <f>HarvestedAreas_TCD_Sudan!J17</f>
        <v>283077</v>
      </c>
      <c r="J99" s="111">
        <f t="shared" si="155"/>
        <v>309114.94654676173</v>
      </c>
      <c r="K99" s="111">
        <f t="shared" si="150"/>
        <v>337547.91162336525</v>
      </c>
      <c r="L99" s="111">
        <f t="shared" si="151"/>
        <v>368596.19346830581</v>
      </c>
      <c r="M99" s="111">
        <f t="shared" si="152"/>
        <v>402500.35375991405</v>
      </c>
      <c r="N99" s="2" t="s">
        <v>84</v>
      </c>
      <c r="O99" s="113">
        <f t="shared" si="153"/>
        <v>9.1981851392948677E-2</v>
      </c>
      <c r="P99" s="113">
        <f t="shared" si="154"/>
        <v>-0.17654639175257736</v>
      </c>
      <c r="Q99" s="169">
        <f>O99</f>
        <v>9.1981851392948677E-2</v>
      </c>
      <c r="R99" s="191" t="s">
        <v>235</v>
      </c>
      <c r="S99" s="143" t="s">
        <v>239</v>
      </c>
      <c r="T99" s="142"/>
    </row>
    <row r="100" spans="4:20" ht="13.5" customHeight="1" outlineLevel="1" x14ac:dyDescent="0.25">
      <c r="D100" s="168" t="str">
        <f>HarvestedAreas_TCD_Sudan!E18</f>
        <v>Onions and shallots, dry (excluding dehydrated)</v>
      </c>
      <c r="E100" s="171">
        <f>HarvestedAreas_TCD_Sudan!F18</f>
        <v>268291</v>
      </c>
      <c r="F100" s="171">
        <f>HarvestedAreas_TCD_Sudan!G18</f>
        <v>275661</v>
      </c>
      <c r="G100" s="171">
        <f>HarvestedAreas_TCD_Sudan!H18</f>
        <v>288154</v>
      </c>
      <c r="H100" s="171">
        <f>HarvestedAreas_TCD_Sudan!I18</f>
        <v>290052</v>
      </c>
      <c r="I100" s="171">
        <f>HarvestedAreas_TCD_Sudan!J18</f>
        <v>295941</v>
      </c>
      <c r="J100" s="111">
        <f t="shared" si="155"/>
        <v>301949.56587439496</v>
      </c>
      <c r="K100" s="111">
        <f t="shared" si="150"/>
        <v>308080.12519973773</v>
      </c>
      <c r="L100" s="111">
        <f t="shared" si="151"/>
        <v>314335.15484028932</v>
      </c>
      <c r="M100" s="111">
        <f t="shared" si="152"/>
        <v>320717.18194871978</v>
      </c>
      <c r="N100" s="2" t="s">
        <v>125</v>
      </c>
      <c r="O100" s="113">
        <f t="shared" si="153"/>
        <v>2.4825110828629482E-2</v>
      </c>
      <c r="P100" s="113">
        <f t="shared" si="154"/>
        <v>2.0303255967895506E-2</v>
      </c>
      <c r="Q100" s="169">
        <f t="shared" si="156"/>
        <v>2.0303255967895506E-2</v>
      </c>
      <c r="R100" s="191"/>
      <c r="S100" s="143"/>
      <c r="T100" s="142"/>
    </row>
    <row r="101" spans="4:20" ht="13.5" customHeight="1" outlineLevel="1" x14ac:dyDescent="0.25">
      <c r="D101" s="168" t="str">
        <f>HarvestedAreas_TCD_Sudan!E19</f>
        <v>Bananas</v>
      </c>
      <c r="E101" s="171">
        <f>HarvestedAreas_TCD_Sudan!F19</f>
        <v>244511</v>
      </c>
      <c r="F101" s="171">
        <f>HarvestedAreas_TCD_Sudan!G19</f>
        <v>241301</v>
      </c>
      <c r="G101" s="171">
        <f>HarvestedAreas_TCD_Sudan!H19</f>
        <v>242439</v>
      </c>
      <c r="H101" s="171">
        <f>HarvestedAreas_TCD_Sudan!I19</f>
        <v>243583</v>
      </c>
      <c r="I101" s="171">
        <f>HarvestedAreas_TCD_Sudan!J19</f>
        <v>242571</v>
      </c>
      <c r="J101" s="111">
        <f t="shared" si="155"/>
        <v>242088.40984257817</v>
      </c>
      <c r="K101" s="111">
        <f t="shared" si="150"/>
        <v>241606.77978863136</v>
      </c>
      <c r="L101" s="111">
        <f t="shared" si="151"/>
        <v>241126.10792805289</v>
      </c>
      <c r="M101" s="111">
        <f t="shared" si="152"/>
        <v>240646.39235453622</v>
      </c>
      <c r="N101" s="2" t="s">
        <v>208</v>
      </c>
      <c r="O101" s="113">
        <f t="shared" si="153"/>
        <v>-1.9894800178992256E-3</v>
      </c>
      <c r="P101" s="113">
        <f t="shared" si="154"/>
        <v>-4.1546413337548715E-3</v>
      </c>
      <c r="Q101" s="169">
        <f>O101</f>
        <v>-1.9894800178992256E-3</v>
      </c>
      <c r="R101" s="191"/>
      <c r="S101" s="143"/>
      <c r="T101" s="142"/>
    </row>
    <row r="102" spans="4:20" ht="13.5" customHeight="1" outlineLevel="1" x14ac:dyDescent="0.25">
      <c r="D102" s="168" t="str">
        <f>HarvestedAreas_TCD_Sudan!E20</f>
        <v>Mangoes, guavas and mangosteens</v>
      </c>
      <c r="E102" s="171">
        <f>HarvestedAreas_TCD_Sudan!F20</f>
        <v>233125</v>
      </c>
      <c r="F102" s="171">
        <f>HarvestedAreas_TCD_Sudan!G20</f>
        <v>237148</v>
      </c>
      <c r="G102" s="171">
        <f>HarvestedAreas_TCD_Sudan!H20</f>
        <v>239199</v>
      </c>
      <c r="H102" s="171">
        <f>HarvestedAreas_TCD_Sudan!I20</f>
        <v>241271</v>
      </c>
      <c r="I102" s="171">
        <f>HarvestedAreas_TCD_Sudan!J20</f>
        <v>239455</v>
      </c>
      <c r="J102" s="111">
        <f t="shared" si="155"/>
        <v>241064.17566208346</v>
      </c>
      <c r="K102" s="111">
        <f t="shared" si="150"/>
        <v>242684.16524039939</v>
      </c>
      <c r="L102" s="111">
        <f t="shared" si="151"/>
        <v>244315.04140618377</v>
      </c>
      <c r="M102" s="111">
        <f t="shared" si="152"/>
        <v>245956.8773190348</v>
      </c>
      <c r="N102" s="2" t="s">
        <v>172</v>
      </c>
      <c r="O102" s="113">
        <f t="shared" si="153"/>
        <v>6.7201589529701788E-3</v>
      </c>
      <c r="P102" s="113">
        <f t="shared" si="154"/>
        <v>-7.5268059567872303E-3</v>
      </c>
      <c r="Q102" s="169">
        <f>O102</f>
        <v>6.7201589529701788E-3</v>
      </c>
      <c r="R102" s="191"/>
      <c r="S102" s="143"/>
      <c r="T102" s="142"/>
    </row>
    <row r="103" spans="4:20" ht="13.5" customHeight="1" outlineLevel="1" x14ac:dyDescent="0.25">
      <c r="D103" s="168" t="str">
        <f>HarvestedAreas_TCD_Sudan!E21</f>
        <v>Cantaloupes and other melons</v>
      </c>
      <c r="E103" s="171">
        <f>HarvestedAreas_TCD_Sudan!F21</f>
        <v>246099</v>
      </c>
      <c r="F103" s="171">
        <f>HarvestedAreas_TCD_Sudan!G21</f>
        <v>236613</v>
      </c>
      <c r="G103" s="171">
        <f>HarvestedAreas_TCD_Sudan!H21</f>
        <v>229857</v>
      </c>
      <c r="H103" s="171">
        <f>HarvestedAreas_TCD_Sudan!I21</f>
        <v>229918</v>
      </c>
      <c r="I103" s="171">
        <f>HarvestedAreas_TCD_Sudan!J21</f>
        <v>232111</v>
      </c>
      <c r="J103" s="111">
        <f t="shared" si="155"/>
        <v>234324.91723571013</v>
      </c>
      <c r="K103" s="111">
        <f t="shared" si="150"/>
        <v>236559.95121955615</v>
      </c>
      <c r="L103" s="111">
        <f t="shared" si="151"/>
        <v>238816.30336694996</v>
      </c>
      <c r="M103" s="111">
        <f t="shared" si="152"/>
        <v>241094.17701444044</v>
      </c>
      <c r="N103" s="2" t="s">
        <v>135</v>
      </c>
      <c r="O103" s="113">
        <f t="shared" si="153"/>
        <v>-1.4523055236765225E-2</v>
      </c>
      <c r="P103" s="113">
        <f t="shared" si="154"/>
        <v>9.5381831783505344E-3</v>
      </c>
      <c r="Q103" s="169">
        <f>P103</f>
        <v>9.5381831783505344E-3</v>
      </c>
      <c r="R103" s="191"/>
      <c r="S103" s="143"/>
      <c r="T103" s="142"/>
    </row>
    <row r="104" spans="4:20" ht="13.5" customHeight="1" outlineLevel="1" x14ac:dyDescent="0.25">
      <c r="D104" s="168" t="str">
        <f>HarvestedAreas_TCD_Sudan!E22</f>
        <v>Sunflower seed</v>
      </c>
      <c r="E104" s="171">
        <f>HarvestedAreas_TCD_Sudan!F22</f>
        <v>209574</v>
      </c>
      <c r="F104" s="171">
        <f>HarvestedAreas_TCD_Sudan!G22</f>
        <v>213095</v>
      </c>
      <c r="G104" s="171">
        <f>HarvestedAreas_TCD_Sudan!H22</f>
        <v>211409</v>
      </c>
      <c r="H104" s="171">
        <f>HarvestedAreas_TCD_Sudan!I22</f>
        <v>209736</v>
      </c>
      <c r="I104" s="171">
        <f>HarvestedAreas_TCD_Sudan!J22</f>
        <v>236427</v>
      </c>
      <c r="J104" s="111">
        <f t="shared" si="155"/>
        <v>243661.54227426185</v>
      </c>
      <c r="K104" s="111">
        <f t="shared" si="150"/>
        <v>251117.45775005349</v>
      </c>
      <c r="L104" s="111">
        <f t="shared" si="151"/>
        <v>258801.52033130659</v>
      </c>
      <c r="M104" s="111">
        <f t="shared" si="152"/>
        <v>266720.71119986253</v>
      </c>
      <c r="N104" s="2" t="s">
        <v>230</v>
      </c>
      <c r="O104" s="113">
        <f t="shared" si="153"/>
        <v>3.0599475839315549E-2</v>
      </c>
      <c r="P104" s="113">
        <f t="shared" si="154"/>
        <v>0.12725998397986049</v>
      </c>
      <c r="Q104" s="169">
        <f t="shared" si="156"/>
        <v>3.0599475839315549E-2</v>
      </c>
      <c r="R104" s="191"/>
      <c r="S104" s="143"/>
      <c r="T104" s="142"/>
    </row>
    <row r="105" spans="4:20" ht="13.5" customHeight="1" outlineLevel="1" x14ac:dyDescent="0.25">
      <c r="D105" s="168" t="str">
        <f>HarvestedAreas_TCD_Sudan!E23</f>
        <v>Cauliflowers and broccoli</v>
      </c>
      <c r="E105" s="171">
        <f>HarvestedAreas_TCD_Sudan!F23</f>
        <v>208844</v>
      </c>
      <c r="F105" s="171">
        <f>HarvestedAreas_TCD_Sudan!G23</f>
        <v>210420</v>
      </c>
      <c r="G105" s="171">
        <f>HarvestedAreas_TCD_Sudan!H23</f>
        <v>210022</v>
      </c>
      <c r="H105" s="171">
        <f>HarvestedAreas_TCD_Sudan!I23</f>
        <v>211129</v>
      </c>
      <c r="I105" s="171">
        <f>HarvestedAreas_TCD_Sudan!J23</f>
        <v>212236</v>
      </c>
      <c r="J105" s="111">
        <f t="shared" si="155"/>
        <v>213092.57344095202</v>
      </c>
      <c r="K105" s="111">
        <f t="shared" si="150"/>
        <v>213952.60396769413</v>
      </c>
      <c r="L105" s="111">
        <f t="shared" si="151"/>
        <v>214816.10553284452</v>
      </c>
      <c r="M105" s="111">
        <f t="shared" si="152"/>
        <v>215683.09214533339</v>
      </c>
      <c r="N105" s="2" t="s">
        <v>218</v>
      </c>
      <c r="O105" s="113">
        <f t="shared" si="153"/>
        <v>4.0359479115326113E-3</v>
      </c>
      <c r="P105" s="113">
        <f t="shared" si="154"/>
        <v>5.243239914933584E-3</v>
      </c>
      <c r="Q105" s="169">
        <f t="shared" si="156"/>
        <v>4.0359479115326113E-3</v>
      </c>
      <c r="R105" s="191"/>
      <c r="S105" s="143"/>
      <c r="T105" s="142"/>
    </row>
    <row r="106" spans="4:20" ht="13.5" customHeight="1" outlineLevel="1" x14ac:dyDescent="0.25">
      <c r="D106" s="168" t="str">
        <f>HarvestedAreas_TCD_Sudan!E24</f>
        <v>Seed cotton, unginned</v>
      </c>
      <c r="E106" s="171">
        <f>HarvestedAreas_TCD_Sudan!F24</f>
        <v>191793</v>
      </c>
      <c r="F106" s="171">
        <f>HarvestedAreas_TCD_Sudan!G24</f>
        <v>210312</v>
      </c>
      <c r="G106" s="171">
        <f>HarvestedAreas_TCD_Sudan!H24</f>
        <v>211308</v>
      </c>
      <c r="H106" s="171">
        <f>HarvestedAreas_TCD_Sudan!I24</f>
        <v>218008</v>
      </c>
      <c r="I106" s="171">
        <f>HarvestedAreas_TCD_Sudan!J24</f>
        <v>214633</v>
      </c>
      <c r="J106" s="111">
        <f t="shared" si="155"/>
        <v>220755.95706459711</v>
      </c>
      <c r="K106" s="111">
        <f t="shared" si="150"/>
        <v>227053.58719072203</v>
      </c>
      <c r="L106" s="111">
        <f t="shared" si="151"/>
        <v>233530.87337565888</v>
      </c>
      <c r="M106" s="111">
        <f t="shared" si="152"/>
        <v>240192.94076947542</v>
      </c>
      <c r="N106" s="2" t="s">
        <v>196</v>
      </c>
      <c r="O106" s="113">
        <f t="shared" si="153"/>
        <v>2.8527565959554746E-2</v>
      </c>
      <c r="P106" s="113">
        <f t="shared" si="154"/>
        <v>-1.5481083262999573E-2</v>
      </c>
      <c r="Q106" s="169">
        <f>O106</f>
        <v>2.8527565959554746E-2</v>
      </c>
      <c r="R106" s="191"/>
      <c r="S106" s="143"/>
      <c r="T106" s="142"/>
    </row>
    <row r="107" spans="4:20" ht="13.5" customHeight="1" outlineLevel="1" x14ac:dyDescent="0.25">
      <c r="D107" s="168" t="str">
        <f>HarvestedAreas_TCD_Sudan!E25</f>
        <v>Cucumbers and gherkins</v>
      </c>
      <c r="E107" s="171">
        <f>HarvestedAreas_TCD_Sudan!F25</f>
        <v>203784</v>
      </c>
      <c r="F107" s="171">
        <f>HarvestedAreas_TCD_Sudan!G25</f>
        <v>170500</v>
      </c>
      <c r="G107" s="171">
        <f>HarvestedAreas_TCD_Sudan!H25</f>
        <v>172926</v>
      </c>
      <c r="H107" s="171">
        <f>HarvestedAreas_TCD_Sudan!I25</f>
        <v>174698</v>
      </c>
      <c r="I107" s="171">
        <f>HarvestedAreas_TCD_Sudan!J25</f>
        <v>178401</v>
      </c>
      <c r="J107" s="111">
        <f t="shared" si="155"/>
        <v>182182.49093292424</v>
      </c>
      <c r="K107" s="111">
        <f t="shared" si="150"/>
        <v>186044.13653805206</v>
      </c>
      <c r="L107" s="111">
        <f t="shared" si="151"/>
        <v>189987.63582024424</v>
      </c>
      <c r="M107" s="111">
        <f t="shared" si="152"/>
        <v>194014.72379745269</v>
      </c>
      <c r="N107" s="2" t="s">
        <v>137</v>
      </c>
      <c r="O107" s="113">
        <f t="shared" si="153"/>
        <v>-3.2709771779504848E-2</v>
      </c>
      <c r="P107" s="113">
        <f t="shared" si="154"/>
        <v>2.1196579239602054E-2</v>
      </c>
      <c r="Q107" s="169">
        <f>P107</f>
        <v>2.1196579239602054E-2</v>
      </c>
      <c r="R107" s="191"/>
      <c r="S107" s="143"/>
      <c r="T107" s="142"/>
    </row>
    <row r="108" spans="4:20" ht="13.5" customHeight="1" outlineLevel="1" x14ac:dyDescent="0.25">
      <c r="D108" s="168" t="str">
        <f>HarvestedAreas_TCD_Sudan!E26</f>
        <v>Tomatoes</v>
      </c>
      <c r="E108" s="171">
        <f>HarvestedAreas_TCD_Sudan!F26</f>
        <v>177813</v>
      </c>
      <c r="F108" s="171">
        <f>HarvestedAreas_TCD_Sudan!G26</f>
        <v>177684</v>
      </c>
      <c r="G108" s="171">
        <f>HarvestedAreas_TCD_Sudan!H26</f>
        <v>180670</v>
      </c>
      <c r="H108" s="171">
        <f>HarvestedAreas_TCD_Sudan!I26</f>
        <v>181463</v>
      </c>
      <c r="I108" s="171">
        <f>HarvestedAreas_TCD_Sudan!J26</f>
        <v>181853</v>
      </c>
      <c r="J108" s="111">
        <f t="shared" si="155"/>
        <v>182243.83818739906</v>
      </c>
      <c r="K108" s="111">
        <f t="shared" si="150"/>
        <v>182635.51636362827</v>
      </c>
      <c r="L108" s="111">
        <f t="shared" si="151"/>
        <v>183028.03633399034</v>
      </c>
      <c r="M108" s="111">
        <f t="shared" si="152"/>
        <v>183421.39990766792</v>
      </c>
      <c r="N108" s="2" t="s">
        <v>127</v>
      </c>
      <c r="O108" s="113">
        <f t="shared" si="153"/>
        <v>5.632360468935893E-3</v>
      </c>
      <c r="P108" s="113">
        <f t="shared" si="154"/>
        <v>2.1491984591899271E-3</v>
      </c>
      <c r="Q108" s="169">
        <f t="shared" si="156"/>
        <v>2.1491984591899271E-3</v>
      </c>
      <c r="R108" s="191"/>
      <c r="S108" s="143"/>
      <c r="T108" s="142"/>
    </row>
    <row r="109" spans="4:20" ht="13.5" customHeight="1" outlineLevel="1" x14ac:dyDescent="0.25">
      <c r="D109" s="168" t="str">
        <f>HarvestedAreas_TCD_Sudan!E27</f>
        <v>Potatoes</v>
      </c>
      <c r="E109" s="171">
        <f>HarvestedAreas_TCD_Sudan!F27</f>
        <v>163996</v>
      </c>
      <c r="F109" s="171">
        <f>HarvestedAreas_TCD_Sudan!G27</f>
        <v>165577</v>
      </c>
      <c r="G109" s="171">
        <f>HarvestedAreas_TCD_Sudan!H27</f>
        <v>167570</v>
      </c>
      <c r="H109" s="171">
        <f>HarvestedAreas_TCD_Sudan!I27</f>
        <v>169682</v>
      </c>
      <c r="I109" s="171">
        <f>HarvestedAreas_TCD_Sudan!J27</f>
        <v>169682</v>
      </c>
      <c r="J109" s="111">
        <f t="shared" si="155"/>
        <v>169682</v>
      </c>
      <c r="K109" s="111">
        <f t="shared" si="150"/>
        <v>169682</v>
      </c>
      <c r="L109" s="111">
        <f t="shared" si="151"/>
        <v>169682</v>
      </c>
      <c r="M109" s="111">
        <f t="shared" si="152"/>
        <v>169682</v>
      </c>
      <c r="N109" s="2" t="s">
        <v>130</v>
      </c>
      <c r="O109" s="113">
        <f t="shared" si="153"/>
        <v>8.5574221324014044E-3</v>
      </c>
      <c r="P109" s="113">
        <f t="shared" si="154"/>
        <v>0</v>
      </c>
      <c r="Q109" s="169">
        <f t="shared" si="156"/>
        <v>0</v>
      </c>
      <c r="R109" s="191" t="s">
        <v>237</v>
      </c>
      <c r="S109" s="143" t="s">
        <v>238</v>
      </c>
      <c r="T109" s="142"/>
    </row>
    <row r="110" spans="4:20" ht="13.5" customHeight="1" outlineLevel="1" x14ac:dyDescent="0.25">
      <c r="D110" s="168" t="str">
        <f>HarvestedAreas_TCD_Sudan!E28</f>
        <v>Pumpkins, squash and gourds</v>
      </c>
      <c r="E110" s="171">
        <f>HarvestedAreas_TCD_Sudan!F28</f>
        <v>162265</v>
      </c>
      <c r="F110" s="171">
        <f>HarvestedAreas_TCD_Sudan!G28</f>
        <v>161183</v>
      </c>
      <c r="G110" s="171">
        <f>HarvestedAreas_TCD_Sudan!H28</f>
        <v>161871</v>
      </c>
      <c r="H110" s="171">
        <f>HarvestedAreas_TCD_Sudan!I28</f>
        <v>161771</v>
      </c>
      <c r="I110" s="171">
        <f>HarvestedAreas_TCD_Sudan!J28</f>
        <v>161605</v>
      </c>
      <c r="J110" s="111">
        <f t="shared" si="155"/>
        <v>161439.17033955405</v>
      </c>
      <c r="K110" s="111">
        <f t="shared" si="150"/>
        <v>161273.51084386962</v>
      </c>
      <c r="L110" s="111">
        <f t="shared" si="151"/>
        <v>161108.02133833352</v>
      </c>
      <c r="M110" s="111">
        <f t="shared" si="152"/>
        <v>160942.70164851172</v>
      </c>
      <c r="N110" s="2" t="s">
        <v>193</v>
      </c>
      <c r="O110" s="113">
        <f t="shared" si="153"/>
        <v>-1.0184098262403518E-3</v>
      </c>
      <c r="P110" s="113">
        <f t="shared" si="154"/>
        <v>-1.0261418919336185E-3</v>
      </c>
      <c r="Q110" s="169">
        <f t="shared" si="156"/>
        <v>-1.0261418919336185E-3</v>
      </c>
      <c r="R110" s="191"/>
      <c r="S110" s="143"/>
      <c r="T110" s="142"/>
    </row>
    <row r="111" spans="4:20" ht="13.5" customHeight="1" outlineLevel="1" x14ac:dyDescent="0.25">
      <c r="D111" s="168" t="str">
        <f>HarvestedAreas_TCD_Sudan!E29</f>
        <v>Dates</v>
      </c>
      <c r="E111" s="171">
        <f>HarvestedAreas_TCD_Sudan!F29</f>
        <v>156459</v>
      </c>
      <c r="F111" s="171">
        <f>HarvestedAreas_TCD_Sudan!G29</f>
        <v>148784</v>
      </c>
      <c r="G111" s="171">
        <f>HarvestedAreas_TCD_Sudan!H29</f>
        <v>155568</v>
      </c>
      <c r="H111" s="171">
        <f>HarvestedAreas_TCD_Sudan!I29</f>
        <v>162763</v>
      </c>
      <c r="I111" s="171">
        <f>HarvestedAreas_TCD_Sudan!J29</f>
        <v>160768</v>
      </c>
      <c r="J111" s="111">
        <f t="shared" si="155"/>
        <v>161863.6665238406</v>
      </c>
      <c r="K111" s="111">
        <f t="shared" si="150"/>
        <v>162966.80023724295</v>
      </c>
      <c r="L111" s="111">
        <f t="shared" si="151"/>
        <v>164077.45203061827</v>
      </c>
      <c r="M111" s="111">
        <f t="shared" si="152"/>
        <v>165195.67314120627</v>
      </c>
      <c r="N111" s="2" t="s">
        <v>162</v>
      </c>
      <c r="O111" s="113">
        <f t="shared" si="153"/>
        <v>6.8152028005610266E-3</v>
      </c>
      <c r="P111" s="113">
        <f t="shared" si="154"/>
        <v>-1.2257085455539607E-2</v>
      </c>
      <c r="Q111" s="169">
        <f>O111</f>
        <v>6.8152028005610266E-3</v>
      </c>
      <c r="R111" s="191"/>
      <c r="S111" s="143"/>
      <c r="T111" s="142"/>
    </row>
    <row r="112" spans="4:20" ht="13.5" customHeight="1" outlineLevel="1" x14ac:dyDescent="0.25">
      <c r="D112" s="168" t="str">
        <f>HarvestedAreas_TCD_Sudan!E30</f>
        <v>Pomelos and grapefruits</v>
      </c>
      <c r="E112" s="171">
        <f>HarvestedAreas_TCD_Sudan!F30</f>
        <v>124091</v>
      </c>
      <c r="F112" s="171">
        <f>HarvestedAreas_TCD_Sudan!G30</f>
        <v>130216</v>
      </c>
      <c r="G112" s="171">
        <f>HarvestedAreas_TCD_Sudan!H30</f>
        <v>136709</v>
      </c>
      <c r="H112" s="171">
        <f>HarvestedAreas_TCD_Sudan!I30</f>
        <v>143592</v>
      </c>
      <c r="I112" s="171">
        <f>HarvestedAreas_TCD_Sudan!J30</f>
        <v>143435</v>
      </c>
      <c r="J112" s="111">
        <f t="shared" si="155"/>
        <v>148724.95667746753</v>
      </c>
      <c r="K112" s="111">
        <f t="shared" si="150"/>
        <v>154210.00968183912</v>
      </c>
      <c r="L112" s="111">
        <f t="shared" si="151"/>
        <v>159897.35426613706</v>
      </c>
      <c r="M112" s="111">
        <f t="shared" si="152"/>
        <v>165794.45104802115</v>
      </c>
      <c r="N112" s="2" t="s">
        <v>228</v>
      </c>
      <c r="O112" s="113">
        <f t="shared" si="153"/>
        <v>3.6880515058859586E-2</v>
      </c>
      <c r="P112" s="113">
        <f t="shared" si="154"/>
        <v>-1.0933756755251434E-3</v>
      </c>
      <c r="Q112" s="169">
        <f>O112</f>
        <v>3.6880515058859586E-2</v>
      </c>
      <c r="R112" s="191"/>
      <c r="S112" s="143"/>
      <c r="T112" s="142"/>
    </row>
    <row r="113" spans="2:20" ht="13.5" customHeight="1" outlineLevel="1" x14ac:dyDescent="0.25">
      <c r="D113" s="168" t="str">
        <f>HarvestedAreas_TCD_Sudan!E31</f>
        <v>Okra</v>
      </c>
      <c r="E113" s="171">
        <f>HarvestedAreas_TCD_Sudan!F31</f>
        <v>134675</v>
      </c>
      <c r="F113" s="171">
        <f>HarvestedAreas_TCD_Sudan!G31</f>
        <v>134117</v>
      </c>
      <c r="G113" s="171">
        <f>HarvestedAreas_TCD_Sudan!H31</f>
        <v>134734</v>
      </c>
      <c r="H113" s="171">
        <f>HarvestedAreas_TCD_Sudan!I31</f>
        <v>135822</v>
      </c>
      <c r="I113" s="171">
        <f>HarvestedAreas_TCD_Sudan!J31</f>
        <v>135811</v>
      </c>
      <c r="J113" s="111">
        <f t="shared" si="155"/>
        <v>135800.00089087186</v>
      </c>
      <c r="K113" s="111">
        <f t="shared" si="150"/>
        <v>135789.00267254346</v>
      </c>
      <c r="L113" s="111">
        <f t="shared" si="151"/>
        <v>135778.00534494265</v>
      </c>
      <c r="M113" s="111">
        <f t="shared" si="152"/>
        <v>135767.00890799728</v>
      </c>
      <c r="N113" s="2" t="s">
        <v>124</v>
      </c>
      <c r="O113" s="113">
        <f t="shared" si="153"/>
        <v>2.1021425977434394E-3</v>
      </c>
      <c r="P113" s="113">
        <f t="shared" si="154"/>
        <v>-8.0988352402444619E-5</v>
      </c>
      <c r="Q113" s="169">
        <f t="shared" si="156"/>
        <v>-8.0988352402444619E-5</v>
      </c>
      <c r="R113" s="191"/>
      <c r="S113" s="143"/>
      <c r="T113" s="142"/>
    </row>
    <row r="114" spans="2:20" ht="13.5" customHeight="1" outlineLevel="1" x14ac:dyDescent="0.25">
      <c r="D114" s="168" t="str">
        <f>HarvestedAreas_TCD_Sudan!E32</f>
        <v>Lemons and limes</v>
      </c>
      <c r="E114" s="171">
        <f>HarvestedAreas_TCD_Sudan!F32</f>
        <v>119781</v>
      </c>
      <c r="F114" s="171">
        <f>HarvestedAreas_TCD_Sudan!G32</f>
        <v>128559</v>
      </c>
      <c r="G114" s="171">
        <f>HarvestedAreas_TCD_Sudan!H32</f>
        <v>133387</v>
      </c>
      <c r="H114" s="171">
        <f>HarvestedAreas_TCD_Sudan!I32</f>
        <v>138457</v>
      </c>
      <c r="I114" s="171">
        <f>HarvestedAreas_TCD_Sudan!J32</f>
        <v>142460</v>
      </c>
      <c r="J114" s="111">
        <f t="shared" si="155"/>
        <v>146578.73274735117</v>
      </c>
      <c r="K114" s="111">
        <f t="shared" si="150"/>
        <v>150816.54424975009</v>
      </c>
      <c r="L114" s="111">
        <f t="shared" si="151"/>
        <v>155176.87725300563</v>
      </c>
      <c r="M114" s="111">
        <f t="shared" si="152"/>
        <v>159663.27403788312</v>
      </c>
      <c r="N114" s="2" t="s">
        <v>220</v>
      </c>
      <c r="O114" s="113">
        <f t="shared" si="153"/>
        <v>4.430234056508886E-2</v>
      </c>
      <c r="P114" s="113">
        <f t="shared" si="154"/>
        <v>2.8911503210383049E-2</v>
      </c>
      <c r="Q114" s="169">
        <f t="shared" si="156"/>
        <v>2.8911503210383049E-2</v>
      </c>
      <c r="R114" s="191"/>
      <c r="S114" s="143"/>
      <c r="T114" s="142"/>
    </row>
    <row r="115" spans="2:20" ht="13.5" customHeight="1" outlineLevel="1" x14ac:dyDescent="0.25">
      <c r="D115" s="168" t="str">
        <f>HarvestedAreas_TCD_Sudan!E33</f>
        <v>Green garlic</v>
      </c>
      <c r="E115" s="171">
        <f>HarvestedAreas_TCD_Sudan!F33</f>
        <v>107362</v>
      </c>
      <c r="F115" s="171">
        <f>HarvestedAreas_TCD_Sudan!G33</f>
        <v>119441</v>
      </c>
      <c r="G115" s="171">
        <f>HarvestedAreas_TCD_Sudan!H33</f>
        <v>136766</v>
      </c>
      <c r="H115" s="171">
        <f>HarvestedAreas_TCD_Sudan!I33</f>
        <v>133133</v>
      </c>
      <c r="I115" s="171">
        <f>HarvestedAreas_TCD_Sudan!J33</f>
        <v>143703</v>
      </c>
      <c r="J115" s="111">
        <f t="shared" si="155"/>
        <v>154568.02050617707</v>
      </c>
      <c r="K115" s="111">
        <f t="shared" si="150"/>
        <v>166254.51774283053</v>
      </c>
      <c r="L115" s="111">
        <f t="shared" si="151"/>
        <v>178824.60148861478</v>
      </c>
      <c r="M115" s="111">
        <f t="shared" si="152"/>
        <v>192345.07748551632</v>
      </c>
      <c r="N115" s="2" t="s">
        <v>165</v>
      </c>
      <c r="O115" s="113">
        <f t="shared" si="153"/>
        <v>7.5607471703284412E-2</v>
      </c>
      <c r="P115" s="113">
        <f t="shared" si="154"/>
        <v>7.939428992060571E-2</v>
      </c>
      <c r="Q115" s="169">
        <f t="shared" si="156"/>
        <v>7.5607471703284412E-2</v>
      </c>
      <c r="R115" s="191"/>
      <c r="S115" s="143"/>
      <c r="T115" s="142"/>
    </row>
    <row r="116" spans="2:20" ht="13.5" customHeight="1" outlineLevel="1" x14ac:dyDescent="0.25">
      <c r="D116" s="168" t="str">
        <f>HarvestedAreas_TCD_Sudan!E34</f>
        <v>Sweet potatoes</v>
      </c>
      <c r="E116" s="171">
        <f>HarvestedAreas_TCD_Sudan!F34</f>
        <v>123936</v>
      </c>
      <c r="F116" s="171">
        <f>HarvestedAreas_TCD_Sudan!G34</f>
        <v>125091</v>
      </c>
      <c r="G116" s="171">
        <f>HarvestedAreas_TCD_Sudan!H34</f>
        <v>126058</v>
      </c>
      <c r="H116" s="171">
        <f>HarvestedAreas_TCD_Sudan!I34</f>
        <v>127063</v>
      </c>
      <c r="I116" s="171">
        <f>HarvestedAreas_TCD_Sudan!J34</f>
        <v>127350</v>
      </c>
      <c r="J116" s="111">
        <f t="shared" si="155"/>
        <v>127637.64825322872</v>
      </c>
      <c r="K116" s="111">
        <f t="shared" si="150"/>
        <v>127925.94622391002</v>
      </c>
      <c r="L116" s="111">
        <f t="shared" si="151"/>
        <v>128214.89537957504</v>
      </c>
      <c r="M116" s="111">
        <f t="shared" si="152"/>
        <v>128504.49719106965</v>
      </c>
      <c r="N116" s="2" t="s">
        <v>131</v>
      </c>
      <c r="O116" s="113">
        <f t="shared" si="153"/>
        <v>6.8166025148077569E-3</v>
      </c>
      <c r="P116" s="113">
        <f t="shared" si="154"/>
        <v>2.2587220512659822E-3</v>
      </c>
      <c r="Q116" s="169">
        <f t="shared" si="156"/>
        <v>2.2587220512659822E-3</v>
      </c>
      <c r="R116" s="191"/>
      <c r="S116" s="143"/>
      <c r="T116" s="142"/>
    </row>
    <row r="117" spans="2:20" ht="13.5" customHeight="1" outlineLevel="1" x14ac:dyDescent="0.25">
      <c r="D117" s="168" t="str">
        <f>HarvestedAreas_TCD_Sudan!E35</f>
        <v>Other pulses n.e.c.</v>
      </c>
      <c r="E117" s="171">
        <f>HarvestedAreas_TCD_Sudan!F35</f>
        <v>112440</v>
      </c>
      <c r="F117" s="171">
        <f>HarvestedAreas_TCD_Sudan!G35</f>
        <v>115969</v>
      </c>
      <c r="G117" s="171">
        <f>HarvestedAreas_TCD_Sudan!H35</f>
        <v>112856</v>
      </c>
      <c r="H117" s="171">
        <f>HarvestedAreas_TCD_Sudan!I35</f>
        <v>113858</v>
      </c>
      <c r="I117" s="171">
        <f>HarvestedAreas_TCD_Sudan!J35</f>
        <v>114319</v>
      </c>
      <c r="J117" s="111">
        <f t="shared" si="155"/>
        <v>114781.86654429202</v>
      </c>
      <c r="K117" s="111">
        <f t="shared" si="150"/>
        <v>115246.60719033287</v>
      </c>
      <c r="L117" s="111">
        <f t="shared" si="151"/>
        <v>115713.22952617878</v>
      </c>
      <c r="M117" s="111">
        <f t="shared" si="152"/>
        <v>116181.7411706093</v>
      </c>
      <c r="N117" s="2" t="s">
        <v>187</v>
      </c>
      <c r="O117" s="113">
        <f t="shared" si="153"/>
        <v>4.1518552107708828E-3</v>
      </c>
      <c r="P117" s="113">
        <f t="shared" si="154"/>
        <v>4.0489030195507425E-3</v>
      </c>
      <c r="Q117" s="169">
        <f t="shared" si="156"/>
        <v>4.0489030195507425E-3</v>
      </c>
      <c r="R117" s="191" t="s">
        <v>236</v>
      </c>
      <c r="S117" s="143"/>
      <c r="T117" s="142"/>
    </row>
    <row r="118" spans="2:20" ht="13.5" customHeight="1" outlineLevel="1" x14ac:dyDescent="0.25">
      <c r="D118" s="168" t="str">
        <f>HarvestedAreas_TCD_Sudan!E36</f>
        <v>Other vegetables, fresh n.e.c.</v>
      </c>
      <c r="E118" s="171">
        <f>HarvestedAreas_TCD_Sudan!F36</f>
        <v>111976</v>
      </c>
      <c r="F118" s="171">
        <f>HarvestedAreas_TCD_Sudan!G36</f>
        <v>111976</v>
      </c>
      <c r="G118" s="171">
        <f>HarvestedAreas_TCD_Sudan!H36</f>
        <v>111647</v>
      </c>
      <c r="H118" s="171">
        <f>HarvestedAreas_TCD_Sudan!I36</f>
        <v>111865</v>
      </c>
      <c r="I118" s="171">
        <f>HarvestedAreas_TCD_Sudan!J36</f>
        <v>111827</v>
      </c>
      <c r="J118" s="111">
        <f t="shared" si="155"/>
        <v>111789.01290841639</v>
      </c>
      <c r="K118" s="111">
        <f t="shared" si="150"/>
        <v>111751.03872086425</v>
      </c>
      <c r="L118" s="111">
        <f t="shared" si="151"/>
        <v>111713.07743296014</v>
      </c>
      <c r="M118" s="111">
        <f t="shared" si="152"/>
        <v>111675.12904032211</v>
      </c>
      <c r="N118" s="2" t="s">
        <v>128</v>
      </c>
      <c r="O118" s="113">
        <f t="shared" si="153"/>
        <v>-3.3282669366885287E-4</v>
      </c>
      <c r="P118" s="113">
        <f t="shared" si="154"/>
        <v>-3.3969516828324942E-4</v>
      </c>
      <c r="Q118" s="169">
        <f t="shared" si="156"/>
        <v>-3.3969516828324942E-4</v>
      </c>
      <c r="R118" s="191"/>
      <c r="S118" s="143"/>
      <c r="T118" s="142"/>
    </row>
    <row r="119" spans="2:20" ht="13.5" customHeight="1" outlineLevel="1" x14ac:dyDescent="0.25">
      <c r="D119" s="168" t="str">
        <f>HarvestedAreas_TCD_Sudan!E37</f>
        <v>Other fruits, n.e.c.</v>
      </c>
      <c r="E119" s="171">
        <f>HarvestedAreas_TCD_Sudan!F37</f>
        <v>112025</v>
      </c>
      <c r="F119" s="171">
        <f>HarvestedAreas_TCD_Sudan!G37</f>
        <v>111997</v>
      </c>
      <c r="G119" s="171">
        <f>HarvestedAreas_TCD_Sudan!H37</f>
        <v>111156</v>
      </c>
      <c r="H119" s="171">
        <f>HarvestedAreas_TCD_Sudan!I37</f>
        <v>111589</v>
      </c>
      <c r="I119" s="171">
        <f>HarvestedAreas_TCD_Sudan!J37</f>
        <v>111578</v>
      </c>
      <c r="J119" s="111">
        <f t="shared" si="155"/>
        <v>111466.52896767913</v>
      </c>
      <c r="K119" s="111">
        <f t="shared" si="150"/>
        <v>111355.16929952544</v>
      </c>
      <c r="L119" s="111">
        <f t="shared" si="151"/>
        <v>111243.92088428154</v>
      </c>
      <c r="M119" s="111">
        <f t="shared" si="152"/>
        <v>111132.78361080117</v>
      </c>
      <c r="N119" s="2" t="s">
        <v>183</v>
      </c>
      <c r="O119" s="113">
        <f t="shared" si="153"/>
        <v>-9.990413192643155E-4</v>
      </c>
      <c r="P119" s="113">
        <f t="shared" si="154"/>
        <v>-9.8576024518570726E-5</v>
      </c>
      <c r="Q119" s="169">
        <f t="shared" si="156"/>
        <v>-9.990413192643155E-4</v>
      </c>
      <c r="R119" s="191"/>
      <c r="S119" s="143"/>
      <c r="T119" s="142"/>
    </row>
    <row r="120" spans="2:20" ht="13.5" customHeight="1" outlineLevel="1" x14ac:dyDescent="0.25">
      <c r="D120" s="168" t="str">
        <f>HarvestedAreas_TCD_Sudan!E38</f>
        <v>Broad beans and horse beans, dry</v>
      </c>
      <c r="E120" s="171">
        <f>HarvestedAreas_TCD_Sudan!F38</f>
        <v>78423</v>
      </c>
      <c r="F120" s="171">
        <f>HarvestedAreas_TCD_Sudan!G38</f>
        <v>80870</v>
      </c>
      <c r="G120" s="171">
        <f>HarvestedAreas_TCD_Sudan!H38</f>
        <v>82490</v>
      </c>
      <c r="H120" s="171">
        <f>HarvestedAreas_TCD_Sudan!I38</f>
        <v>84190</v>
      </c>
      <c r="I120" s="171">
        <f>HarvestedAreas_TCD_Sudan!J38</f>
        <v>85892</v>
      </c>
      <c r="J120" s="111">
        <f t="shared" si="155"/>
        <v>87628.407934434013</v>
      </c>
      <c r="K120" s="111">
        <f t="shared" si="150"/>
        <v>89399.919400218627</v>
      </c>
      <c r="L120" s="111">
        <f t="shared" si="151"/>
        <v>91207.244056581287</v>
      </c>
      <c r="M120" s="111">
        <f t="shared" si="152"/>
        <v>93051.105909346472</v>
      </c>
      <c r="N120" s="2" t="s">
        <v>214</v>
      </c>
      <c r="O120" s="113">
        <f t="shared" si="153"/>
        <v>2.3003962482424978E-2</v>
      </c>
      <c r="P120" s="113">
        <f t="shared" si="154"/>
        <v>2.0216177693312742E-2</v>
      </c>
      <c r="Q120" s="169">
        <f t="shared" si="156"/>
        <v>2.0216177693312742E-2</v>
      </c>
      <c r="R120" s="191" t="s">
        <v>236</v>
      </c>
      <c r="S120" s="143"/>
      <c r="T120" s="142"/>
    </row>
    <row r="121" spans="2:20" ht="13.5" customHeight="1" outlineLevel="1" x14ac:dyDescent="0.25">
      <c r="D121" s="168" t="str">
        <f>HarvestedAreas_TCD_Sudan!E39</f>
        <v>Chick peas, dry</v>
      </c>
      <c r="E121" s="171">
        <f>HarvestedAreas_TCD_Sudan!F39</f>
        <v>54809</v>
      </c>
      <c r="F121" s="171">
        <f>HarvestedAreas_TCD_Sudan!G39</f>
        <v>56241</v>
      </c>
      <c r="G121" s="171">
        <f>HarvestedAreas_TCD_Sudan!H39</f>
        <v>58606</v>
      </c>
      <c r="H121" s="171">
        <f>HarvestedAreas_TCD_Sudan!I39</f>
        <v>61326</v>
      </c>
      <c r="I121" s="171">
        <f>HarvestedAreas_TCD_Sudan!J39</f>
        <v>65697</v>
      </c>
      <c r="J121" s="111">
        <f t="shared" si="155"/>
        <v>68741.491880500296</v>
      </c>
      <c r="K121" s="111">
        <f t="shared" si="150"/>
        <v>71927.069819883531</v>
      </c>
      <c r="L121" s="111">
        <f t="shared" si="151"/>
        <v>75260.271945624641</v>
      </c>
      <c r="M121" s="111">
        <f t="shared" si="152"/>
        <v>78747.939371271161</v>
      </c>
      <c r="N121" s="2" t="s">
        <v>155</v>
      </c>
      <c r="O121" s="113">
        <f t="shared" si="153"/>
        <v>4.6341414075228737E-2</v>
      </c>
      <c r="P121" s="113">
        <f t="shared" si="154"/>
        <v>7.1274826337931696E-2</v>
      </c>
      <c r="Q121" s="169">
        <f t="shared" si="156"/>
        <v>4.6341414075228737E-2</v>
      </c>
      <c r="R121" s="191" t="s">
        <v>236</v>
      </c>
      <c r="S121" s="143"/>
      <c r="T121" s="142"/>
    </row>
    <row r="122" spans="2:20" ht="13.5" customHeight="1" outlineLevel="1" x14ac:dyDescent="0.25">
      <c r="D122" s="168" t="str">
        <f>HarvestedAreas_TCD_Sudan!E40</f>
        <v>Beans, dry</v>
      </c>
      <c r="E122" s="171">
        <f>HarvestedAreas_TCD_Sudan!F40</f>
        <v>38545</v>
      </c>
      <c r="F122" s="171">
        <f>HarvestedAreas_TCD_Sudan!G40</f>
        <v>40384</v>
      </c>
      <c r="G122" s="171">
        <f>HarvestedAreas_TCD_Sudan!H40</f>
        <v>40590</v>
      </c>
      <c r="H122" s="171">
        <f>HarvestedAreas_TCD_Sudan!I40</f>
        <v>40095</v>
      </c>
      <c r="I122" s="171">
        <f>HarvestedAreas_TCD_Sudan!J40</f>
        <v>40448</v>
      </c>
      <c r="J122" s="111">
        <f t="shared" si="155"/>
        <v>40804.107843870806</v>
      </c>
      <c r="K122" s="111">
        <f t="shared" si="150"/>
        <v>41163.350893350449</v>
      </c>
      <c r="L122" s="111">
        <f t="shared" si="151"/>
        <v>41525.756751072178</v>
      </c>
      <c r="M122" s="111">
        <f t="shared" si="152"/>
        <v>41891.353262685305</v>
      </c>
      <c r="N122" s="2" t="s">
        <v>148</v>
      </c>
      <c r="O122" s="113">
        <f t="shared" si="153"/>
        <v>1.2120568045044688E-2</v>
      </c>
      <c r="P122" s="113">
        <f t="shared" si="154"/>
        <v>8.8040902855717196E-3</v>
      </c>
      <c r="Q122" s="169">
        <f t="shared" si="156"/>
        <v>8.8040902855717196E-3</v>
      </c>
      <c r="R122" s="191" t="s">
        <v>236</v>
      </c>
      <c r="S122" s="143"/>
      <c r="T122" s="142"/>
    </row>
    <row r="123" spans="2:20" ht="13.5" customHeight="1" outlineLevel="1" thickBot="1" x14ac:dyDescent="0.3">
      <c r="D123" s="83" t="s">
        <v>33</v>
      </c>
      <c r="E123" s="172">
        <f>SUM(E92:E122)</f>
        <v>19328472</v>
      </c>
      <c r="F123" s="172">
        <f t="shared" ref="F123:M123" si="157">SUM(F92:F122)</f>
        <v>24147043</v>
      </c>
      <c r="G123" s="172">
        <f t="shared" si="157"/>
        <v>22980356</v>
      </c>
      <c r="H123" s="172">
        <f t="shared" si="157"/>
        <v>22722008</v>
      </c>
      <c r="I123" s="172">
        <f t="shared" si="157"/>
        <v>23039722</v>
      </c>
      <c r="J123" s="112">
        <f t="shared" si="157"/>
        <v>24252497.017462321</v>
      </c>
      <c r="K123" s="112">
        <f t="shared" si="157"/>
        <v>25600357.950091738</v>
      </c>
      <c r="L123" s="112">
        <f t="shared" si="157"/>
        <v>27100966.124706887</v>
      </c>
      <c r="M123" s="112">
        <f t="shared" si="157"/>
        <v>28774489.399698216</v>
      </c>
      <c r="O123" s="114">
        <f t="shared" si="153"/>
        <v>4.4888448581222873E-2</v>
      </c>
      <c r="P123" s="114">
        <f t="shared" si="154"/>
        <v>1.398265505407803E-2</v>
      </c>
      <c r="Q123" s="128">
        <f>IFERROR(_xlfn.RRI($M$91-$I$91,I123,M123),0)</f>
        <v>5.7140223662723866E-2</v>
      </c>
    </row>
    <row r="124" spans="2:20" ht="13.5" customHeight="1" thickTop="1" x14ac:dyDescent="0.25">
      <c r="J124" s="181">
        <f>J95/J123</f>
        <v>0.11886992322534078</v>
      </c>
      <c r="Q124" s="170"/>
    </row>
    <row r="125" spans="2:20" ht="13.5" customHeight="1" x14ac:dyDescent="0.35">
      <c r="B125" s="29">
        <v>3</v>
      </c>
      <c r="C125" s="29" t="s">
        <v>34</v>
      </c>
      <c r="D125" s="28" t="s">
        <v>35</v>
      </c>
    </row>
    <row r="127" spans="2:20" ht="13.5" customHeight="1" x14ac:dyDescent="0.3">
      <c r="D127" s="32" t="s">
        <v>22</v>
      </c>
      <c r="R127" s="84"/>
    </row>
    <row r="128" spans="2:20" ht="13.5" customHeight="1" x14ac:dyDescent="0.3">
      <c r="D128" s="33" t="s">
        <v>36</v>
      </c>
      <c r="O128" s="39" t="s">
        <v>24</v>
      </c>
    </row>
    <row r="129" spans="4:20" ht="13.5" customHeight="1" outlineLevel="1" x14ac:dyDescent="0.25">
      <c r="E129" s="137" t="s">
        <v>25</v>
      </c>
      <c r="F129" s="138"/>
      <c r="G129" s="138"/>
      <c r="H129" s="139"/>
      <c r="I129" s="138"/>
      <c r="J129" s="137" t="s">
        <v>37</v>
      </c>
      <c r="K129" s="138"/>
      <c r="L129" s="138"/>
      <c r="M129" s="139"/>
      <c r="Q129" s="170"/>
      <c r="R129" s="2" t="s">
        <v>38</v>
      </c>
    </row>
    <row r="130" spans="4:20" ht="13.5" customHeight="1" outlineLevel="1" x14ac:dyDescent="0.3">
      <c r="D130" s="44"/>
      <c r="E130" s="34">
        <v>2017</v>
      </c>
      <c r="F130" s="34">
        <v>2018</v>
      </c>
      <c r="G130" s="34">
        <v>2019</v>
      </c>
      <c r="H130" s="34">
        <v>2020</v>
      </c>
      <c r="I130" s="34">
        <v>2021</v>
      </c>
      <c r="J130" s="34">
        <v>2022</v>
      </c>
      <c r="K130" s="34">
        <v>2023</v>
      </c>
      <c r="L130" s="34">
        <v>2024</v>
      </c>
      <c r="M130" s="34">
        <v>2025</v>
      </c>
      <c r="O130" s="30" t="s">
        <v>20</v>
      </c>
      <c r="P130" s="30" t="s">
        <v>27</v>
      </c>
      <c r="Q130" s="38" t="s">
        <v>28</v>
      </c>
      <c r="R130" s="38" t="s">
        <v>39</v>
      </c>
      <c r="S130" s="38" t="s">
        <v>78</v>
      </c>
      <c r="T130" s="35"/>
    </row>
    <row r="131" spans="4:20" ht="13.5" customHeight="1" outlineLevel="1" x14ac:dyDescent="0.25">
      <c r="D131" s="87" t="str">
        <f>D92</f>
        <v>Sorghum</v>
      </c>
      <c r="E131" s="145">
        <f t="shared" ref="E131:I140" si="158">E$168*$R131</f>
        <v>0.115</v>
      </c>
      <c r="F131" s="145">
        <f t="shared" si="158"/>
        <v>0.11</v>
      </c>
      <c r="G131" s="145">
        <f t="shared" si="158"/>
        <v>0.63500000000000001</v>
      </c>
      <c r="H131" s="145">
        <f t="shared" si="158"/>
        <v>0.63500000000000001</v>
      </c>
      <c r="I131" s="145">
        <f t="shared" si="158"/>
        <v>1.4974139010878691</v>
      </c>
      <c r="J131" s="115">
        <f t="shared" ref="J131:M150" si="159">I131*(1+$Q131)</f>
        <v>1.5423363181205052</v>
      </c>
      <c r="K131" s="115">
        <f t="shared" si="159"/>
        <v>1.5886064076641204</v>
      </c>
      <c r="L131" s="115">
        <f t="shared" si="159"/>
        <v>1.6362645998940442</v>
      </c>
      <c r="M131" s="115">
        <f t="shared" si="159"/>
        <v>1.6853525378908656</v>
      </c>
      <c r="O131" s="116">
        <f>IFERROR(_xlfn.RRI($H$130-$E$130,E131,H131),0)</f>
        <v>0.76749676793105004</v>
      </c>
      <c r="P131" s="117">
        <f t="shared" ref="P131:P161" si="160">IFERROR(_xlfn.RRI($I$130-$H$130,H131,I131),0)</f>
        <v>1.3581321276974316</v>
      </c>
      <c r="Q131" s="272">
        <v>0.03</v>
      </c>
      <c r="R131" s="170">
        <v>0.5</v>
      </c>
      <c r="T131" s="42"/>
    </row>
    <row r="132" spans="4:20" ht="13.5" customHeight="1" outlineLevel="1" x14ac:dyDescent="0.25">
      <c r="D132" s="87" t="str">
        <f t="shared" ref="D132:D161" si="161">D93</f>
        <v>Sesame seed</v>
      </c>
      <c r="E132" s="145">
        <f t="shared" si="158"/>
        <v>0.39100000000000001</v>
      </c>
      <c r="F132" s="145">
        <f t="shared" si="158"/>
        <v>0.374</v>
      </c>
      <c r="G132" s="145">
        <f t="shared" si="158"/>
        <v>2.1589999999999998</v>
      </c>
      <c r="H132" s="145">
        <f t="shared" si="158"/>
        <v>2.1589999999999998</v>
      </c>
      <c r="I132" s="145">
        <f t="shared" si="158"/>
        <v>5.0912072636987551</v>
      </c>
      <c r="J132" s="115">
        <f t="shared" si="159"/>
        <v>6.1094487164385063</v>
      </c>
      <c r="K132" s="115">
        <f t="shared" si="159"/>
        <v>7.331338459726207</v>
      </c>
      <c r="L132" s="115">
        <f t="shared" si="159"/>
        <v>8.7976061516714488</v>
      </c>
      <c r="M132" s="115">
        <f t="shared" si="159"/>
        <v>10.557127382005739</v>
      </c>
      <c r="O132" s="116">
        <f t="shared" ref="O132:O161" si="162">IFERROR(_xlfn.RRI($H$130-$E$130,E132,H132),0)</f>
        <v>0.76749676793105004</v>
      </c>
      <c r="P132" s="117">
        <f t="shared" si="160"/>
        <v>1.3581321276974321</v>
      </c>
      <c r="Q132" s="272">
        <v>0.2</v>
      </c>
      <c r="R132" s="170">
        <v>1.7</v>
      </c>
      <c r="S132" s="2" t="s">
        <v>266</v>
      </c>
      <c r="T132" s="42"/>
    </row>
    <row r="133" spans="4:20" ht="13.5" customHeight="1" outlineLevel="1" x14ac:dyDescent="0.25">
      <c r="D133" s="87" t="str">
        <f t="shared" si="161"/>
        <v>Groundnuts, excluding shelled</v>
      </c>
      <c r="E133" s="145">
        <f t="shared" si="158"/>
        <v>0.39100000000000001</v>
      </c>
      <c r="F133" s="145">
        <f t="shared" si="158"/>
        <v>0.374</v>
      </c>
      <c r="G133" s="145">
        <f t="shared" si="158"/>
        <v>2.1589999999999998</v>
      </c>
      <c r="H133" s="145">
        <f t="shared" si="158"/>
        <v>2.1589999999999998</v>
      </c>
      <c r="I133" s="145">
        <f t="shared" si="158"/>
        <v>5.0912072636987551</v>
      </c>
      <c r="J133" s="115">
        <f t="shared" si="159"/>
        <v>6.1094487164385063</v>
      </c>
      <c r="K133" s="115">
        <f t="shared" si="159"/>
        <v>7.331338459726207</v>
      </c>
      <c r="L133" s="115">
        <f t="shared" si="159"/>
        <v>8.7976061516714488</v>
      </c>
      <c r="M133" s="115">
        <f t="shared" si="159"/>
        <v>10.557127382005739</v>
      </c>
      <c r="O133" s="116">
        <f t="shared" si="162"/>
        <v>0.76749676793105004</v>
      </c>
      <c r="P133" s="117">
        <f t="shared" si="160"/>
        <v>1.3581321276974321</v>
      </c>
      <c r="Q133" s="272">
        <v>0.2</v>
      </c>
      <c r="R133" s="170">
        <v>1.7</v>
      </c>
      <c r="S133" s="2" t="s">
        <v>266</v>
      </c>
      <c r="T133" s="42"/>
    </row>
    <row r="134" spans="4:20" ht="13.5" customHeight="1" outlineLevel="1" x14ac:dyDescent="0.25">
      <c r="D134" s="87" t="str">
        <f t="shared" si="161"/>
        <v>Millet</v>
      </c>
      <c r="E134" s="145">
        <f t="shared" si="158"/>
        <v>0.115</v>
      </c>
      <c r="F134" s="145">
        <f t="shared" si="158"/>
        <v>0.11</v>
      </c>
      <c r="G134" s="145">
        <f t="shared" si="158"/>
        <v>0.63500000000000001</v>
      </c>
      <c r="H134" s="145">
        <f t="shared" si="158"/>
        <v>0.63500000000000001</v>
      </c>
      <c r="I134" s="145">
        <f t="shared" si="158"/>
        <v>1.4974139010878691</v>
      </c>
      <c r="J134" s="115">
        <f t="shared" si="159"/>
        <v>1.5423363181205052</v>
      </c>
      <c r="K134" s="115">
        <f t="shared" si="159"/>
        <v>1.5886064076641204</v>
      </c>
      <c r="L134" s="115">
        <f t="shared" si="159"/>
        <v>1.6362645998940442</v>
      </c>
      <c r="M134" s="115">
        <f t="shared" si="159"/>
        <v>1.6853525378908656</v>
      </c>
      <c r="O134" s="116">
        <f t="shared" si="162"/>
        <v>0.76749676793105004</v>
      </c>
      <c r="P134" s="117">
        <f t="shared" si="160"/>
        <v>1.3581321276974316</v>
      </c>
      <c r="Q134" s="272">
        <v>0.03</v>
      </c>
      <c r="R134" s="170">
        <v>0.5</v>
      </c>
      <c r="T134" s="42"/>
    </row>
    <row r="135" spans="4:20" ht="13.5" customHeight="1" outlineLevel="1" x14ac:dyDescent="0.25">
      <c r="D135" s="87" t="str">
        <f t="shared" si="161"/>
        <v>Sugar cane</v>
      </c>
      <c r="E135" s="145">
        <f t="shared" si="158"/>
        <v>0.13800000000000001</v>
      </c>
      <c r="F135" s="145">
        <f t="shared" si="158"/>
        <v>0.13200000000000001</v>
      </c>
      <c r="G135" s="145">
        <f t="shared" si="158"/>
        <v>0.76200000000000001</v>
      </c>
      <c r="H135" s="145">
        <f t="shared" si="158"/>
        <v>0.76200000000000001</v>
      </c>
      <c r="I135" s="145">
        <f t="shared" si="158"/>
        <v>1.7968966813054428</v>
      </c>
      <c r="J135" s="115">
        <f t="shared" si="159"/>
        <v>1.886741515370715</v>
      </c>
      <c r="K135" s="115">
        <f t="shared" si="159"/>
        <v>1.9810785911392508</v>
      </c>
      <c r="L135" s="115">
        <f t="shared" si="159"/>
        <v>2.0801325206962136</v>
      </c>
      <c r="M135" s="115">
        <f t="shared" si="159"/>
        <v>2.1841391467310243</v>
      </c>
      <c r="O135" s="116">
        <f t="shared" si="162"/>
        <v>0.76749676793105004</v>
      </c>
      <c r="P135" s="117">
        <f t="shared" si="160"/>
        <v>1.3581321276974316</v>
      </c>
      <c r="Q135" s="272">
        <v>0.05</v>
      </c>
      <c r="R135" s="170">
        <v>0.6</v>
      </c>
      <c r="T135" s="42"/>
    </row>
    <row r="136" spans="4:20" ht="13.5" customHeight="1" outlineLevel="1" x14ac:dyDescent="0.25">
      <c r="D136" s="87" t="str">
        <f t="shared" si="161"/>
        <v>Melonseed</v>
      </c>
      <c r="E136" s="145">
        <f t="shared" si="158"/>
        <v>0.13800000000000001</v>
      </c>
      <c r="F136" s="145">
        <f t="shared" si="158"/>
        <v>0.13200000000000001</v>
      </c>
      <c r="G136" s="145">
        <f t="shared" si="158"/>
        <v>0.76200000000000001</v>
      </c>
      <c r="H136" s="145">
        <f t="shared" si="158"/>
        <v>0.76200000000000001</v>
      </c>
      <c r="I136" s="145">
        <f t="shared" si="158"/>
        <v>1.7968966813054428</v>
      </c>
      <c r="J136" s="115">
        <f t="shared" si="159"/>
        <v>1.886741515370715</v>
      </c>
      <c r="K136" s="115">
        <f t="shared" si="159"/>
        <v>1.9810785911392508</v>
      </c>
      <c r="L136" s="115">
        <f t="shared" si="159"/>
        <v>2.0801325206962136</v>
      </c>
      <c r="M136" s="115">
        <f t="shared" si="159"/>
        <v>2.1841391467310243</v>
      </c>
      <c r="O136" s="116">
        <f t="shared" si="162"/>
        <v>0.76749676793105004</v>
      </c>
      <c r="P136" s="117">
        <f t="shared" si="160"/>
        <v>1.3581321276974316</v>
      </c>
      <c r="Q136" s="272">
        <v>0.05</v>
      </c>
      <c r="R136" s="170">
        <v>0.6</v>
      </c>
      <c r="T136" s="42"/>
    </row>
    <row r="137" spans="4:20" ht="13.5" customHeight="1" outlineLevel="1" x14ac:dyDescent="0.25">
      <c r="D137" s="87" t="str">
        <f t="shared" si="161"/>
        <v>Cow peas, dry</v>
      </c>
      <c r="E137" s="145">
        <f t="shared" si="158"/>
        <v>0.13800000000000001</v>
      </c>
      <c r="F137" s="145">
        <f t="shared" si="158"/>
        <v>0.13200000000000001</v>
      </c>
      <c r="G137" s="145">
        <f t="shared" si="158"/>
        <v>0.76200000000000001</v>
      </c>
      <c r="H137" s="145">
        <f t="shared" si="158"/>
        <v>0.76200000000000001</v>
      </c>
      <c r="I137" s="145">
        <f t="shared" si="158"/>
        <v>1.7968966813054428</v>
      </c>
      <c r="J137" s="115">
        <f t="shared" si="159"/>
        <v>1.886741515370715</v>
      </c>
      <c r="K137" s="115">
        <f t="shared" si="159"/>
        <v>1.9810785911392508</v>
      </c>
      <c r="L137" s="115">
        <f t="shared" si="159"/>
        <v>2.0801325206962136</v>
      </c>
      <c r="M137" s="115">
        <f t="shared" si="159"/>
        <v>2.1841391467310243</v>
      </c>
      <c r="O137" s="116">
        <f t="shared" si="162"/>
        <v>0.76749676793105004</v>
      </c>
      <c r="P137" s="117">
        <f t="shared" si="160"/>
        <v>1.3581321276974316</v>
      </c>
      <c r="Q137" s="272">
        <v>0.05</v>
      </c>
      <c r="R137" s="170">
        <v>0.6</v>
      </c>
      <c r="T137" s="42"/>
    </row>
    <row r="138" spans="4:20" ht="13.5" customHeight="1" outlineLevel="1" x14ac:dyDescent="0.25">
      <c r="D138" s="87" t="str">
        <f t="shared" si="161"/>
        <v>Wheat</v>
      </c>
      <c r="E138" s="145">
        <f t="shared" si="158"/>
        <v>0.48300000000000004</v>
      </c>
      <c r="F138" s="145">
        <f t="shared" si="158"/>
        <v>0.46200000000000002</v>
      </c>
      <c r="G138" s="145">
        <f t="shared" si="158"/>
        <v>2.6670000000000003</v>
      </c>
      <c r="H138" s="145">
        <f t="shared" si="158"/>
        <v>2.6670000000000003</v>
      </c>
      <c r="I138" s="145">
        <f t="shared" si="158"/>
        <v>6.2891383845690507</v>
      </c>
      <c r="J138" s="115">
        <f t="shared" si="159"/>
        <v>7.8981028456450018</v>
      </c>
      <c r="K138" s="115">
        <f t="shared" si="159"/>
        <v>9.9186923145848578</v>
      </c>
      <c r="L138" s="115">
        <f t="shared" si="159"/>
        <v>12.456213745767</v>
      </c>
      <c r="M138" s="115">
        <f t="shared" si="159"/>
        <v>15.642915009278498</v>
      </c>
      <c r="O138" s="116">
        <f t="shared" si="162"/>
        <v>0.76749676793105004</v>
      </c>
      <c r="P138" s="117">
        <f t="shared" si="160"/>
        <v>1.3581321276974316</v>
      </c>
      <c r="Q138" s="272">
        <f t="shared" ref="Q138:Q156" si="163">O138*(1/3)</f>
        <v>0.25583225597701664</v>
      </c>
      <c r="R138" s="170">
        <v>2.1</v>
      </c>
      <c r="S138" s="2" t="s">
        <v>267</v>
      </c>
      <c r="T138" s="42"/>
    </row>
    <row r="139" spans="4:20" ht="13.5" customHeight="1" outlineLevel="1" x14ac:dyDescent="0.25">
      <c r="D139" s="87" t="str">
        <f t="shared" si="161"/>
        <v>Onions and shallots, dry (excluding dehydrated)</v>
      </c>
      <c r="E139" s="145">
        <f t="shared" si="158"/>
        <v>0.115</v>
      </c>
      <c r="F139" s="145">
        <f t="shared" si="158"/>
        <v>0.11</v>
      </c>
      <c r="G139" s="145">
        <f t="shared" si="158"/>
        <v>0.63500000000000001</v>
      </c>
      <c r="H139" s="145">
        <f t="shared" si="158"/>
        <v>0.63500000000000001</v>
      </c>
      <c r="I139" s="145">
        <f t="shared" si="158"/>
        <v>1.4974139010878691</v>
      </c>
      <c r="J139" s="115">
        <f t="shared" si="159"/>
        <v>1.5722845961422627</v>
      </c>
      <c r="K139" s="115">
        <f t="shared" si="159"/>
        <v>1.650898825949376</v>
      </c>
      <c r="L139" s="115">
        <f t="shared" si="159"/>
        <v>1.7334437672468448</v>
      </c>
      <c r="M139" s="115">
        <f t="shared" si="159"/>
        <v>1.820115955609187</v>
      </c>
      <c r="O139" s="116">
        <f t="shared" si="162"/>
        <v>0.76749676793105004</v>
      </c>
      <c r="P139" s="117">
        <f t="shared" si="160"/>
        <v>1.3581321276974316</v>
      </c>
      <c r="Q139" s="272">
        <v>0.05</v>
      </c>
      <c r="R139" s="170">
        <v>0.5</v>
      </c>
      <c r="T139" s="42"/>
    </row>
    <row r="140" spans="4:20" ht="13.5" customHeight="1" outlineLevel="1" x14ac:dyDescent="0.25">
      <c r="D140" s="87" t="str">
        <f t="shared" si="161"/>
        <v>Bananas</v>
      </c>
      <c r="E140" s="145">
        <f t="shared" si="158"/>
        <v>0.115</v>
      </c>
      <c r="F140" s="145">
        <f t="shared" si="158"/>
        <v>0.11</v>
      </c>
      <c r="G140" s="145">
        <f t="shared" si="158"/>
        <v>0.63500000000000001</v>
      </c>
      <c r="H140" s="145">
        <f t="shared" si="158"/>
        <v>0.63500000000000001</v>
      </c>
      <c r="I140" s="145">
        <f t="shared" si="158"/>
        <v>1.4974139010878691</v>
      </c>
      <c r="J140" s="115">
        <f t="shared" si="159"/>
        <v>1.5722845961422627</v>
      </c>
      <c r="K140" s="115">
        <f t="shared" si="159"/>
        <v>1.650898825949376</v>
      </c>
      <c r="L140" s="115">
        <f t="shared" si="159"/>
        <v>1.7334437672468448</v>
      </c>
      <c r="M140" s="115">
        <f t="shared" si="159"/>
        <v>1.820115955609187</v>
      </c>
      <c r="O140" s="116">
        <f t="shared" si="162"/>
        <v>0.76749676793105004</v>
      </c>
      <c r="P140" s="117">
        <f t="shared" si="160"/>
        <v>1.3581321276974316</v>
      </c>
      <c r="Q140" s="272">
        <v>0.05</v>
      </c>
      <c r="R140" s="170">
        <v>0.5</v>
      </c>
      <c r="T140" s="42"/>
    </row>
    <row r="141" spans="4:20" ht="13.5" customHeight="1" outlineLevel="1" x14ac:dyDescent="0.25">
      <c r="D141" s="87" t="str">
        <f t="shared" si="161"/>
        <v>Mangoes, guavas and mangosteens</v>
      </c>
      <c r="E141" s="145">
        <f t="shared" ref="E141:I150" si="164">E$168*$R141</f>
        <v>0.115</v>
      </c>
      <c r="F141" s="145">
        <f t="shared" si="164"/>
        <v>0.11</v>
      </c>
      <c r="G141" s="145">
        <f t="shared" si="164"/>
        <v>0.63500000000000001</v>
      </c>
      <c r="H141" s="145">
        <f t="shared" si="164"/>
        <v>0.63500000000000001</v>
      </c>
      <c r="I141" s="145">
        <f t="shared" si="164"/>
        <v>1.4974139010878691</v>
      </c>
      <c r="J141" s="115">
        <f t="shared" si="159"/>
        <v>1.5722845961422627</v>
      </c>
      <c r="K141" s="115">
        <f t="shared" si="159"/>
        <v>1.650898825949376</v>
      </c>
      <c r="L141" s="115">
        <f t="shared" si="159"/>
        <v>1.7334437672468448</v>
      </c>
      <c r="M141" s="115">
        <f t="shared" si="159"/>
        <v>1.820115955609187</v>
      </c>
      <c r="O141" s="116">
        <f t="shared" si="162"/>
        <v>0.76749676793105004</v>
      </c>
      <c r="P141" s="117">
        <f t="shared" si="160"/>
        <v>1.3581321276974316</v>
      </c>
      <c r="Q141" s="272">
        <v>0.05</v>
      </c>
      <c r="R141" s="170">
        <v>0.5</v>
      </c>
      <c r="T141" s="42"/>
    </row>
    <row r="142" spans="4:20" ht="13.5" customHeight="1" outlineLevel="1" x14ac:dyDescent="0.25">
      <c r="D142" s="87" t="str">
        <f t="shared" si="161"/>
        <v>Cantaloupes and other melons</v>
      </c>
      <c r="E142" s="145">
        <f t="shared" si="164"/>
        <v>0.115</v>
      </c>
      <c r="F142" s="145">
        <f t="shared" si="164"/>
        <v>0.11</v>
      </c>
      <c r="G142" s="145">
        <f t="shared" si="164"/>
        <v>0.63500000000000001</v>
      </c>
      <c r="H142" s="145">
        <f t="shared" si="164"/>
        <v>0.63500000000000001</v>
      </c>
      <c r="I142" s="145">
        <f t="shared" si="164"/>
        <v>1.4974139010878691</v>
      </c>
      <c r="J142" s="115">
        <f t="shared" si="159"/>
        <v>1.5722845961422627</v>
      </c>
      <c r="K142" s="115">
        <f t="shared" si="159"/>
        <v>1.650898825949376</v>
      </c>
      <c r="L142" s="115">
        <f t="shared" si="159"/>
        <v>1.7334437672468448</v>
      </c>
      <c r="M142" s="115">
        <f t="shared" si="159"/>
        <v>1.820115955609187</v>
      </c>
      <c r="O142" s="116">
        <f t="shared" si="162"/>
        <v>0.76749676793105004</v>
      </c>
      <c r="P142" s="117">
        <f t="shared" si="160"/>
        <v>1.3581321276974316</v>
      </c>
      <c r="Q142" s="272">
        <v>0.05</v>
      </c>
      <c r="R142" s="170">
        <v>0.5</v>
      </c>
      <c r="T142" s="42"/>
    </row>
    <row r="143" spans="4:20" ht="13.5" customHeight="1" outlineLevel="1" x14ac:dyDescent="0.25">
      <c r="D143" s="87" t="str">
        <f t="shared" si="161"/>
        <v>Sunflower seed</v>
      </c>
      <c r="E143" s="145">
        <f t="shared" si="164"/>
        <v>0.13800000000000001</v>
      </c>
      <c r="F143" s="145">
        <f t="shared" si="164"/>
        <v>0.13200000000000001</v>
      </c>
      <c r="G143" s="145">
        <f t="shared" si="164"/>
        <v>0.76200000000000001</v>
      </c>
      <c r="H143" s="145">
        <f t="shared" si="164"/>
        <v>0.76200000000000001</v>
      </c>
      <c r="I143" s="145">
        <f t="shared" si="164"/>
        <v>1.7968966813054428</v>
      </c>
      <c r="J143" s="115">
        <f t="shared" si="159"/>
        <v>1.886741515370715</v>
      </c>
      <c r="K143" s="115">
        <f t="shared" si="159"/>
        <v>1.9810785911392508</v>
      </c>
      <c r="L143" s="115">
        <f t="shared" si="159"/>
        <v>2.0801325206962136</v>
      </c>
      <c r="M143" s="115">
        <f t="shared" si="159"/>
        <v>2.1841391467310243</v>
      </c>
      <c r="O143" s="116">
        <f t="shared" si="162"/>
        <v>0.76749676793105004</v>
      </c>
      <c r="P143" s="117">
        <f t="shared" si="160"/>
        <v>1.3581321276974316</v>
      </c>
      <c r="Q143" s="272">
        <v>0.05</v>
      </c>
      <c r="R143" s="170">
        <v>0.6</v>
      </c>
      <c r="T143" s="42"/>
    </row>
    <row r="144" spans="4:20" ht="13.5" customHeight="1" outlineLevel="1" x14ac:dyDescent="0.25">
      <c r="D144" s="87" t="str">
        <f t="shared" si="161"/>
        <v>Cauliflowers and broccoli</v>
      </c>
      <c r="E144" s="145">
        <f t="shared" si="164"/>
        <v>0.115</v>
      </c>
      <c r="F144" s="145">
        <f t="shared" si="164"/>
        <v>0.11</v>
      </c>
      <c r="G144" s="145">
        <f t="shared" si="164"/>
        <v>0.63500000000000001</v>
      </c>
      <c r="H144" s="145">
        <f t="shared" si="164"/>
        <v>0.63500000000000001</v>
      </c>
      <c r="I144" s="145">
        <f t="shared" si="164"/>
        <v>1.4974139010878691</v>
      </c>
      <c r="J144" s="115">
        <f t="shared" si="159"/>
        <v>1.5722845961422627</v>
      </c>
      <c r="K144" s="115">
        <f t="shared" si="159"/>
        <v>1.650898825949376</v>
      </c>
      <c r="L144" s="115">
        <f t="shared" si="159"/>
        <v>1.7334437672468448</v>
      </c>
      <c r="M144" s="115">
        <f t="shared" si="159"/>
        <v>1.820115955609187</v>
      </c>
      <c r="O144" s="116">
        <f t="shared" si="162"/>
        <v>0.76749676793105004</v>
      </c>
      <c r="P144" s="117">
        <f t="shared" si="160"/>
        <v>1.3581321276974316</v>
      </c>
      <c r="Q144" s="272">
        <v>0.05</v>
      </c>
      <c r="R144" s="170">
        <v>0.5</v>
      </c>
      <c r="T144" s="42"/>
    </row>
    <row r="145" spans="4:26" ht="13.5" customHeight="1" outlineLevel="1" x14ac:dyDescent="0.25">
      <c r="D145" s="87" t="str">
        <f t="shared" si="161"/>
        <v>Seed cotton, unginned</v>
      </c>
      <c r="E145" s="145">
        <f t="shared" si="164"/>
        <v>0.29900000000000004</v>
      </c>
      <c r="F145" s="145">
        <f t="shared" si="164"/>
        <v>0.28600000000000003</v>
      </c>
      <c r="G145" s="145">
        <f t="shared" si="164"/>
        <v>1.651</v>
      </c>
      <c r="H145" s="145">
        <f t="shared" si="164"/>
        <v>1.651</v>
      </c>
      <c r="I145" s="145">
        <f t="shared" si="164"/>
        <v>3.8932761428284599</v>
      </c>
      <c r="J145" s="115">
        <f t="shared" si="159"/>
        <v>4.6402953568994363</v>
      </c>
      <c r="K145" s="115">
        <f t="shared" si="159"/>
        <v>5.53064827906588</v>
      </c>
      <c r="L145" s="115">
        <f t="shared" si="159"/>
        <v>6.5918369487525013</v>
      </c>
      <c r="M145" s="115">
        <f t="shared" si="159"/>
        <v>7.8566403369765059</v>
      </c>
      <c r="O145" s="116">
        <f t="shared" si="162"/>
        <v>0.76749676793105004</v>
      </c>
      <c r="P145" s="117">
        <f t="shared" si="160"/>
        <v>1.3581321276974316</v>
      </c>
      <c r="Q145" s="272">
        <f>O145*(1/4)</f>
        <v>0.19187419198276251</v>
      </c>
      <c r="R145" s="170">
        <v>1.3</v>
      </c>
      <c r="S145" s="2" t="s">
        <v>266</v>
      </c>
      <c r="T145" s="42"/>
    </row>
    <row r="146" spans="4:26" ht="13.5" customHeight="1" outlineLevel="1" x14ac:dyDescent="0.25">
      <c r="D146" s="87" t="str">
        <f t="shared" si="161"/>
        <v>Cucumbers and gherkins</v>
      </c>
      <c r="E146" s="145">
        <f t="shared" si="164"/>
        <v>0.115</v>
      </c>
      <c r="F146" s="145">
        <f t="shared" si="164"/>
        <v>0.11</v>
      </c>
      <c r="G146" s="145">
        <f t="shared" si="164"/>
        <v>0.63500000000000001</v>
      </c>
      <c r="H146" s="145">
        <f t="shared" si="164"/>
        <v>0.63500000000000001</v>
      </c>
      <c r="I146" s="145">
        <f t="shared" si="164"/>
        <v>1.4974139010878691</v>
      </c>
      <c r="J146" s="115">
        <f t="shared" si="159"/>
        <v>1.5722845961422627</v>
      </c>
      <c r="K146" s="115">
        <f t="shared" si="159"/>
        <v>1.650898825949376</v>
      </c>
      <c r="L146" s="115">
        <f t="shared" si="159"/>
        <v>1.7334437672468448</v>
      </c>
      <c r="M146" s="115">
        <f t="shared" si="159"/>
        <v>1.820115955609187</v>
      </c>
      <c r="O146" s="116">
        <f t="shared" si="162"/>
        <v>0.76749676793105004</v>
      </c>
      <c r="P146" s="117">
        <f t="shared" si="160"/>
        <v>1.3581321276974316</v>
      </c>
      <c r="Q146" s="272">
        <v>0.05</v>
      </c>
      <c r="R146" s="170">
        <v>0.5</v>
      </c>
      <c r="T146" s="42"/>
    </row>
    <row r="147" spans="4:26" ht="13.5" customHeight="1" outlineLevel="1" x14ac:dyDescent="0.25">
      <c r="D147" s="87" t="str">
        <f t="shared" si="161"/>
        <v>Tomatoes</v>
      </c>
      <c r="E147" s="145">
        <f t="shared" si="164"/>
        <v>0.115</v>
      </c>
      <c r="F147" s="145">
        <f t="shared" si="164"/>
        <v>0.11</v>
      </c>
      <c r="G147" s="145">
        <f t="shared" si="164"/>
        <v>0.63500000000000001</v>
      </c>
      <c r="H147" s="145">
        <f t="shared" si="164"/>
        <v>0.63500000000000001</v>
      </c>
      <c r="I147" s="145">
        <f t="shared" si="164"/>
        <v>1.4974139010878691</v>
      </c>
      <c r="J147" s="115">
        <f t="shared" si="159"/>
        <v>1.5722845961422627</v>
      </c>
      <c r="K147" s="115">
        <f t="shared" si="159"/>
        <v>1.650898825949376</v>
      </c>
      <c r="L147" s="115">
        <f t="shared" si="159"/>
        <v>1.7334437672468448</v>
      </c>
      <c r="M147" s="115">
        <f t="shared" si="159"/>
        <v>1.820115955609187</v>
      </c>
      <c r="O147" s="116">
        <f t="shared" si="162"/>
        <v>0.76749676793105004</v>
      </c>
      <c r="P147" s="117">
        <f t="shared" si="160"/>
        <v>1.3581321276974316</v>
      </c>
      <c r="Q147" s="272">
        <v>0.05</v>
      </c>
      <c r="R147" s="170">
        <v>0.5</v>
      </c>
      <c r="T147" s="42"/>
    </row>
    <row r="148" spans="4:26" ht="13.5" customHeight="1" outlineLevel="1" x14ac:dyDescent="0.25">
      <c r="D148" s="87" t="str">
        <f t="shared" si="161"/>
        <v>Potatoes</v>
      </c>
      <c r="E148" s="145">
        <f t="shared" si="164"/>
        <v>0.115</v>
      </c>
      <c r="F148" s="145">
        <f t="shared" si="164"/>
        <v>0.11</v>
      </c>
      <c r="G148" s="145">
        <f t="shared" si="164"/>
        <v>0.63500000000000001</v>
      </c>
      <c r="H148" s="145">
        <f t="shared" si="164"/>
        <v>0.63500000000000001</v>
      </c>
      <c r="I148" s="145">
        <f t="shared" si="164"/>
        <v>1.4974139010878691</v>
      </c>
      <c r="J148" s="115">
        <f t="shared" si="159"/>
        <v>1.5722845961422627</v>
      </c>
      <c r="K148" s="115">
        <f t="shared" si="159"/>
        <v>1.650898825949376</v>
      </c>
      <c r="L148" s="115">
        <f t="shared" si="159"/>
        <v>1.7334437672468448</v>
      </c>
      <c r="M148" s="115">
        <f t="shared" si="159"/>
        <v>1.820115955609187</v>
      </c>
      <c r="O148" s="116">
        <f t="shared" si="162"/>
        <v>0.76749676793105004</v>
      </c>
      <c r="P148" s="117">
        <f t="shared" si="160"/>
        <v>1.3581321276974316</v>
      </c>
      <c r="Q148" s="272">
        <v>0.05</v>
      </c>
      <c r="R148" s="170">
        <v>0.5</v>
      </c>
      <c r="T148" s="42"/>
    </row>
    <row r="149" spans="4:26" ht="13.5" customHeight="1" outlineLevel="1" x14ac:dyDescent="0.25">
      <c r="D149" s="87" t="str">
        <f t="shared" si="161"/>
        <v>Pumpkins, squash and gourds</v>
      </c>
      <c r="E149" s="145">
        <f t="shared" si="164"/>
        <v>0.115</v>
      </c>
      <c r="F149" s="145">
        <f t="shared" si="164"/>
        <v>0.11</v>
      </c>
      <c r="G149" s="145">
        <f t="shared" si="164"/>
        <v>0.63500000000000001</v>
      </c>
      <c r="H149" s="145">
        <f t="shared" si="164"/>
        <v>0.63500000000000001</v>
      </c>
      <c r="I149" s="145">
        <f t="shared" si="164"/>
        <v>1.4974139010878691</v>
      </c>
      <c r="J149" s="115">
        <f t="shared" si="159"/>
        <v>1.5722845961422627</v>
      </c>
      <c r="K149" s="115">
        <f t="shared" si="159"/>
        <v>1.650898825949376</v>
      </c>
      <c r="L149" s="115">
        <f t="shared" si="159"/>
        <v>1.7334437672468448</v>
      </c>
      <c r="M149" s="115">
        <f t="shared" si="159"/>
        <v>1.820115955609187</v>
      </c>
      <c r="O149" s="116">
        <f t="shared" si="162"/>
        <v>0.76749676793105004</v>
      </c>
      <c r="P149" s="117">
        <f t="shared" si="160"/>
        <v>1.3581321276974316</v>
      </c>
      <c r="Q149" s="272">
        <v>0.05</v>
      </c>
      <c r="R149" s="170">
        <v>0.5</v>
      </c>
      <c r="T149" s="42"/>
    </row>
    <row r="150" spans="4:26" ht="13.5" customHeight="1" outlineLevel="1" x14ac:dyDescent="0.25">
      <c r="D150" s="87" t="str">
        <f t="shared" si="161"/>
        <v>Dates</v>
      </c>
      <c r="E150" s="145">
        <f t="shared" si="164"/>
        <v>0.115</v>
      </c>
      <c r="F150" s="145">
        <f t="shared" si="164"/>
        <v>0.11</v>
      </c>
      <c r="G150" s="145">
        <f t="shared" si="164"/>
        <v>0.63500000000000001</v>
      </c>
      <c r="H150" s="145">
        <f t="shared" si="164"/>
        <v>0.63500000000000001</v>
      </c>
      <c r="I150" s="145">
        <f t="shared" si="164"/>
        <v>1.4974139010878691</v>
      </c>
      <c r="J150" s="115">
        <f t="shared" si="159"/>
        <v>1.5722845961422627</v>
      </c>
      <c r="K150" s="115">
        <f t="shared" si="159"/>
        <v>1.650898825949376</v>
      </c>
      <c r="L150" s="115">
        <f t="shared" si="159"/>
        <v>1.7334437672468448</v>
      </c>
      <c r="M150" s="115">
        <f t="shared" si="159"/>
        <v>1.820115955609187</v>
      </c>
      <c r="O150" s="116">
        <f t="shared" si="162"/>
        <v>0.76749676793105004</v>
      </c>
      <c r="P150" s="117">
        <f t="shared" si="160"/>
        <v>1.3581321276974316</v>
      </c>
      <c r="Q150" s="272">
        <v>0.05</v>
      </c>
      <c r="R150" s="170">
        <v>0.5</v>
      </c>
      <c r="T150" s="42"/>
    </row>
    <row r="151" spans="4:26" ht="13.5" customHeight="1" outlineLevel="1" x14ac:dyDescent="0.25">
      <c r="D151" s="87" t="str">
        <f t="shared" si="161"/>
        <v>Pomelos and grapefruits</v>
      </c>
      <c r="E151" s="145">
        <f t="shared" ref="E151:I161" si="165">E$168*$R151</f>
        <v>0.115</v>
      </c>
      <c r="F151" s="145">
        <f t="shared" si="165"/>
        <v>0.11</v>
      </c>
      <c r="G151" s="145">
        <f t="shared" si="165"/>
        <v>0.63500000000000001</v>
      </c>
      <c r="H151" s="145">
        <f t="shared" si="165"/>
        <v>0.63500000000000001</v>
      </c>
      <c r="I151" s="145">
        <f t="shared" si="165"/>
        <v>1.4974139010878691</v>
      </c>
      <c r="J151" s="115">
        <f t="shared" ref="J151:J161" si="166">I151*(1+$Q151)</f>
        <v>1.5722845961422627</v>
      </c>
      <c r="K151" s="115">
        <f t="shared" ref="K151:K161" si="167">J151*(1+$Q151)</f>
        <v>1.650898825949376</v>
      </c>
      <c r="L151" s="115">
        <f t="shared" ref="L151:L161" si="168">K151*(1+$Q151)</f>
        <v>1.7334437672468448</v>
      </c>
      <c r="M151" s="115">
        <f t="shared" ref="M151:M161" si="169">L151*(1+$Q151)</f>
        <v>1.820115955609187</v>
      </c>
      <c r="O151" s="116">
        <f t="shared" si="162"/>
        <v>0.76749676793105004</v>
      </c>
      <c r="P151" s="117">
        <f t="shared" si="160"/>
        <v>1.3581321276974316</v>
      </c>
      <c r="Q151" s="272">
        <v>0.05</v>
      </c>
      <c r="R151" s="170">
        <v>0.5</v>
      </c>
      <c r="T151" s="42"/>
    </row>
    <row r="152" spans="4:26" ht="13.5" customHeight="1" outlineLevel="1" x14ac:dyDescent="0.25">
      <c r="D152" s="87" t="str">
        <f t="shared" si="161"/>
        <v>Okra</v>
      </c>
      <c r="E152" s="145">
        <f t="shared" si="165"/>
        <v>0.115</v>
      </c>
      <c r="F152" s="145">
        <f t="shared" si="165"/>
        <v>0.11</v>
      </c>
      <c r="G152" s="145">
        <f t="shared" si="165"/>
        <v>0.63500000000000001</v>
      </c>
      <c r="H152" s="145">
        <f t="shared" si="165"/>
        <v>0.63500000000000001</v>
      </c>
      <c r="I152" s="145">
        <f t="shared" si="165"/>
        <v>1.4974139010878691</v>
      </c>
      <c r="J152" s="115">
        <f t="shared" si="166"/>
        <v>1.5722845961422627</v>
      </c>
      <c r="K152" s="115">
        <f t="shared" si="167"/>
        <v>1.650898825949376</v>
      </c>
      <c r="L152" s="115">
        <f t="shared" si="168"/>
        <v>1.7334437672468448</v>
      </c>
      <c r="M152" s="115">
        <f t="shared" si="169"/>
        <v>1.820115955609187</v>
      </c>
      <c r="O152" s="116">
        <f t="shared" si="162"/>
        <v>0.76749676793105004</v>
      </c>
      <c r="P152" s="117">
        <f t="shared" si="160"/>
        <v>1.3581321276974316</v>
      </c>
      <c r="Q152" s="272">
        <v>0.05</v>
      </c>
      <c r="R152" s="170">
        <v>0.5</v>
      </c>
      <c r="T152" s="42"/>
    </row>
    <row r="153" spans="4:26" ht="13.5" customHeight="1" outlineLevel="1" x14ac:dyDescent="0.25">
      <c r="D153" s="87" t="str">
        <f t="shared" si="161"/>
        <v>Lemons and limes</v>
      </c>
      <c r="E153" s="145">
        <f t="shared" si="165"/>
        <v>0.115</v>
      </c>
      <c r="F153" s="145">
        <f t="shared" si="165"/>
        <v>0.11</v>
      </c>
      <c r="G153" s="145">
        <f t="shared" si="165"/>
        <v>0.63500000000000001</v>
      </c>
      <c r="H153" s="145">
        <f t="shared" si="165"/>
        <v>0.63500000000000001</v>
      </c>
      <c r="I153" s="145">
        <f t="shared" si="165"/>
        <v>1.4974139010878691</v>
      </c>
      <c r="J153" s="115">
        <f t="shared" si="166"/>
        <v>1.5722845961422627</v>
      </c>
      <c r="K153" s="115">
        <f t="shared" si="167"/>
        <v>1.650898825949376</v>
      </c>
      <c r="L153" s="115">
        <f t="shared" si="168"/>
        <v>1.7334437672468448</v>
      </c>
      <c r="M153" s="115">
        <f t="shared" si="169"/>
        <v>1.820115955609187</v>
      </c>
      <c r="O153" s="116">
        <f t="shared" si="162"/>
        <v>0.76749676793105004</v>
      </c>
      <c r="P153" s="117">
        <f t="shared" si="160"/>
        <v>1.3581321276974316</v>
      </c>
      <c r="Q153" s="272">
        <v>0.05</v>
      </c>
      <c r="R153" s="170">
        <v>0.5</v>
      </c>
      <c r="T153" s="42"/>
    </row>
    <row r="154" spans="4:26" ht="13.5" customHeight="1" outlineLevel="1" x14ac:dyDescent="0.25">
      <c r="D154" s="87" t="str">
        <f t="shared" si="161"/>
        <v>Green garlic</v>
      </c>
      <c r="E154" s="145">
        <f t="shared" si="165"/>
        <v>0.115</v>
      </c>
      <c r="F154" s="145">
        <f t="shared" si="165"/>
        <v>0.11</v>
      </c>
      <c r="G154" s="145">
        <f t="shared" si="165"/>
        <v>0.63500000000000001</v>
      </c>
      <c r="H154" s="145">
        <f t="shared" si="165"/>
        <v>0.63500000000000001</v>
      </c>
      <c r="I154" s="145">
        <f t="shared" si="165"/>
        <v>1.4974139010878691</v>
      </c>
      <c r="J154" s="115">
        <f t="shared" si="166"/>
        <v>1.5722845961422627</v>
      </c>
      <c r="K154" s="115">
        <f t="shared" si="167"/>
        <v>1.650898825949376</v>
      </c>
      <c r="L154" s="115">
        <f t="shared" si="168"/>
        <v>1.7334437672468448</v>
      </c>
      <c r="M154" s="115">
        <f t="shared" si="169"/>
        <v>1.820115955609187</v>
      </c>
      <c r="O154" s="116">
        <f t="shared" si="162"/>
        <v>0.76749676793105004</v>
      </c>
      <c r="P154" s="117">
        <f t="shared" si="160"/>
        <v>1.3581321276974316</v>
      </c>
      <c r="Q154" s="272">
        <v>0.05</v>
      </c>
      <c r="R154" s="170">
        <v>0.5</v>
      </c>
      <c r="T154" s="42"/>
    </row>
    <row r="155" spans="4:26" ht="13.5" customHeight="1" outlineLevel="1" x14ac:dyDescent="0.25">
      <c r="D155" s="87" t="str">
        <f t="shared" si="161"/>
        <v>Sweet potatoes</v>
      </c>
      <c r="E155" s="145">
        <f t="shared" si="165"/>
        <v>0.115</v>
      </c>
      <c r="F155" s="145">
        <f t="shared" si="165"/>
        <v>0.11</v>
      </c>
      <c r="G155" s="145">
        <f t="shared" si="165"/>
        <v>0.63500000000000001</v>
      </c>
      <c r="H155" s="145">
        <f t="shared" si="165"/>
        <v>0.63500000000000001</v>
      </c>
      <c r="I155" s="145">
        <f t="shared" si="165"/>
        <v>1.4974139010878691</v>
      </c>
      <c r="J155" s="115">
        <f t="shared" si="166"/>
        <v>1.5722845961422627</v>
      </c>
      <c r="K155" s="115">
        <f t="shared" si="167"/>
        <v>1.650898825949376</v>
      </c>
      <c r="L155" s="115">
        <f t="shared" si="168"/>
        <v>1.7334437672468448</v>
      </c>
      <c r="M155" s="115">
        <f t="shared" si="169"/>
        <v>1.820115955609187</v>
      </c>
      <c r="O155" s="116">
        <f t="shared" si="162"/>
        <v>0.76749676793105004</v>
      </c>
      <c r="P155" s="117">
        <f t="shared" si="160"/>
        <v>1.3581321276974316</v>
      </c>
      <c r="Q155" s="272">
        <v>0.05</v>
      </c>
      <c r="R155" s="170">
        <v>0.5</v>
      </c>
      <c r="T155" s="42"/>
    </row>
    <row r="156" spans="4:26" ht="13.5" customHeight="1" outlineLevel="1" x14ac:dyDescent="0.25">
      <c r="D156" s="87" t="str">
        <f t="shared" si="161"/>
        <v>Other pulses n.e.c.</v>
      </c>
      <c r="E156" s="145">
        <f t="shared" si="165"/>
        <v>0.7360000000000001</v>
      </c>
      <c r="F156" s="145">
        <f t="shared" si="165"/>
        <v>0.70400000000000007</v>
      </c>
      <c r="G156" s="145">
        <f t="shared" si="165"/>
        <v>4.0640000000000001</v>
      </c>
      <c r="H156" s="145">
        <f t="shared" si="165"/>
        <v>4.0640000000000001</v>
      </c>
      <c r="I156" s="145">
        <f t="shared" si="165"/>
        <v>9.5834489669623633</v>
      </c>
      <c r="J156" s="115">
        <f t="shared" si="166"/>
        <v>12.035204336220955</v>
      </c>
      <c r="K156" s="115">
        <f t="shared" si="167"/>
        <v>15.114197812700736</v>
      </c>
      <c r="L156" s="115">
        <f t="shared" si="168"/>
        <v>18.980897136406856</v>
      </c>
      <c r="M156" s="115">
        <f t="shared" si="169"/>
        <v>23.83682287128152</v>
      </c>
      <c r="O156" s="116">
        <f t="shared" si="162"/>
        <v>0.76749676793105004</v>
      </c>
      <c r="P156" s="117">
        <f t="shared" si="160"/>
        <v>1.3581321276974321</v>
      </c>
      <c r="Q156" s="272">
        <f t="shared" si="163"/>
        <v>0.25583225597701664</v>
      </c>
      <c r="R156" s="170">
        <v>3.2</v>
      </c>
      <c r="S156" s="2" t="s">
        <v>265</v>
      </c>
      <c r="T156" s="42"/>
    </row>
    <row r="157" spans="4:26" ht="13.5" customHeight="1" x14ac:dyDescent="0.25">
      <c r="D157" s="87" t="str">
        <f t="shared" si="161"/>
        <v>Other vegetables, fresh n.e.c.</v>
      </c>
      <c r="E157" s="145">
        <f t="shared" si="165"/>
        <v>0.115</v>
      </c>
      <c r="F157" s="145">
        <f t="shared" si="165"/>
        <v>0.11</v>
      </c>
      <c r="G157" s="145">
        <f t="shared" si="165"/>
        <v>0.63500000000000001</v>
      </c>
      <c r="H157" s="145">
        <f t="shared" si="165"/>
        <v>0.63500000000000001</v>
      </c>
      <c r="I157" s="145">
        <f t="shared" si="165"/>
        <v>1.4974139010878691</v>
      </c>
      <c r="J157" s="115">
        <f t="shared" si="166"/>
        <v>1.5722845961422627</v>
      </c>
      <c r="K157" s="115">
        <f t="shared" si="167"/>
        <v>1.650898825949376</v>
      </c>
      <c r="L157" s="115">
        <f t="shared" si="168"/>
        <v>1.7334437672468448</v>
      </c>
      <c r="M157" s="115">
        <f t="shared" si="169"/>
        <v>1.820115955609187</v>
      </c>
      <c r="O157" s="116">
        <f t="shared" si="162"/>
        <v>0.76749676793105004</v>
      </c>
      <c r="P157" s="117">
        <f t="shared" si="160"/>
        <v>1.3581321276974316</v>
      </c>
      <c r="Q157" s="272">
        <v>0.05</v>
      </c>
      <c r="R157" s="170">
        <v>0.5</v>
      </c>
      <c r="S157" s="63" t="s">
        <v>264</v>
      </c>
      <c r="T157" s="42"/>
      <c r="Z157" s="63"/>
    </row>
    <row r="158" spans="4:26" ht="13.5" customHeight="1" x14ac:dyDescent="0.25">
      <c r="D158" s="87" t="str">
        <f t="shared" si="161"/>
        <v>Other fruits, n.e.c.</v>
      </c>
      <c r="E158" s="145">
        <f t="shared" si="165"/>
        <v>0.115</v>
      </c>
      <c r="F158" s="145">
        <f t="shared" si="165"/>
        <v>0.11</v>
      </c>
      <c r="G158" s="145">
        <f t="shared" si="165"/>
        <v>0.63500000000000001</v>
      </c>
      <c r="H158" s="145">
        <f t="shared" si="165"/>
        <v>0.63500000000000001</v>
      </c>
      <c r="I158" s="145">
        <f t="shared" si="165"/>
        <v>1.4974139010878691</v>
      </c>
      <c r="J158" s="115">
        <f t="shared" si="166"/>
        <v>1.5722845961422627</v>
      </c>
      <c r="K158" s="115">
        <f t="shared" si="167"/>
        <v>1.650898825949376</v>
      </c>
      <c r="L158" s="115">
        <f t="shared" si="168"/>
        <v>1.7334437672468448</v>
      </c>
      <c r="M158" s="115">
        <f t="shared" si="169"/>
        <v>1.820115955609187</v>
      </c>
      <c r="O158" s="116">
        <f t="shared" si="162"/>
        <v>0.76749676793105004</v>
      </c>
      <c r="P158" s="117">
        <f t="shared" si="160"/>
        <v>1.3581321276974316</v>
      </c>
      <c r="Q158" s="272">
        <v>0.05</v>
      </c>
      <c r="R158" s="170">
        <v>0.5</v>
      </c>
      <c r="S158" s="63" t="s">
        <v>264</v>
      </c>
      <c r="T158" s="42"/>
      <c r="Z158" s="63"/>
    </row>
    <row r="159" spans="4:26" ht="13.5" customHeight="1" x14ac:dyDescent="0.25">
      <c r="D159" s="87" t="str">
        <f t="shared" si="161"/>
        <v>Broad beans and horse beans, dry</v>
      </c>
      <c r="E159" s="145">
        <f t="shared" si="165"/>
        <v>0.115</v>
      </c>
      <c r="F159" s="145">
        <f t="shared" si="165"/>
        <v>0.11</v>
      </c>
      <c r="G159" s="145">
        <f t="shared" si="165"/>
        <v>0.63500000000000001</v>
      </c>
      <c r="H159" s="145">
        <f t="shared" si="165"/>
        <v>0.63500000000000001</v>
      </c>
      <c r="I159" s="145">
        <f t="shared" si="165"/>
        <v>1.4974139010878691</v>
      </c>
      <c r="J159" s="115">
        <f t="shared" si="166"/>
        <v>1.5722845961422627</v>
      </c>
      <c r="K159" s="115">
        <f t="shared" si="167"/>
        <v>1.650898825949376</v>
      </c>
      <c r="L159" s="115">
        <f t="shared" si="168"/>
        <v>1.7334437672468448</v>
      </c>
      <c r="M159" s="115">
        <f t="shared" si="169"/>
        <v>1.820115955609187</v>
      </c>
      <c r="O159" s="116">
        <f t="shared" si="162"/>
        <v>0.76749676793105004</v>
      </c>
      <c r="P159" s="117">
        <f t="shared" si="160"/>
        <v>1.3581321276974316</v>
      </c>
      <c r="Q159" s="272">
        <v>0.05</v>
      </c>
      <c r="R159" s="170">
        <v>0.5</v>
      </c>
      <c r="S159" s="63" t="s">
        <v>264</v>
      </c>
      <c r="T159" s="42"/>
      <c r="Z159" s="63"/>
    </row>
    <row r="160" spans="4:26" ht="13.5" customHeight="1" x14ac:dyDescent="0.25">
      <c r="D160" s="87" t="str">
        <f t="shared" si="161"/>
        <v>Chick peas, dry</v>
      </c>
      <c r="E160" s="145">
        <f t="shared" si="165"/>
        <v>0.115</v>
      </c>
      <c r="F160" s="145">
        <f t="shared" si="165"/>
        <v>0.11</v>
      </c>
      <c r="G160" s="145">
        <f t="shared" si="165"/>
        <v>0.63500000000000001</v>
      </c>
      <c r="H160" s="145">
        <f t="shared" si="165"/>
        <v>0.63500000000000001</v>
      </c>
      <c r="I160" s="145">
        <f t="shared" si="165"/>
        <v>1.4974139010878691</v>
      </c>
      <c r="J160" s="115">
        <f t="shared" si="166"/>
        <v>1.5722845961422627</v>
      </c>
      <c r="K160" s="115">
        <f t="shared" si="167"/>
        <v>1.650898825949376</v>
      </c>
      <c r="L160" s="115">
        <f t="shared" si="168"/>
        <v>1.7334437672468448</v>
      </c>
      <c r="M160" s="115">
        <f t="shared" si="169"/>
        <v>1.820115955609187</v>
      </c>
      <c r="O160" s="116">
        <f t="shared" si="162"/>
        <v>0.76749676793105004</v>
      </c>
      <c r="P160" s="117">
        <f t="shared" si="160"/>
        <v>1.3581321276974316</v>
      </c>
      <c r="Q160" s="272">
        <v>0.05</v>
      </c>
      <c r="R160" s="170">
        <v>0.5</v>
      </c>
      <c r="S160" s="63" t="s">
        <v>264</v>
      </c>
      <c r="T160" s="42"/>
      <c r="Z160" s="63"/>
    </row>
    <row r="161" spans="2:26" ht="13.5" customHeight="1" x14ac:dyDescent="0.25">
      <c r="D161" s="87" t="str">
        <f t="shared" si="161"/>
        <v>Beans, dry</v>
      </c>
      <c r="E161" s="145">
        <f t="shared" si="165"/>
        <v>0.20700000000000002</v>
      </c>
      <c r="F161" s="145">
        <f t="shared" si="165"/>
        <v>0.19800000000000001</v>
      </c>
      <c r="G161" s="145">
        <f t="shared" si="165"/>
        <v>1.143</v>
      </c>
      <c r="H161" s="145">
        <f t="shared" si="165"/>
        <v>1.143</v>
      </c>
      <c r="I161" s="145">
        <f t="shared" si="165"/>
        <v>2.6953450219581643</v>
      </c>
      <c r="J161" s="115">
        <f t="shared" si="166"/>
        <v>2.9648795241539809</v>
      </c>
      <c r="K161" s="115">
        <f t="shared" si="167"/>
        <v>3.2613674765693794</v>
      </c>
      <c r="L161" s="115">
        <f t="shared" si="168"/>
        <v>3.5875042242263175</v>
      </c>
      <c r="M161" s="115">
        <f t="shared" si="169"/>
        <v>3.9462546466489496</v>
      </c>
      <c r="O161" s="116">
        <f t="shared" si="162"/>
        <v>0.76749676793105004</v>
      </c>
      <c r="P161" s="117">
        <f t="shared" si="160"/>
        <v>1.3581321276974316</v>
      </c>
      <c r="Q161" s="272">
        <v>0.1</v>
      </c>
      <c r="R161" s="170">
        <v>0.9</v>
      </c>
      <c r="S161" s="63" t="s">
        <v>263</v>
      </c>
      <c r="T161" s="42"/>
      <c r="Z161" s="63"/>
    </row>
    <row r="162" spans="2:26" ht="13.5" customHeight="1" thickBot="1" x14ac:dyDescent="0.35">
      <c r="D162" s="83"/>
      <c r="E162" s="172"/>
      <c r="F162" s="172"/>
      <c r="G162" s="172"/>
      <c r="H162" s="172"/>
      <c r="I162" s="172"/>
      <c r="J162" s="112"/>
      <c r="K162" s="112"/>
      <c r="L162" s="112"/>
      <c r="M162" s="112"/>
      <c r="O162" s="114"/>
      <c r="P162" s="114"/>
      <c r="Q162" s="128"/>
      <c r="R162" s="85">
        <f>AVERAGE(R131:R161)</f>
        <v>0.76774193548387093</v>
      </c>
      <c r="S162" s="63"/>
      <c r="T162" s="42"/>
    </row>
    <row r="163" spans="2:26" ht="13.5" customHeight="1" thickTop="1" x14ac:dyDescent="0.3">
      <c r="J163" s="43"/>
      <c r="K163" s="43"/>
      <c r="L163" s="43"/>
      <c r="M163" s="43"/>
      <c r="O163" s="54"/>
      <c r="P163" s="54"/>
      <c r="Q163" s="47"/>
      <c r="R163" s="86"/>
      <c r="S163" s="41"/>
    </row>
    <row r="164" spans="2:26" ht="13.5" customHeight="1" x14ac:dyDescent="0.3">
      <c r="D164" s="32" t="s">
        <v>40</v>
      </c>
      <c r="J164" s="43"/>
      <c r="K164" s="43"/>
      <c r="L164" s="43"/>
      <c r="M164" s="43"/>
      <c r="O164" s="54"/>
      <c r="P164" s="54"/>
      <c r="Q164" s="47"/>
      <c r="R164" s="43"/>
      <c r="S164" s="41"/>
    </row>
    <row r="165" spans="2:26" ht="13.5" customHeight="1" x14ac:dyDescent="0.3">
      <c r="D165" s="33" t="s">
        <v>41</v>
      </c>
      <c r="E165" s="181"/>
      <c r="F165" s="181"/>
      <c r="G165" s="181"/>
      <c r="H165" s="181"/>
      <c r="I165" s="181"/>
      <c r="J165" s="43"/>
      <c r="K165" s="43"/>
      <c r="L165" s="43"/>
      <c r="M165" s="43"/>
      <c r="O165" s="54"/>
      <c r="P165" s="54"/>
      <c r="Q165" s="47"/>
      <c r="R165" s="43"/>
      <c r="S165" s="41"/>
    </row>
    <row r="166" spans="2:26" ht="13.5" customHeight="1" x14ac:dyDescent="0.25">
      <c r="E166" s="181"/>
      <c r="F166" s="181"/>
      <c r="G166" s="181"/>
      <c r="H166" s="181"/>
      <c r="I166" s="181"/>
      <c r="Q166" s="47"/>
    </row>
    <row r="167" spans="2:26" ht="13.5" customHeight="1" outlineLevel="1" x14ac:dyDescent="0.3">
      <c r="D167" s="44"/>
      <c r="E167" s="118">
        <v>2017</v>
      </c>
      <c r="F167" s="118">
        <v>2018</v>
      </c>
      <c r="G167" s="118">
        <v>2019</v>
      </c>
      <c r="H167" s="118">
        <v>2020</v>
      </c>
      <c r="I167" s="118">
        <v>2021</v>
      </c>
      <c r="J167" s="55"/>
      <c r="K167" s="50"/>
      <c r="L167" s="50"/>
      <c r="M167" s="50"/>
      <c r="O167" s="35"/>
      <c r="P167" s="35"/>
      <c r="Q167" s="48"/>
      <c r="R167" s="48"/>
      <c r="S167" s="48"/>
      <c r="T167" s="7"/>
    </row>
    <row r="168" spans="2:26" ht="13.5" customHeight="1" outlineLevel="1" x14ac:dyDescent="0.3">
      <c r="D168" s="46" t="s">
        <v>42</v>
      </c>
      <c r="E168" s="147">
        <f>P2O5Consumption!P10</f>
        <v>0.23</v>
      </c>
      <c r="F168" s="147">
        <f>P2O5Consumption!P11</f>
        <v>0.22</v>
      </c>
      <c r="G168" s="147">
        <f>P2O5Consumption!P12</f>
        <v>1.27</v>
      </c>
      <c r="H168" s="147">
        <f>P2O5Consumption!P13</f>
        <v>1.27</v>
      </c>
      <c r="I168" s="148">
        <f>(150000000)*46%/I123</f>
        <v>2.9948278021757382</v>
      </c>
      <c r="J168" s="56"/>
      <c r="K168" s="49"/>
      <c r="L168" s="49"/>
      <c r="M168" s="49"/>
      <c r="O168" s="35"/>
      <c r="P168" s="35"/>
      <c r="Q168" s="35"/>
      <c r="R168" s="47"/>
      <c r="S168" s="47"/>
      <c r="T168" s="7"/>
    </row>
    <row r="169" spans="2:26" ht="13.5" customHeight="1" outlineLevel="1" x14ac:dyDescent="0.3">
      <c r="D169" s="88" t="s">
        <v>43</v>
      </c>
      <c r="E169" s="119">
        <f>E168/46%</f>
        <v>0.5</v>
      </c>
      <c r="F169" s="119">
        <f t="shared" ref="F169:H169" si="170">F168/46%</f>
        <v>0.47826086956521735</v>
      </c>
      <c r="G169" s="119">
        <f t="shared" si="170"/>
        <v>2.7608695652173911</v>
      </c>
      <c r="H169" s="119">
        <f t="shared" si="170"/>
        <v>2.7608695652173911</v>
      </c>
      <c r="I169" s="119">
        <f>I168/46%</f>
        <v>6.51049522212117</v>
      </c>
      <c r="J169" s="56"/>
      <c r="K169" s="49"/>
      <c r="L169" s="49"/>
      <c r="M169" s="49"/>
      <c r="O169" s="35"/>
      <c r="P169" s="35"/>
      <c r="Q169" s="35"/>
      <c r="R169" s="47"/>
      <c r="S169" s="47"/>
      <c r="T169" s="7"/>
    </row>
    <row r="170" spans="2:26" ht="13.5" customHeight="1" outlineLevel="1" x14ac:dyDescent="0.3">
      <c r="D170" s="94" t="s">
        <v>44</v>
      </c>
      <c r="E170" s="95" t="s">
        <v>45</v>
      </c>
      <c r="F170" s="95" t="s">
        <v>45</v>
      </c>
      <c r="G170" s="95" t="s">
        <v>45</v>
      </c>
      <c r="H170" s="95" t="s">
        <v>45</v>
      </c>
      <c r="I170" s="95" t="s">
        <v>242</v>
      </c>
      <c r="J170" s="47"/>
      <c r="K170" s="47"/>
      <c r="L170" s="47"/>
      <c r="M170" s="47"/>
      <c r="O170" s="47"/>
      <c r="P170" s="47"/>
      <c r="Q170" s="47"/>
      <c r="R170" s="47"/>
      <c r="S170" s="47"/>
      <c r="T170" s="7"/>
    </row>
    <row r="171" spans="2:26" ht="13.5" customHeight="1" x14ac:dyDescent="0.25">
      <c r="O171" s="47"/>
      <c r="P171" s="47"/>
      <c r="Q171" s="47"/>
      <c r="R171" s="47"/>
      <c r="S171" s="47"/>
      <c r="T171" s="7"/>
    </row>
    <row r="172" spans="2:26" ht="13.5" customHeight="1" x14ac:dyDescent="0.35">
      <c r="B172" s="29">
        <v>3</v>
      </c>
      <c r="C172" s="29" t="s">
        <v>46</v>
      </c>
      <c r="D172" s="28" t="s">
        <v>323</v>
      </c>
      <c r="O172" s="7"/>
      <c r="P172" s="7"/>
      <c r="Q172" s="7"/>
      <c r="R172" s="7"/>
      <c r="S172" s="7"/>
      <c r="T172" s="7"/>
    </row>
    <row r="173" spans="2:26" ht="13.5" customHeight="1" x14ac:dyDescent="0.35">
      <c r="B173" s="28"/>
      <c r="C173" s="28"/>
      <c r="D173" s="28"/>
      <c r="O173" s="7"/>
      <c r="P173" s="7"/>
      <c r="Q173" s="7"/>
      <c r="R173" s="7"/>
      <c r="S173" s="7"/>
      <c r="T173" s="7"/>
    </row>
    <row r="174" spans="2:26" ht="13.5" customHeight="1" x14ac:dyDescent="0.35">
      <c r="B174" s="28"/>
      <c r="C174" s="28"/>
      <c r="D174" s="32" t="s">
        <v>22</v>
      </c>
      <c r="J174" s="341" t="s">
        <v>47</v>
      </c>
      <c r="K174" s="341"/>
      <c r="L174" s="341"/>
      <c r="M174" s="341"/>
      <c r="T174" s="7"/>
    </row>
    <row r="175" spans="2:26" ht="13.5" customHeight="1" x14ac:dyDescent="0.35">
      <c r="B175" s="28"/>
      <c r="C175" s="28"/>
      <c r="D175" s="33" t="s">
        <v>48</v>
      </c>
      <c r="J175" s="166"/>
      <c r="K175" s="166"/>
      <c r="L175" s="166">
        <f>1/3</f>
        <v>0.33333333333333331</v>
      </c>
      <c r="M175" s="166">
        <f>1/3</f>
        <v>0.33333333333333331</v>
      </c>
      <c r="O175" s="39" t="s">
        <v>24</v>
      </c>
      <c r="T175" s="7"/>
    </row>
    <row r="176" spans="2:26" ht="13.5" customHeight="1" outlineLevel="1" x14ac:dyDescent="0.35">
      <c r="B176" s="28"/>
      <c r="C176" s="28"/>
      <c r="E176" s="137" t="s">
        <v>25</v>
      </c>
      <c r="F176" s="138"/>
      <c r="G176" s="138"/>
      <c r="H176" s="139"/>
      <c r="I176" s="140" t="s">
        <v>262</v>
      </c>
      <c r="J176" s="137" t="s">
        <v>49</v>
      </c>
      <c r="K176" s="138"/>
      <c r="L176" s="138"/>
      <c r="M176" s="139"/>
      <c r="Q176" s="131"/>
      <c r="T176" s="7"/>
    </row>
    <row r="177" spans="2:23" ht="13.5" customHeight="1" outlineLevel="1" x14ac:dyDescent="0.35">
      <c r="B177" s="28"/>
      <c r="C177" s="28"/>
      <c r="D177" s="44" t="s">
        <v>50</v>
      </c>
      <c r="E177" s="45">
        <v>2017</v>
      </c>
      <c r="F177" s="45">
        <v>2018</v>
      </c>
      <c r="G177" s="45">
        <v>2019</v>
      </c>
      <c r="H177" s="45">
        <v>2020</v>
      </c>
      <c r="I177" s="45">
        <v>2021</v>
      </c>
      <c r="J177" s="45">
        <v>2022</v>
      </c>
      <c r="K177" s="45">
        <v>2023</v>
      </c>
      <c r="L177" s="45">
        <v>2024</v>
      </c>
      <c r="M177" s="45">
        <v>2025</v>
      </c>
      <c r="O177" s="30" t="s">
        <v>51</v>
      </c>
      <c r="P177" s="38" t="s">
        <v>52</v>
      </c>
      <c r="Q177" s="38" t="s">
        <v>53</v>
      </c>
      <c r="R177" s="38" t="s">
        <v>54</v>
      </c>
      <c r="S177" s="30" t="s">
        <v>55</v>
      </c>
      <c r="T177" s="38" t="s">
        <v>56</v>
      </c>
      <c r="W177" s="1" t="s">
        <v>57</v>
      </c>
    </row>
    <row r="178" spans="2:23" ht="13.5" customHeight="1" outlineLevel="1" x14ac:dyDescent="0.35">
      <c r="B178" s="28"/>
      <c r="C178" s="28"/>
      <c r="D178" s="2" t="str">
        <f>D131</f>
        <v>Sorghum</v>
      </c>
      <c r="E178" s="120">
        <f>E131</f>
        <v>0.115</v>
      </c>
      <c r="F178" s="103">
        <f t="shared" ref="F178:I178" si="171">F131</f>
        <v>0.11</v>
      </c>
      <c r="G178" s="103">
        <f t="shared" si="171"/>
        <v>0.63500000000000001</v>
      </c>
      <c r="H178" s="121">
        <f t="shared" si="171"/>
        <v>0.63500000000000001</v>
      </c>
      <c r="I178" s="121">
        <f t="shared" si="171"/>
        <v>1.4974139010878691</v>
      </c>
      <c r="J178" s="109">
        <f t="shared" ref="J178:K178" si="172">J131</f>
        <v>1.5423363181205052</v>
      </c>
      <c r="K178" s="109">
        <f t="shared" si="172"/>
        <v>1.5886064076641204</v>
      </c>
      <c r="L178" s="109">
        <f t="shared" ref="L178:M178" si="173">IF($P178&lt;K178,K178,K178+($P178-K178)*L$175)</f>
        <v>1.7415709384427469</v>
      </c>
      <c r="M178" s="198">
        <f t="shared" si="173"/>
        <v>1.8435472922951646</v>
      </c>
      <c r="O178" s="1" t="str">
        <f>D219</f>
        <v>Sorghum</v>
      </c>
      <c r="P178" s="40">
        <f t="shared" ref="P178:P208" si="174">S178*Q178</f>
        <v>2.0474999999999999</v>
      </c>
      <c r="Q178" s="146">
        <v>0.3</v>
      </c>
      <c r="R178" s="93" t="s">
        <v>59</v>
      </c>
      <c r="S178" s="2">
        <f t="shared" ref="S178:S197" si="175">_xlfn.XLOOKUP(O178,$D$214:$D$225,$G$214:$G$225)</f>
        <v>6.8250000000000002</v>
      </c>
      <c r="T178" s="1"/>
      <c r="W178" s="152">
        <f>80%</f>
        <v>0.8</v>
      </c>
    </row>
    <row r="179" spans="2:23" ht="13.5" customHeight="1" outlineLevel="1" x14ac:dyDescent="0.35">
      <c r="B179" s="28"/>
      <c r="C179" s="28"/>
      <c r="D179" s="2" t="str">
        <f t="shared" ref="D179:I208" si="176">D132</f>
        <v>Sesame seed</v>
      </c>
      <c r="E179" s="120">
        <f t="shared" ref="E179:I179" si="177">E132</f>
        <v>0.39100000000000001</v>
      </c>
      <c r="F179" s="103">
        <f t="shared" si="177"/>
        <v>0.374</v>
      </c>
      <c r="G179" s="103">
        <f t="shared" si="177"/>
        <v>2.1589999999999998</v>
      </c>
      <c r="H179" s="121">
        <f t="shared" si="177"/>
        <v>2.1589999999999998</v>
      </c>
      <c r="I179" s="121">
        <f t="shared" si="177"/>
        <v>5.0912072636987551</v>
      </c>
      <c r="J179" s="109">
        <f t="shared" ref="J179:K179" si="178">J132</f>
        <v>6.1094487164385063</v>
      </c>
      <c r="K179" s="109">
        <f t="shared" si="178"/>
        <v>7.331338459726207</v>
      </c>
      <c r="L179" s="109">
        <f t="shared" ref="L179:M179" si="179">IF($P179&lt;K179,K179,K179+($P179-K179)*L$175)</f>
        <v>9.5968089731508037</v>
      </c>
      <c r="M179" s="198">
        <f t="shared" si="179"/>
        <v>11.107122648767202</v>
      </c>
      <c r="O179" s="2" t="str">
        <f>D214</f>
        <v>Leguminous</v>
      </c>
      <c r="P179" s="40">
        <f t="shared" si="174"/>
        <v>14.127750000000001</v>
      </c>
      <c r="Q179" s="146">
        <v>0.65</v>
      </c>
      <c r="R179" s="93" t="s">
        <v>61</v>
      </c>
      <c r="S179" s="2">
        <f t="shared" si="175"/>
        <v>21.734999999999999</v>
      </c>
      <c r="T179" s="1" t="s">
        <v>266</v>
      </c>
      <c r="W179" s="152">
        <f>80%</f>
        <v>0.8</v>
      </c>
    </row>
    <row r="180" spans="2:23" ht="13.5" customHeight="1" outlineLevel="1" x14ac:dyDescent="0.35">
      <c r="B180" s="28"/>
      <c r="C180" s="28"/>
      <c r="D180" s="2" t="str">
        <f t="shared" si="176"/>
        <v>Groundnuts, excluding shelled</v>
      </c>
      <c r="E180" s="120">
        <f t="shared" ref="E180:I180" si="180">E133</f>
        <v>0.39100000000000001</v>
      </c>
      <c r="F180" s="103">
        <f t="shared" si="180"/>
        <v>0.374</v>
      </c>
      <c r="G180" s="103">
        <f t="shared" si="180"/>
        <v>2.1589999999999998</v>
      </c>
      <c r="H180" s="121">
        <f t="shared" si="180"/>
        <v>2.1589999999999998</v>
      </c>
      <c r="I180" s="121">
        <f t="shared" si="180"/>
        <v>5.0912072636987551</v>
      </c>
      <c r="J180" s="109">
        <f t="shared" ref="J180:K180" si="181">J133</f>
        <v>6.1094487164385063</v>
      </c>
      <c r="K180" s="109">
        <f t="shared" si="181"/>
        <v>7.331338459726207</v>
      </c>
      <c r="L180" s="109">
        <f t="shared" ref="L180:M180" si="182">IF($P180&lt;K180,K180,K180+($P180-K180)*L$175)</f>
        <v>9.5968089731508037</v>
      </c>
      <c r="M180" s="198">
        <f t="shared" si="182"/>
        <v>11.107122648767202</v>
      </c>
      <c r="O180" s="2" t="str">
        <f>D214</f>
        <v>Leguminous</v>
      </c>
      <c r="P180" s="40">
        <f t="shared" si="174"/>
        <v>14.127750000000001</v>
      </c>
      <c r="Q180" s="146">
        <v>0.65</v>
      </c>
      <c r="R180" s="93" t="s">
        <v>61</v>
      </c>
      <c r="S180" s="2">
        <f t="shared" si="175"/>
        <v>21.734999999999999</v>
      </c>
      <c r="T180" s="1" t="s">
        <v>266</v>
      </c>
      <c r="W180" s="152">
        <f>80%</f>
        <v>0.8</v>
      </c>
    </row>
    <row r="181" spans="2:23" ht="13.5" customHeight="1" outlineLevel="1" x14ac:dyDescent="0.35">
      <c r="B181" s="28"/>
      <c r="C181" s="28"/>
      <c r="D181" s="2" t="str">
        <f t="shared" si="176"/>
        <v>Millet</v>
      </c>
      <c r="E181" s="120">
        <f t="shared" ref="E181:I181" si="183">E134</f>
        <v>0.115</v>
      </c>
      <c r="F181" s="103">
        <f t="shared" si="183"/>
        <v>0.11</v>
      </c>
      <c r="G181" s="103">
        <f t="shared" si="183"/>
        <v>0.63500000000000001</v>
      </c>
      <c r="H181" s="121">
        <f t="shared" si="183"/>
        <v>0.63500000000000001</v>
      </c>
      <c r="I181" s="121">
        <f t="shared" si="183"/>
        <v>1.4974139010878691</v>
      </c>
      <c r="J181" s="109">
        <f t="shared" ref="J181:K181" si="184">J134</f>
        <v>1.5423363181205052</v>
      </c>
      <c r="K181" s="109">
        <f t="shared" si="184"/>
        <v>1.5886064076641204</v>
      </c>
      <c r="L181" s="109">
        <f t="shared" ref="L181:M181" si="185">IF($P181&lt;K181,K181,K181+($P181-K181)*L$175)</f>
        <v>1.6815709384427469</v>
      </c>
      <c r="M181" s="198">
        <f t="shared" si="185"/>
        <v>1.7435472922951645</v>
      </c>
      <c r="O181" s="2" t="str">
        <f>D221</f>
        <v>Millet</v>
      </c>
      <c r="P181" s="40">
        <f t="shared" si="174"/>
        <v>1.8674999999999997</v>
      </c>
      <c r="Q181" s="146">
        <v>0.3</v>
      </c>
      <c r="R181" s="93" t="s">
        <v>59</v>
      </c>
      <c r="S181" s="2">
        <f t="shared" si="175"/>
        <v>6.2249999999999996</v>
      </c>
      <c r="T181" s="1"/>
      <c r="W181" s="152">
        <f>80%</f>
        <v>0.8</v>
      </c>
    </row>
    <row r="182" spans="2:23" ht="13.5" customHeight="1" outlineLevel="1" x14ac:dyDescent="0.35">
      <c r="B182" s="28"/>
      <c r="C182" s="28"/>
      <c r="D182" s="2" t="str">
        <f t="shared" si="176"/>
        <v>Sugar cane</v>
      </c>
      <c r="E182" s="120">
        <f t="shared" ref="E182:I182" si="186">E135</f>
        <v>0.13800000000000001</v>
      </c>
      <c r="F182" s="103">
        <f t="shared" si="186"/>
        <v>0.13200000000000001</v>
      </c>
      <c r="G182" s="103">
        <f t="shared" si="186"/>
        <v>0.76200000000000001</v>
      </c>
      <c r="H182" s="121">
        <f t="shared" si="186"/>
        <v>0.76200000000000001</v>
      </c>
      <c r="I182" s="121">
        <f t="shared" si="186"/>
        <v>1.7968966813054428</v>
      </c>
      <c r="J182" s="109">
        <f t="shared" ref="J182:K182" si="187">J135</f>
        <v>1.886741515370715</v>
      </c>
      <c r="K182" s="109">
        <f t="shared" si="187"/>
        <v>1.9810785911392508</v>
      </c>
      <c r="L182" s="109">
        <f t="shared" ref="L182:M182" si="188">IF($P182&lt;K182,K182,K182+($P182-K182)*L$175)</f>
        <v>3.1436878107595003</v>
      </c>
      <c r="M182" s="198">
        <f t="shared" si="188"/>
        <v>3.9187606238396668</v>
      </c>
      <c r="O182" s="2" t="str">
        <f>D225</f>
        <v>Others</v>
      </c>
      <c r="P182" s="40">
        <f t="shared" si="174"/>
        <v>5.4689062499999999</v>
      </c>
      <c r="Q182" s="146">
        <v>0.3</v>
      </c>
      <c r="R182" s="93" t="s">
        <v>59</v>
      </c>
      <c r="S182" s="2">
        <f t="shared" si="175"/>
        <v>18.229687500000001</v>
      </c>
      <c r="T182" s="1"/>
      <c r="W182" s="152">
        <v>0.6</v>
      </c>
    </row>
    <row r="183" spans="2:23" ht="13.5" customHeight="1" outlineLevel="1" x14ac:dyDescent="0.35">
      <c r="B183" s="28"/>
      <c r="C183" s="28"/>
      <c r="D183" s="2" t="str">
        <f t="shared" si="176"/>
        <v>Melonseed</v>
      </c>
      <c r="E183" s="120">
        <f t="shared" ref="E183:I183" si="189">E136</f>
        <v>0.13800000000000001</v>
      </c>
      <c r="F183" s="103">
        <f t="shared" si="189"/>
        <v>0.13200000000000001</v>
      </c>
      <c r="G183" s="103">
        <f t="shared" si="189"/>
        <v>0.76200000000000001</v>
      </c>
      <c r="H183" s="121">
        <f t="shared" si="189"/>
        <v>0.76200000000000001</v>
      </c>
      <c r="I183" s="121">
        <f t="shared" si="189"/>
        <v>1.7968966813054428</v>
      </c>
      <c r="J183" s="109">
        <f t="shared" ref="J183:K183" si="190">J136</f>
        <v>1.886741515370715</v>
      </c>
      <c r="K183" s="109">
        <f t="shared" si="190"/>
        <v>1.9810785911392508</v>
      </c>
      <c r="L183" s="109">
        <f t="shared" ref="L183:M183" si="191">IF($P183&lt;K183,K183,K183+($P183-K183)*L$175)</f>
        <v>3.1436878107595003</v>
      </c>
      <c r="M183" s="198">
        <f t="shared" si="191"/>
        <v>3.9187606238396668</v>
      </c>
      <c r="O183" s="2" t="str">
        <f>D225</f>
        <v>Others</v>
      </c>
      <c r="P183" s="40">
        <f t="shared" si="174"/>
        <v>5.4689062499999999</v>
      </c>
      <c r="Q183" s="146">
        <v>0.3</v>
      </c>
      <c r="R183" s="93" t="s">
        <v>59</v>
      </c>
      <c r="S183" s="2">
        <f t="shared" si="175"/>
        <v>18.229687500000001</v>
      </c>
      <c r="T183" s="1"/>
      <c r="W183" s="152">
        <f>80%</f>
        <v>0.8</v>
      </c>
    </row>
    <row r="184" spans="2:23" ht="13.5" customHeight="1" outlineLevel="1" x14ac:dyDescent="0.35">
      <c r="B184" s="28"/>
      <c r="C184" s="28"/>
      <c r="D184" s="2" t="str">
        <f t="shared" si="176"/>
        <v>Cow peas, dry</v>
      </c>
      <c r="E184" s="120">
        <f t="shared" ref="E184:I184" si="192">E137</f>
        <v>0.13800000000000001</v>
      </c>
      <c r="F184" s="103">
        <f t="shared" si="192"/>
        <v>0.13200000000000001</v>
      </c>
      <c r="G184" s="103">
        <f t="shared" si="192"/>
        <v>0.76200000000000001</v>
      </c>
      <c r="H184" s="121">
        <f t="shared" si="192"/>
        <v>0.76200000000000001</v>
      </c>
      <c r="I184" s="121">
        <f t="shared" si="192"/>
        <v>1.7968966813054428</v>
      </c>
      <c r="J184" s="109">
        <f t="shared" ref="J184:K184" si="193">J137</f>
        <v>1.886741515370715</v>
      </c>
      <c r="K184" s="109">
        <f t="shared" si="193"/>
        <v>1.9810785911392508</v>
      </c>
      <c r="L184" s="109">
        <f t="shared" ref="L184:M184" si="194">IF($P184&lt;K184,K184,K184+($P184-K184)*L$175)</f>
        <v>3.4942190607595003</v>
      </c>
      <c r="M184" s="198">
        <f t="shared" si="194"/>
        <v>4.5029793738396666</v>
      </c>
      <c r="O184" s="2" t="str">
        <f>D214</f>
        <v>Leguminous</v>
      </c>
      <c r="P184" s="40">
        <f t="shared" si="174"/>
        <v>6.5204999999999993</v>
      </c>
      <c r="Q184" s="146">
        <v>0.3</v>
      </c>
      <c r="R184" s="93" t="s">
        <v>59</v>
      </c>
      <c r="S184" s="2">
        <f t="shared" si="175"/>
        <v>21.734999999999999</v>
      </c>
      <c r="T184" s="1"/>
      <c r="W184" s="152">
        <f>80%</f>
        <v>0.8</v>
      </c>
    </row>
    <row r="185" spans="2:23" ht="13.5" customHeight="1" outlineLevel="1" x14ac:dyDescent="0.35">
      <c r="B185" s="28"/>
      <c r="C185" s="28"/>
      <c r="D185" s="2" t="str">
        <f t="shared" si="176"/>
        <v>Wheat</v>
      </c>
      <c r="E185" s="120">
        <f t="shared" ref="E185:I185" si="195">E138</f>
        <v>0.48300000000000004</v>
      </c>
      <c r="F185" s="103">
        <f t="shared" si="195"/>
        <v>0.46200000000000002</v>
      </c>
      <c r="G185" s="103">
        <f t="shared" si="195"/>
        <v>2.6670000000000003</v>
      </c>
      <c r="H185" s="121">
        <f t="shared" si="195"/>
        <v>2.6670000000000003</v>
      </c>
      <c r="I185" s="121">
        <f t="shared" si="195"/>
        <v>6.2891383845690507</v>
      </c>
      <c r="J185" s="109">
        <f t="shared" ref="J185:K185" si="196">J138</f>
        <v>7.8981028456450018</v>
      </c>
      <c r="K185" s="109">
        <f t="shared" si="196"/>
        <v>9.9186923145848578</v>
      </c>
      <c r="L185" s="109">
        <f t="shared" ref="L185:M185" si="197">IF($P185&lt;K185,K185,K185+($P185-K185)*L$175)</f>
        <v>15.350794876389903</v>
      </c>
      <c r="M185" s="198">
        <f t="shared" si="197"/>
        <v>18.972196584259933</v>
      </c>
      <c r="O185" s="2" t="str">
        <f>D218</f>
        <v>Wheat</v>
      </c>
      <c r="P185" s="40">
        <f>S185*Q185</f>
        <v>26.214999999999996</v>
      </c>
      <c r="Q185" s="146">
        <v>0.7</v>
      </c>
      <c r="R185" s="93" t="s">
        <v>61</v>
      </c>
      <c r="S185" s="2">
        <f t="shared" si="175"/>
        <v>37.449999999999996</v>
      </c>
      <c r="T185" s="1"/>
      <c r="W185" s="152">
        <f>80%</f>
        <v>0.8</v>
      </c>
    </row>
    <row r="186" spans="2:23" ht="13.5" customHeight="1" outlineLevel="1" x14ac:dyDescent="0.35">
      <c r="B186" s="28"/>
      <c r="C186" s="28"/>
      <c r="D186" s="2" t="str">
        <f t="shared" si="176"/>
        <v>Onions and shallots, dry (excluding dehydrated)</v>
      </c>
      <c r="E186" s="120">
        <f t="shared" ref="E186:I186" si="198">E139</f>
        <v>0.115</v>
      </c>
      <c r="F186" s="103">
        <f t="shared" si="198"/>
        <v>0.11</v>
      </c>
      <c r="G186" s="103">
        <f t="shared" si="198"/>
        <v>0.63500000000000001</v>
      </c>
      <c r="H186" s="121">
        <f t="shared" si="198"/>
        <v>0.63500000000000001</v>
      </c>
      <c r="I186" s="121">
        <f t="shared" si="198"/>
        <v>1.4974139010878691</v>
      </c>
      <c r="J186" s="109">
        <f t="shared" ref="J186:K186" si="199">J139</f>
        <v>1.5722845961422627</v>
      </c>
      <c r="K186" s="109">
        <f t="shared" si="199"/>
        <v>1.650898825949376</v>
      </c>
      <c r="L186" s="109">
        <f t="shared" ref="L186:M186" si="200">IF($P186&lt;K186,K186,K186+($P186-K186)*L$175)</f>
        <v>5.399974217299583</v>
      </c>
      <c r="M186" s="198">
        <f t="shared" si="200"/>
        <v>7.8993578115330543</v>
      </c>
      <c r="O186" s="2" t="str">
        <f>D224</f>
        <v>Gardening crop</v>
      </c>
      <c r="P186" s="40">
        <f>S186*Q186</f>
        <v>12.898124999999999</v>
      </c>
      <c r="Q186" s="146">
        <v>0.3</v>
      </c>
      <c r="R186" s="93" t="s">
        <v>59</v>
      </c>
      <c r="S186" s="2">
        <f t="shared" si="175"/>
        <v>42.993749999999999</v>
      </c>
      <c r="T186" s="1"/>
      <c r="W186" s="152">
        <f>80%</f>
        <v>0.8</v>
      </c>
    </row>
    <row r="187" spans="2:23" ht="13.5" customHeight="1" outlineLevel="1" x14ac:dyDescent="0.35">
      <c r="B187" s="28"/>
      <c r="C187" s="28"/>
      <c r="D187" s="2" t="str">
        <f t="shared" si="176"/>
        <v>Bananas</v>
      </c>
      <c r="E187" s="120">
        <f t="shared" ref="E187:I187" si="201">E140</f>
        <v>0.115</v>
      </c>
      <c r="F187" s="103">
        <f t="shared" si="201"/>
        <v>0.11</v>
      </c>
      <c r="G187" s="103">
        <f t="shared" si="201"/>
        <v>0.63500000000000001</v>
      </c>
      <c r="H187" s="121">
        <f t="shared" si="201"/>
        <v>0.63500000000000001</v>
      </c>
      <c r="I187" s="121">
        <f t="shared" si="201"/>
        <v>1.4974139010878691</v>
      </c>
      <c r="J187" s="109">
        <f t="shared" ref="J187:K187" si="202">J140</f>
        <v>1.5722845961422627</v>
      </c>
      <c r="K187" s="109">
        <f t="shared" si="202"/>
        <v>1.650898825949376</v>
      </c>
      <c r="L187" s="109">
        <f t="shared" ref="L187:M187" si="203">IF($P187&lt;K187,K187,K187+($P187-K187)*L$175)</f>
        <v>5.399974217299583</v>
      </c>
      <c r="M187" s="198">
        <f t="shared" si="203"/>
        <v>7.8993578115330543</v>
      </c>
      <c r="O187" s="2" t="str">
        <f>D224</f>
        <v>Gardening crop</v>
      </c>
      <c r="P187" s="40">
        <f>S187*Q187</f>
        <v>12.898124999999999</v>
      </c>
      <c r="Q187" s="146">
        <v>0.3</v>
      </c>
      <c r="R187" s="93" t="s">
        <v>59</v>
      </c>
      <c r="S187" s="2">
        <f t="shared" si="175"/>
        <v>42.993749999999999</v>
      </c>
      <c r="T187" s="1" t="s">
        <v>63</v>
      </c>
      <c r="W187" s="152">
        <f>80%</f>
        <v>0.8</v>
      </c>
    </row>
    <row r="188" spans="2:23" ht="13.5" customHeight="1" outlineLevel="1" x14ac:dyDescent="0.35">
      <c r="B188" s="28"/>
      <c r="C188" s="28"/>
      <c r="D188" s="2" t="str">
        <f t="shared" si="176"/>
        <v>Mangoes, guavas and mangosteens</v>
      </c>
      <c r="E188" s="120">
        <f t="shared" ref="E188:I188" si="204">E141</f>
        <v>0.115</v>
      </c>
      <c r="F188" s="103">
        <f t="shared" si="204"/>
        <v>0.11</v>
      </c>
      <c r="G188" s="103">
        <f t="shared" si="204"/>
        <v>0.63500000000000001</v>
      </c>
      <c r="H188" s="121">
        <f t="shared" si="204"/>
        <v>0.63500000000000001</v>
      </c>
      <c r="I188" s="121">
        <f t="shared" si="204"/>
        <v>1.4974139010878691</v>
      </c>
      <c r="J188" s="109">
        <f t="shared" ref="J188:K188" si="205">J141</f>
        <v>1.5722845961422627</v>
      </c>
      <c r="K188" s="109">
        <f t="shared" si="205"/>
        <v>1.650898825949376</v>
      </c>
      <c r="L188" s="109">
        <f t="shared" ref="L188:M188" si="206">IF($P188&lt;K188,K188,K188+($P188-K188)*L$175)</f>
        <v>5.399974217299583</v>
      </c>
      <c r="M188" s="198">
        <f t="shared" si="206"/>
        <v>7.8993578115330543</v>
      </c>
      <c r="O188" s="2" t="str">
        <f>D224</f>
        <v>Gardening crop</v>
      </c>
      <c r="P188" s="40">
        <f t="shared" si="174"/>
        <v>12.898124999999999</v>
      </c>
      <c r="Q188" s="146">
        <v>0.3</v>
      </c>
      <c r="R188" s="93" t="s">
        <v>59</v>
      </c>
      <c r="S188" s="2">
        <f t="shared" si="175"/>
        <v>42.993749999999999</v>
      </c>
      <c r="T188" s="1"/>
      <c r="W188" s="152">
        <v>0.6</v>
      </c>
    </row>
    <row r="189" spans="2:23" ht="13.5" customHeight="1" outlineLevel="1" x14ac:dyDescent="0.35">
      <c r="B189" s="28"/>
      <c r="C189" s="28"/>
      <c r="D189" s="2" t="str">
        <f t="shared" si="176"/>
        <v>Cantaloupes and other melons</v>
      </c>
      <c r="E189" s="120">
        <f t="shared" ref="E189:I189" si="207">E142</f>
        <v>0.115</v>
      </c>
      <c r="F189" s="103">
        <f t="shared" si="207"/>
        <v>0.11</v>
      </c>
      <c r="G189" s="103">
        <f t="shared" si="207"/>
        <v>0.63500000000000001</v>
      </c>
      <c r="H189" s="121">
        <f t="shared" si="207"/>
        <v>0.63500000000000001</v>
      </c>
      <c r="I189" s="121">
        <f t="shared" si="207"/>
        <v>1.4974139010878691</v>
      </c>
      <c r="J189" s="109">
        <f t="shared" ref="J189:K189" si="208">J142</f>
        <v>1.5722845961422627</v>
      </c>
      <c r="K189" s="109">
        <f t="shared" si="208"/>
        <v>1.650898825949376</v>
      </c>
      <c r="L189" s="109">
        <f t="shared" ref="L189:M189" si="209">IF($P189&lt;K189,K189,K189+($P189-K189)*L$175)</f>
        <v>5.399974217299583</v>
      </c>
      <c r="M189" s="198">
        <f t="shared" si="209"/>
        <v>7.8993578115330543</v>
      </c>
      <c r="O189" s="2" t="str">
        <f>D224</f>
        <v>Gardening crop</v>
      </c>
      <c r="P189" s="40">
        <f t="shared" si="174"/>
        <v>12.898124999999999</v>
      </c>
      <c r="Q189" s="146">
        <v>0.3</v>
      </c>
      <c r="R189" s="93" t="s">
        <v>59</v>
      </c>
      <c r="S189" s="2">
        <f t="shared" si="175"/>
        <v>42.993749999999999</v>
      </c>
      <c r="T189" s="1"/>
      <c r="W189" s="152">
        <f>80%</f>
        <v>0.8</v>
      </c>
    </row>
    <row r="190" spans="2:23" ht="13.5" customHeight="1" outlineLevel="1" x14ac:dyDescent="0.35">
      <c r="B190" s="28"/>
      <c r="C190" s="28"/>
      <c r="D190" s="2" t="str">
        <f t="shared" si="176"/>
        <v>Sunflower seed</v>
      </c>
      <c r="E190" s="120">
        <f t="shared" ref="E190:I190" si="210">E143</f>
        <v>0.13800000000000001</v>
      </c>
      <c r="F190" s="103">
        <f t="shared" si="210"/>
        <v>0.13200000000000001</v>
      </c>
      <c r="G190" s="103">
        <f t="shared" si="210"/>
        <v>0.76200000000000001</v>
      </c>
      <c r="H190" s="121">
        <f t="shared" si="210"/>
        <v>0.76200000000000001</v>
      </c>
      <c r="I190" s="121">
        <f t="shared" si="210"/>
        <v>1.7968966813054428</v>
      </c>
      <c r="J190" s="109">
        <f t="shared" ref="J190:K190" si="211">J143</f>
        <v>1.886741515370715</v>
      </c>
      <c r="K190" s="109">
        <f t="shared" si="211"/>
        <v>1.9810785911392508</v>
      </c>
      <c r="L190" s="109">
        <f t="shared" ref="L190:M190" si="212">IF($P190&lt;K190,K190,K190+($P190-K190)*L$175)</f>
        <v>3.4942190607595003</v>
      </c>
      <c r="M190" s="198">
        <f t="shared" si="212"/>
        <v>4.5029793738396666</v>
      </c>
      <c r="O190" s="2" t="str">
        <f>D214</f>
        <v>Leguminous</v>
      </c>
      <c r="P190" s="40">
        <f t="shared" si="174"/>
        <v>6.5204999999999993</v>
      </c>
      <c r="Q190" s="146">
        <v>0.3</v>
      </c>
      <c r="R190" s="93" t="s">
        <v>59</v>
      </c>
      <c r="S190" s="2">
        <f t="shared" si="175"/>
        <v>21.734999999999999</v>
      </c>
      <c r="T190" s="1"/>
      <c r="W190" s="152">
        <f>80%</f>
        <v>0.8</v>
      </c>
    </row>
    <row r="191" spans="2:23" ht="13.5" customHeight="1" outlineLevel="1" x14ac:dyDescent="0.35">
      <c r="B191" s="28"/>
      <c r="C191" s="28"/>
      <c r="D191" s="2" t="str">
        <f t="shared" si="176"/>
        <v>Cauliflowers and broccoli</v>
      </c>
      <c r="E191" s="120">
        <f t="shared" ref="E191:I191" si="213">E144</f>
        <v>0.115</v>
      </c>
      <c r="F191" s="103">
        <f t="shared" si="213"/>
        <v>0.11</v>
      </c>
      <c r="G191" s="103">
        <f t="shared" si="213"/>
        <v>0.63500000000000001</v>
      </c>
      <c r="H191" s="121">
        <f t="shared" si="213"/>
        <v>0.63500000000000001</v>
      </c>
      <c r="I191" s="121">
        <f t="shared" si="213"/>
        <v>1.4974139010878691</v>
      </c>
      <c r="J191" s="109">
        <f t="shared" ref="J191:K191" si="214">J144</f>
        <v>1.5722845961422627</v>
      </c>
      <c r="K191" s="109">
        <f t="shared" si="214"/>
        <v>1.650898825949376</v>
      </c>
      <c r="L191" s="109">
        <f t="shared" ref="L191:M191" si="215">IF($P191&lt;K191,K191,K191+($P191-K191)*L$175)</f>
        <v>5.399974217299583</v>
      </c>
      <c r="M191" s="198">
        <f t="shared" si="215"/>
        <v>7.8993578115330543</v>
      </c>
      <c r="O191" s="2" t="str">
        <f>D224</f>
        <v>Gardening crop</v>
      </c>
      <c r="P191" s="40">
        <f t="shared" si="174"/>
        <v>12.898124999999999</v>
      </c>
      <c r="Q191" s="146">
        <v>0.3</v>
      </c>
      <c r="R191" s="93" t="s">
        <v>59</v>
      </c>
      <c r="S191" s="2">
        <f t="shared" si="175"/>
        <v>42.993749999999999</v>
      </c>
      <c r="T191" s="1"/>
      <c r="W191" s="152">
        <v>0.6</v>
      </c>
    </row>
    <row r="192" spans="2:23" ht="13.5" customHeight="1" outlineLevel="1" x14ac:dyDescent="0.35">
      <c r="B192" s="28"/>
      <c r="C192" s="28"/>
      <c r="D192" s="2" t="str">
        <f t="shared" si="176"/>
        <v>Seed cotton, unginned</v>
      </c>
      <c r="E192" s="120">
        <f t="shared" ref="E192:I192" si="216">E145</f>
        <v>0.29900000000000004</v>
      </c>
      <c r="F192" s="103">
        <f t="shared" si="216"/>
        <v>0.28600000000000003</v>
      </c>
      <c r="G192" s="103">
        <f t="shared" si="216"/>
        <v>1.651</v>
      </c>
      <c r="H192" s="121">
        <f t="shared" si="216"/>
        <v>1.651</v>
      </c>
      <c r="I192" s="121">
        <f t="shared" si="216"/>
        <v>3.8932761428284599</v>
      </c>
      <c r="J192" s="109">
        <f t="shared" ref="J192:K192" si="217">J145</f>
        <v>4.6402953568994363</v>
      </c>
      <c r="K192" s="109">
        <f t="shared" si="217"/>
        <v>5.53064827906588</v>
      </c>
      <c r="L192" s="109">
        <f t="shared" ref="L192:M192" si="218">IF($P192&lt;K192,K192,K192+($P192-K192)*L$175)</f>
        <v>8.2516821860439187</v>
      </c>
      <c r="M192" s="198">
        <f t="shared" si="218"/>
        <v>10.065704790695946</v>
      </c>
      <c r="O192" s="2" t="str">
        <f>D222</f>
        <v>Textile plant</v>
      </c>
      <c r="P192" s="40">
        <f t="shared" si="174"/>
        <v>13.69375</v>
      </c>
      <c r="Q192" s="146">
        <v>0.5</v>
      </c>
      <c r="R192" s="93" t="s">
        <v>61</v>
      </c>
      <c r="S192" s="2">
        <f t="shared" si="175"/>
        <v>27.387499999999999</v>
      </c>
      <c r="T192" s="1"/>
      <c r="W192" s="152">
        <v>0.6</v>
      </c>
    </row>
    <row r="193" spans="2:23" ht="13.5" customHeight="1" outlineLevel="1" x14ac:dyDescent="0.35">
      <c r="B193" s="28"/>
      <c r="C193" s="28"/>
      <c r="D193" s="2" t="str">
        <f t="shared" si="176"/>
        <v>Cucumbers and gherkins</v>
      </c>
      <c r="E193" s="120">
        <f t="shared" ref="E193:I193" si="219">E146</f>
        <v>0.115</v>
      </c>
      <c r="F193" s="103">
        <f t="shared" si="219"/>
        <v>0.11</v>
      </c>
      <c r="G193" s="103">
        <f t="shared" si="219"/>
        <v>0.63500000000000001</v>
      </c>
      <c r="H193" s="121">
        <f t="shared" si="219"/>
        <v>0.63500000000000001</v>
      </c>
      <c r="I193" s="121">
        <f t="shared" si="219"/>
        <v>1.4974139010878691</v>
      </c>
      <c r="J193" s="109">
        <f t="shared" ref="J193:K193" si="220">J146</f>
        <v>1.5722845961422627</v>
      </c>
      <c r="K193" s="109">
        <f t="shared" si="220"/>
        <v>1.650898825949376</v>
      </c>
      <c r="L193" s="109">
        <f t="shared" ref="L193:M193" si="221">IF($P193&lt;K193,K193,K193+($P193-K193)*L$175)</f>
        <v>9.6993492172995825</v>
      </c>
      <c r="M193" s="198">
        <f t="shared" si="221"/>
        <v>15.064982811533055</v>
      </c>
      <c r="O193" s="2" t="str">
        <f>D224</f>
        <v>Gardening crop</v>
      </c>
      <c r="P193" s="40">
        <f t="shared" si="174"/>
        <v>25.796249999999997</v>
      </c>
      <c r="Q193" s="146">
        <v>0.6</v>
      </c>
      <c r="R193" s="93" t="s">
        <v>59</v>
      </c>
      <c r="S193" s="2">
        <f t="shared" si="175"/>
        <v>42.993749999999999</v>
      </c>
      <c r="T193" s="1"/>
      <c r="W193" s="152">
        <v>0.6</v>
      </c>
    </row>
    <row r="194" spans="2:23" ht="13.5" customHeight="1" outlineLevel="1" x14ac:dyDescent="0.35">
      <c r="B194" s="28"/>
      <c r="C194" s="28"/>
      <c r="D194" s="2" t="str">
        <f t="shared" si="176"/>
        <v>Tomatoes</v>
      </c>
      <c r="E194" s="120">
        <f t="shared" ref="E194:I194" si="222">E147</f>
        <v>0.115</v>
      </c>
      <c r="F194" s="103">
        <f t="shared" si="222"/>
        <v>0.11</v>
      </c>
      <c r="G194" s="103">
        <f t="shared" si="222"/>
        <v>0.63500000000000001</v>
      </c>
      <c r="H194" s="121">
        <f t="shared" si="222"/>
        <v>0.63500000000000001</v>
      </c>
      <c r="I194" s="121">
        <f t="shared" si="222"/>
        <v>1.4974139010878691</v>
      </c>
      <c r="J194" s="109">
        <f t="shared" ref="J194:K194" si="223">J147</f>
        <v>1.5722845961422627</v>
      </c>
      <c r="K194" s="109">
        <f t="shared" si="223"/>
        <v>1.650898825949376</v>
      </c>
      <c r="L194" s="109">
        <f t="shared" ref="L194:M194" si="224">IF($P194&lt;K194,K194,K194+($P194-K194)*L$175)</f>
        <v>5.399974217299583</v>
      </c>
      <c r="M194" s="198">
        <f t="shared" si="224"/>
        <v>7.8993578115330543</v>
      </c>
      <c r="O194" s="2" t="str">
        <f>D224</f>
        <v>Gardening crop</v>
      </c>
      <c r="P194" s="40">
        <f t="shared" si="174"/>
        <v>12.898124999999999</v>
      </c>
      <c r="Q194" s="146">
        <v>0.3</v>
      </c>
      <c r="R194" s="93" t="s">
        <v>59</v>
      </c>
      <c r="S194" s="2">
        <f t="shared" si="175"/>
        <v>42.993749999999999</v>
      </c>
      <c r="T194" s="1"/>
      <c r="W194" s="152">
        <f>80%</f>
        <v>0.8</v>
      </c>
    </row>
    <row r="195" spans="2:23" ht="13.5" customHeight="1" outlineLevel="1" x14ac:dyDescent="0.35">
      <c r="B195" s="28"/>
      <c r="C195" s="28"/>
      <c r="D195" s="2" t="str">
        <f t="shared" si="176"/>
        <v>Potatoes</v>
      </c>
      <c r="E195" s="120">
        <f t="shared" ref="E195:I195" si="225">E148</f>
        <v>0.115</v>
      </c>
      <c r="F195" s="103">
        <f t="shared" si="225"/>
        <v>0.11</v>
      </c>
      <c r="G195" s="103">
        <f t="shared" si="225"/>
        <v>0.63500000000000001</v>
      </c>
      <c r="H195" s="121">
        <f t="shared" si="225"/>
        <v>0.63500000000000001</v>
      </c>
      <c r="I195" s="121">
        <f t="shared" si="225"/>
        <v>1.4974139010878691</v>
      </c>
      <c r="J195" s="109">
        <f t="shared" ref="J195:K195" si="226">J148</f>
        <v>1.5722845961422627</v>
      </c>
      <c r="K195" s="109">
        <f t="shared" si="226"/>
        <v>1.650898825949376</v>
      </c>
      <c r="L195" s="109">
        <f t="shared" ref="L195:M195" si="227">IF($P195&lt;K195,K195,K195+($P195-K195)*L$175)</f>
        <v>6.0449742172995835</v>
      </c>
      <c r="M195" s="198">
        <f t="shared" si="227"/>
        <v>8.9743578115330553</v>
      </c>
      <c r="O195" s="2" t="str">
        <f>D223</f>
        <v>Tubercules</v>
      </c>
      <c r="P195" s="40">
        <f t="shared" si="174"/>
        <v>14.833124999999999</v>
      </c>
      <c r="Q195" s="146">
        <v>0.3</v>
      </c>
      <c r="R195" s="93" t="s">
        <v>59</v>
      </c>
      <c r="S195" s="2">
        <f t="shared" si="175"/>
        <v>49.443750000000001</v>
      </c>
      <c r="T195" s="1"/>
      <c r="W195" s="152">
        <v>0.6</v>
      </c>
    </row>
    <row r="196" spans="2:23" ht="13.5" customHeight="1" outlineLevel="1" x14ac:dyDescent="0.35">
      <c r="B196" s="28"/>
      <c r="C196" s="28"/>
      <c r="D196" s="2" t="str">
        <f t="shared" si="176"/>
        <v>Pumpkins, squash and gourds</v>
      </c>
      <c r="E196" s="120">
        <f t="shared" ref="E196:I196" si="228">E149</f>
        <v>0.115</v>
      </c>
      <c r="F196" s="103">
        <f t="shared" si="228"/>
        <v>0.11</v>
      </c>
      <c r="G196" s="103">
        <f t="shared" si="228"/>
        <v>0.63500000000000001</v>
      </c>
      <c r="H196" s="121">
        <f t="shared" si="228"/>
        <v>0.63500000000000001</v>
      </c>
      <c r="I196" s="121">
        <f t="shared" si="228"/>
        <v>1.4974139010878691</v>
      </c>
      <c r="J196" s="109">
        <f t="shared" ref="J196:K196" si="229">J149</f>
        <v>1.5722845961422627</v>
      </c>
      <c r="K196" s="109">
        <f t="shared" si="229"/>
        <v>1.650898825949376</v>
      </c>
      <c r="L196" s="109">
        <f t="shared" ref="L196:M196" si="230">IF($P196&lt;K196,K196,K196+($P196-K196)*L$175)</f>
        <v>2.9235679672995838</v>
      </c>
      <c r="M196" s="198">
        <f t="shared" si="230"/>
        <v>3.7720140615330555</v>
      </c>
      <c r="O196" s="2" t="str">
        <f>D225</f>
        <v>Others</v>
      </c>
      <c r="P196" s="40">
        <f t="shared" si="174"/>
        <v>5.4689062499999999</v>
      </c>
      <c r="Q196" s="146">
        <v>0.3</v>
      </c>
      <c r="R196" s="93" t="s">
        <v>59</v>
      </c>
      <c r="S196" s="2">
        <f t="shared" si="175"/>
        <v>18.229687500000001</v>
      </c>
      <c r="T196" s="1"/>
      <c r="W196" s="152">
        <f>80%</f>
        <v>0.8</v>
      </c>
    </row>
    <row r="197" spans="2:23" ht="13.5" customHeight="1" outlineLevel="1" x14ac:dyDescent="0.35">
      <c r="B197" s="28"/>
      <c r="C197" s="28"/>
      <c r="D197" s="2" t="str">
        <f t="shared" si="176"/>
        <v>Dates</v>
      </c>
      <c r="E197" s="120">
        <f t="shared" ref="E197:I197" si="231">E150</f>
        <v>0.115</v>
      </c>
      <c r="F197" s="103">
        <f t="shared" si="231"/>
        <v>0.11</v>
      </c>
      <c r="G197" s="103">
        <f t="shared" si="231"/>
        <v>0.63500000000000001</v>
      </c>
      <c r="H197" s="121">
        <f t="shared" si="231"/>
        <v>0.63500000000000001</v>
      </c>
      <c r="I197" s="121">
        <f t="shared" si="231"/>
        <v>1.4974139010878691</v>
      </c>
      <c r="J197" s="109">
        <f t="shared" ref="J197:K197" si="232">J150</f>
        <v>1.5722845961422627</v>
      </c>
      <c r="K197" s="109">
        <f t="shared" si="232"/>
        <v>1.650898825949376</v>
      </c>
      <c r="L197" s="109">
        <f t="shared" ref="L197:M197" si="233">IF($P197&lt;K197,K197,K197+($P197-K197)*L$175)</f>
        <v>5.399974217299583</v>
      </c>
      <c r="M197" s="198">
        <f t="shared" si="233"/>
        <v>7.8993578115330543</v>
      </c>
      <c r="O197" s="2" t="str">
        <f>D224</f>
        <v>Gardening crop</v>
      </c>
      <c r="P197" s="40">
        <f t="shared" si="174"/>
        <v>12.898124999999999</v>
      </c>
      <c r="Q197" s="146">
        <v>0.3</v>
      </c>
      <c r="R197" s="93" t="s">
        <v>59</v>
      </c>
      <c r="S197" s="2">
        <f t="shared" si="175"/>
        <v>42.993749999999999</v>
      </c>
      <c r="T197" s="1"/>
      <c r="W197" s="152">
        <v>0.6</v>
      </c>
    </row>
    <row r="198" spans="2:23" ht="13.5" customHeight="1" outlineLevel="1" x14ac:dyDescent="0.35">
      <c r="B198" s="28"/>
      <c r="C198" s="28"/>
      <c r="D198" s="2" t="str">
        <f t="shared" si="176"/>
        <v>Pomelos and grapefruits</v>
      </c>
      <c r="E198" s="120">
        <f>E151</f>
        <v>0.115</v>
      </c>
      <c r="F198" s="103">
        <f t="shared" si="176"/>
        <v>0.11</v>
      </c>
      <c r="G198" s="103">
        <f t="shared" si="176"/>
        <v>0.63500000000000001</v>
      </c>
      <c r="H198" s="121">
        <f t="shared" si="176"/>
        <v>0.63500000000000001</v>
      </c>
      <c r="I198" s="121">
        <f t="shared" si="176"/>
        <v>1.4974139010878691</v>
      </c>
      <c r="J198" s="109">
        <f t="shared" ref="J198:K198" si="234">J151</f>
        <v>1.5722845961422627</v>
      </c>
      <c r="K198" s="109">
        <f t="shared" si="234"/>
        <v>1.650898825949376</v>
      </c>
      <c r="L198" s="109">
        <f t="shared" ref="L198:L208" si="235">IF($P198&lt;K198,K198,K198+($P198-K198)*L$175)</f>
        <v>5.399974217299583</v>
      </c>
      <c r="M198" s="198">
        <f t="shared" ref="M198:M208" si="236">IF($P198&lt;L198,L198,L198+($P198-L198)*M$175)</f>
        <v>7.8993578115330543</v>
      </c>
      <c r="O198" s="2" t="str">
        <f>D224</f>
        <v>Gardening crop</v>
      </c>
      <c r="P198" s="40">
        <f t="shared" si="174"/>
        <v>12.898124999999999</v>
      </c>
      <c r="Q198" s="146">
        <v>0.3</v>
      </c>
      <c r="R198" s="93" t="s">
        <v>59</v>
      </c>
      <c r="S198" s="2">
        <f t="shared" ref="S198:S208" si="237">_xlfn.XLOOKUP(O198,$D$214:$D$225,$G$214:$G$225)</f>
        <v>42.993749999999999</v>
      </c>
      <c r="T198" s="1"/>
      <c r="W198" s="152"/>
    </row>
    <row r="199" spans="2:23" ht="13.5" customHeight="1" outlineLevel="1" x14ac:dyDescent="0.35">
      <c r="B199" s="28"/>
      <c r="C199" s="28"/>
      <c r="D199" s="2" t="str">
        <f t="shared" si="176"/>
        <v>Okra</v>
      </c>
      <c r="E199" s="120">
        <f t="shared" si="176"/>
        <v>0.115</v>
      </c>
      <c r="F199" s="103">
        <f t="shared" si="176"/>
        <v>0.11</v>
      </c>
      <c r="G199" s="103">
        <f t="shared" si="176"/>
        <v>0.63500000000000001</v>
      </c>
      <c r="H199" s="121">
        <f t="shared" si="176"/>
        <v>0.63500000000000001</v>
      </c>
      <c r="I199" s="121">
        <f t="shared" si="176"/>
        <v>1.4974139010878691</v>
      </c>
      <c r="J199" s="109">
        <f t="shared" ref="J199:K199" si="238">J152</f>
        <v>1.5722845961422627</v>
      </c>
      <c r="K199" s="109">
        <f t="shared" si="238"/>
        <v>1.650898825949376</v>
      </c>
      <c r="L199" s="109">
        <f t="shared" si="235"/>
        <v>5.399974217299583</v>
      </c>
      <c r="M199" s="198">
        <f t="shared" si="236"/>
        <v>7.8993578115330543</v>
      </c>
      <c r="O199" s="2" t="str">
        <f>D224</f>
        <v>Gardening crop</v>
      </c>
      <c r="P199" s="40">
        <f t="shared" si="174"/>
        <v>12.898124999999999</v>
      </c>
      <c r="Q199" s="146">
        <v>0.3</v>
      </c>
      <c r="R199" s="93" t="s">
        <v>59</v>
      </c>
      <c r="S199" s="2">
        <f t="shared" si="237"/>
        <v>42.993749999999999</v>
      </c>
      <c r="T199" s="1"/>
      <c r="W199" s="152"/>
    </row>
    <row r="200" spans="2:23" ht="13.5" customHeight="1" outlineLevel="1" x14ac:dyDescent="0.35">
      <c r="B200" s="28"/>
      <c r="C200" s="28"/>
      <c r="D200" s="2" t="str">
        <f t="shared" si="176"/>
        <v>Lemons and limes</v>
      </c>
      <c r="E200" s="120">
        <f t="shared" si="176"/>
        <v>0.115</v>
      </c>
      <c r="F200" s="103">
        <f t="shared" si="176"/>
        <v>0.11</v>
      </c>
      <c r="G200" s="103">
        <f t="shared" si="176"/>
        <v>0.63500000000000001</v>
      </c>
      <c r="H200" s="121">
        <f t="shared" si="176"/>
        <v>0.63500000000000001</v>
      </c>
      <c r="I200" s="121">
        <f t="shared" si="176"/>
        <v>1.4974139010878691</v>
      </c>
      <c r="J200" s="109">
        <f t="shared" ref="J200:K200" si="239">J153</f>
        <v>1.5722845961422627</v>
      </c>
      <c r="K200" s="109">
        <f t="shared" si="239"/>
        <v>1.650898825949376</v>
      </c>
      <c r="L200" s="109">
        <f t="shared" si="235"/>
        <v>5.399974217299583</v>
      </c>
      <c r="M200" s="198">
        <f t="shared" si="236"/>
        <v>7.8993578115330543</v>
      </c>
      <c r="O200" s="2" t="str">
        <f>D224</f>
        <v>Gardening crop</v>
      </c>
      <c r="P200" s="40">
        <f t="shared" si="174"/>
        <v>12.898124999999999</v>
      </c>
      <c r="Q200" s="146">
        <v>0.3</v>
      </c>
      <c r="R200" s="93" t="s">
        <v>59</v>
      </c>
      <c r="S200" s="2">
        <f t="shared" si="237"/>
        <v>42.993749999999999</v>
      </c>
      <c r="T200" s="1"/>
      <c r="W200" s="152"/>
    </row>
    <row r="201" spans="2:23" ht="13.5" customHeight="1" outlineLevel="1" x14ac:dyDescent="0.35">
      <c r="B201" s="28"/>
      <c r="C201" s="28"/>
      <c r="D201" s="2" t="str">
        <f t="shared" si="176"/>
        <v>Green garlic</v>
      </c>
      <c r="E201" s="120">
        <f t="shared" si="176"/>
        <v>0.115</v>
      </c>
      <c r="F201" s="103">
        <f t="shared" si="176"/>
        <v>0.11</v>
      </c>
      <c r="G201" s="103">
        <f t="shared" si="176"/>
        <v>0.63500000000000001</v>
      </c>
      <c r="H201" s="121">
        <f t="shared" si="176"/>
        <v>0.63500000000000001</v>
      </c>
      <c r="I201" s="121">
        <f t="shared" si="176"/>
        <v>1.4974139010878691</v>
      </c>
      <c r="J201" s="109">
        <f t="shared" ref="J201:K201" si="240">J154</f>
        <v>1.5722845961422627</v>
      </c>
      <c r="K201" s="109">
        <f t="shared" si="240"/>
        <v>1.650898825949376</v>
      </c>
      <c r="L201" s="109">
        <f t="shared" si="235"/>
        <v>5.399974217299583</v>
      </c>
      <c r="M201" s="198">
        <f t="shared" si="236"/>
        <v>7.8993578115330543</v>
      </c>
      <c r="O201" s="2" t="str">
        <f>D224</f>
        <v>Gardening crop</v>
      </c>
      <c r="P201" s="40">
        <f t="shared" si="174"/>
        <v>12.898124999999999</v>
      </c>
      <c r="Q201" s="146">
        <v>0.3</v>
      </c>
      <c r="R201" s="93" t="s">
        <v>59</v>
      </c>
      <c r="S201" s="2">
        <f t="shared" si="237"/>
        <v>42.993749999999999</v>
      </c>
      <c r="T201" s="1"/>
      <c r="W201" s="152"/>
    </row>
    <row r="202" spans="2:23" ht="13.5" customHeight="1" outlineLevel="1" x14ac:dyDescent="0.35">
      <c r="B202" s="28"/>
      <c r="C202" s="28"/>
      <c r="D202" s="2" t="str">
        <f t="shared" si="176"/>
        <v>Sweet potatoes</v>
      </c>
      <c r="E202" s="120">
        <f t="shared" si="176"/>
        <v>0.115</v>
      </c>
      <c r="F202" s="103">
        <f t="shared" si="176"/>
        <v>0.11</v>
      </c>
      <c r="G202" s="103">
        <f t="shared" si="176"/>
        <v>0.63500000000000001</v>
      </c>
      <c r="H202" s="121">
        <f t="shared" si="176"/>
        <v>0.63500000000000001</v>
      </c>
      <c r="I202" s="121">
        <f t="shared" si="176"/>
        <v>1.4974139010878691</v>
      </c>
      <c r="J202" s="109">
        <f t="shared" ref="J202:K202" si="241">J155</f>
        <v>1.5722845961422627</v>
      </c>
      <c r="K202" s="109">
        <f t="shared" si="241"/>
        <v>1.650898825949376</v>
      </c>
      <c r="L202" s="109">
        <f t="shared" si="235"/>
        <v>6.0449742172995835</v>
      </c>
      <c r="M202" s="198">
        <f t="shared" si="236"/>
        <v>8.9743578115330553</v>
      </c>
      <c r="O202" s="2" t="str">
        <f>D223</f>
        <v>Tubercules</v>
      </c>
      <c r="P202" s="40">
        <f t="shared" si="174"/>
        <v>14.833124999999999</v>
      </c>
      <c r="Q202" s="146">
        <v>0.3</v>
      </c>
      <c r="R202" s="93" t="s">
        <v>59</v>
      </c>
      <c r="S202" s="2">
        <f t="shared" si="237"/>
        <v>49.443750000000001</v>
      </c>
      <c r="T202" s="1"/>
      <c r="W202" s="152"/>
    </row>
    <row r="203" spans="2:23" ht="13.5" customHeight="1" outlineLevel="1" x14ac:dyDescent="0.35">
      <c r="B203" s="28"/>
      <c r="C203" s="28"/>
      <c r="D203" s="2" t="str">
        <f t="shared" si="176"/>
        <v>Other pulses n.e.c.</v>
      </c>
      <c r="E203" s="120">
        <f t="shared" si="176"/>
        <v>0.7360000000000001</v>
      </c>
      <c r="F203" s="103">
        <f t="shared" si="176"/>
        <v>0.70400000000000007</v>
      </c>
      <c r="G203" s="103">
        <f t="shared" si="176"/>
        <v>4.0640000000000001</v>
      </c>
      <c r="H203" s="121">
        <f t="shared" si="176"/>
        <v>4.0640000000000001</v>
      </c>
      <c r="I203" s="121">
        <f t="shared" si="176"/>
        <v>9.5834489669623633</v>
      </c>
      <c r="J203" s="109">
        <f t="shared" ref="J203:K203" si="242">J156</f>
        <v>12.035204336220955</v>
      </c>
      <c r="K203" s="109">
        <f t="shared" si="242"/>
        <v>15.114197812700736</v>
      </c>
      <c r="L203" s="109">
        <f t="shared" si="235"/>
        <v>20.426131875133823</v>
      </c>
      <c r="M203" s="198">
        <f t="shared" si="236"/>
        <v>23.967421250089217</v>
      </c>
      <c r="O203" s="2" t="str">
        <f>D214</f>
        <v>Leguminous</v>
      </c>
      <c r="P203" s="40">
        <f>E214</f>
        <v>31.05</v>
      </c>
      <c r="Q203" s="146">
        <v>1.2</v>
      </c>
      <c r="R203" s="93" t="s">
        <v>59</v>
      </c>
      <c r="S203" s="2">
        <f t="shared" si="237"/>
        <v>21.734999999999999</v>
      </c>
      <c r="T203" s="1" t="s">
        <v>270</v>
      </c>
      <c r="W203" s="152"/>
    </row>
    <row r="204" spans="2:23" ht="13.5" customHeight="1" outlineLevel="1" x14ac:dyDescent="0.35">
      <c r="B204" s="28"/>
      <c r="C204" s="28"/>
      <c r="D204" s="2" t="str">
        <f t="shared" si="176"/>
        <v>Other vegetables, fresh n.e.c.</v>
      </c>
      <c r="E204" s="120">
        <f t="shared" si="176"/>
        <v>0.115</v>
      </c>
      <c r="F204" s="103">
        <f t="shared" si="176"/>
        <v>0.11</v>
      </c>
      <c r="G204" s="103">
        <f t="shared" si="176"/>
        <v>0.63500000000000001</v>
      </c>
      <c r="H204" s="121">
        <f t="shared" si="176"/>
        <v>0.63500000000000001</v>
      </c>
      <c r="I204" s="121">
        <f t="shared" si="176"/>
        <v>1.4974139010878691</v>
      </c>
      <c r="J204" s="109">
        <f t="shared" ref="J204:K204" si="243">J157</f>
        <v>1.5722845961422627</v>
      </c>
      <c r="K204" s="109">
        <f t="shared" si="243"/>
        <v>1.650898825949376</v>
      </c>
      <c r="L204" s="109">
        <f t="shared" si="235"/>
        <v>5.399974217299583</v>
      </c>
      <c r="M204" s="198">
        <f t="shared" si="236"/>
        <v>7.8993578115330543</v>
      </c>
      <c r="O204" s="2" t="str">
        <f>D224</f>
        <v>Gardening crop</v>
      </c>
      <c r="P204" s="40">
        <f t="shared" si="174"/>
        <v>12.898124999999999</v>
      </c>
      <c r="Q204" s="146">
        <v>0.3</v>
      </c>
      <c r="R204" s="93" t="s">
        <v>59</v>
      </c>
      <c r="S204" s="2">
        <f t="shared" si="237"/>
        <v>42.993749999999999</v>
      </c>
      <c r="T204" s="1"/>
      <c r="W204" s="152"/>
    </row>
    <row r="205" spans="2:23" ht="13.5" customHeight="1" outlineLevel="1" x14ac:dyDescent="0.35">
      <c r="B205" s="28"/>
      <c r="C205" s="28"/>
      <c r="D205" s="2" t="str">
        <f t="shared" si="176"/>
        <v>Other fruits, n.e.c.</v>
      </c>
      <c r="E205" s="120">
        <f t="shared" si="176"/>
        <v>0.115</v>
      </c>
      <c r="F205" s="103">
        <f t="shared" si="176"/>
        <v>0.11</v>
      </c>
      <c r="G205" s="103">
        <f t="shared" si="176"/>
        <v>0.63500000000000001</v>
      </c>
      <c r="H205" s="121">
        <f t="shared" si="176"/>
        <v>0.63500000000000001</v>
      </c>
      <c r="I205" s="121">
        <f t="shared" si="176"/>
        <v>1.4974139010878691</v>
      </c>
      <c r="J205" s="109">
        <f t="shared" ref="J205:K205" si="244">J158</f>
        <v>1.5722845961422627</v>
      </c>
      <c r="K205" s="109">
        <f t="shared" si="244"/>
        <v>1.650898825949376</v>
      </c>
      <c r="L205" s="109">
        <f t="shared" si="235"/>
        <v>5.399974217299583</v>
      </c>
      <c r="M205" s="198">
        <f t="shared" si="236"/>
        <v>7.8993578115330543</v>
      </c>
      <c r="O205" s="2" t="str">
        <f>D224</f>
        <v>Gardening crop</v>
      </c>
      <c r="P205" s="40">
        <f t="shared" si="174"/>
        <v>12.898124999999999</v>
      </c>
      <c r="Q205" s="146">
        <v>0.3</v>
      </c>
      <c r="R205" s="93" t="s">
        <v>59</v>
      </c>
      <c r="S205" s="2">
        <f t="shared" si="237"/>
        <v>42.993749999999999</v>
      </c>
      <c r="T205" s="1"/>
      <c r="W205" s="152"/>
    </row>
    <row r="206" spans="2:23" ht="13.5" customHeight="1" outlineLevel="1" x14ac:dyDescent="0.35">
      <c r="B206" s="28"/>
      <c r="C206" s="28"/>
      <c r="D206" s="2" t="str">
        <f t="shared" si="176"/>
        <v>Broad beans and horse beans, dry</v>
      </c>
      <c r="E206" s="120">
        <f t="shared" si="176"/>
        <v>0.115</v>
      </c>
      <c r="F206" s="103">
        <f t="shared" si="176"/>
        <v>0.11</v>
      </c>
      <c r="G206" s="103">
        <f t="shared" si="176"/>
        <v>0.63500000000000001</v>
      </c>
      <c r="H206" s="121">
        <f t="shared" si="176"/>
        <v>0.63500000000000001</v>
      </c>
      <c r="I206" s="121">
        <f t="shared" si="176"/>
        <v>1.4974139010878691</v>
      </c>
      <c r="J206" s="109">
        <f t="shared" ref="J206:K206" si="245">J159</f>
        <v>1.5722845961422627</v>
      </c>
      <c r="K206" s="109">
        <f t="shared" si="245"/>
        <v>1.650898825949376</v>
      </c>
      <c r="L206" s="109">
        <f t="shared" si="235"/>
        <v>3.2740992172995833</v>
      </c>
      <c r="M206" s="198">
        <f t="shared" si="236"/>
        <v>4.3562328115330553</v>
      </c>
      <c r="O206" s="2" t="str">
        <f>D214</f>
        <v>Leguminous</v>
      </c>
      <c r="P206" s="40">
        <f t="shared" si="174"/>
        <v>6.5204999999999993</v>
      </c>
      <c r="Q206" s="146">
        <v>0.3</v>
      </c>
      <c r="R206" s="93" t="s">
        <v>59</v>
      </c>
      <c r="S206" s="2">
        <f t="shared" si="237"/>
        <v>21.734999999999999</v>
      </c>
      <c r="T206" s="1"/>
      <c r="W206" s="152"/>
    </row>
    <row r="207" spans="2:23" ht="13.5" customHeight="1" outlineLevel="1" x14ac:dyDescent="0.35">
      <c r="B207" s="28"/>
      <c r="C207" s="28"/>
      <c r="D207" s="2" t="str">
        <f t="shared" si="176"/>
        <v>Chick peas, dry</v>
      </c>
      <c r="E207" s="120">
        <f t="shared" si="176"/>
        <v>0.115</v>
      </c>
      <c r="F207" s="103">
        <f t="shared" si="176"/>
        <v>0.11</v>
      </c>
      <c r="G207" s="103">
        <f t="shared" si="176"/>
        <v>0.63500000000000001</v>
      </c>
      <c r="H207" s="121">
        <f t="shared" si="176"/>
        <v>0.63500000000000001</v>
      </c>
      <c r="I207" s="121">
        <f t="shared" si="176"/>
        <v>1.4974139010878691</v>
      </c>
      <c r="J207" s="109">
        <f t="shared" ref="J207:K207" si="246">J160</f>
        <v>1.5722845961422627</v>
      </c>
      <c r="K207" s="109">
        <f t="shared" si="246"/>
        <v>1.650898825949376</v>
      </c>
      <c r="L207" s="109">
        <f t="shared" si="235"/>
        <v>3.2740992172995833</v>
      </c>
      <c r="M207" s="198">
        <f t="shared" si="236"/>
        <v>4.3562328115330553</v>
      </c>
      <c r="O207" s="2" t="str">
        <f>D214</f>
        <v>Leguminous</v>
      </c>
      <c r="P207" s="40">
        <f t="shared" si="174"/>
        <v>6.5204999999999993</v>
      </c>
      <c r="Q207" s="146">
        <v>0.3</v>
      </c>
      <c r="R207" s="93" t="s">
        <v>59</v>
      </c>
      <c r="S207" s="2">
        <f t="shared" si="237"/>
        <v>21.734999999999999</v>
      </c>
      <c r="T207" s="1"/>
      <c r="W207" s="152"/>
    </row>
    <row r="208" spans="2:23" ht="13.5" customHeight="1" outlineLevel="1" x14ac:dyDescent="0.35">
      <c r="B208" s="28"/>
      <c r="C208" s="28"/>
      <c r="D208" s="2" t="str">
        <f t="shared" si="176"/>
        <v>Beans, dry</v>
      </c>
      <c r="E208" s="120">
        <f t="shared" si="176"/>
        <v>0.20700000000000002</v>
      </c>
      <c r="F208" s="103">
        <f t="shared" si="176"/>
        <v>0.19800000000000001</v>
      </c>
      <c r="G208" s="103">
        <f t="shared" si="176"/>
        <v>1.143</v>
      </c>
      <c r="H208" s="121">
        <f t="shared" si="176"/>
        <v>1.143</v>
      </c>
      <c r="I208" s="121">
        <f t="shared" si="176"/>
        <v>2.6953450219581643</v>
      </c>
      <c r="J208" s="109">
        <f t="shared" ref="J208:K208" si="247">J161</f>
        <v>2.9648795241539809</v>
      </c>
      <c r="K208" s="109">
        <f t="shared" si="247"/>
        <v>3.2613674765693794</v>
      </c>
      <c r="L208" s="109">
        <f t="shared" si="235"/>
        <v>5.0722449843795863</v>
      </c>
      <c r="M208" s="198">
        <f t="shared" si="236"/>
        <v>6.2794966562530572</v>
      </c>
      <c r="O208" s="2" t="str">
        <f>D214</f>
        <v>Leguminous</v>
      </c>
      <c r="P208" s="40">
        <f t="shared" si="174"/>
        <v>8.6940000000000008</v>
      </c>
      <c r="Q208" s="146">
        <v>0.4</v>
      </c>
      <c r="R208" s="93" t="s">
        <v>59</v>
      </c>
      <c r="S208" s="2">
        <f t="shared" si="237"/>
        <v>21.734999999999999</v>
      </c>
      <c r="T208" s="1"/>
      <c r="W208" s="152"/>
    </row>
    <row r="209" spans="2:20" ht="13.5" customHeight="1" x14ac:dyDescent="0.35">
      <c r="B209" s="28"/>
      <c r="C209" s="28"/>
      <c r="E209" s="77"/>
      <c r="F209" s="78"/>
      <c r="G209" s="78"/>
      <c r="H209" s="67"/>
      <c r="I209" s="67"/>
      <c r="J209" s="90"/>
      <c r="K209" s="90"/>
      <c r="L209" s="90"/>
      <c r="M209" s="91"/>
      <c r="N209" s="47"/>
      <c r="O209" s="92"/>
      <c r="P209" s="89"/>
      <c r="Q209" s="35"/>
      <c r="R209" s="1"/>
      <c r="T209" s="7"/>
    </row>
    <row r="210" spans="2:20" ht="13.5" customHeight="1" x14ac:dyDescent="0.3">
      <c r="D210" s="32" t="s">
        <v>69</v>
      </c>
      <c r="J210" s="31"/>
      <c r="K210" s="31"/>
      <c r="L210" s="31"/>
      <c r="M210" s="31"/>
      <c r="O210" s="40"/>
      <c r="R210" s="31"/>
    </row>
    <row r="211" spans="2:20" ht="13.5" customHeight="1" x14ac:dyDescent="0.3">
      <c r="D211" s="33" t="s">
        <v>48</v>
      </c>
      <c r="J211" s="31"/>
      <c r="K211" s="31"/>
      <c r="L211" s="31"/>
      <c r="M211" s="31"/>
      <c r="O211" s="40"/>
      <c r="R211" s="31"/>
    </row>
    <row r="212" spans="2:20" ht="13.5" customHeight="1" x14ac:dyDescent="0.3">
      <c r="F212" s="167" t="s">
        <v>70</v>
      </c>
      <c r="J212" s="31"/>
      <c r="K212" s="31"/>
      <c r="L212" s="31"/>
      <c r="M212" s="31"/>
      <c r="O212" s="40"/>
      <c r="P212" s="40"/>
      <c r="Q212" s="40"/>
      <c r="R212" s="31"/>
    </row>
    <row r="213" spans="2:20" ht="13.5" customHeight="1" outlineLevel="1" x14ac:dyDescent="0.3">
      <c r="D213" s="44"/>
      <c r="E213" s="45" t="s">
        <v>18</v>
      </c>
      <c r="F213" s="97" t="s">
        <v>71</v>
      </c>
      <c r="G213" s="45" t="s">
        <v>55</v>
      </c>
      <c r="H213" s="50"/>
      <c r="J213" s="31"/>
      <c r="K213" s="31"/>
      <c r="L213" s="31"/>
      <c r="M213" s="31"/>
      <c r="O213" s="40"/>
      <c r="P213" s="40"/>
      <c r="Q213" s="40"/>
      <c r="R213" s="31"/>
    </row>
    <row r="214" spans="2:20" ht="13.5" customHeight="1" outlineLevel="1" x14ac:dyDescent="0.3">
      <c r="D214" s="1" t="s">
        <v>60</v>
      </c>
      <c r="E214" s="122">
        <f>RAR_OCP!G8</f>
        <v>31.05</v>
      </c>
      <c r="F214" s="123">
        <v>0.7</v>
      </c>
      <c r="G214" s="124">
        <f t="shared" ref="G214:G225" si="248">F214*E214</f>
        <v>21.734999999999999</v>
      </c>
      <c r="Q214" s="40"/>
    </row>
    <row r="215" spans="2:20" ht="13.5" customHeight="1" outlineLevel="1" x14ac:dyDescent="0.25">
      <c r="D215" s="1" t="str">
        <f>RAR_OCP!E9</f>
        <v>Cacao, Coffee</v>
      </c>
      <c r="E215" s="122">
        <f>RAR_OCP!G9</f>
        <v>184</v>
      </c>
      <c r="F215" s="123">
        <v>0.3</v>
      </c>
      <c r="G215" s="124">
        <f t="shared" si="248"/>
        <v>55.199999999999996</v>
      </c>
    </row>
    <row r="216" spans="2:20" ht="13.5" customHeight="1" outlineLevel="1" x14ac:dyDescent="0.25">
      <c r="D216" s="1" t="str">
        <f>RAR_OCP!E10</f>
        <v>Maize</v>
      </c>
      <c r="E216" s="122">
        <f>RAR_OCP!G10</f>
        <v>44.895833333333336</v>
      </c>
      <c r="F216" s="123">
        <v>0.3</v>
      </c>
      <c r="G216" s="124">
        <f t="shared" si="248"/>
        <v>13.46875</v>
      </c>
    </row>
    <row r="217" spans="2:20" ht="13.5" customHeight="1" outlineLevel="1" x14ac:dyDescent="0.25">
      <c r="D217" s="1" t="str">
        <f>RAR_OCP!E11</f>
        <v>Rice</v>
      </c>
      <c r="E217" s="122">
        <f>RAR_OCP!G11</f>
        <v>51.857142857142854</v>
      </c>
      <c r="F217" s="123">
        <v>0.3</v>
      </c>
      <c r="G217" s="124">
        <f t="shared" si="248"/>
        <v>15.557142857142855</v>
      </c>
    </row>
    <row r="218" spans="2:20" ht="13.5" customHeight="1" outlineLevel="1" x14ac:dyDescent="0.25">
      <c r="D218" s="1" t="str">
        <f>RAR_OCP!E12</f>
        <v>Wheat</v>
      </c>
      <c r="E218" s="122">
        <f>RAR_OCP!G12</f>
        <v>53.5</v>
      </c>
      <c r="F218" s="123">
        <v>0.7</v>
      </c>
      <c r="G218" s="124">
        <f t="shared" si="248"/>
        <v>37.449999999999996</v>
      </c>
    </row>
    <row r="219" spans="2:20" ht="13.5" customHeight="1" outlineLevel="1" x14ac:dyDescent="0.25">
      <c r="D219" s="1" t="str">
        <f>RAR_OCP!E13</f>
        <v>Sorghum</v>
      </c>
      <c r="E219" s="122">
        <f>RAR_OCP!G13</f>
        <v>22.75</v>
      </c>
      <c r="F219" s="123">
        <v>0.3</v>
      </c>
      <c r="G219" s="124">
        <f t="shared" si="248"/>
        <v>6.8250000000000002</v>
      </c>
    </row>
    <row r="220" spans="2:20" ht="13.5" customHeight="1" outlineLevel="1" x14ac:dyDescent="0.25">
      <c r="D220" s="1" t="str">
        <f>RAR_OCP!E14</f>
        <v xml:space="preserve">Fonio </v>
      </c>
      <c r="E220" s="122">
        <f>RAR_OCP!G14</f>
        <v>22.5</v>
      </c>
      <c r="F220" s="123">
        <v>0.3</v>
      </c>
      <c r="G220" s="124">
        <f t="shared" si="248"/>
        <v>6.75</v>
      </c>
    </row>
    <row r="221" spans="2:20" ht="13.5" customHeight="1" outlineLevel="1" x14ac:dyDescent="0.25">
      <c r="D221" s="1" t="s">
        <v>58</v>
      </c>
      <c r="E221" s="122">
        <f>RAR_OCP!G15</f>
        <v>20.75</v>
      </c>
      <c r="F221" s="123">
        <v>0.3</v>
      </c>
      <c r="G221" s="124">
        <f t="shared" si="248"/>
        <v>6.2249999999999996</v>
      </c>
    </row>
    <row r="222" spans="2:20" ht="13.5" customHeight="1" outlineLevel="1" x14ac:dyDescent="0.25">
      <c r="D222" s="1" t="s">
        <v>72</v>
      </c>
      <c r="E222" s="122">
        <f>RAR_OCP!G16</f>
        <v>39.125</v>
      </c>
      <c r="F222" s="123">
        <v>0.7</v>
      </c>
      <c r="G222" s="124">
        <f t="shared" si="248"/>
        <v>27.387499999999999</v>
      </c>
    </row>
    <row r="223" spans="2:20" ht="13.5" customHeight="1" outlineLevel="1" x14ac:dyDescent="0.25">
      <c r="D223" s="1" t="str">
        <f>RAR_OCP!E17</f>
        <v>Tubercules</v>
      </c>
      <c r="E223" s="122">
        <f>RAR_OCP!G17</f>
        <v>82.40625</v>
      </c>
      <c r="F223" s="123">
        <v>0.6</v>
      </c>
      <c r="G223" s="124">
        <f t="shared" si="248"/>
        <v>49.443750000000001</v>
      </c>
    </row>
    <row r="224" spans="2:20" ht="13.5" customHeight="1" outlineLevel="1" x14ac:dyDescent="0.25">
      <c r="D224" s="1" t="s">
        <v>65</v>
      </c>
      <c r="E224" s="122">
        <f>RAR_OCP!G18</f>
        <v>143.3125</v>
      </c>
      <c r="F224" s="123">
        <v>0.3</v>
      </c>
      <c r="G224" s="124">
        <f t="shared" si="248"/>
        <v>42.993749999999999</v>
      </c>
    </row>
    <row r="225" spans="2:20" ht="13.5" customHeight="1" outlineLevel="1" x14ac:dyDescent="0.25">
      <c r="D225" s="1" t="str">
        <f>RAR_OCP!E19</f>
        <v>Others</v>
      </c>
      <c r="E225" s="122">
        <f>RAR_OCP!G19</f>
        <v>60.765625</v>
      </c>
      <c r="F225" s="123">
        <v>0.3</v>
      </c>
      <c r="G225" s="124">
        <f t="shared" si="248"/>
        <v>18.229687500000001</v>
      </c>
    </row>
    <row r="226" spans="2:20" ht="13.5" customHeight="1" outlineLevel="1" x14ac:dyDescent="0.3">
      <c r="D226" s="96" t="s">
        <v>44</v>
      </c>
      <c r="E226" s="96" t="s">
        <v>73</v>
      </c>
      <c r="F226" s="96" t="s">
        <v>74</v>
      </c>
      <c r="G226" s="96"/>
    </row>
    <row r="227" spans="2:20" ht="13.5" customHeight="1" x14ac:dyDescent="0.25">
      <c r="D227" s="1"/>
    </row>
    <row r="228" spans="2:20" ht="13.5" customHeight="1" x14ac:dyDescent="0.3">
      <c r="D228" s="35"/>
    </row>
    <row r="229" spans="2:20" ht="13.5" customHeight="1" x14ac:dyDescent="0.35">
      <c r="B229" s="29">
        <v>4</v>
      </c>
      <c r="C229" s="29" t="s">
        <v>272</v>
      </c>
      <c r="D229" s="28" t="s">
        <v>325</v>
      </c>
      <c r="O229" s="7"/>
      <c r="P229" s="7"/>
      <c r="Q229" s="7"/>
      <c r="R229" s="7"/>
      <c r="S229" s="7"/>
      <c r="T229" s="7"/>
    </row>
    <row r="230" spans="2:20" ht="13.5" customHeight="1" x14ac:dyDescent="0.25">
      <c r="D230" s="7"/>
    </row>
    <row r="231" spans="2:20" ht="13.5" customHeight="1" x14ac:dyDescent="0.3">
      <c r="D231" s="32" t="s">
        <v>327</v>
      </c>
      <c r="J231" s="31"/>
      <c r="K231" s="31"/>
      <c r="L231" s="32" t="s">
        <v>326</v>
      </c>
      <c r="R231" s="31"/>
    </row>
    <row r="232" spans="2:20" ht="13.5" customHeight="1" x14ac:dyDescent="0.3">
      <c r="D232" s="33" t="s">
        <v>329</v>
      </c>
      <c r="E232" s="236">
        <v>2022</v>
      </c>
      <c r="F232" s="236">
        <v>2023</v>
      </c>
      <c r="G232" s="236">
        <v>2024</v>
      </c>
      <c r="H232" s="236">
        <v>2025</v>
      </c>
      <c r="J232" s="31" t="s">
        <v>315</v>
      </c>
      <c r="K232" s="31"/>
      <c r="L232" s="33" t="s">
        <v>328</v>
      </c>
      <c r="M232" s="236">
        <v>2022</v>
      </c>
      <c r="N232" s="236">
        <v>2023</v>
      </c>
      <c r="O232" s="236">
        <v>2024</v>
      </c>
      <c r="P232" s="236">
        <v>2025</v>
      </c>
      <c r="R232" s="31"/>
    </row>
    <row r="233" spans="2:20" ht="13.5" customHeight="1" x14ac:dyDescent="0.3">
      <c r="D233" s="2" t="str">
        <f>OCP_SalesProduct!D11</f>
        <v>DAP</v>
      </c>
      <c r="F233" s="2">
        <f>N233*$J$233</f>
        <v>101.5163329890112</v>
      </c>
      <c r="G233" s="2">
        <f t="shared" ref="G233:H233" si="249">O233*$J$233</f>
        <v>117.80743484149968</v>
      </c>
      <c r="H233" s="2">
        <f t="shared" si="249"/>
        <v>133.19151512592438</v>
      </c>
      <c r="J233" s="274">
        <f>OCP_SalesProduct!K11</f>
        <v>0.46</v>
      </c>
      <c r="L233" s="2" t="str">
        <f>D233</f>
        <v>DAP</v>
      </c>
      <c r="N233" s="2">
        <f>OCP_SalesProduct!E90</f>
        <v>220.6876804108939</v>
      </c>
      <c r="O233" s="2">
        <f>OCP_SalesProduct!F90</f>
        <v>256.10311922065148</v>
      </c>
      <c r="P233" s="2">
        <f>OCP_SalesProduct!G90</f>
        <v>289.5467720128791</v>
      </c>
    </row>
    <row r="234" spans="2:20" ht="13.5" customHeight="1" x14ac:dyDescent="0.3">
      <c r="D234" s="2" t="str">
        <f>OCP_SalesProduct!D12</f>
        <v>TSP</v>
      </c>
      <c r="F234" s="2">
        <f>N234*$J$234</f>
        <v>1.5720931391361017</v>
      </c>
      <c r="G234" s="2">
        <f t="shared" ref="G234:H234" si="250">O234*$J$234</f>
        <v>13.655134304982676</v>
      </c>
      <c r="H234" s="2">
        <f t="shared" si="250"/>
        <v>36.22291842419579</v>
      </c>
      <c r="J234" s="274">
        <f>OCP_SalesProduct!K12</f>
        <v>0.46</v>
      </c>
      <c r="L234" s="2" t="str">
        <f t="shared" ref="L234:L235" si="251">D234</f>
        <v>TSP</v>
      </c>
      <c r="N234" s="2">
        <f>OCP_SalesProduct!E91</f>
        <v>3.4175937807306558</v>
      </c>
      <c r="O234" s="2">
        <f>OCP_SalesProduct!F91</f>
        <v>29.685074576049296</v>
      </c>
      <c r="P234" s="2">
        <f>OCP_SalesProduct!G91</f>
        <v>78.745474835208242</v>
      </c>
    </row>
    <row r="235" spans="2:20" ht="13.5" customHeight="1" thickBot="1" x14ac:dyDescent="0.35">
      <c r="D235" s="263" t="str">
        <f>OCP_SalesProduct!D13</f>
        <v>NPK</v>
      </c>
      <c r="E235" s="263"/>
      <c r="F235" s="263">
        <f>N235*$J$235</f>
        <v>0</v>
      </c>
      <c r="G235" s="263">
        <f>O235*$J$235</f>
        <v>0</v>
      </c>
      <c r="H235" s="263">
        <f>P235*$J$235</f>
        <v>0</v>
      </c>
      <c r="J235" s="274">
        <f>OCP_SalesProduct!K13</f>
        <v>0.19</v>
      </c>
      <c r="L235" s="263" t="str">
        <f t="shared" si="251"/>
        <v>NPK</v>
      </c>
      <c r="M235" s="263"/>
      <c r="N235" s="263">
        <f>OCP_SalesProduct!E92</f>
        <v>0</v>
      </c>
      <c r="O235" s="263">
        <f>OCP_SalesProduct!F92</f>
        <v>0</v>
      </c>
      <c r="P235" s="263">
        <f>OCP_SalesProduct!G92</f>
        <v>0</v>
      </c>
    </row>
    <row r="236" spans="2:20" ht="13.5" customHeight="1" thickTop="1" thickBot="1" x14ac:dyDescent="0.3">
      <c r="D236" s="275" t="s">
        <v>280</v>
      </c>
      <c r="E236" s="263"/>
      <c r="F236" s="263">
        <f>SUM(F233:F235)</f>
        <v>103.0884261281473</v>
      </c>
      <c r="G236" s="263">
        <f t="shared" ref="G236:H236" si="252">SUM(G233:G235)</f>
        <v>131.46256914648237</v>
      </c>
      <c r="H236" s="263">
        <f t="shared" si="252"/>
        <v>169.41443355012018</v>
      </c>
      <c r="L236" s="275" t="s">
        <v>280</v>
      </c>
      <c r="M236" s="263"/>
      <c r="N236" s="280">
        <f>SUM(N233:N235)</f>
        <v>224.10527419162457</v>
      </c>
      <c r="O236" s="280">
        <f t="shared" ref="O236" si="253">SUM(O233:O235)</f>
        <v>285.7881937967008</v>
      </c>
      <c r="P236" s="280">
        <f t="shared" ref="P236" si="254">SUM(P233:P235)</f>
        <v>368.29224684808736</v>
      </c>
    </row>
    <row r="237" spans="2:20" ht="13.5" customHeight="1" thickTop="1" x14ac:dyDescent="0.25">
      <c r="D237" s="276" t="s">
        <v>312</v>
      </c>
      <c r="E237" s="277"/>
      <c r="F237" s="277">
        <f>F236-K44</f>
        <v>0</v>
      </c>
      <c r="G237" s="277">
        <f t="shared" ref="G237:H237" si="255">G236-L44</f>
        <v>0</v>
      </c>
      <c r="H237" s="277">
        <f t="shared" si="255"/>
        <v>0</v>
      </c>
      <c r="L237" s="276"/>
      <c r="M237" s="277"/>
      <c r="N237" s="277"/>
      <c r="O237" s="277"/>
      <c r="P237" s="277"/>
    </row>
    <row r="239" spans="2:20" ht="13.5" customHeight="1" x14ac:dyDescent="0.3">
      <c r="D239" s="32" t="s">
        <v>330</v>
      </c>
      <c r="J239" s="31"/>
      <c r="K239" s="31"/>
      <c r="L239" s="32" t="s">
        <v>326</v>
      </c>
      <c r="R239" s="31"/>
    </row>
    <row r="240" spans="2:20" ht="13.5" customHeight="1" x14ac:dyDescent="0.3">
      <c r="D240" s="33" t="s">
        <v>329</v>
      </c>
      <c r="E240" s="236">
        <v>2022</v>
      </c>
      <c r="F240" s="236">
        <v>2023</v>
      </c>
      <c r="G240" s="236">
        <v>2024</v>
      </c>
      <c r="H240" s="236">
        <v>2025</v>
      </c>
      <c r="J240" s="31"/>
      <c r="K240" s="31"/>
      <c r="L240" s="33" t="s">
        <v>328</v>
      </c>
      <c r="M240" s="236">
        <v>2022</v>
      </c>
      <c r="N240" s="236">
        <v>2023</v>
      </c>
      <c r="O240" s="236">
        <v>2024</v>
      </c>
      <c r="P240" s="236">
        <v>2025</v>
      </c>
      <c r="R240" s="31"/>
    </row>
    <row r="241" spans="4:16" ht="13.5" customHeight="1" x14ac:dyDescent="0.3">
      <c r="D241" s="2" t="str">
        <f>D233</f>
        <v>DAP</v>
      </c>
      <c r="F241" s="2">
        <f>N241*$J$233</f>
        <v>101.5163329890112</v>
      </c>
      <c r="G241" s="2">
        <f t="shared" ref="G241" si="256">O241*$J$233</f>
        <v>140.23964403026696</v>
      </c>
      <c r="H241" s="2">
        <f t="shared" ref="H241" si="257">P241*$J$233</f>
        <v>157.96873802941437</v>
      </c>
      <c r="J241" s="274">
        <f>J233</f>
        <v>0.46</v>
      </c>
      <c r="L241" s="2" t="str">
        <f>L233</f>
        <v>DAP</v>
      </c>
      <c r="N241" s="2">
        <f>OCP_SalesProduct!E100</f>
        <v>220.6876804108939</v>
      </c>
      <c r="O241" s="2">
        <f>OCP_SalesProduct!F100</f>
        <v>304.86879137014557</v>
      </c>
      <c r="P241" s="2">
        <f>OCP_SalesProduct!G100</f>
        <v>343.41030006394425</v>
      </c>
    </row>
    <row r="242" spans="4:16" ht="13.5" customHeight="1" x14ac:dyDescent="0.3">
      <c r="D242" s="2" t="str">
        <f t="shared" ref="D242:D244" si="258">D234</f>
        <v>TSP</v>
      </c>
      <c r="F242" s="2">
        <f>N242*$J$234</f>
        <v>1.5720931391361017</v>
      </c>
      <c r="G242" s="2">
        <f t="shared" ref="G242" si="259">O242*$J$234</f>
        <v>16.8966968178154</v>
      </c>
      <c r="H242" s="2">
        <f t="shared" ref="H242" si="260">P242*$J$234</f>
        <v>45.554420174817743</v>
      </c>
      <c r="J242" s="274">
        <f t="shared" ref="J242:J243" si="261">J234</f>
        <v>0.46</v>
      </c>
      <c r="L242" s="2" t="str">
        <f t="shared" ref="L242:L244" si="262">L234</f>
        <v>TSP</v>
      </c>
      <c r="N242" s="2">
        <f>OCP_SalesProduct!E101</f>
        <v>3.4175937807306558</v>
      </c>
      <c r="O242" s="2">
        <f>OCP_SalesProduct!F101</f>
        <v>36.731949603946518</v>
      </c>
      <c r="P242" s="2">
        <f>OCP_SalesProduct!G101</f>
        <v>99.031348206125529</v>
      </c>
    </row>
    <row r="243" spans="4:16" ht="13.5" customHeight="1" thickBot="1" x14ac:dyDescent="0.35">
      <c r="D243" s="263" t="str">
        <f t="shared" si="258"/>
        <v>NPK</v>
      </c>
      <c r="E243" s="263"/>
      <c r="F243" s="263">
        <f>N243*$J$235</f>
        <v>0</v>
      </c>
      <c r="G243" s="263">
        <f>O243*$J$235</f>
        <v>0</v>
      </c>
      <c r="H243" s="263">
        <f>P243*$J$235</f>
        <v>0</v>
      </c>
      <c r="J243" s="274">
        <f t="shared" si="261"/>
        <v>0.19</v>
      </c>
      <c r="L243" s="263" t="str">
        <f t="shared" si="262"/>
        <v>NPK</v>
      </c>
      <c r="M243" s="263"/>
      <c r="N243" s="263">
        <f>OCP_SalesProduct!E102</f>
        <v>0</v>
      </c>
      <c r="O243" s="263">
        <f>OCP_SalesProduct!F102</f>
        <v>0</v>
      </c>
      <c r="P243" s="263">
        <f>OCP_SalesProduct!G102</f>
        <v>0</v>
      </c>
    </row>
    <row r="244" spans="4:16" ht="13.5" customHeight="1" thickTop="1" thickBot="1" x14ac:dyDescent="0.3">
      <c r="D244" s="275" t="str">
        <f t="shared" si="258"/>
        <v>Total</v>
      </c>
      <c r="E244" s="263"/>
      <c r="F244" s="263">
        <f>SUM(F241:F243)</f>
        <v>103.0884261281473</v>
      </c>
      <c r="G244" s="263">
        <f t="shared" ref="G244:H244" si="263">SUM(G241:G243)</f>
        <v>157.13634084808237</v>
      </c>
      <c r="H244" s="263">
        <f t="shared" si="263"/>
        <v>203.52315820423212</v>
      </c>
      <c r="L244" s="275" t="str">
        <f t="shared" si="262"/>
        <v>Total</v>
      </c>
      <c r="M244" s="263"/>
      <c r="N244" s="280">
        <f>SUM(N241:N243)</f>
        <v>224.10527419162457</v>
      </c>
      <c r="O244" s="280">
        <f t="shared" ref="O244:P244" si="264">SUM(O241:O243)</f>
        <v>341.6007409740921</v>
      </c>
      <c r="P244" s="280">
        <f t="shared" si="264"/>
        <v>442.44164827006978</v>
      </c>
    </row>
    <row r="245" spans="4:16" ht="13.5" customHeight="1" thickTop="1" x14ac:dyDescent="0.25">
      <c r="D245" s="1" t="s">
        <v>312</v>
      </c>
      <c r="F245" s="2">
        <f>F244-K82</f>
        <v>0</v>
      </c>
      <c r="G245" s="2">
        <f t="shared" ref="G245:H245" si="265">G244-L82</f>
        <v>0</v>
      </c>
      <c r="H245" s="2">
        <f t="shared" si="265"/>
        <v>0</v>
      </c>
    </row>
  </sheetData>
  <dataConsolidate/>
  <mergeCells count="3">
    <mergeCell ref="E90:I90"/>
    <mergeCell ref="H7:I7"/>
    <mergeCell ref="J174:M174"/>
  </mergeCells>
  <phoneticPr fontId="43" type="noConversion"/>
  <conditionalFormatting sqref="N13:N45">
    <cfRule type="cellIs" dxfId="3" priority="7" operator="equal">
      <formula>1</formula>
    </cfRule>
  </conditionalFormatting>
  <conditionalFormatting sqref="N178:N208">
    <cfRule type="colorScale" priority="2">
      <colorScale>
        <cfvo type="min"/>
        <cfvo type="percentile" val="50"/>
        <cfvo type="max"/>
        <color rgb="FFF8696B"/>
        <color rgb="FFFFEB84"/>
        <color rgb="FF63BE7B"/>
      </colorScale>
    </cfRule>
  </conditionalFormatting>
  <conditionalFormatting sqref="N51:N81">
    <cfRule type="cellIs" dxfId="2" priority="1" operator="equal">
      <formula>1</formula>
    </cfRule>
  </conditionalFormatting>
  <dataValidations disablePrompts="1" count="1">
    <dataValidation type="list" allowBlank="1" showInputMessage="1" showErrorMessage="1" sqref="F48" xr:uid="{E4FC6BAF-3C57-4A68-A176-11D423EA78C7}">
      <formula1>$E$12:$M$12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A21B-CFFE-4761-B911-984A979CE85F}">
  <dimension ref="A1:Y254"/>
  <sheetViews>
    <sheetView showGridLines="0" topLeftCell="A181" zoomScale="90" zoomScaleNormal="90" workbookViewId="0">
      <selection activeCell="E326" sqref="E326"/>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53.7265625" style="2" bestFit="1" customWidth="1"/>
    <col min="5" max="5" width="19.1796875" style="2" bestFit="1" customWidth="1"/>
    <col min="6" max="6" width="26.1796875" style="2" customWidth="1"/>
    <col min="7" max="16" width="14.1796875" style="2" customWidth="1"/>
    <col min="17" max="17" width="9.26953125" style="2"/>
    <col min="18" max="18" width="22.54296875" style="2" bestFit="1" customWidth="1"/>
    <col min="19" max="25" width="22.26953125" style="2" customWidth="1"/>
    <col min="26" max="16384" width="9.26953125" style="2"/>
  </cols>
  <sheetData>
    <row r="1" spans="1:16" s="7" customFormat="1" ht="13.5" customHeight="1" x14ac:dyDescent="0.25">
      <c r="A1" s="5"/>
      <c r="B1" s="5"/>
      <c r="C1" s="5"/>
      <c r="D1" s="6" t="s">
        <v>75</v>
      </c>
      <c r="E1" s="25"/>
    </row>
    <row r="2" spans="1:16" s="7" customFormat="1" ht="13.5" customHeight="1" x14ac:dyDescent="0.25">
      <c r="A2" s="5"/>
      <c r="B2" s="5"/>
      <c r="C2" s="5"/>
      <c r="D2" s="6"/>
      <c r="E2" s="26" t="str">
        <f>Title</f>
        <v>OCP Africa - Sudan P205</v>
      </c>
    </row>
    <row r="3" spans="1:16" s="7" customFormat="1" ht="13.5" customHeight="1" x14ac:dyDescent="0.25">
      <c r="A3" s="5"/>
      <c r="B3" s="5"/>
      <c r="C3" s="5"/>
      <c r="D3" s="6"/>
      <c r="E3" s="27" t="str">
        <f ca="1">MID(CELL("filename",E3),FIND("]",CELL("filename",E3))+1,256)</f>
        <v>OCPMarketShares</v>
      </c>
    </row>
    <row r="4" spans="1:16" s="7" customFormat="1" ht="13.5" customHeight="1" x14ac:dyDescent="0.25">
      <c r="A4" s="5"/>
      <c r="B4" s="5"/>
      <c r="C4" s="5"/>
      <c r="D4" s="6"/>
      <c r="E4" s="25"/>
    </row>
    <row r="5" spans="1:16" s="11" customFormat="1" ht="13.5" customHeight="1" x14ac:dyDescent="0.3">
      <c r="A5" s="8"/>
      <c r="B5" s="8"/>
      <c r="C5" s="8"/>
      <c r="D5" s="9"/>
      <c r="E5" s="10"/>
    </row>
    <row r="6" spans="1:16" s="190" customFormat="1" ht="13.5" customHeight="1" x14ac:dyDescent="0.3">
      <c r="A6" s="187"/>
      <c r="B6" s="187"/>
      <c r="C6" s="187"/>
      <c r="D6" s="188"/>
      <c r="E6" s="189"/>
    </row>
    <row r="7" spans="1:16" ht="13.5" customHeight="1" x14ac:dyDescent="0.35">
      <c r="B7" s="29">
        <v>0</v>
      </c>
      <c r="D7" s="28" t="s">
        <v>258</v>
      </c>
    </row>
    <row r="8" spans="1:16" s="190" customFormat="1" ht="13.5" customHeight="1" x14ac:dyDescent="0.3">
      <c r="A8" s="187"/>
      <c r="B8" s="187"/>
      <c r="C8" s="187"/>
      <c r="D8" s="188"/>
      <c r="E8" s="189"/>
    </row>
    <row r="9" spans="1:16" s="190" customFormat="1" ht="13.5" customHeight="1" x14ac:dyDescent="0.3">
      <c r="A9" s="187"/>
      <c r="B9" s="187"/>
      <c r="C9" s="187"/>
      <c r="D9" s="32" t="s">
        <v>76</v>
      </c>
      <c r="E9" s="189"/>
    </row>
    <row r="10" spans="1:16" s="190" customFormat="1" ht="13.5" customHeight="1" x14ac:dyDescent="0.3">
      <c r="A10" s="187"/>
      <c r="B10" s="187"/>
      <c r="C10" s="187"/>
      <c r="D10" s="33" t="s">
        <v>77</v>
      </c>
      <c r="E10" s="189"/>
    </row>
    <row r="11" spans="1:16" s="190" customFormat="1" ht="13.5" customHeight="1" x14ac:dyDescent="0.3">
      <c r="A11" s="187"/>
      <c r="B11" s="187"/>
      <c r="C11" s="187"/>
      <c r="D11" s="30" t="s">
        <v>15</v>
      </c>
      <c r="E11" s="118">
        <v>2017</v>
      </c>
      <c r="F11" s="118">
        <v>2018</v>
      </c>
      <c r="G11" s="118">
        <v>2019</v>
      </c>
      <c r="H11" s="118">
        <v>2020</v>
      </c>
      <c r="I11" s="118">
        <v>2021</v>
      </c>
      <c r="J11" s="118">
        <v>2022</v>
      </c>
      <c r="K11" s="118">
        <v>2023</v>
      </c>
      <c r="L11" s="118">
        <v>2024</v>
      </c>
      <c r="M11" s="118">
        <v>2025</v>
      </c>
      <c r="N11" s="118"/>
      <c r="O11" s="118"/>
      <c r="P11" s="118"/>
    </row>
    <row r="12" spans="1:16" s="190" customFormat="1" ht="13.5" customHeight="1" x14ac:dyDescent="0.35">
      <c r="A12" s="187"/>
      <c r="B12" s="187"/>
      <c r="C12" s="187"/>
      <c r="D12" s="195" t="s">
        <v>240</v>
      </c>
      <c r="E12" s="194"/>
      <c r="F12" s="191"/>
      <c r="K12" s="191">
        <f>K66</f>
        <v>4.6905233888307043</v>
      </c>
      <c r="L12" s="191">
        <f t="shared" ref="L12:M12" si="0">L66</f>
        <v>17.94464068849484</v>
      </c>
      <c r="M12" s="191">
        <f t="shared" si="0"/>
        <v>38.541783632652326</v>
      </c>
      <c r="N12" s="191"/>
      <c r="O12" s="191"/>
      <c r="P12" s="191"/>
    </row>
    <row r="13" spans="1:16" s="190" customFormat="1" ht="13.5" customHeight="1" x14ac:dyDescent="0.35">
      <c r="A13" s="187"/>
      <c r="B13" s="187"/>
      <c r="C13" s="187"/>
      <c r="D13" s="195" t="s">
        <v>251</v>
      </c>
      <c r="E13" s="194"/>
      <c r="F13" s="191"/>
      <c r="K13" s="191">
        <f>K141</f>
        <v>1.5978491677137012</v>
      </c>
      <c r="L13" s="191">
        <f t="shared" ref="L13:M13" si="1">L141</f>
        <v>1.9822993755389458</v>
      </c>
      <c r="M13" s="191">
        <f t="shared" si="1"/>
        <v>2.4319376961836214</v>
      </c>
      <c r="N13" s="191"/>
      <c r="O13" s="191"/>
      <c r="P13" s="191"/>
    </row>
    <row r="14" spans="1:16" s="190" customFormat="1" ht="13.5" customHeight="1" thickBot="1" x14ac:dyDescent="0.4">
      <c r="A14" s="187"/>
      <c r="B14" s="187"/>
      <c r="C14" s="187"/>
      <c r="D14" s="195" t="s">
        <v>241</v>
      </c>
      <c r="E14" s="194"/>
      <c r="F14" s="191"/>
      <c r="K14" s="191">
        <f>K217</f>
        <v>0</v>
      </c>
      <c r="L14" s="191">
        <f t="shared" ref="L14:M14" si="2">L217</f>
        <v>7.3833285459315654</v>
      </c>
      <c r="M14" s="191">
        <f t="shared" si="2"/>
        <v>7.3235032367584294</v>
      </c>
      <c r="N14" s="191"/>
      <c r="O14" s="191"/>
      <c r="P14" s="191"/>
    </row>
    <row r="15" spans="1:16" s="190" customFormat="1" ht="13.5" customHeight="1" thickTop="1" thickBot="1" x14ac:dyDescent="0.3">
      <c r="A15" s="187"/>
      <c r="B15" s="187"/>
      <c r="C15" s="187"/>
      <c r="D15" s="102" t="s">
        <v>259</v>
      </c>
      <c r="E15" s="125"/>
      <c r="F15" s="125"/>
      <c r="G15" s="125"/>
      <c r="H15" s="125"/>
      <c r="I15" s="125"/>
      <c r="J15" s="126"/>
      <c r="K15" s="126">
        <f>SUM(K12:K14)</f>
        <v>6.288372556544406</v>
      </c>
      <c r="L15" s="126">
        <f t="shared" ref="L15:M15" si="3">SUM(L12:L14)</f>
        <v>27.310268609965352</v>
      </c>
      <c r="M15" s="126">
        <f t="shared" si="3"/>
        <v>48.297224565594377</v>
      </c>
      <c r="N15" s="265"/>
      <c r="O15" s="265"/>
      <c r="P15" s="265"/>
    </row>
    <row r="16" spans="1:16" s="190" customFormat="1" ht="13.5" customHeight="1" thickTop="1" thickBot="1" x14ac:dyDescent="0.3">
      <c r="A16" s="187"/>
      <c r="B16" s="187"/>
      <c r="C16" s="187"/>
      <c r="D16" s="100" t="s">
        <v>17</v>
      </c>
      <c r="E16" s="125"/>
      <c r="F16" s="125"/>
      <c r="G16" s="125"/>
      <c r="H16" s="125"/>
      <c r="I16" s="125"/>
      <c r="J16" s="126"/>
      <c r="K16" s="126">
        <f>K15/46%</f>
        <v>13.670375122922621</v>
      </c>
      <c r="L16" s="126">
        <f t="shared" ref="L16:M16" si="4">L15/46%</f>
        <v>59.370149152098591</v>
      </c>
      <c r="M16" s="126">
        <f t="shared" si="4"/>
        <v>104.9939664469443</v>
      </c>
      <c r="N16" s="265"/>
      <c r="O16" s="265"/>
      <c r="P16" s="265"/>
    </row>
    <row r="17" spans="1:18" s="190" customFormat="1" ht="13.5" customHeight="1" thickTop="1" x14ac:dyDescent="0.3">
      <c r="A17" s="187"/>
      <c r="B17" s="187"/>
      <c r="C17" s="187"/>
      <c r="D17" s="199" t="s">
        <v>268</v>
      </c>
      <c r="E17" s="200"/>
      <c r="F17" s="200"/>
      <c r="G17" s="200"/>
      <c r="H17" s="200"/>
      <c r="I17" s="200"/>
      <c r="J17" s="201"/>
      <c r="K17" s="202">
        <f>K15/ProjectedP205_Consumption!K44</f>
        <v>6.0999792049666643E-2</v>
      </c>
      <c r="L17" s="202">
        <f>L15/ProjectedP205_Consumption!L44</f>
        <v>0.20774178374328608</v>
      </c>
      <c r="M17" s="202">
        <f>M15/ProjectedP205_Consumption!M44</f>
        <v>0.28508329280755146</v>
      </c>
      <c r="N17" s="202"/>
      <c r="O17" s="202"/>
      <c r="P17" s="202"/>
    </row>
    <row r="18" spans="1:18" s="190" customFormat="1" ht="13.5" customHeight="1" x14ac:dyDescent="0.25">
      <c r="A18" s="187"/>
      <c r="B18" s="187"/>
      <c r="C18" s="187"/>
      <c r="D18" s="192"/>
      <c r="E18" s="193"/>
      <c r="F18" s="193"/>
      <c r="G18" s="193"/>
      <c r="H18" s="193"/>
      <c r="I18" s="193"/>
      <c r="J18" s="193"/>
      <c r="K18" s="193"/>
      <c r="L18" s="193"/>
      <c r="M18" s="193"/>
      <c r="N18" s="193"/>
      <c r="O18" s="193"/>
      <c r="P18" s="193"/>
    </row>
    <row r="19" spans="1:18" s="190" customFormat="1" ht="13.5" customHeight="1" x14ac:dyDescent="0.3">
      <c r="A19" s="187"/>
      <c r="B19" s="187"/>
      <c r="C19" s="187"/>
      <c r="D19" s="32" t="s">
        <v>76</v>
      </c>
      <c r="E19" s="193"/>
      <c r="F19" s="193"/>
      <c r="G19" s="193"/>
      <c r="H19" s="193"/>
      <c r="I19" s="193"/>
      <c r="J19" s="193"/>
      <c r="K19" s="193"/>
      <c r="L19" s="193"/>
      <c r="M19" s="193"/>
      <c r="N19" s="193"/>
      <c r="O19" s="193"/>
      <c r="P19" s="193"/>
    </row>
    <row r="20" spans="1:18" s="190" customFormat="1" ht="13.5" customHeight="1" x14ac:dyDescent="0.3">
      <c r="A20" s="187"/>
      <c r="B20" s="187"/>
      <c r="C20" s="187"/>
      <c r="D20" s="33" t="s">
        <v>77</v>
      </c>
      <c r="E20" s="193"/>
      <c r="F20" s="193"/>
      <c r="G20" s="193"/>
      <c r="H20" s="193"/>
      <c r="I20" s="193"/>
      <c r="J20" s="193"/>
      <c r="K20" s="193"/>
      <c r="L20" s="193"/>
      <c r="M20" s="193"/>
      <c r="N20" s="193"/>
      <c r="O20" s="193"/>
      <c r="P20" s="193"/>
    </row>
    <row r="21" spans="1:18" s="190" customFormat="1" ht="13.5" customHeight="1" x14ac:dyDescent="0.3">
      <c r="A21" s="187"/>
      <c r="B21" s="187"/>
      <c r="C21" s="187"/>
      <c r="D21" s="30" t="s">
        <v>282</v>
      </c>
      <c r="E21" s="118">
        <v>2017</v>
      </c>
      <c r="F21" s="118">
        <v>2018</v>
      </c>
      <c r="G21" s="118">
        <v>2019</v>
      </c>
      <c r="H21" s="118">
        <v>2020</v>
      </c>
      <c r="I21" s="118">
        <v>2021</v>
      </c>
      <c r="J21" s="118">
        <v>2022</v>
      </c>
      <c r="K21" s="118">
        <v>2023</v>
      </c>
      <c r="L21" s="118">
        <v>2024</v>
      </c>
      <c r="M21" s="118">
        <v>2025</v>
      </c>
      <c r="N21" s="118"/>
      <c r="O21" s="118"/>
      <c r="P21" s="118"/>
    </row>
    <row r="22" spans="1:18" s="190" customFormat="1" ht="13.5" customHeight="1" x14ac:dyDescent="0.35">
      <c r="A22" s="187"/>
      <c r="B22" s="187"/>
      <c r="C22" s="187"/>
      <c r="D22" s="195" t="s">
        <v>240</v>
      </c>
      <c r="E22" s="189"/>
      <c r="K22" s="191">
        <f>K101</f>
        <v>4.6905233888307043</v>
      </c>
      <c r="L22" s="191">
        <f t="shared" ref="L22:M22" si="5">L101</f>
        <v>21.449110525763235</v>
      </c>
      <c r="M22" s="191">
        <f t="shared" si="5"/>
        <v>46.301518491462801</v>
      </c>
      <c r="N22" s="191"/>
      <c r="O22" s="191"/>
      <c r="P22" s="191"/>
    </row>
    <row r="23" spans="1:18" s="190" customFormat="1" ht="13.5" customHeight="1" x14ac:dyDescent="0.35">
      <c r="A23" s="187"/>
      <c r="B23" s="187"/>
      <c r="C23" s="187"/>
      <c r="D23" s="195" t="s">
        <v>251</v>
      </c>
      <c r="E23" s="189"/>
      <c r="K23" s="191">
        <f>K177</f>
        <v>1.5978491677137012</v>
      </c>
      <c r="L23" s="191">
        <f t="shared" ref="L23:M23" si="6">L177</f>
        <v>2.4429470879813016</v>
      </c>
      <c r="M23" s="191">
        <f t="shared" si="6"/>
        <v>2.9495269919513527</v>
      </c>
      <c r="N23" s="191"/>
      <c r="O23" s="191"/>
      <c r="P23" s="191"/>
    </row>
    <row r="24" spans="1:18" s="190" customFormat="1" ht="13.5" customHeight="1" thickBot="1" x14ac:dyDescent="0.4">
      <c r="A24" s="187"/>
      <c r="B24" s="187"/>
      <c r="C24" s="187"/>
      <c r="D24" s="195" t="s">
        <v>241</v>
      </c>
      <c r="E24" s="189"/>
      <c r="K24" s="191">
        <f>K252</f>
        <v>0</v>
      </c>
      <c r="L24" s="191">
        <f t="shared" ref="L24:M24" si="7">L252</f>
        <v>9.9013360218862605</v>
      </c>
      <c r="M24" s="191">
        <f t="shared" si="7"/>
        <v>11.488181416342854</v>
      </c>
      <c r="N24" s="191"/>
      <c r="O24" s="191"/>
      <c r="P24" s="191"/>
    </row>
    <row r="25" spans="1:18" s="190" customFormat="1" ht="13.5" customHeight="1" thickTop="1" thickBot="1" x14ac:dyDescent="0.3">
      <c r="A25" s="187"/>
      <c r="B25" s="187"/>
      <c r="C25" s="187"/>
      <c r="D25" s="102" t="s">
        <v>259</v>
      </c>
      <c r="E25" s="125"/>
      <c r="F25" s="125"/>
      <c r="G25" s="125"/>
      <c r="H25" s="125"/>
      <c r="I25" s="125"/>
      <c r="J25" s="126"/>
      <c r="K25" s="126">
        <f>SUM(K22:K24)</f>
        <v>6.288372556544406</v>
      </c>
      <c r="L25" s="126">
        <f t="shared" ref="L25:M25" si="8">SUM(L22:L24)</f>
        <v>33.7933936356308</v>
      </c>
      <c r="M25" s="126">
        <f t="shared" si="8"/>
        <v>60.739226899757007</v>
      </c>
      <c r="N25" s="265"/>
      <c r="O25" s="265"/>
      <c r="P25" s="265"/>
    </row>
    <row r="26" spans="1:18" s="190" customFormat="1" ht="13.5" customHeight="1" thickTop="1" thickBot="1" x14ac:dyDescent="0.3">
      <c r="A26" s="187"/>
      <c r="B26" s="187"/>
      <c r="C26" s="187"/>
      <c r="D26" s="100" t="s">
        <v>17</v>
      </c>
      <c r="E26" s="125"/>
      <c r="F26" s="125"/>
      <c r="G26" s="125"/>
      <c r="H26" s="125"/>
      <c r="I26" s="125"/>
      <c r="J26" s="126"/>
      <c r="K26" s="126">
        <f>K25/46%</f>
        <v>13.670375122922621</v>
      </c>
      <c r="L26" s="126">
        <f t="shared" ref="L26:M26" si="9">L25/46%</f>
        <v>73.463899207893036</v>
      </c>
      <c r="M26" s="126">
        <f t="shared" si="9"/>
        <v>132.0417976081674</v>
      </c>
      <c r="N26" s="265"/>
      <c r="O26" s="265"/>
      <c r="P26" s="265"/>
    </row>
    <row r="27" spans="1:18" s="190" customFormat="1" ht="13.5" customHeight="1" thickTop="1" x14ac:dyDescent="0.3">
      <c r="A27" s="187"/>
      <c r="B27" s="187"/>
      <c r="C27" s="187"/>
      <c r="D27" s="199" t="s">
        <v>268</v>
      </c>
      <c r="E27" s="200"/>
      <c r="F27" s="200"/>
      <c r="G27" s="200"/>
      <c r="H27" s="200"/>
      <c r="I27" s="200"/>
      <c r="J27" s="201"/>
      <c r="K27" s="202">
        <f>K25/ProjectedP205_Consumption!K82</f>
        <v>6.0999792049666643E-2</v>
      </c>
      <c r="L27" s="202">
        <f>L25/ProjectedP205_Consumption!L82</f>
        <v>0.21505778646266091</v>
      </c>
      <c r="M27" s="202">
        <f>M25/ProjectedP205_Consumption!M82</f>
        <v>0.29843889725220457</v>
      </c>
      <c r="N27" s="202"/>
      <c r="O27" s="202"/>
      <c r="P27" s="202"/>
    </row>
    <row r="29" spans="1:18" ht="13.5" customHeight="1" x14ac:dyDescent="0.35">
      <c r="B29" s="29">
        <v>1</v>
      </c>
      <c r="D29" s="28" t="s">
        <v>240</v>
      </c>
    </row>
    <row r="30" spans="1:18" ht="13.5" customHeight="1" outlineLevel="1" x14ac:dyDescent="0.25"/>
    <row r="31" spans="1:18" ht="13.5" customHeight="1" outlineLevel="1" x14ac:dyDescent="0.3">
      <c r="D31" s="32" t="s">
        <v>76</v>
      </c>
      <c r="E31" s="1"/>
    </row>
    <row r="32" spans="1:18" ht="13.5" customHeight="1" outlineLevel="1" x14ac:dyDescent="0.3">
      <c r="D32" s="33" t="s">
        <v>77</v>
      </c>
      <c r="R32" s="39" t="s">
        <v>24</v>
      </c>
    </row>
    <row r="33" spans="4:25" ht="13.5" customHeight="1" outlineLevel="1" x14ac:dyDescent="0.25">
      <c r="N33" s="2" t="s">
        <v>314</v>
      </c>
    </row>
    <row r="34" spans="4:25" ht="13.5" customHeight="1" outlineLevel="1" x14ac:dyDescent="0.3">
      <c r="D34" s="30" t="s">
        <v>15</v>
      </c>
      <c r="E34" s="118">
        <v>2017</v>
      </c>
      <c r="F34" s="118">
        <v>2018</v>
      </c>
      <c r="G34" s="118">
        <v>2019</v>
      </c>
      <c r="H34" s="118">
        <v>2020</v>
      </c>
      <c r="I34" s="118">
        <v>2021</v>
      </c>
      <c r="J34" s="118">
        <v>2022</v>
      </c>
      <c r="K34" s="118">
        <v>2023</v>
      </c>
      <c r="L34" s="118">
        <v>2024</v>
      </c>
      <c r="M34" s="118">
        <v>2025</v>
      </c>
      <c r="N34" s="118">
        <v>2023</v>
      </c>
      <c r="O34" s="118">
        <v>2024</v>
      </c>
      <c r="P34" s="118">
        <v>2025</v>
      </c>
      <c r="R34" s="127" t="s">
        <v>78</v>
      </c>
      <c r="S34" s="127" t="s">
        <v>244</v>
      </c>
      <c r="T34" s="180" t="s">
        <v>245</v>
      </c>
      <c r="U34" s="180" t="s">
        <v>247</v>
      </c>
      <c r="V34" s="180" t="s">
        <v>246</v>
      </c>
      <c r="W34" s="180" t="s">
        <v>248</v>
      </c>
      <c r="X34" s="180" t="s">
        <v>249</v>
      </c>
      <c r="Y34" s="180" t="s">
        <v>250</v>
      </c>
    </row>
    <row r="35" spans="4:25" ht="13.5" customHeight="1" outlineLevel="1" x14ac:dyDescent="0.25">
      <c r="D35" s="101" t="str">
        <f>ProjectedP205_Consumption!D13</f>
        <v>Sorghum</v>
      </c>
      <c r="J35" s="179"/>
      <c r="K35" s="268">
        <f>ProjectedP205_Consumption!K13*(1-S35)*T35*U35</f>
        <v>0.51733647844113861</v>
      </c>
      <c r="L35" s="268">
        <f>ProjectedP205_Consumption!L13*(1-S35)*V35*W35</f>
        <v>1.62514166176726</v>
      </c>
      <c r="M35" s="268">
        <f>ProjectedP205_Consumption!M13*(1-S35)*X35*Y35</f>
        <v>2.836199918957846</v>
      </c>
      <c r="N35" s="266">
        <f>K35/ProjectedP205_Consumption!K13</f>
        <v>4.5499999999999999E-2</v>
      </c>
      <c r="O35" s="266">
        <f>L35/ProjectedP205_Consumption!L13</f>
        <v>0.13649999999999998</v>
      </c>
      <c r="P35" s="266">
        <f>M35/ProjectedP205_Consumption!M13</f>
        <v>0.22750000000000001</v>
      </c>
      <c r="R35" s="1" t="s">
        <v>243</v>
      </c>
      <c r="S35" s="182">
        <v>0.3</v>
      </c>
      <c r="T35" s="182">
        <v>0.65</v>
      </c>
      <c r="U35" s="182">
        <v>0.1</v>
      </c>
      <c r="V35" s="182">
        <v>0.65</v>
      </c>
      <c r="W35" s="182">
        <v>0.3</v>
      </c>
      <c r="X35" s="182">
        <v>0.65</v>
      </c>
      <c r="Y35" s="182">
        <v>0.5</v>
      </c>
    </row>
    <row r="36" spans="4:25" ht="13.5" customHeight="1" outlineLevel="1" x14ac:dyDescent="0.25">
      <c r="D36" s="101" t="str">
        <f>ProjectedP205_Consumption!D14</f>
        <v>Sesame seed</v>
      </c>
      <c r="J36" s="179"/>
      <c r="K36" s="268">
        <f>ProjectedP205_Consumption!K14*(1-S36)*T36*U36</f>
        <v>1.5130774278124237</v>
      </c>
      <c r="L36" s="268">
        <f>ProjectedP205_Consumption!L14*(1-S36)*V36*W36</f>
        <v>5.9364892605649571</v>
      </c>
      <c r="M36" s="268">
        <f>ProjectedP205_Consumption!M14*(1-S36)*X36*Y36</f>
        <v>12.939744924633173</v>
      </c>
      <c r="N36" s="266">
        <f>K36/ProjectedP205_Consumption!K14</f>
        <v>4.5500000000000006E-2</v>
      </c>
      <c r="O36" s="266">
        <f>L36/ProjectedP205_Consumption!L14</f>
        <v>0.13649999999999998</v>
      </c>
      <c r="P36" s="266">
        <f>M36/ProjectedP205_Consumption!M14</f>
        <v>0.22750000000000001</v>
      </c>
      <c r="S36" s="79">
        <f>$S$35</f>
        <v>0.3</v>
      </c>
      <c r="T36" s="79">
        <f>$T$35</f>
        <v>0.65</v>
      </c>
      <c r="U36" s="79">
        <f>$U$35</f>
        <v>0.1</v>
      </c>
      <c r="V36" s="79">
        <f>$V$35</f>
        <v>0.65</v>
      </c>
      <c r="W36" s="79">
        <f>$W$35</f>
        <v>0.3</v>
      </c>
      <c r="X36" s="79">
        <f>$X$35</f>
        <v>0.65</v>
      </c>
      <c r="Y36" s="79">
        <f>$Y$35</f>
        <v>0.5</v>
      </c>
    </row>
    <row r="37" spans="4:25" ht="13.5" customHeight="1" outlineLevel="1" x14ac:dyDescent="0.25">
      <c r="D37" s="101" t="str">
        <f>ProjectedP205_Consumption!D15</f>
        <v>Groundnuts, excluding shelled</v>
      </c>
      <c r="J37" s="179"/>
      <c r="K37" s="268">
        <f>ProjectedP205_Consumption!K15*(1-S37)*T37*U37</f>
        <v>1.751264581575172</v>
      </c>
      <c r="L37" s="268">
        <f>ProjectedP205_Consumption!L15*(1-S37)*V37*W37</f>
        <v>7.275711010405943</v>
      </c>
      <c r="M37" s="268">
        <f>ProjectedP205_Consumption!M15*(1-S37)*X37*Y37</f>
        <v>16.792935187735129</v>
      </c>
      <c r="N37" s="266">
        <f>K37/ProjectedP205_Consumption!K15</f>
        <v>4.5500000000000006E-2</v>
      </c>
      <c r="O37" s="266">
        <f>L37/ProjectedP205_Consumption!L15</f>
        <v>0.13649999999999998</v>
      </c>
      <c r="P37" s="266">
        <f>M37/ProjectedP205_Consumption!M15</f>
        <v>0.22749999999999998</v>
      </c>
      <c r="S37" s="79">
        <f t="shared" ref="S37:S65" si="10">$S$35</f>
        <v>0.3</v>
      </c>
      <c r="T37" s="79">
        <f t="shared" ref="T37:T65" si="11">$T$35</f>
        <v>0.65</v>
      </c>
      <c r="U37" s="79">
        <f t="shared" ref="U37:U65" si="12">$U$35</f>
        <v>0.1</v>
      </c>
      <c r="V37" s="79">
        <f t="shared" ref="V37:V65" si="13">$V$35</f>
        <v>0.65</v>
      </c>
      <c r="W37" s="79">
        <f t="shared" ref="W37:W65" si="14">$W$35</f>
        <v>0.3</v>
      </c>
      <c r="X37" s="79">
        <f t="shared" ref="X37:X65" si="15">$X$35</f>
        <v>0.65</v>
      </c>
      <c r="Y37" s="79">
        <f t="shared" ref="Y37:Y65" si="16">$Y$35</f>
        <v>0.5</v>
      </c>
    </row>
    <row r="38" spans="4:25" ht="13.5" customHeight="1" outlineLevel="1" x14ac:dyDescent="0.25">
      <c r="D38" s="101" t="str">
        <f>ProjectedP205_Consumption!D16</f>
        <v>Millet</v>
      </c>
      <c r="J38" s="179"/>
      <c r="K38" s="268">
        <f>ProjectedP205_Consumption!K16*(1-S38)*T38*U38</f>
        <v>0.21413933753523812</v>
      </c>
      <c r="L38" s="268">
        <f>ProjectedP205_Consumption!L16*(1-S38)*V38*W38</f>
        <v>0.67997859276033834</v>
      </c>
      <c r="M38" s="268">
        <f>ProjectedP205_Consumption!M16*(1-S38)*X38*Y38</f>
        <v>1.1995587440460704</v>
      </c>
      <c r="N38" s="266">
        <f>K38/ProjectedP205_Consumption!K16</f>
        <v>4.5499999999999999E-2</v>
      </c>
      <c r="O38" s="266">
        <f>L38/ProjectedP205_Consumption!L16</f>
        <v>0.13650000000000001</v>
      </c>
      <c r="P38" s="266">
        <f>M38/ProjectedP205_Consumption!M16</f>
        <v>0.22749999999999995</v>
      </c>
      <c r="S38" s="79">
        <f t="shared" si="10"/>
        <v>0.3</v>
      </c>
      <c r="T38" s="79">
        <f t="shared" si="11"/>
        <v>0.65</v>
      </c>
      <c r="U38" s="79">
        <f t="shared" si="12"/>
        <v>0.1</v>
      </c>
      <c r="V38" s="79">
        <f t="shared" si="13"/>
        <v>0.65</v>
      </c>
      <c r="W38" s="79">
        <f t="shared" si="14"/>
        <v>0.3</v>
      </c>
      <c r="X38" s="79">
        <f t="shared" si="15"/>
        <v>0.65</v>
      </c>
      <c r="Y38" s="79">
        <f t="shared" si="16"/>
        <v>0.5</v>
      </c>
    </row>
    <row r="39" spans="4:25" ht="13.5" customHeight="1" outlineLevel="1" x14ac:dyDescent="0.25">
      <c r="D39" s="101" t="str">
        <f>ProjectedP205_Consumption!D17</f>
        <v>Sugar cane</v>
      </c>
      <c r="J39" s="179"/>
      <c r="K39" s="268">
        <f>ProjectedP205_Consumption!K17*(1-S39)*T39*U39</f>
        <v>7.0516457054378368E-2</v>
      </c>
      <c r="L39" s="268">
        <f>ProjectedP205_Consumption!L17*(1-S39)*V39*W39</f>
        <v>0.21965148812353011</v>
      </c>
      <c r="M39" s="268">
        <f>ProjectedP205_Consumption!M17*(1-S39)*X39*Y39</f>
        <v>0.3801065126437716</v>
      </c>
      <c r="N39" s="266">
        <f>K39/ProjectedP205_Consumption!K17</f>
        <v>4.5499999999999992E-2</v>
      </c>
      <c r="O39" s="266">
        <f>L39/ProjectedP205_Consumption!L17</f>
        <v>0.13649999999999998</v>
      </c>
      <c r="P39" s="266">
        <f>M39/ProjectedP205_Consumption!M17</f>
        <v>0.22750000000000001</v>
      </c>
      <c r="S39" s="79">
        <f t="shared" si="10"/>
        <v>0.3</v>
      </c>
      <c r="T39" s="79">
        <f t="shared" si="11"/>
        <v>0.65</v>
      </c>
      <c r="U39" s="79">
        <f t="shared" si="12"/>
        <v>0.1</v>
      </c>
      <c r="V39" s="79">
        <f t="shared" si="13"/>
        <v>0.65</v>
      </c>
      <c r="W39" s="79">
        <f t="shared" si="14"/>
        <v>0.3</v>
      </c>
      <c r="X39" s="79">
        <f t="shared" si="15"/>
        <v>0.65</v>
      </c>
      <c r="Y39" s="79">
        <f t="shared" si="16"/>
        <v>0.5</v>
      </c>
    </row>
    <row r="40" spans="4:25" ht="13.5" customHeight="1" outlineLevel="1" x14ac:dyDescent="0.25">
      <c r="D40" s="101" t="str">
        <f>ProjectedP205_Consumption!D18</f>
        <v>Melonseed</v>
      </c>
      <c r="J40" s="179"/>
      <c r="K40" s="268">
        <f>ProjectedP205_Consumption!K18*(1-S40)*T40*U40</f>
        <v>4.0501999471633444E-2</v>
      </c>
      <c r="L40" s="268">
        <f>ProjectedP205_Consumption!L18*(1-S40)*V40*W40</f>
        <v>0.12238444588419979</v>
      </c>
      <c r="M40" s="268">
        <f>ProjectedP205_Consumption!M18*(1-S40)*X40*Y40</f>
        <v>0.2054487403883577</v>
      </c>
      <c r="N40" s="266">
        <f>K40/ProjectedP205_Consumption!K18</f>
        <v>4.5500000000000006E-2</v>
      </c>
      <c r="O40" s="266">
        <f>L40/ProjectedP205_Consumption!L18</f>
        <v>0.13649999999999998</v>
      </c>
      <c r="P40" s="266">
        <f>M40/ProjectedP205_Consumption!M18</f>
        <v>0.22750000000000001</v>
      </c>
      <c r="S40" s="79">
        <f t="shared" si="10"/>
        <v>0.3</v>
      </c>
      <c r="T40" s="79">
        <f t="shared" si="11"/>
        <v>0.65</v>
      </c>
      <c r="U40" s="79">
        <f t="shared" si="12"/>
        <v>0.1</v>
      </c>
      <c r="V40" s="79">
        <f t="shared" si="13"/>
        <v>0.65</v>
      </c>
      <c r="W40" s="79">
        <f t="shared" si="14"/>
        <v>0.3</v>
      </c>
      <c r="X40" s="79">
        <f t="shared" si="15"/>
        <v>0.65</v>
      </c>
      <c r="Y40" s="79">
        <f t="shared" si="16"/>
        <v>0.5</v>
      </c>
    </row>
    <row r="41" spans="4:25" ht="13.5" customHeight="1" outlineLevel="1" x14ac:dyDescent="0.25">
      <c r="D41" s="101" t="str">
        <f>ProjectedP205_Consumption!D19</f>
        <v>Cow peas, dry</v>
      </c>
      <c r="J41" s="179"/>
      <c r="K41" s="268">
        <f>ProjectedP205_Consumption!K19*(1-S41)*T41*U41</f>
        <v>2.3973965287488713E-2</v>
      </c>
      <c r="L41" s="268">
        <f>ProjectedP205_Consumption!L19*(1-S41)*V41*W41</f>
        <v>8.1421237615243391E-2</v>
      </c>
      <c r="M41" s="268">
        <f>ProjectedP205_Consumption!M19*(1-S41)*X41*Y41</f>
        <v>0.15362539820221882</v>
      </c>
      <c r="N41" s="266">
        <f>K41/ProjectedP205_Consumption!K19</f>
        <v>4.5499999999999999E-2</v>
      </c>
      <c r="O41" s="266">
        <f>L41/ProjectedP205_Consumption!L19</f>
        <v>0.13649999999999998</v>
      </c>
      <c r="P41" s="266">
        <f>M41/ProjectedP205_Consumption!M19</f>
        <v>0.22750000000000001</v>
      </c>
      <c r="S41" s="79">
        <f t="shared" si="10"/>
        <v>0.3</v>
      </c>
      <c r="T41" s="79">
        <f t="shared" si="11"/>
        <v>0.65</v>
      </c>
      <c r="U41" s="79">
        <f t="shared" si="12"/>
        <v>0.1</v>
      </c>
      <c r="V41" s="79">
        <f t="shared" si="13"/>
        <v>0.65</v>
      </c>
      <c r="W41" s="79">
        <f t="shared" si="14"/>
        <v>0.3</v>
      </c>
      <c r="X41" s="79">
        <f t="shared" si="15"/>
        <v>0.65</v>
      </c>
      <c r="Y41" s="79">
        <f t="shared" si="16"/>
        <v>0.5</v>
      </c>
    </row>
    <row r="42" spans="4:25" ht="13.5" customHeight="1" outlineLevel="1" x14ac:dyDescent="0.25">
      <c r="D42" s="101" t="str">
        <f>ProjectedP205_Consumption!D20</f>
        <v>Wheat</v>
      </c>
      <c r="J42" s="179"/>
      <c r="K42" s="268">
        <f>ProjectedP205_Consumption!K20*(1-S42)*T42*U42</f>
        <v>0.15233554139543931</v>
      </c>
      <c r="L42" s="268">
        <f>ProjectedP205_Consumption!L20*(1-S42)*V42*W42</f>
        <v>0.62671422063941185</v>
      </c>
      <c r="M42" s="268">
        <f>ProjectedP205_Consumption!M20*(1-S42)*X42*Y42</f>
        <v>1.4324034327036215</v>
      </c>
      <c r="N42" s="266">
        <f>K42/ProjectedP205_Consumption!K20</f>
        <v>4.5499999999999999E-2</v>
      </c>
      <c r="O42" s="266">
        <f>L42/ProjectedP205_Consumption!L20</f>
        <v>0.13649999999999998</v>
      </c>
      <c r="P42" s="266">
        <f>M42/ProjectedP205_Consumption!M20</f>
        <v>0.22749999999999998</v>
      </c>
      <c r="S42" s="79">
        <f t="shared" si="10"/>
        <v>0.3</v>
      </c>
      <c r="T42" s="79">
        <f t="shared" si="11"/>
        <v>0.65</v>
      </c>
      <c r="U42" s="79">
        <f t="shared" si="12"/>
        <v>0.1</v>
      </c>
      <c r="V42" s="79">
        <f t="shared" si="13"/>
        <v>0.65</v>
      </c>
      <c r="W42" s="79">
        <f t="shared" si="14"/>
        <v>0.3</v>
      </c>
      <c r="X42" s="79">
        <f t="shared" si="15"/>
        <v>0.65</v>
      </c>
      <c r="Y42" s="79">
        <f t="shared" si="16"/>
        <v>0.5</v>
      </c>
    </row>
    <row r="43" spans="4:25" ht="13.5" customHeight="1" outlineLevel="1" x14ac:dyDescent="0.25">
      <c r="D43" s="101" t="str">
        <f>ProjectedP205_Consumption!D21</f>
        <v>Onions and shallots, dry (excluding dehydrated)</v>
      </c>
      <c r="J43" s="179"/>
      <c r="K43" s="268">
        <f>ProjectedP205_Consumption!K21*(1-S43)*T43*U43</f>
        <v>2.3141714823071563E-2</v>
      </c>
      <c r="L43" s="268">
        <f>ProjectedP205_Consumption!L21*(1-S43)*V43*W43</f>
        <v>7.4376435995380324E-2</v>
      </c>
      <c r="M43" s="268">
        <f>ProjectedP205_Consumption!M21*(1-S43)*X43*Y43</f>
        <v>0.13280140967340509</v>
      </c>
      <c r="N43" s="266">
        <f>K43/ProjectedP205_Consumption!K21</f>
        <v>4.5500000000000006E-2</v>
      </c>
      <c r="O43" s="266">
        <f>L43/ProjectedP205_Consumption!L21</f>
        <v>0.13649999999999995</v>
      </c>
      <c r="P43" s="266">
        <f>M43/ProjectedP205_Consumption!M21</f>
        <v>0.22749999999999998</v>
      </c>
      <c r="S43" s="79">
        <f t="shared" si="10"/>
        <v>0.3</v>
      </c>
      <c r="T43" s="79">
        <f t="shared" si="11"/>
        <v>0.65</v>
      </c>
      <c r="U43" s="79">
        <f t="shared" si="12"/>
        <v>0.1</v>
      </c>
      <c r="V43" s="79">
        <f t="shared" si="13"/>
        <v>0.65</v>
      </c>
      <c r="W43" s="79">
        <f t="shared" si="14"/>
        <v>0.3</v>
      </c>
      <c r="X43" s="79">
        <f t="shared" si="15"/>
        <v>0.65</v>
      </c>
      <c r="Y43" s="79">
        <f t="shared" si="16"/>
        <v>0.5</v>
      </c>
    </row>
    <row r="44" spans="4:25" ht="13.5" customHeight="1" outlineLevel="1" x14ac:dyDescent="0.25">
      <c r="D44" s="101" t="str">
        <f>ProjectedP205_Consumption!D22</f>
        <v>Bananas</v>
      </c>
      <c r="J44" s="179"/>
      <c r="K44" s="268">
        <f>ProjectedP205_Consumption!K22*(1-S44)*T44*U44</f>
        <v>1.8148509883797976E-2</v>
      </c>
      <c r="L44" s="268">
        <f>ProjectedP205_Consumption!L22*(1-S44)*V44*W44</f>
        <v>5.7054071925992947E-2</v>
      </c>
      <c r="M44" s="268">
        <f>ProjectedP205_Consumption!M22*(1-S44)*X44*Y44</f>
        <v>9.9645986982423718E-2</v>
      </c>
      <c r="N44" s="266">
        <f>K44/ProjectedP205_Consumption!K22</f>
        <v>4.5500000000000006E-2</v>
      </c>
      <c r="O44" s="266">
        <f>L44/ProjectedP205_Consumption!L22</f>
        <v>0.13649999999999998</v>
      </c>
      <c r="P44" s="266">
        <f>M44/ProjectedP205_Consumption!M22</f>
        <v>0.22750000000000001</v>
      </c>
      <c r="S44" s="79">
        <f t="shared" si="10"/>
        <v>0.3</v>
      </c>
      <c r="T44" s="79">
        <f t="shared" si="11"/>
        <v>0.65</v>
      </c>
      <c r="U44" s="79">
        <f t="shared" si="12"/>
        <v>0.1</v>
      </c>
      <c r="V44" s="79">
        <f t="shared" si="13"/>
        <v>0.65</v>
      </c>
      <c r="W44" s="79">
        <f t="shared" si="14"/>
        <v>0.3</v>
      </c>
      <c r="X44" s="79">
        <f t="shared" si="15"/>
        <v>0.65</v>
      </c>
      <c r="Y44" s="79">
        <f t="shared" si="16"/>
        <v>0.5</v>
      </c>
    </row>
    <row r="45" spans="4:25" ht="13.5" customHeight="1" outlineLevel="1" x14ac:dyDescent="0.25">
      <c r="D45" s="101" t="str">
        <f>ProjectedP205_Consumption!D23</f>
        <v>Mangoes, guavas and mangosteens</v>
      </c>
      <c r="J45" s="179"/>
      <c r="K45" s="268">
        <f>ProjectedP205_Consumption!K23*(1-S45)*T45*U45</f>
        <v>1.8229438657970526E-2</v>
      </c>
      <c r="L45" s="268">
        <f>ProjectedP205_Consumption!L23*(1-S45)*V45*W45</f>
        <v>5.7808621657632848E-2</v>
      </c>
      <c r="M45" s="268">
        <f>ProjectedP205_Consumption!M23*(1-S45)*X45*Y45</f>
        <v>0.10184493337204246</v>
      </c>
      <c r="N45" s="266">
        <f>K45/ProjectedP205_Consumption!K23</f>
        <v>4.5499999999999999E-2</v>
      </c>
      <c r="O45" s="266">
        <f>L45/ProjectedP205_Consumption!L23</f>
        <v>0.13649999999999998</v>
      </c>
      <c r="P45" s="266">
        <f>M45/ProjectedP205_Consumption!M23</f>
        <v>0.22750000000000001</v>
      </c>
      <c r="S45" s="79">
        <f t="shared" si="10"/>
        <v>0.3</v>
      </c>
      <c r="T45" s="79">
        <f t="shared" si="11"/>
        <v>0.65</v>
      </c>
      <c r="U45" s="79">
        <f t="shared" si="12"/>
        <v>0.1</v>
      </c>
      <c r="V45" s="79">
        <f t="shared" si="13"/>
        <v>0.65</v>
      </c>
      <c r="W45" s="79">
        <f t="shared" si="14"/>
        <v>0.3</v>
      </c>
      <c r="X45" s="79">
        <f t="shared" si="15"/>
        <v>0.65</v>
      </c>
      <c r="Y45" s="79">
        <f t="shared" si="16"/>
        <v>0.5</v>
      </c>
    </row>
    <row r="46" spans="4:25" ht="13.5" customHeight="1" outlineLevel="1" x14ac:dyDescent="0.25">
      <c r="D46" s="101" t="str">
        <f>ProjectedP205_Consumption!D24</f>
        <v>Cantaloupes and other melons</v>
      </c>
      <c r="J46" s="179"/>
      <c r="K46" s="268">
        <f>ProjectedP205_Consumption!K24*(1-S46)*T46*U46</f>
        <v>1.7769412830942813E-2</v>
      </c>
      <c r="L46" s="268">
        <f>ProjectedP205_Consumption!L24*(1-S46)*V46*W46</f>
        <v>5.6507537348312646E-2</v>
      </c>
      <c r="M46" s="268">
        <f>ProjectedP205_Consumption!M24*(1-S46)*X46*Y46</f>
        <v>9.9831404033372095E-2</v>
      </c>
      <c r="N46" s="266">
        <f>K46/ProjectedP205_Consumption!K24</f>
        <v>4.5499999999999999E-2</v>
      </c>
      <c r="O46" s="266">
        <f>L46/ProjectedP205_Consumption!L24</f>
        <v>0.13650000000000001</v>
      </c>
      <c r="P46" s="266">
        <f>M46/ProjectedP205_Consumption!M24</f>
        <v>0.22750000000000001</v>
      </c>
      <c r="S46" s="79">
        <f t="shared" si="10"/>
        <v>0.3</v>
      </c>
      <c r="T46" s="79">
        <f t="shared" si="11"/>
        <v>0.65</v>
      </c>
      <c r="U46" s="79">
        <f t="shared" si="12"/>
        <v>0.1</v>
      </c>
      <c r="V46" s="79">
        <f t="shared" si="13"/>
        <v>0.65</v>
      </c>
      <c r="W46" s="79">
        <f t="shared" si="14"/>
        <v>0.3</v>
      </c>
      <c r="X46" s="79">
        <f t="shared" si="15"/>
        <v>0.65</v>
      </c>
      <c r="Y46" s="79">
        <f t="shared" si="16"/>
        <v>0.5</v>
      </c>
    </row>
    <row r="47" spans="4:25" ht="13.5" customHeight="1" outlineLevel="1" x14ac:dyDescent="0.25">
      <c r="D47" s="101" t="str">
        <f>ProjectedP205_Consumption!D25</f>
        <v>Sunflower seed</v>
      </c>
      <c r="J47" s="179"/>
      <c r="K47" s="268">
        <f>ProjectedP205_Consumption!K25*(1-S47)*T47*U47</f>
        <v>2.2635495583152559E-2</v>
      </c>
      <c r="L47" s="268">
        <f>ProjectedP205_Consumption!L25*(1-S47)*V47*W47</f>
        <v>7.3483609132584518E-2</v>
      </c>
      <c r="M47" s="268">
        <f>ProjectedP205_Consumption!M25*(1-S47)*X47*Y47</f>
        <v>0.13253129584593984</v>
      </c>
      <c r="N47" s="266">
        <f>K47/ProjectedP205_Consumption!K25</f>
        <v>4.5500000000000006E-2</v>
      </c>
      <c r="O47" s="266">
        <f>L47/ProjectedP205_Consumption!L25</f>
        <v>0.13649999999999998</v>
      </c>
      <c r="P47" s="266">
        <f>M47/ProjectedP205_Consumption!M25</f>
        <v>0.22750000000000001</v>
      </c>
      <c r="S47" s="79">
        <f t="shared" si="10"/>
        <v>0.3</v>
      </c>
      <c r="T47" s="79">
        <f t="shared" si="11"/>
        <v>0.65</v>
      </c>
      <c r="U47" s="79">
        <f t="shared" si="12"/>
        <v>0.1</v>
      </c>
      <c r="V47" s="79">
        <f t="shared" si="13"/>
        <v>0.65</v>
      </c>
      <c r="W47" s="79">
        <f t="shared" si="14"/>
        <v>0.3</v>
      </c>
      <c r="X47" s="79">
        <f t="shared" si="15"/>
        <v>0.65</v>
      </c>
      <c r="Y47" s="79">
        <f t="shared" si="16"/>
        <v>0.5</v>
      </c>
    </row>
    <row r="48" spans="4:25" ht="13.5" customHeight="1" outlineLevel="1" x14ac:dyDescent="0.25">
      <c r="D48" s="101" t="str">
        <f>ProjectedP205_Consumption!D26</f>
        <v>Cauliflowers and broccoli</v>
      </c>
      <c r="J48" s="179"/>
      <c r="K48" s="268">
        <f>ProjectedP205_Consumption!K26*(1-S48)*T48*U48</f>
        <v>1.6071241672808052E-2</v>
      </c>
      <c r="L48" s="268">
        <f>ProjectedP205_Consumption!L26*(1-S48)*V48*W48</f>
        <v>5.0828728756280445E-2</v>
      </c>
      <c r="M48" s="268">
        <f>ProjectedP205_Consumption!M26*(1-S48)*X48*Y48</f>
        <v>8.9309274001412878E-2</v>
      </c>
      <c r="N48" s="266">
        <f>K48/ProjectedP205_Consumption!K26</f>
        <v>4.5500000000000006E-2</v>
      </c>
      <c r="O48" s="266">
        <f>L48/ProjectedP205_Consumption!L26</f>
        <v>0.13650000000000001</v>
      </c>
      <c r="P48" s="266">
        <f>M48/ProjectedP205_Consumption!M26</f>
        <v>0.22749999999999998</v>
      </c>
      <c r="S48" s="79">
        <f t="shared" si="10"/>
        <v>0.3</v>
      </c>
      <c r="T48" s="79">
        <f t="shared" si="11"/>
        <v>0.65</v>
      </c>
      <c r="U48" s="79">
        <f t="shared" si="12"/>
        <v>0.1</v>
      </c>
      <c r="V48" s="79">
        <f t="shared" si="13"/>
        <v>0.65</v>
      </c>
      <c r="W48" s="79">
        <f t="shared" si="14"/>
        <v>0.3</v>
      </c>
      <c r="X48" s="79">
        <f t="shared" si="15"/>
        <v>0.65</v>
      </c>
      <c r="Y48" s="79">
        <f t="shared" si="16"/>
        <v>0.5</v>
      </c>
    </row>
    <row r="49" spans="4:25" ht="13.5" customHeight="1" outlineLevel="1" x14ac:dyDescent="0.25">
      <c r="D49" s="101" t="str">
        <f>ProjectedP205_Consumption!D27</f>
        <v>Seed cotton, unginned</v>
      </c>
      <c r="J49" s="179"/>
      <c r="K49" s="268">
        <f>ProjectedP205_Consumption!K27*(1-S49)*T49*U49</f>
        <v>5.7136785671970614E-2</v>
      </c>
      <c r="L49" s="268">
        <f>ProjectedP205_Consumption!L27*(1-S49)*V49*W49</f>
        <v>0.210127750531623</v>
      </c>
      <c r="M49" s="268">
        <f>ProjectedP205_Consumption!M27*(1-S49)*X49*Y49</f>
        <v>0.42931742196672174</v>
      </c>
      <c r="N49" s="266">
        <f>K49/ProjectedP205_Consumption!K27</f>
        <v>4.5499999999999992E-2</v>
      </c>
      <c r="O49" s="266">
        <f>L49/ProjectedP205_Consumption!L27</f>
        <v>0.13649999999999998</v>
      </c>
      <c r="P49" s="266">
        <f>M49/ProjectedP205_Consumption!M27</f>
        <v>0.22749999999999998</v>
      </c>
      <c r="S49" s="79">
        <f t="shared" si="10"/>
        <v>0.3</v>
      </c>
      <c r="T49" s="79">
        <f t="shared" si="11"/>
        <v>0.65</v>
      </c>
      <c r="U49" s="79">
        <f t="shared" si="12"/>
        <v>0.1</v>
      </c>
      <c r="V49" s="79">
        <f t="shared" si="13"/>
        <v>0.65</v>
      </c>
      <c r="W49" s="79">
        <f t="shared" si="14"/>
        <v>0.3</v>
      </c>
      <c r="X49" s="79">
        <f t="shared" si="15"/>
        <v>0.65</v>
      </c>
      <c r="Y49" s="79">
        <f t="shared" si="16"/>
        <v>0.5</v>
      </c>
    </row>
    <row r="50" spans="4:25" ht="13.5" customHeight="1" outlineLevel="1" x14ac:dyDescent="0.25">
      <c r="D50" s="101" t="str">
        <f>ProjectedP205_Consumption!D28</f>
        <v>Cucumbers and gherkins</v>
      </c>
      <c r="J50" s="179"/>
      <c r="K50" s="268">
        <f>ProjectedP205_Consumption!K28*(1-S50)*T50*U50</f>
        <v>1.397487211963732E-2</v>
      </c>
      <c r="L50" s="268">
        <f>ProjectedP205_Consumption!L28*(1-S50)*V50*W50</f>
        <v>4.4953938552236221E-2</v>
      </c>
      <c r="M50" s="268">
        <f>ProjectedP205_Consumption!M28*(1-S50)*X50*Y50</f>
        <v>8.0336914477559071E-2</v>
      </c>
      <c r="N50" s="266">
        <f>K50/ProjectedP205_Consumption!K28</f>
        <v>4.5500000000000006E-2</v>
      </c>
      <c r="O50" s="266">
        <f>L50/ProjectedP205_Consumption!L28</f>
        <v>0.13650000000000001</v>
      </c>
      <c r="P50" s="266">
        <f>M50/ProjectedP205_Consumption!M28</f>
        <v>0.22749999999999998</v>
      </c>
      <c r="S50" s="79">
        <f t="shared" si="10"/>
        <v>0.3</v>
      </c>
      <c r="T50" s="79">
        <f t="shared" si="11"/>
        <v>0.65</v>
      </c>
      <c r="U50" s="79">
        <f t="shared" si="12"/>
        <v>0.1</v>
      </c>
      <c r="V50" s="79">
        <f t="shared" si="13"/>
        <v>0.65</v>
      </c>
      <c r="W50" s="79">
        <f t="shared" si="14"/>
        <v>0.3</v>
      </c>
      <c r="X50" s="79">
        <f t="shared" si="15"/>
        <v>0.65</v>
      </c>
      <c r="Y50" s="79">
        <f t="shared" si="16"/>
        <v>0.5</v>
      </c>
    </row>
    <row r="51" spans="4:25" ht="13.5" customHeight="1" outlineLevel="1" x14ac:dyDescent="0.25">
      <c r="D51" s="101" t="str">
        <f>ProjectedP205_Consumption!D29</f>
        <v>Tomatoes</v>
      </c>
      <c r="J51" s="179"/>
      <c r="K51" s="268">
        <f>ProjectedP205_Consumption!K29*(1-S51)*T51*U51</f>
        <v>1.3718830559132426E-2</v>
      </c>
      <c r="L51" s="268">
        <f>ProjectedP205_Consumption!L29*(1-S51)*V51*W51</f>
        <v>4.3307192403190801E-2</v>
      </c>
      <c r="M51" s="268">
        <f>ProjectedP205_Consumption!M29*(1-S51)*X51*Y51</f>
        <v>7.5950469270157264E-2</v>
      </c>
      <c r="N51" s="266">
        <f>K51/ProjectedP205_Consumption!K29</f>
        <v>4.5500000000000006E-2</v>
      </c>
      <c r="O51" s="266">
        <f>L51/ProjectedP205_Consumption!L29</f>
        <v>0.13649999999999998</v>
      </c>
      <c r="P51" s="266">
        <f>M51/ProjectedP205_Consumption!M29</f>
        <v>0.22750000000000001</v>
      </c>
      <c r="S51" s="79">
        <f t="shared" si="10"/>
        <v>0.3</v>
      </c>
      <c r="T51" s="79">
        <f t="shared" si="11"/>
        <v>0.65</v>
      </c>
      <c r="U51" s="79">
        <f t="shared" si="12"/>
        <v>0.1</v>
      </c>
      <c r="V51" s="79">
        <f t="shared" si="13"/>
        <v>0.65</v>
      </c>
      <c r="W51" s="79">
        <f t="shared" si="14"/>
        <v>0.3</v>
      </c>
      <c r="X51" s="79">
        <f t="shared" si="15"/>
        <v>0.65</v>
      </c>
      <c r="Y51" s="79">
        <f t="shared" si="16"/>
        <v>0.5</v>
      </c>
    </row>
    <row r="52" spans="4:25" ht="13.5" customHeight="1" outlineLevel="1" x14ac:dyDescent="0.25">
      <c r="D52" s="101" t="str">
        <f>ProjectedP205_Consumption!D30</f>
        <v>Potatoes</v>
      </c>
      <c r="J52" s="179"/>
      <c r="K52" s="268">
        <f>ProjectedP205_Consumption!K30*(1-S52)*T52*U52</f>
        <v>1.2745815563605762E-2</v>
      </c>
      <c r="L52" s="268">
        <f>ProjectedP205_Consumption!L30*(1-S52)*V52*W52</f>
        <v>4.0149319025358149E-2</v>
      </c>
      <c r="M52" s="268">
        <f>ProjectedP205_Consumption!M30*(1-S52)*X52*Y52</f>
        <v>7.0261308294376754E-2</v>
      </c>
      <c r="N52" s="266">
        <f>K52/ProjectedP205_Consumption!K30</f>
        <v>4.5499999999999999E-2</v>
      </c>
      <c r="O52" s="266">
        <f>L52/ProjectedP205_Consumption!L30</f>
        <v>0.13650000000000001</v>
      </c>
      <c r="P52" s="266">
        <f>M52/ProjectedP205_Consumption!M30</f>
        <v>0.22749999999999998</v>
      </c>
      <c r="S52" s="79">
        <f t="shared" si="10"/>
        <v>0.3</v>
      </c>
      <c r="T52" s="79">
        <f t="shared" si="11"/>
        <v>0.65</v>
      </c>
      <c r="U52" s="79">
        <f t="shared" si="12"/>
        <v>0.1</v>
      </c>
      <c r="V52" s="79">
        <f t="shared" si="13"/>
        <v>0.65</v>
      </c>
      <c r="W52" s="79">
        <f t="shared" si="14"/>
        <v>0.3</v>
      </c>
      <c r="X52" s="79">
        <f t="shared" si="15"/>
        <v>0.65</v>
      </c>
      <c r="Y52" s="79">
        <f t="shared" si="16"/>
        <v>0.5</v>
      </c>
    </row>
    <row r="53" spans="4:25" ht="13.5" customHeight="1" outlineLevel="1" x14ac:dyDescent="0.25">
      <c r="D53" s="101" t="str">
        <f>ProjectedP205_Consumption!D31</f>
        <v>Pumpkins, squash and gourds</v>
      </c>
      <c r="J53" s="179"/>
      <c r="K53" s="268">
        <f>ProjectedP205_Consumption!K31*(1-S53)*T53*U53</f>
        <v>1.2114204361753964E-2</v>
      </c>
      <c r="L53" s="268">
        <f>ProjectedP205_Consumption!L31*(1-S53)*V53*W53</f>
        <v>3.8120586427888403E-2</v>
      </c>
      <c r="M53" s="268">
        <f>ProjectedP205_Consumption!M31*(1-S53)*X53*Y53</f>
        <v>6.664257127011694E-2</v>
      </c>
      <c r="N53" s="266">
        <f>K53/ProjectedP205_Consumption!K31</f>
        <v>4.5500000000000006E-2</v>
      </c>
      <c r="O53" s="266">
        <f>L53/ProjectedP205_Consumption!L31</f>
        <v>0.13649999999999998</v>
      </c>
      <c r="P53" s="266">
        <f>M53/ProjectedP205_Consumption!M31</f>
        <v>0.22750000000000001</v>
      </c>
      <c r="S53" s="79">
        <f t="shared" si="10"/>
        <v>0.3</v>
      </c>
      <c r="T53" s="79">
        <f t="shared" si="11"/>
        <v>0.65</v>
      </c>
      <c r="U53" s="79">
        <f t="shared" si="12"/>
        <v>0.1</v>
      </c>
      <c r="V53" s="79">
        <f t="shared" si="13"/>
        <v>0.65</v>
      </c>
      <c r="W53" s="79">
        <f t="shared" si="14"/>
        <v>0.3</v>
      </c>
      <c r="X53" s="79">
        <f t="shared" si="15"/>
        <v>0.65</v>
      </c>
      <c r="Y53" s="79">
        <f t="shared" si="16"/>
        <v>0.5</v>
      </c>
    </row>
    <row r="54" spans="4:25" ht="13.5" customHeight="1" outlineLevel="1" x14ac:dyDescent="0.25">
      <c r="D54" s="101" t="str">
        <f>ProjectedP205_Consumption!D32</f>
        <v>Dates</v>
      </c>
      <c r="J54" s="179"/>
      <c r="K54" s="268">
        <f>ProjectedP205_Consumption!K32*(1-S54)*T54*U54</f>
        <v>1.2241397312707784E-2</v>
      </c>
      <c r="L54" s="268">
        <f>ProjectedP205_Consumption!L32*(1-S54)*V54*W54</f>
        <v>3.8823198491561808E-2</v>
      </c>
      <c r="M54" s="268">
        <f>ProjectedP205_Consumption!M32*(1-S54)*X54*Y54</f>
        <v>6.8403626309634424E-2</v>
      </c>
      <c r="N54" s="266">
        <f>K54/ProjectedP205_Consumption!K32</f>
        <v>4.5500000000000006E-2</v>
      </c>
      <c r="O54" s="266">
        <f>L54/ProjectedP205_Consumption!L32</f>
        <v>0.13650000000000001</v>
      </c>
      <c r="P54" s="266">
        <f>M54/ProjectedP205_Consumption!M32</f>
        <v>0.22750000000000001</v>
      </c>
      <c r="S54" s="79">
        <f t="shared" si="10"/>
        <v>0.3</v>
      </c>
      <c r="T54" s="79">
        <f t="shared" si="11"/>
        <v>0.65</v>
      </c>
      <c r="U54" s="79">
        <f t="shared" si="12"/>
        <v>0.1</v>
      </c>
      <c r="V54" s="79">
        <f t="shared" si="13"/>
        <v>0.65</v>
      </c>
      <c r="W54" s="79">
        <f t="shared" si="14"/>
        <v>0.3</v>
      </c>
      <c r="X54" s="79">
        <f t="shared" si="15"/>
        <v>0.65</v>
      </c>
      <c r="Y54" s="79">
        <f t="shared" si="16"/>
        <v>0.5</v>
      </c>
    </row>
    <row r="55" spans="4:25" ht="13.5" customHeight="1" outlineLevel="1" x14ac:dyDescent="0.25">
      <c r="D55" s="101" t="str">
        <f>ProjectedP205_Consumption!D33</f>
        <v>Pomelos and grapefruits</v>
      </c>
      <c r="J55" s="179"/>
      <c r="K55" s="268">
        <f>ProjectedP205_Consumption!K33*(1-S55)*T55*U55</f>
        <v>1.1583623138969251E-2</v>
      </c>
      <c r="L55" s="268">
        <f>ProjectedP205_Consumption!L33*(1-S55)*V55*W55</f>
        <v>3.7834124348733796E-2</v>
      </c>
      <c r="M55" s="268">
        <f>ProjectedP205_Consumption!M33*(1-S55)*X55*Y55</f>
        <v>6.8651566097653077E-2</v>
      </c>
      <c r="N55" s="266">
        <f>K55/ProjectedP205_Consumption!K33</f>
        <v>4.5499999999999999E-2</v>
      </c>
      <c r="O55" s="266">
        <f>L55/ProjectedP205_Consumption!L33</f>
        <v>0.13649999999999998</v>
      </c>
      <c r="P55" s="266">
        <f>M55/ProjectedP205_Consumption!M33</f>
        <v>0.22750000000000001</v>
      </c>
      <c r="S55" s="79">
        <f t="shared" si="10"/>
        <v>0.3</v>
      </c>
      <c r="T55" s="79">
        <f t="shared" si="11"/>
        <v>0.65</v>
      </c>
      <c r="U55" s="79">
        <f t="shared" si="12"/>
        <v>0.1</v>
      </c>
      <c r="V55" s="79">
        <f t="shared" si="13"/>
        <v>0.65</v>
      </c>
      <c r="W55" s="79">
        <f t="shared" si="14"/>
        <v>0.3</v>
      </c>
      <c r="X55" s="79">
        <f t="shared" si="15"/>
        <v>0.65</v>
      </c>
      <c r="Y55" s="79">
        <f t="shared" si="16"/>
        <v>0.5</v>
      </c>
    </row>
    <row r="56" spans="4:25" ht="13.5" customHeight="1" outlineLevel="1" x14ac:dyDescent="0.25">
      <c r="D56" s="101" t="str">
        <f>ProjectedP205_Consumption!D34</f>
        <v>Okra</v>
      </c>
      <c r="J56" s="179"/>
      <c r="K56" s="268">
        <f>ProjectedP205_Consumption!K34*(1-S56)*T56*U56</f>
        <v>1.0199912681546712E-2</v>
      </c>
      <c r="L56" s="268">
        <f>ProjectedP205_Consumption!L34*(1-S56)*V56*W56</f>
        <v>3.2127122813385547E-2</v>
      </c>
      <c r="M56" s="268">
        <f>ProjectedP205_Consumption!M34*(1-S56)*X56*Y56</f>
        <v>5.6217911558622553E-2</v>
      </c>
      <c r="N56" s="266">
        <f>K56/ProjectedP205_Consumption!K34</f>
        <v>4.5500000000000006E-2</v>
      </c>
      <c r="O56" s="266">
        <f>L56/ProjectedP205_Consumption!L34</f>
        <v>0.13650000000000001</v>
      </c>
      <c r="P56" s="266">
        <f>M56/ProjectedP205_Consumption!M34</f>
        <v>0.22749999999999998</v>
      </c>
      <c r="S56" s="79">
        <f t="shared" si="10"/>
        <v>0.3</v>
      </c>
      <c r="T56" s="79">
        <f t="shared" si="11"/>
        <v>0.65</v>
      </c>
      <c r="U56" s="79">
        <f t="shared" si="12"/>
        <v>0.1</v>
      </c>
      <c r="V56" s="79">
        <f t="shared" si="13"/>
        <v>0.65</v>
      </c>
      <c r="W56" s="79">
        <f t="shared" si="14"/>
        <v>0.3</v>
      </c>
      <c r="X56" s="79">
        <f t="shared" si="15"/>
        <v>0.65</v>
      </c>
      <c r="Y56" s="79">
        <f t="shared" si="16"/>
        <v>0.5</v>
      </c>
    </row>
    <row r="57" spans="4:25" ht="13.5" customHeight="1" outlineLevel="1" x14ac:dyDescent="0.25">
      <c r="D57" s="101" t="str">
        <f>ProjectedP205_Consumption!D35</f>
        <v>Lemons and limes</v>
      </c>
      <c r="J57" s="179"/>
      <c r="K57" s="268">
        <f>ProjectedP205_Consumption!K35*(1-S57)*T57*U57</f>
        <v>1.1328719940522283E-2</v>
      </c>
      <c r="L57" s="268">
        <f>ProjectedP205_Consumption!L35*(1-S57)*V57*W57</f>
        <v>3.6717188329874501E-2</v>
      </c>
      <c r="M57" s="268">
        <f>ProjectedP205_Consumption!M35*(1-S57)*X57*Y57</f>
        <v>6.6112790516762346E-2</v>
      </c>
      <c r="N57" s="266">
        <f>K57/ProjectedP205_Consumption!K35</f>
        <v>4.5500000000000006E-2</v>
      </c>
      <c r="O57" s="266">
        <f>L57/ProjectedP205_Consumption!L35</f>
        <v>0.13650000000000001</v>
      </c>
      <c r="P57" s="266">
        <f>M57/ProjectedP205_Consumption!M35</f>
        <v>0.22750000000000001</v>
      </c>
      <c r="S57" s="79">
        <f t="shared" si="10"/>
        <v>0.3</v>
      </c>
      <c r="T57" s="79">
        <f t="shared" si="11"/>
        <v>0.65</v>
      </c>
      <c r="U57" s="79">
        <f t="shared" si="12"/>
        <v>0.1</v>
      </c>
      <c r="V57" s="79">
        <f t="shared" si="13"/>
        <v>0.65</v>
      </c>
      <c r="W57" s="79">
        <f t="shared" si="14"/>
        <v>0.3</v>
      </c>
      <c r="X57" s="79">
        <f t="shared" si="15"/>
        <v>0.65</v>
      </c>
      <c r="Y57" s="79">
        <f t="shared" si="16"/>
        <v>0.5</v>
      </c>
    </row>
    <row r="58" spans="4:25" ht="13.5" customHeight="1" outlineLevel="1" x14ac:dyDescent="0.25">
      <c r="D58" s="101" t="str">
        <f>ProjectedP205_Consumption!D36</f>
        <v>Green garlic</v>
      </c>
      <c r="J58" s="179"/>
      <c r="K58" s="268">
        <f>ProjectedP205_Consumption!K36*(1-S58)*T58*U58</f>
        <v>1.2488357160844048E-2</v>
      </c>
      <c r="L58" s="268">
        <f>ProjectedP205_Consumption!L36*(1-S58)*V58*W58</f>
        <v>4.2312596355234676E-2</v>
      </c>
      <c r="M58" s="268">
        <f>ProjectedP205_Consumption!M36*(1-S58)*X58*Y58</f>
        <v>7.9645553376997261E-2</v>
      </c>
      <c r="N58" s="266">
        <f>K58/ProjectedP205_Consumption!K36</f>
        <v>4.5499999999999999E-2</v>
      </c>
      <c r="O58" s="266">
        <f>L58/ProjectedP205_Consumption!L36</f>
        <v>0.13650000000000001</v>
      </c>
      <c r="P58" s="266">
        <f>M58/ProjectedP205_Consumption!M36</f>
        <v>0.22750000000000001</v>
      </c>
      <c r="S58" s="79">
        <f t="shared" si="10"/>
        <v>0.3</v>
      </c>
      <c r="T58" s="79">
        <f t="shared" si="11"/>
        <v>0.65</v>
      </c>
      <c r="U58" s="79">
        <f t="shared" si="12"/>
        <v>0.1</v>
      </c>
      <c r="V58" s="79">
        <f t="shared" si="13"/>
        <v>0.65</v>
      </c>
      <c r="W58" s="79">
        <f t="shared" si="14"/>
        <v>0.3</v>
      </c>
      <c r="X58" s="79">
        <f t="shared" si="15"/>
        <v>0.65</v>
      </c>
      <c r="Y58" s="79">
        <f t="shared" si="16"/>
        <v>0.5</v>
      </c>
    </row>
    <row r="59" spans="4:25" ht="13.5" customHeight="1" outlineLevel="1" x14ac:dyDescent="0.25">
      <c r="D59" s="101" t="str">
        <f>ProjectedP205_Consumption!D37</f>
        <v>Sweet potatoes</v>
      </c>
      <c r="J59" s="179"/>
      <c r="K59" s="268">
        <f>ProjectedP205_Consumption!K37*(1-S59)*T59*U59</f>
        <v>9.6092721465429812E-3</v>
      </c>
      <c r="L59" s="268">
        <f>ProjectedP205_Consumption!L37*(1-S59)*V59*W59</f>
        <v>3.0337576987526531E-2</v>
      </c>
      <c r="M59" s="268">
        <f>ProjectedP205_Consumption!M37*(1-S59)*X59*Y59</f>
        <v>5.321067699788791E-2</v>
      </c>
      <c r="N59" s="266">
        <f>K59/ProjectedP205_Consumption!K37</f>
        <v>4.5499999999999999E-2</v>
      </c>
      <c r="O59" s="266">
        <f>L59/ProjectedP205_Consumption!L37</f>
        <v>0.13649999999999998</v>
      </c>
      <c r="P59" s="266">
        <f>M59/ProjectedP205_Consumption!M37</f>
        <v>0.22749999999999998</v>
      </c>
      <c r="S59" s="79">
        <f t="shared" si="10"/>
        <v>0.3</v>
      </c>
      <c r="T59" s="79">
        <f t="shared" si="11"/>
        <v>0.65</v>
      </c>
      <c r="U59" s="79">
        <f t="shared" si="12"/>
        <v>0.1</v>
      </c>
      <c r="V59" s="79">
        <f t="shared" si="13"/>
        <v>0.65</v>
      </c>
      <c r="W59" s="79">
        <f t="shared" si="14"/>
        <v>0.3</v>
      </c>
      <c r="X59" s="79">
        <f t="shared" si="15"/>
        <v>0.65</v>
      </c>
      <c r="Y59" s="79">
        <f t="shared" si="16"/>
        <v>0.5</v>
      </c>
    </row>
    <row r="60" spans="4:25" ht="13.5" customHeight="1" outlineLevel="1" x14ac:dyDescent="0.25">
      <c r="D60" s="101" t="str">
        <f>ProjectedP205_Consumption!D38</f>
        <v>Other pulses n.e.c.</v>
      </c>
      <c r="J60" s="179"/>
      <c r="K60" s="268">
        <f>ProjectedP205_Consumption!K38*(1-S60)*T60*U60</f>
        <v>7.9254630833437603E-2</v>
      </c>
      <c r="L60" s="268">
        <f>ProjectedP205_Consumption!L38*(1-S60)*V60*W60</f>
        <v>0.29980053379974453</v>
      </c>
      <c r="M60" s="268">
        <f>ProjectedP205_Consumption!M38*(1-S60)*X60*Y60</f>
        <v>0.63003931562410231</v>
      </c>
      <c r="N60" s="266">
        <f>K60/ProjectedP205_Consumption!K38</f>
        <v>4.5500000000000006E-2</v>
      </c>
      <c r="O60" s="266">
        <f>L60/ProjectedP205_Consumption!L38</f>
        <v>0.13649999999999998</v>
      </c>
      <c r="P60" s="266">
        <f>M60/ProjectedP205_Consumption!M38</f>
        <v>0.22749999999999998</v>
      </c>
      <c r="S60" s="79">
        <f t="shared" si="10"/>
        <v>0.3</v>
      </c>
      <c r="T60" s="79">
        <f t="shared" si="11"/>
        <v>0.65</v>
      </c>
      <c r="U60" s="79">
        <f t="shared" si="12"/>
        <v>0.1</v>
      </c>
      <c r="V60" s="79">
        <f t="shared" si="13"/>
        <v>0.65</v>
      </c>
      <c r="W60" s="79">
        <f t="shared" si="14"/>
        <v>0.3</v>
      </c>
      <c r="X60" s="79">
        <f t="shared" si="15"/>
        <v>0.65</v>
      </c>
      <c r="Y60" s="79">
        <f t="shared" si="16"/>
        <v>0.5</v>
      </c>
    </row>
    <row r="61" spans="4:25" ht="13.5" customHeight="1" outlineLevel="1" x14ac:dyDescent="0.25">
      <c r="D61" s="101" t="str">
        <f>ProjectedP205_Consumption!D39</f>
        <v>Other vegetables, fresh n.e.c.</v>
      </c>
      <c r="J61" s="179"/>
      <c r="K61" s="268">
        <f>ProjectedP205_Consumption!K39*(1-S61)*T61*U61</f>
        <v>8.3942794673418607E-3</v>
      </c>
      <c r="L61" s="268">
        <f>ProjectedP205_Consumption!L39*(1-S61)*V61*W61</f>
        <v>2.6432998109171598E-2</v>
      </c>
      <c r="M61" s="268">
        <f>ProjectedP205_Consumption!M39*(1-S61)*X61*Y61</f>
        <v>4.6242033158003668E-2</v>
      </c>
      <c r="N61" s="266">
        <f>K61/ProjectedP205_Consumption!K39</f>
        <v>4.5499999999999999E-2</v>
      </c>
      <c r="O61" s="266">
        <f>L61/ProjectedP205_Consumption!L39</f>
        <v>0.13650000000000001</v>
      </c>
      <c r="P61" s="266">
        <f>M61/ProjectedP205_Consumption!M39</f>
        <v>0.22750000000000001</v>
      </c>
      <c r="S61" s="79">
        <f t="shared" si="10"/>
        <v>0.3</v>
      </c>
      <c r="T61" s="79">
        <f t="shared" si="11"/>
        <v>0.65</v>
      </c>
      <c r="U61" s="79">
        <f t="shared" si="12"/>
        <v>0.1</v>
      </c>
      <c r="V61" s="79">
        <f t="shared" si="13"/>
        <v>0.65</v>
      </c>
      <c r="W61" s="79">
        <f t="shared" si="14"/>
        <v>0.3</v>
      </c>
      <c r="X61" s="79">
        <f t="shared" si="15"/>
        <v>0.65</v>
      </c>
      <c r="Y61" s="79">
        <f t="shared" si="16"/>
        <v>0.5</v>
      </c>
    </row>
    <row r="62" spans="4:25" ht="13.5" customHeight="1" outlineLevel="1" x14ac:dyDescent="0.25">
      <c r="D62" s="101" t="str">
        <f>ProjectedP205_Consumption!D40</f>
        <v>Other fruits, n.e.c.</v>
      </c>
      <c r="J62" s="179"/>
      <c r="K62" s="268">
        <f>ProjectedP205_Consumption!K40*(1-S62)*T62*U62</f>
        <v>8.3645433808291151E-3</v>
      </c>
      <c r="L62" s="268">
        <f>ProjectedP205_Consumption!L40*(1-S62)*V62*W62</f>
        <v>2.6321988597580899E-2</v>
      </c>
      <c r="M62" s="268">
        <f>ProjectedP205_Consumption!M40*(1-S62)*X62*Y62</f>
        <v>4.6017460725891739E-2</v>
      </c>
      <c r="N62" s="266">
        <f>K62/ProjectedP205_Consumption!K40</f>
        <v>4.5499999999999999E-2</v>
      </c>
      <c r="O62" s="266">
        <f>L62/ProjectedP205_Consumption!L40</f>
        <v>0.13650000000000001</v>
      </c>
      <c r="P62" s="266">
        <f>M62/ProjectedP205_Consumption!M40</f>
        <v>0.22749999999999998</v>
      </c>
      <c r="S62" s="79">
        <f t="shared" si="10"/>
        <v>0.3</v>
      </c>
      <c r="T62" s="79">
        <f t="shared" si="11"/>
        <v>0.65</v>
      </c>
      <c r="U62" s="79">
        <f t="shared" si="12"/>
        <v>0.1</v>
      </c>
      <c r="V62" s="79">
        <f t="shared" si="13"/>
        <v>0.65</v>
      </c>
      <c r="W62" s="79">
        <f t="shared" si="14"/>
        <v>0.3</v>
      </c>
      <c r="X62" s="79">
        <f t="shared" si="15"/>
        <v>0.65</v>
      </c>
      <c r="Y62" s="79">
        <f t="shared" si="16"/>
        <v>0.5</v>
      </c>
    </row>
    <row r="63" spans="4:25" ht="13.5" customHeight="1" outlineLevel="1" x14ac:dyDescent="0.25">
      <c r="D63" s="101" t="str">
        <f>ProjectedP205_Consumption!D41</f>
        <v>Broad beans and horse beans, dry</v>
      </c>
      <c r="J63" s="179"/>
      <c r="K63" s="268">
        <f>ProjectedP205_Consumption!K41*(1-S63)*T63*U63</f>
        <v>6.7153550999894344E-3</v>
      </c>
      <c r="L63" s="268">
        <f>ProjectedP205_Consumption!L41*(1-S63)*V63*W63</f>
        <v>2.1581008822688218E-2</v>
      </c>
      <c r="M63" s="268">
        <f>ProjectedP205_Consumption!M41*(1-S63)*X63*Y63</f>
        <v>3.8530265080735114E-2</v>
      </c>
      <c r="N63" s="266">
        <f>K63/ProjectedP205_Consumption!K41</f>
        <v>4.5499999999999999E-2</v>
      </c>
      <c r="O63" s="266">
        <f>L63/ProjectedP205_Consumption!L41</f>
        <v>0.13649999999999995</v>
      </c>
      <c r="P63" s="266">
        <f>M63/ProjectedP205_Consumption!M41</f>
        <v>0.22749999999999998</v>
      </c>
      <c r="S63" s="79">
        <f t="shared" si="10"/>
        <v>0.3</v>
      </c>
      <c r="T63" s="79">
        <f t="shared" si="11"/>
        <v>0.65</v>
      </c>
      <c r="U63" s="79">
        <f t="shared" si="12"/>
        <v>0.1</v>
      </c>
      <c r="V63" s="79">
        <f t="shared" si="13"/>
        <v>0.65</v>
      </c>
      <c r="W63" s="79">
        <f t="shared" si="14"/>
        <v>0.3</v>
      </c>
      <c r="X63" s="79">
        <f t="shared" si="15"/>
        <v>0.65</v>
      </c>
      <c r="Y63" s="79">
        <f t="shared" si="16"/>
        <v>0.5</v>
      </c>
    </row>
    <row r="64" spans="4:25" ht="13.5" customHeight="1" outlineLevel="1" x14ac:dyDescent="0.25">
      <c r="D64" s="101" t="str">
        <f>ProjectedP205_Consumption!D42</f>
        <v>Chick peas, dry</v>
      </c>
      <c r="J64" s="179"/>
      <c r="K64" s="268">
        <f>ProjectedP205_Consumption!K42*(1-S64)*T64*U64</f>
        <v>5.4028663379429159E-3</v>
      </c>
      <c r="L64" s="268">
        <f>ProjectedP205_Consumption!L42*(1-S64)*V64*W64</f>
        <v>1.7807714832923323E-2</v>
      </c>
      <c r="M64" s="268">
        <f>ProjectedP205_Consumption!M42*(1-S64)*X64*Y64</f>
        <v>3.2607661659526478E-2</v>
      </c>
      <c r="N64" s="266">
        <f>K64/ProjectedP205_Consumption!K42</f>
        <v>4.5499999999999999E-2</v>
      </c>
      <c r="O64" s="266">
        <f>L64/ProjectedP205_Consumption!L42</f>
        <v>0.13649999999999998</v>
      </c>
      <c r="P64" s="266">
        <f>M64/ProjectedP205_Consumption!M42</f>
        <v>0.22750000000000001</v>
      </c>
      <c r="S64" s="79">
        <f t="shared" si="10"/>
        <v>0.3</v>
      </c>
      <c r="T64" s="79">
        <f t="shared" si="11"/>
        <v>0.65</v>
      </c>
      <c r="U64" s="79">
        <f t="shared" si="12"/>
        <v>0.1</v>
      </c>
      <c r="V64" s="79">
        <f t="shared" si="13"/>
        <v>0.65</v>
      </c>
      <c r="W64" s="79">
        <f t="shared" si="14"/>
        <v>0.3</v>
      </c>
      <c r="X64" s="79">
        <f t="shared" si="15"/>
        <v>0.65</v>
      </c>
      <c r="Y64" s="79">
        <f t="shared" si="16"/>
        <v>0.5</v>
      </c>
    </row>
    <row r="65" spans="4:25" ht="13.5" customHeight="1" outlineLevel="1" thickBot="1" x14ac:dyDescent="0.3">
      <c r="D65" s="101" t="str">
        <f>ProjectedP205_Consumption!D43</f>
        <v>Beans, dry</v>
      </c>
      <c r="J65" s="179"/>
      <c r="K65" s="268">
        <f>ProjectedP205_Consumption!K43*(1-S65)*T65*U65</f>
        <v>6.1083210292734759E-3</v>
      </c>
      <c r="L65" s="268">
        <f>ProjectedP205_Consumption!L43*(1-S65)*V65*W65</f>
        <v>2.0334927489057904E-2</v>
      </c>
      <c r="M65" s="268">
        <f>ProjectedP205_Consumption!M43*(1-S65)*X65*Y65</f>
        <v>3.7608923048807225E-2</v>
      </c>
      <c r="N65" s="266">
        <f>K65/ProjectedP205_Consumption!K43</f>
        <v>4.5500000000000006E-2</v>
      </c>
      <c r="O65" s="266">
        <f>L65/ProjectedP205_Consumption!L43</f>
        <v>0.13650000000000001</v>
      </c>
      <c r="P65" s="266">
        <f>M65/ProjectedP205_Consumption!M43</f>
        <v>0.22750000000000001</v>
      </c>
      <c r="S65" s="79">
        <f t="shared" si="10"/>
        <v>0.3</v>
      </c>
      <c r="T65" s="79">
        <f t="shared" si="11"/>
        <v>0.65</v>
      </c>
      <c r="U65" s="79">
        <f t="shared" si="12"/>
        <v>0.1</v>
      </c>
      <c r="V65" s="79">
        <f t="shared" si="13"/>
        <v>0.65</v>
      </c>
      <c r="W65" s="79">
        <f t="shared" si="14"/>
        <v>0.3</v>
      </c>
      <c r="X65" s="79">
        <f t="shared" si="15"/>
        <v>0.65</v>
      </c>
      <c r="Y65" s="79">
        <f t="shared" si="16"/>
        <v>0.5</v>
      </c>
    </row>
    <row r="66" spans="4:25" ht="13.5" customHeight="1" outlineLevel="1" thickTop="1" thickBot="1" x14ac:dyDescent="0.3">
      <c r="D66" s="102" t="s">
        <v>13</v>
      </c>
      <c r="E66" s="125"/>
      <c r="F66" s="125"/>
      <c r="G66" s="125"/>
      <c r="H66" s="125"/>
      <c r="I66" s="125"/>
      <c r="J66" s="126"/>
      <c r="K66" s="126">
        <f t="shared" ref="K66:L66" si="17">SUM(K35:K65)</f>
        <v>4.6905233888307043</v>
      </c>
      <c r="L66" s="126">
        <f t="shared" si="17"/>
        <v>17.94464068849484</v>
      </c>
      <c r="M66" s="126">
        <f>SUM(M35:M65)</f>
        <v>38.541783632652326</v>
      </c>
      <c r="N66" s="193"/>
      <c r="O66" s="193"/>
      <c r="P66" s="193"/>
    </row>
    <row r="67" spans="4:25" ht="13.5" customHeight="1" outlineLevel="1" thickTop="1" thickBot="1" x14ac:dyDescent="0.3">
      <c r="D67" s="100" t="s">
        <v>17</v>
      </c>
      <c r="E67" s="125"/>
      <c r="F67" s="125"/>
      <c r="G67" s="125"/>
      <c r="H67" s="125"/>
      <c r="I67" s="125"/>
      <c r="J67" s="126"/>
      <c r="K67" s="126">
        <f t="shared" ref="K67:M67" si="18">K66/46%</f>
        <v>10.196789975718922</v>
      </c>
      <c r="L67" s="126">
        <f t="shared" si="18"/>
        <v>39.010088453249651</v>
      </c>
      <c r="M67" s="126">
        <f t="shared" si="18"/>
        <v>83.786486157939834</v>
      </c>
      <c r="N67" s="193"/>
      <c r="O67" s="193"/>
      <c r="P67" s="193"/>
    </row>
    <row r="68" spans="4:25" ht="13.5" customHeight="1" outlineLevel="1" thickTop="1" x14ac:dyDescent="0.25">
      <c r="N68" s="2" t="s">
        <v>314</v>
      </c>
    </row>
    <row r="69" spans="4:25" ht="13.5" customHeight="1" outlineLevel="1" x14ac:dyDescent="0.3">
      <c r="D69" s="30" t="s">
        <v>282</v>
      </c>
      <c r="E69" s="118">
        <v>2017</v>
      </c>
      <c r="F69" s="118">
        <v>2018</v>
      </c>
      <c r="G69" s="118">
        <v>2019</v>
      </c>
      <c r="H69" s="118">
        <v>2020</v>
      </c>
      <c r="I69" s="118">
        <v>2021</v>
      </c>
      <c r="J69" s="118">
        <v>2022</v>
      </c>
      <c r="K69" s="118">
        <v>2023</v>
      </c>
      <c r="L69" s="118">
        <v>2024</v>
      </c>
      <c r="M69" s="118">
        <v>2025</v>
      </c>
      <c r="N69" s="118">
        <v>2023</v>
      </c>
      <c r="O69" s="118">
        <v>2024</v>
      </c>
      <c r="P69" s="118">
        <v>2025</v>
      </c>
      <c r="R69" s="127" t="s">
        <v>78</v>
      </c>
      <c r="S69" s="127" t="s">
        <v>244</v>
      </c>
      <c r="T69" s="180" t="s">
        <v>245</v>
      </c>
      <c r="U69" s="180" t="s">
        <v>247</v>
      </c>
      <c r="V69" s="180" t="s">
        <v>246</v>
      </c>
      <c r="W69" s="180" t="s">
        <v>248</v>
      </c>
      <c r="X69" s="180" t="s">
        <v>249</v>
      </c>
      <c r="Y69" s="180" t="s">
        <v>250</v>
      </c>
    </row>
    <row r="70" spans="4:25" ht="13.5" customHeight="1" outlineLevel="1" x14ac:dyDescent="0.25">
      <c r="D70" s="101" t="s">
        <v>62</v>
      </c>
      <c r="J70" s="179"/>
      <c r="K70" s="268">
        <f>ProjectedP205_Consumption!K51*(1-$S$70)*T70*U70</f>
        <v>0.51733647844113861</v>
      </c>
      <c r="L70" s="268">
        <f>ProjectedP205_Consumption!L51*(1-$S$70)*V70*W70</f>
        <v>1.729732152837437</v>
      </c>
      <c r="M70" s="268">
        <f>ProjectedP205_Consumption!M51*(1-$S$70)*X70*Y70</f>
        <v>3.1024183744642051</v>
      </c>
      <c r="N70" s="266">
        <f>K70/ProjectedP205_Consumption!K51</f>
        <v>4.5499999999999999E-2</v>
      </c>
      <c r="O70" s="266">
        <f>L70/ProjectedP205_Consumption!L51</f>
        <v>0.13650000000000001</v>
      </c>
      <c r="P70" s="266">
        <f>M70/ProjectedP205_Consumption!M51</f>
        <v>0.22749999999999998</v>
      </c>
      <c r="R70" s="1" t="s">
        <v>243</v>
      </c>
      <c r="S70" s="182">
        <f>S35</f>
        <v>0.3</v>
      </c>
      <c r="T70" s="182">
        <f t="shared" ref="T70:Y70" si="19">T35</f>
        <v>0.65</v>
      </c>
      <c r="U70" s="182">
        <f t="shared" si="19"/>
        <v>0.1</v>
      </c>
      <c r="V70" s="182">
        <f t="shared" si="19"/>
        <v>0.65</v>
      </c>
      <c r="W70" s="182">
        <f t="shared" si="19"/>
        <v>0.3</v>
      </c>
      <c r="X70" s="182">
        <f t="shared" si="19"/>
        <v>0.65</v>
      </c>
      <c r="Y70" s="182">
        <f t="shared" si="19"/>
        <v>0.5</v>
      </c>
    </row>
    <row r="71" spans="4:25" ht="13.5" customHeight="1" outlineLevel="1" x14ac:dyDescent="0.25">
      <c r="D71" s="101" t="s">
        <v>123</v>
      </c>
      <c r="J71" s="179"/>
      <c r="K71" s="268">
        <f>ProjectedP205_Consumption!K52*(1-$S$70)*T71*U71</f>
        <v>1.5130774278124237</v>
      </c>
      <c r="L71" s="268">
        <f>ProjectedP205_Consumption!L52*(1-$S$70)*V71*W71</f>
        <v>6.4757790270003426</v>
      </c>
      <c r="M71" s="268">
        <f>ProjectedP205_Consumption!M52*(1-$S$70)*X71*Y71</f>
        <v>13.613867553273538</v>
      </c>
      <c r="N71" s="266">
        <f>K71/ProjectedP205_Consumption!K52</f>
        <v>4.5500000000000006E-2</v>
      </c>
      <c r="O71" s="266">
        <f>L71/ProjectedP205_Consumption!L52</f>
        <v>0.13650000000000001</v>
      </c>
      <c r="P71" s="266">
        <f>M71/ProjectedP205_Consumption!M52</f>
        <v>0.22749999999999998</v>
      </c>
      <c r="S71" s="79">
        <f>$S$70</f>
        <v>0.3</v>
      </c>
      <c r="T71" s="79">
        <f>$T$70</f>
        <v>0.65</v>
      </c>
      <c r="U71" s="79">
        <f>$U$70</f>
        <v>0.1</v>
      </c>
      <c r="V71" s="79">
        <f>$V$70</f>
        <v>0.65</v>
      </c>
      <c r="W71" s="79">
        <f>W70</f>
        <v>0.3</v>
      </c>
      <c r="X71" s="79">
        <f>X70</f>
        <v>0.65</v>
      </c>
      <c r="Y71" s="79">
        <f>$Y$70</f>
        <v>0.5</v>
      </c>
    </row>
    <row r="72" spans="4:25" ht="13.5" customHeight="1" outlineLevel="1" x14ac:dyDescent="0.25">
      <c r="D72" s="101" t="s">
        <v>167</v>
      </c>
      <c r="J72" s="179"/>
      <c r="K72" s="268">
        <f>ProjectedP205_Consumption!K53*(1-$S$70)*T72*U72</f>
        <v>1.751264581575172</v>
      </c>
      <c r="L72" s="268">
        <f>ProjectedP205_Consumption!L53*(1-$S$70)*V72*W72</f>
        <v>7.936659985335913</v>
      </c>
      <c r="M72" s="268">
        <f>ProjectedP205_Consumption!M53*(1-$S$70)*X72*Y72</f>
        <v>17.66779768906564</v>
      </c>
      <c r="N72" s="266">
        <f>K72/ProjectedP205_Consumption!K53</f>
        <v>4.5500000000000006E-2</v>
      </c>
      <c r="O72" s="266">
        <f>L72/ProjectedP205_Consumption!L53</f>
        <v>0.13649999999999998</v>
      </c>
      <c r="P72" s="266">
        <f>M72/ProjectedP205_Consumption!M53</f>
        <v>0.22750000000000001</v>
      </c>
      <c r="S72" s="79">
        <f t="shared" ref="S72:S100" si="20">$S$70</f>
        <v>0.3</v>
      </c>
      <c r="T72" s="79">
        <f t="shared" ref="T72:T100" si="21">$T$70</f>
        <v>0.65</v>
      </c>
      <c r="U72" s="79">
        <f t="shared" ref="U72:U100" si="22">$U$70</f>
        <v>0.1</v>
      </c>
      <c r="V72" s="79">
        <f t="shared" ref="V72:V100" si="23">$V$70</f>
        <v>0.65</v>
      </c>
      <c r="W72" s="79">
        <f t="shared" ref="W72:W100" si="24">W71</f>
        <v>0.3</v>
      </c>
      <c r="X72" s="79">
        <f t="shared" ref="X72:X100" si="25">X71</f>
        <v>0.65</v>
      </c>
      <c r="Y72" s="79">
        <f t="shared" ref="Y72:Y100" si="26">$Y$70</f>
        <v>0.5</v>
      </c>
    </row>
    <row r="73" spans="4:25" ht="13.5" customHeight="1" outlineLevel="1" x14ac:dyDescent="0.25">
      <c r="D73" s="101" t="s">
        <v>58</v>
      </c>
      <c r="J73" s="179"/>
      <c r="K73" s="268">
        <f>ProjectedP205_Consumption!K54*(1-$S$70)*T73*U73</f>
        <v>0.21413933753523812</v>
      </c>
      <c r="L73" s="268">
        <f>ProjectedP205_Consumption!L54*(1-$S$70)*V73*W73</f>
        <v>0.69880644024384775</v>
      </c>
      <c r="M73" s="268">
        <f>ProjectedP205_Consumption!M54*(1-$S$70)*X73*Y73</f>
        <v>1.24097917385754</v>
      </c>
      <c r="N73" s="266">
        <f>K73/ProjectedP205_Consumption!K54</f>
        <v>4.5499999999999999E-2</v>
      </c>
      <c r="O73" s="266">
        <f>L73/ProjectedP205_Consumption!L54</f>
        <v>0.13650000000000001</v>
      </c>
      <c r="P73" s="266">
        <f>M73/ProjectedP205_Consumption!M54</f>
        <v>0.22749999999999998</v>
      </c>
      <c r="S73" s="79">
        <f t="shared" si="20"/>
        <v>0.3</v>
      </c>
      <c r="T73" s="79">
        <f t="shared" si="21"/>
        <v>0.65</v>
      </c>
      <c r="U73" s="79">
        <f t="shared" si="22"/>
        <v>0.1</v>
      </c>
      <c r="V73" s="79">
        <f t="shared" si="23"/>
        <v>0.65</v>
      </c>
      <c r="W73" s="79">
        <f t="shared" si="24"/>
        <v>0.3</v>
      </c>
      <c r="X73" s="79">
        <f t="shared" si="25"/>
        <v>0.65</v>
      </c>
      <c r="Y73" s="79">
        <f t="shared" si="26"/>
        <v>0.5</v>
      </c>
    </row>
    <row r="74" spans="4:25" ht="13.5" customHeight="1" outlineLevel="1" x14ac:dyDescent="0.25">
      <c r="D74" s="101" t="s">
        <v>200</v>
      </c>
      <c r="J74" s="179"/>
      <c r="K74" s="268">
        <f>ProjectedP205_Consumption!K55*(1-$S$70)*T74*U74</f>
        <v>7.0516457054378368E-2</v>
      </c>
      <c r="L74" s="268">
        <f>ProjectedP205_Consumption!L55*(1-$S$70)*V74*W74</f>
        <v>0.33195755508789104</v>
      </c>
      <c r="M74" s="268">
        <f>ProjectedP205_Consumption!M55*(1-$S$70)*X74*Y74</f>
        <v>0.68198330534151796</v>
      </c>
      <c r="N74" s="266">
        <f>K74/ProjectedP205_Consumption!K55</f>
        <v>4.5499999999999992E-2</v>
      </c>
      <c r="O74" s="266">
        <f>L74/ProjectedP205_Consumption!L55</f>
        <v>0.13650000000000001</v>
      </c>
      <c r="P74" s="266">
        <f>M74/ProjectedP205_Consumption!M55</f>
        <v>0.22749999999999998</v>
      </c>
      <c r="S74" s="79">
        <f t="shared" si="20"/>
        <v>0.3</v>
      </c>
      <c r="T74" s="79">
        <f t="shared" si="21"/>
        <v>0.65</v>
      </c>
      <c r="U74" s="79">
        <f t="shared" si="22"/>
        <v>0.1</v>
      </c>
      <c r="V74" s="79">
        <f t="shared" si="23"/>
        <v>0.65</v>
      </c>
      <c r="W74" s="79">
        <f t="shared" si="24"/>
        <v>0.3</v>
      </c>
      <c r="X74" s="79">
        <f t="shared" si="25"/>
        <v>0.65</v>
      </c>
      <c r="Y74" s="79">
        <f t="shared" si="26"/>
        <v>0.5</v>
      </c>
    </row>
    <row r="75" spans="4:25" ht="13.5" customHeight="1" outlineLevel="1" x14ac:dyDescent="0.25">
      <c r="D75" s="101" t="s">
        <v>222</v>
      </c>
      <c r="J75" s="179"/>
      <c r="K75" s="268">
        <f>ProjectedP205_Consumption!K56*(1-$S$70)*T75*U75</f>
        <v>4.0501999471633444E-2</v>
      </c>
      <c r="L75" s="268">
        <f>ProjectedP205_Consumption!L56*(1-$S$70)*V75*W75</f>
        <v>0.18495864418481564</v>
      </c>
      <c r="M75" s="268">
        <f>ProjectedP205_Consumption!M56*(1-$S$70)*X75*Y75</f>
        <v>0.36861407628554471</v>
      </c>
      <c r="N75" s="266">
        <f>K75/ProjectedP205_Consumption!K56</f>
        <v>4.5500000000000006E-2</v>
      </c>
      <c r="O75" s="266">
        <f>L75/ProjectedP205_Consumption!L56</f>
        <v>0.13649999999999998</v>
      </c>
      <c r="P75" s="266">
        <f>M75/ProjectedP205_Consumption!M56</f>
        <v>0.22749999999999998</v>
      </c>
      <c r="S75" s="79">
        <f t="shared" si="20"/>
        <v>0.3</v>
      </c>
      <c r="T75" s="79">
        <f t="shared" si="21"/>
        <v>0.65</v>
      </c>
      <c r="U75" s="79">
        <f t="shared" si="22"/>
        <v>0.1</v>
      </c>
      <c r="V75" s="79">
        <f t="shared" si="23"/>
        <v>0.65</v>
      </c>
      <c r="W75" s="79">
        <f t="shared" si="24"/>
        <v>0.3</v>
      </c>
      <c r="X75" s="79">
        <f t="shared" si="25"/>
        <v>0.65</v>
      </c>
      <c r="Y75" s="79">
        <f t="shared" si="26"/>
        <v>0.5</v>
      </c>
    </row>
    <row r="76" spans="4:25" ht="13.5" customHeight="1" outlineLevel="1" x14ac:dyDescent="0.25">
      <c r="D76" s="101" t="s">
        <v>122</v>
      </c>
      <c r="J76" s="179"/>
      <c r="K76" s="268">
        <f>ProjectedP205_Consumption!K57*(1-$S$70)*T76*U76</f>
        <v>2.3973965287488713E-2</v>
      </c>
      <c r="L76" s="268">
        <f>ProjectedP205_Consumption!L57*(1-$S$70)*V76*W76</f>
        <v>0.13677188236573956</v>
      </c>
      <c r="M76" s="268">
        <f>ProjectedP205_Consumption!M57*(1-$S$70)*X76*Y76</f>
        <v>0.31672524181339995</v>
      </c>
      <c r="N76" s="266">
        <f>K76/ProjectedP205_Consumption!K57</f>
        <v>4.5499999999999999E-2</v>
      </c>
      <c r="O76" s="266">
        <f>L76/ProjectedP205_Consumption!L57</f>
        <v>0.13649999999999998</v>
      </c>
      <c r="P76" s="266">
        <f>M76/ProjectedP205_Consumption!M57</f>
        <v>0.22750000000000001</v>
      </c>
      <c r="S76" s="79">
        <f t="shared" si="20"/>
        <v>0.3</v>
      </c>
      <c r="T76" s="79">
        <f t="shared" si="21"/>
        <v>0.65</v>
      </c>
      <c r="U76" s="79">
        <f t="shared" si="22"/>
        <v>0.1</v>
      </c>
      <c r="V76" s="79">
        <f t="shared" si="23"/>
        <v>0.65</v>
      </c>
      <c r="W76" s="79">
        <f t="shared" si="24"/>
        <v>0.3</v>
      </c>
      <c r="X76" s="79">
        <f t="shared" si="25"/>
        <v>0.65</v>
      </c>
      <c r="Y76" s="79">
        <f t="shared" si="26"/>
        <v>0.5</v>
      </c>
    </row>
    <row r="77" spans="4:25" ht="13.5" customHeight="1" outlineLevel="1" x14ac:dyDescent="0.25">
      <c r="D77" s="101" t="s">
        <v>84</v>
      </c>
      <c r="J77" s="179"/>
      <c r="K77" s="268">
        <f>ProjectedP205_Consumption!K58*(1-$S$70)*T77*U77</f>
        <v>0.15233554139543931</v>
      </c>
      <c r="L77" s="268">
        <f>ProjectedP205_Consumption!L58*(1-$S$70)*V77*W77</f>
        <v>0.77235038218748742</v>
      </c>
      <c r="M77" s="268">
        <f>ProjectedP205_Consumption!M58*(1-$S$70)*X77*Y77</f>
        <v>1.7372618528645507</v>
      </c>
      <c r="N77" s="266">
        <f>K77/ProjectedP205_Consumption!K58</f>
        <v>4.5499999999999999E-2</v>
      </c>
      <c r="O77" s="266">
        <f>L77/ProjectedP205_Consumption!L58</f>
        <v>0.13650000000000001</v>
      </c>
      <c r="P77" s="266">
        <f>M77/ProjectedP205_Consumption!M58</f>
        <v>0.22749999999999998</v>
      </c>
      <c r="S77" s="79">
        <f t="shared" si="20"/>
        <v>0.3</v>
      </c>
      <c r="T77" s="79">
        <f t="shared" si="21"/>
        <v>0.65</v>
      </c>
      <c r="U77" s="79">
        <f t="shared" si="22"/>
        <v>0.1</v>
      </c>
      <c r="V77" s="79">
        <f t="shared" si="23"/>
        <v>0.65</v>
      </c>
      <c r="W77" s="79">
        <f t="shared" si="24"/>
        <v>0.3</v>
      </c>
      <c r="X77" s="79">
        <f t="shared" si="25"/>
        <v>0.65</v>
      </c>
      <c r="Y77" s="79">
        <f t="shared" si="26"/>
        <v>0.5</v>
      </c>
    </row>
    <row r="78" spans="4:25" ht="13.5" customHeight="1" outlineLevel="1" x14ac:dyDescent="0.25">
      <c r="D78" s="101" t="s">
        <v>125</v>
      </c>
      <c r="J78" s="179"/>
      <c r="K78" s="268">
        <f>ProjectedP205_Consumption!K59*(1-$S$70)*T78*U78</f>
        <v>2.3141714823071563E-2</v>
      </c>
      <c r="L78" s="268">
        <f>ProjectedP205_Consumption!L59*(1-$S$70)*V78*W78</f>
        <v>0.23169533638093132</v>
      </c>
      <c r="M78" s="268">
        <f>ProjectedP205_Consumption!M59*(1-$S$70)*X78*Y78</f>
        <v>0.57636209915818337</v>
      </c>
      <c r="N78" s="266">
        <f>K78/ProjectedP205_Consumption!K59</f>
        <v>4.5500000000000006E-2</v>
      </c>
      <c r="O78" s="266">
        <f>L78/ProjectedP205_Consumption!L59</f>
        <v>0.13649999999999998</v>
      </c>
      <c r="P78" s="266">
        <f>M78/ProjectedP205_Consumption!M59</f>
        <v>0.22749999999999998</v>
      </c>
      <c r="S78" s="79">
        <f t="shared" si="20"/>
        <v>0.3</v>
      </c>
      <c r="T78" s="79">
        <f t="shared" si="21"/>
        <v>0.65</v>
      </c>
      <c r="U78" s="79">
        <f t="shared" si="22"/>
        <v>0.1</v>
      </c>
      <c r="V78" s="79">
        <f t="shared" si="23"/>
        <v>0.65</v>
      </c>
      <c r="W78" s="79">
        <f t="shared" si="24"/>
        <v>0.3</v>
      </c>
      <c r="X78" s="79">
        <f t="shared" si="25"/>
        <v>0.65</v>
      </c>
      <c r="Y78" s="79">
        <f t="shared" si="26"/>
        <v>0.5</v>
      </c>
    </row>
    <row r="79" spans="4:25" ht="13.5" customHeight="1" outlineLevel="1" x14ac:dyDescent="0.25">
      <c r="D79" s="101" t="s">
        <v>208</v>
      </c>
      <c r="J79" s="179"/>
      <c r="K79" s="268">
        <f>ProjectedP205_Consumption!K60*(1-$S$70)*T79*U79</f>
        <v>1.8148509883797976E-2</v>
      </c>
      <c r="L79" s="268">
        <f>ProjectedP205_Consumption!L60*(1-$S$70)*V79*W79</f>
        <v>0.17773320554934699</v>
      </c>
      <c r="M79" s="268">
        <f>ProjectedP205_Consumption!M60*(1-$S$70)*X79*Y79</f>
        <v>0.43246657073234474</v>
      </c>
      <c r="N79" s="266">
        <f>K79/ProjectedP205_Consumption!K60</f>
        <v>4.5500000000000006E-2</v>
      </c>
      <c r="O79" s="266">
        <f>L79/ProjectedP205_Consumption!L60</f>
        <v>0.13649999999999998</v>
      </c>
      <c r="P79" s="266">
        <f>M79/ProjectedP205_Consumption!M60</f>
        <v>0.22749999999999998</v>
      </c>
      <c r="S79" s="79">
        <f t="shared" si="20"/>
        <v>0.3</v>
      </c>
      <c r="T79" s="79">
        <f t="shared" si="21"/>
        <v>0.65</v>
      </c>
      <c r="U79" s="79">
        <f t="shared" si="22"/>
        <v>0.1</v>
      </c>
      <c r="V79" s="79">
        <f t="shared" si="23"/>
        <v>0.65</v>
      </c>
      <c r="W79" s="79">
        <f t="shared" si="24"/>
        <v>0.3</v>
      </c>
      <c r="X79" s="79">
        <f t="shared" si="25"/>
        <v>0.65</v>
      </c>
      <c r="Y79" s="79">
        <f t="shared" si="26"/>
        <v>0.5</v>
      </c>
    </row>
    <row r="80" spans="4:25" ht="13.5" customHeight="1" outlineLevel="1" x14ac:dyDescent="0.25">
      <c r="D80" s="101" t="s">
        <v>172</v>
      </c>
      <c r="J80" s="179"/>
      <c r="K80" s="268">
        <f>ProjectedP205_Consumption!K61*(1-$S$70)*T80*U80</f>
        <v>1.8229438657970526E-2</v>
      </c>
      <c r="L80" s="268">
        <f>ProjectedP205_Consumption!L61*(1-$S$70)*V80*W80</f>
        <v>0.1800837571931406</v>
      </c>
      <c r="M80" s="268">
        <f>ProjectedP205_Consumption!M61*(1-$S$70)*X80*Y80</f>
        <v>0.44201006398421483</v>
      </c>
      <c r="N80" s="266">
        <f>K80/ProjectedP205_Consumption!K61</f>
        <v>4.5499999999999999E-2</v>
      </c>
      <c r="O80" s="266">
        <f>L80/ProjectedP205_Consumption!L61</f>
        <v>0.13650000000000001</v>
      </c>
      <c r="P80" s="266">
        <f>M80/ProjectedP205_Consumption!M61</f>
        <v>0.22750000000000001</v>
      </c>
      <c r="S80" s="79">
        <f t="shared" si="20"/>
        <v>0.3</v>
      </c>
      <c r="T80" s="79">
        <f t="shared" si="21"/>
        <v>0.65</v>
      </c>
      <c r="U80" s="79">
        <f t="shared" si="22"/>
        <v>0.1</v>
      </c>
      <c r="V80" s="79">
        <f t="shared" si="23"/>
        <v>0.65</v>
      </c>
      <c r="W80" s="79">
        <f t="shared" si="24"/>
        <v>0.3</v>
      </c>
      <c r="X80" s="79">
        <f t="shared" si="25"/>
        <v>0.65</v>
      </c>
      <c r="Y80" s="79">
        <f t="shared" si="26"/>
        <v>0.5</v>
      </c>
    </row>
    <row r="81" spans="4:25" ht="13.5" customHeight="1" outlineLevel="1" x14ac:dyDescent="0.25">
      <c r="D81" s="101" t="s">
        <v>135</v>
      </c>
      <c r="J81" s="179"/>
      <c r="K81" s="268">
        <f>ProjectedP205_Consumption!K62*(1-$S$70)*T81*U81</f>
        <v>1.7769412830942813E-2</v>
      </c>
      <c r="L81" s="268">
        <f>ProjectedP205_Consumption!L62*(1-$S$70)*V81*W81</f>
        <v>0.17603065673634241</v>
      </c>
      <c r="M81" s="268">
        <f>ProjectedP205_Consumption!M62*(1-$S$70)*X81*Y81</f>
        <v>0.43327128629196981</v>
      </c>
      <c r="N81" s="266">
        <f>K81/ProjectedP205_Consumption!K62</f>
        <v>4.5499999999999999E-2</v>
      </c>
      <c r="O81" s="266">
        <f>L81/ProjectedP205_Consumption!L62</f>
        <v>0.13650000000000001</v>
      </c>
      <c r="P81" s="266">
        <f>M81/ProjectedP205_Consumption!M62</f>
        <v>0.22749999999999998</v>
      </c>
      <c r="S81" s="79">
        <f t="shared" si="20"/>
        <v>0.3</v>
      </c>
      <c r="T81" s="79">
        <f t="shared" si="21"/>
        <v>0.65</v>
      </c>
      <c r="U81" s="79">
        <f t="shared" si="22"/>
        <v>0.1</v>
      </c>
      <c r="V81" s="79">
        <f t="shared" si="23"/>
        <v>0.65</v>
      </c>
      <c r="W81" s="79">
        <f t="shared" si="24"/>
        <v>0.3</v>
      </c>
      <c r="X81" s="79">
        <f t="shared" si="25"/>
        <v>0.65</v>
      </c>
      <c r="Y81" s="79">
        <f t="shared" si="26"/>
        <v>0.5</v>
      </c>
    </row>
    <row r="82" spans="4:25" ht="13.5" customHeight="1" outlineLevel="1" x14ac:dyDescent="0.25">
      <c r="D82" s="101" t="s">
        <v>230</v>
      </c>
      <c r="J82" s="179"/>
      <c r="K82" s="268">
        <f>ProjectedP205_Consumption!K63*(1-$S$70)*T82*U82</f>
        <v>2.2635495583152559E-2</v>
      </c>
      <c r="L82" s="268">
        <f>ProjectedP205_Consumption!L63*(1-$S$70)*V82*W82</f>
        <v>0.12343820652279326</v>
      </c>
      <c r="M82" s="268">
        <f>ProjectedP205_Consumption!M63*(1-$S$70)*X82*Y82</f>
        <v>0.27323611340225828</v>
      </c>
      <c r="N82" s="266">
        <f>K82/ProjectedP205_Consumption!K63</f>
        <v>4.5500000000000006E-2</v>
      </c>
      <c r="O82" s="266">
        <f>L82/ProjectedP205_Consumption!L63</f>
        <v>0.13649999999999998</v>
      </c>
      <c r="P82" s="266">
        <f>M82/ProjectedP205_Consumption!M63</f>
        <v>0.22749999999999998</v>
      </c>
      <c r="S82" s="79">
        <f t="shared" si="20"/>
        <v>0.3</v>
      </c>
      <c r="T82" s="79">
        <f t="shared" si="21"/>
        <v>0.65</v>
      </c>
      <c r="U82" s="79">
        <f t="shared" si="22"/>
        <v>0.1</v>
      </c>
      <c r="V82" s="79">
        <f t="shared" si="23"/>
        <v>0.65</v>
      </c>
      <c r="W82" s="79">
        <f t="shared" si="24"/>
        <v>0.3</v>
      </c>
      <c r="X82" s="79">
        <f t="shared" si="25"/>
        <v>0.65</v>
      </c>
      <c r="Y82" s="79">
        <f t="shared" si="26"/>
        <v>0.5</v>
      </c>
    </row>
    <row r="83" spans="4:25" ht="13.5" customHeight="1" outlineLevel="1" x14ac:dyDescent="0.25">
      <c r="D83" s="101" t="s">
        <v>218</v>
      </c>
      <c r="J83" s="179"/>
      <c r="K83" s="268">
        <f>ProjectedP205_Consumption!K64*(1-$S$70)*T83*U83</f>
        <v>1.6071241672808052E-2</v>
      </c>
      <c r="L83" s="268">
        <f>ProjectedP205_Consumption!L64*(1-$S$70)*V83*W83</f>
        <v>0.15834019537764607</v>
      </c>
      <c r="M83" s="268">
        <f>ProjectedP205_Consumption!M64*(1-$S$70)*X83*Y83</f>
        <v>0.38760492651649919</v>
      </c>
      <c r="N83" s="266">
        <f>K83/ProjectedP205_Consumption!K64</f>
        <v>4.5500000000000006E-2</v>
      </c>
      <c r="O83" s="266">
        <f>L83/ProjectedP205_Consumption!L64</f>
        <v>0.13649999999999998</v>
      </c>
      <c r="P83" s="266">
        <f>M83/ProjectedP205_Consumption!M64</f>
        <v>0.22749999999999998</v>
      </c>
      <c r="S83" s="79">
        <f t="shared" si="20"/>
        <v>0.3</v>
      </c>
      <c r="T83" s="79">
        <f t="shared" si="21"/>
        <v>0.65</v>
      </c>
      <c r="U83" s="79">
        <f t="shared" si="22"/>
        <v>0.1</v>
      </c>
      <c r="V83" s="79">
        <f t="shared" si="23"/>
        <v>0.65</v>
      </c>
      <c r="W83" s="79">
        <f t="shared" si="24"/>
        <v>0.3</v>
      </c>
      <c r="X83" s="79">
        <f t="shared" si="25"/>
        <v>0.65</v>
      </c>
      <c r="Y83" s="79">
        <f t="shared" si="26"/>
        <v>0.5</v>
      </c>
    </row>
    <row r="84" spans="4:25" ht="13.5" customHeight="1" outlineLevel="1" x14ac:dyDescent="0.25">
      <c r="D84" s="101" t="s">
        <v>196</v>
      </c>
      <c r="J84" s="179"/>
      <c r="K84" s="268">
        <f>ProjectedP205_Consumption!K65*(1-$S$70)*T84*U84</f>
        <v>5.7136785671970614E-2</v>
      </c>
      <c r="L84" s="268">
        <f>ProjectedP205_Consumption!L65*(1-$S$70)*V84*W84</f>
        <v>0.26303857776449013</v>
      </c>
      <c r="M84" s="268">
        <f>ProjectedP205_Consumption!M65*(1-$S$70)*X84*Y84</f>
        <v>0.55002930587028442</v>
      </c>
      <c r="N84" s="266">
        <f>K84/ProjectedP205_Consumption!K65</f>
        <v>4.5499999999999992E-2</v>
      </c>
      <c r="O84" s="266">
        <f>L84/ProjectedP205_Consumption!L65</f>
        <v>0.13649999999999998</v>
      </c>
      <c r="P84" s="266">
        <f>M84/ProjectedP205_Consumption!M65</f>
        <v>0.22750000000000001</v>
      </c>
      <c r="S84" s="79">
        <f t="shared" si="20"/>
        <v>0.3</v>
      </c>
      <c r="T84" s="79">
        <f t="shared" si="21"/>
        <v>0.65</v>
      </c>
      <c r="U84" s="79">
        <f t="shared" si="22"/>
        <v>0.1</v>
      </c>
      <c r="V84" s="79">
        <f t="shared" si="23"/>
        <v>0.65</v>
      </c>
      <c r="W84" s="79">
        <f t="shared" si="24"/>
        <v>0.3</v>
      </c>
      <c r="X84" s="79">
        <f t="shared" si="25"/>
        <v>0.65</v>
      </c>
      <c r="Y84" s="79">
        <f t="shared" si="26"/>
        <v>0.5</v>
      </c>
    </row>
    <row r="85" spans="4:25" ht="13.5" customHeight="1" outlineLevel="1" x14ac:dyDescent="0.25">
      <c r="D85" s="101" t="s">
        <v>137</v>
      </c>
      <c r="J85" s="179"/>
      <c r="K85" s="268">
        <f>ProjectedP205_Consumption!K66*(1-$S$70)*T85*U85</f>
        <v>1.397487211963732E-2</v>
      </c>
      <c r="L85" s="268">
        <f>ProjectedP205_Consumption!L66*(1-$S$70)*V85*W85</f>
        <v>0.25153625225679188</v>
      </c>
      <c r="M85" s="268">
        <f>ProjectedP205_Consumption!M66*(1-$S$70)*X85*Y85</f>
        <v>0.66494347901639783</v>
      </c>
      <c r="N85" s="266">
        <f>K85/ProjectedP205_Consumption!K66</f>
        <v>4.5500000000000006E-2</v>
      </c>
      <c r="O85" s="266">
        <f>L85/ProjectedP205_Consumption!L66</f>
        <v>0.13650000000000001</v>
      </c>
      <c r="P85" s="266">
        <f>M85/ProjectedP205_Consumption!M66</f>
        <v>0.22749999999999998</v>
      </c>
      <c r="S85" s="79">
        <f t="shared" si="20"/>
        <v>0.3</v>
      </c>
      <c r="T85" s="79">
        <f t="shared" si="21"/>
        <v>0.65</v>
      </c>
      <c r="U85" s="79">
        <f t="shared" si="22"/>
        <v>0.1</v>
      </c>
      <c r="V85" s="79">
        <f t="shared" si="23"/>
        <v>0.65</v>
      </c>
      <c r="W85" s="79">
        <f t="shared" si="24"/>
        <v>0.3</v>
      </c>
      <c r="X85" s="79">
        <f t="shared" si="25"/>
        <v>0.65</v>
      </c>
      <c r="Y85" s="79">
        <f t="shared" si="26"/>
        <v>0.5</v>
      </c>
    </row>
    <row r="86" spans="4:25" ht="13.5" customHeight="1" outlineLevel="1" x14ac:dyDescent="0.25">
      <c r="D86" s="101" t="s">
        <v>127</v>
      </c>
      <c r="J86" s="179"/>
      <c r="K86" s="268">
        <f>ProjectedP205_Consumption!K67*(1-$S$70)*T86*U86</f>
        <v>1.3718830559132426E-2</v>
      </c>
      <c r="L86" s="268">
        <f>ProjectedP205_Consumption!L67*(1-$S$70)*V86*W86</f>
        <v>0.13490932144414985</v>
      </c>
      <c r="M86" s="268">
        <f>ProjectedP205_Consumption!M67*(1-$S$70)*X86*Y86</f>
        <v>0.32962731350707447</v>
      </c>
      <c r="N86" s="266">
        <f>K86/ProjectedP205_Consumption!K67</f>
        <v>4.5500000000000006E-2</v>
      </c>
      <c r="O86" s="266">
        <f>L86/ProjectedP205_Consumption!L67</f>
        <v>0.13649999999999998</v>
      </c>
      <c r="P86" s="266">
        <f>M86/ProjectedP205_Consumption!M67</f>
        <v>0.22749999999999998</v>
      </c>
      <c r="S86" s="79">
        <f t="shared" si="20"/>
        <v>0.3</v>
      </c>
      <c r="T86" s="79">
        <f t="shared" si="21"/>
        <v>0.65</v>
      </c>
      <c r="U86" s="79">
        <f t="shared" si="22"/>
        <v>0.1</v>
      </c>
      <c r="V86" s="79">
        <f t="shared" si="23"/>
        <v>0.65</v>
      </c>
      <c r="W86" s="79">
        <f t="shared" si="24"/>
        <v>0.3</v>
      </c>
      <c r="X86" s="79">
        <f t="shared" si="25"/>
        <v>0.65</v>
      </c>
      <c r="Y86" s="79">
        <f t="shared" si="26"/>
        <v>0.5</v>
      </c>
    </row>
    <row r="87" spans="4:25" ht="13.5" customHeight="1" outlineLevel="1" x14ac:dyDescent="0.25">
      <c r="D87" s="101" t="s">
        <v>130</v>
      </c>
      <c r="J87" s="179"/>
      <c r="K87" s="268">
        <f>ProjectedP205_Consumption!K68*(1-$S$70)*T87*U87</f>
        <v>1.2745815563605762E-2</v>
      </c>
      <c r="L87" s="268">
        <f>ProjectedP205_Consumption!L68*(1-$S$70)*V87*W87</f>
        <v>0.14001123251658651</v>
      </c>
      <c r="M87" s="268">
        <f>ProjectedP205_Consumption!M68*(1-$S$70)*X87*Y87</f>
        <v>0.34643403844516552</v>
      </c>
      <c r="N87" s="266">
        <f>K87/ProjectedP205_Consumption!K68</f>
        <v>4.5499999999999999E-2</v>
      </c>
      <c r="O87" s="266">
        <f>L87/ProjectedP205_Consumption!L68</f>
        <v>0.13649999999999998</v>
      </c>
      <c r="P87" s="266">
        <f>M87/ProjectedP205_Consumption!M68</f>
        <v>0.22749999999999998</v>
      </c>
      <c r="S87" s="79">
        <f t="shared" si="20"/>
        <v>0.3</v>
      </c>
      <c r="T87" s="79">
        <f t="shared" si="21"/>
        <v>0.65</v>
      </c>
      <c r="U87" s="79">
        <f t="shared" si="22"/>
        <v>0.1</v>
      </c>
      <c r="V87" s="79">
        <f t="shared" si="23"/>
        <v>0.65</v>
      </c>
      <c r="W87" s="79">
        <f t="shared" si="24"/>
        <v>0.3</v>
      </c>
      <c r="X87" s="79">
        <f t="shared" si="25"/>
        <v>0.65</v>
      </c>
      <c r="Y87" s="79">
        <f t="shared" si="26"/>
        <v>0.5</v>
      </c>
    </row>
    <row r="88" spans="4:25" ht="13.5" customHeight="1" outlineLevel="1" x14ac:dyDescent="0.25">
      <c r="D88" s="101" t="s">
        <v>193</v>
      </c>
      <c r="J88" s="179"/>
      <c r="K88" s="268">
        <f>ProjectedP205_Consumption!K69*(1-$S$70)*T88*U88</f>
        <v>1.2114204361753964E-2</v>
      </c>
      <c r="L88" s="268">
        <f>ProjectedP205_Consumption!L69*(1-$S$70)*V88*W88</f>
        <v>6.4292899187758545E-2</v>
      </c>
      <c r="M88" s="268">
        <f>ProjectedP205_Consumption!M69*(1-$S$70)*X88*Y88</f>
        <v>0.13811027542114201</v>
      </c>
      <c r="N88" s="266">
        <f>K88/ProjectedP205_Consumption!K69</f>
        <v>4.5500000000000006E-2</v>
      </c>
      <c r="O88" s="266">
        <f>L88/ProjectedP205_Consumption!L69</f>
        <v>0.13649999999999995</v>
      </c>
      <c r="P88" s="266">
        <f>M88/ProjectedP205_Consumption!M69</f>
        <v>0.22750000000000001</v>
      </c>
      <c r="S88" s="79">
        <f t="shared" si="20"/>
        <v>0.3</v>
      </c>
      <c r="T88" s="79">
        <f t="shared" si="21"/>
        <v>0.65</v>
      </c>
      <c r="U88" s="79">
        <f t="shared" si="22"/>
        <v>0.1</v>
      </c>
      <c r="V88" s="79">
        <f t="shared" si="23"/>
        <v>0.65</v>
      </c>
      <c r="W88" s="79">
        <f t="shared" si="24"/>
        <v>0.3</v>
      </c>
      <c r="X88" s="79">
        <f t="shared" si="25"/>
        <v>0.65</v>
      </c>
      <c r="Y88" s="79">
        <f t="shared" si="26"/>
        <v>0.5</v>
      </c>
    </row>
    <row r="89" spans="4:25" ht="13.5" customHeight="1" outlineLevel="1" x14ac:dyDescent="0.25">
      <c r="D89" s="101" t="s">
        <v>162</v>
      </c>
      <c r="J89" s="179"/>
      <c r="K89" s="268">
        <f>ProjectedP205_Consumption!K70*(1-$S$70)*T89*U89</f>
        <v>1.2241397312707784E-2</v>
      </c>
      <c r="L89" s="268">
        <f>ProjectedP205_Consumption!L70*(1-$S$70)*V89*W89</f>
        <v>0.12094091244765726</v>
      </c>
      <c r="M89" s="268">
        <f>ProjectedP205_Consumption!M70*(1-$S$70)*X89*Y89</f>
        <v>0.29687378881602461</v>
      </c>
      <c r="N89" s="266">
        <f>K89/ProjectedP205_Consumption!K70</f>
        <v>4.5500000000000006E-2</v>
      </c>
      <c r="O89" s="266">
        <f>L89/ProjectedP205_Consumption!L70</f>
        <v>0.13649999999999998</v>
      </c>
      <c r="P89" s="266">
        <f>M89/ProjectedP205_Consumption!M70</f>
        <v>0.22750000000000001</v>
      </c>
      <c r="S89" s="79">
        <f t="shared" si="20"/>
        <v>0.3</v>
      </c>
      <c r="T89" s="79">
        <f t="shared" si="21"/>
        <v>0.65</v>
      </c>
      <c r="U89" s="79">
        <f t="shared" si="22"/>
        <v>0.1</v>
      </c>
      <c r="V89" s="79">
        <f t="shared" si="23"/>
        <v>0.65</v>
      </c>
      <c r="W89" s="79">
        <f t="shared" si="24"/>
        <v>0.3</v>
      </c>
      <c r="X89" s="79">
        <f t="shared" si="25"/>
        <v>0.65</v>
      </c>
      <c r="Y89" s="79">
        <f t="shared" si="26"/>
        <v>0.5</v>
      </c>
    </row>
    <row r="90" spans="4:25" ht="13.5" customHeight="1" outlineLevel="1" x14ac:dyDescent="0.25">
      <c r="D90" s="101" t="s">
        <v>228</v>
      </c>
      <c r="J90" s="179"/>
      <c r="K90" s="268">
        <f>ProjectedP205_Consumption!K71*(1-$S$70)*T90*U90</f>
        <v>1.1583623138969251E-2</v>
      </c>
      <c r="L90" s="268">
        <f>ProjectedP205_Consumption!L71*(1-$S$70)*V90*W90</f>
        <v>0.11785977709663761</v>
      </c>
      <c r="M90" s="268">
        <f>ProjectedP205_Consumption!M71*(1-$S$70)*X90*Y90</f>
        <v>0.29794985492886716</v>
      </c>
      <c r="N90" s="266">
        <f>K90/ProjectedP205_Consumption!K71</f>
        <v>4.5499999999999999E-2</v>
      </c>
      <c r="O90" s="266">
        <f>L90/ProjectedP205_Consumption!L71</f>
        <v>0.13649999999999998</v>
      </c>
      <c r="P90" s="266">
        <f>M90/ProjectedP205_Consumption!M71</f>
        <v>0.22749999999999998</v>
      </c>
      <c r="S90" s="79">
        <f t="shared" si="20"/>
        <v>0.3</v>
      </c>
      <c r="T90" s="79">
        <f t="shared" si="21"/>
        <v>0.65</v>
      </c>
      <c r="U90" s="79">
        <f t="shared" si="22"/>
        <v>0.1</v>
      </c>
      <c r="V90" s="79">
        <f t="shared" si="23"/>
        <v>0.65</v>
      </c>
      <c r="W90" s="79">
        <f t="shared" si="24"/>
        <v>0.3</v>
      </c>
      <c r="X90" s="79">
        <f t="shared" si="25"/>
        <v>0.65</v>
      </c>
      <c r="Y90" s="79">
        <f t="shared" si="26"/>
        <v>0.5</v>
      </c>
    </row>
    <row r="91" spans="4:25" ht="13.5" customHeight="1" outlineLevel="1" x14ac:dyDescent="0.25">
      <c r="D91" s="101" t="s">
        <v>124</v>
      </c>
      <c r="J91" s="179"/>
      <c r="K91" s="268">
        <f>ProjectedP205_Consumption!K72*(1-$S$70)*T91*U91</f>
        <v>1.0199912681546712E-2</v>
      </c>
      <c r="L91" s="268">
        <f>ProjectedP205_Consumption!L72*(1-$S$70)*V91*W91</f>
        <v>0.10008148989098105</v>
      </c>
      <c r="M91" s="268">
        <f>ProjectedP205_Consumption!M72*(1-$S$70)*X91*Y91</f>
        <v>0.24398742148823452</v>
      </c>
      <c r="N91" s="266">
        <f>K91/ProjectedP205_Consumption!K72</f>
        <v>4.5500000000000006E-2</v>
      </c>
      <c r="O91" s="266">
        <f>L91/ProjectedP205_Consumption!L72</f>
        <v>0.13650000000000001</v>
      </c>
      <c r="P91" s="266">
        <f>M91/ProjectedP205_Consumption!M72</f>
        <v>0.22749999999999998</v>
      </c>
      <c r="S91" s="79">
        <f t="shared" si="20"/>
        <v>0.3</v>
      </c>
      <c r="T91" s="79">
        <f t="shared" si="21"/>
        <v>0.65</v>
      </c>
      <c r="U91" s="79">
        <f t="shared" si="22"/>
        <v>0.1</v>
      </c>
      <c r="V91" s="79">
        <f t="shared" si="23"/>
        <v>0.65</v>
      </c>
      <c r="W91" s="79">
        <f t="shared" si="24"/>
        <v>0.3</v>
      </c>
      <c r="X91" s="79">
        <f t="shared" si="25"/>
        <v>0.65</v>
      </c>
      <c r="Y91" s="79">
        <f t="shared" si="26"/>
        <v>0.5</v>
      </c>
    </row>
    <row r="92" spans="4:25" ht="13.5" customHeight="1" outlineLevel="1" x14ac:dyDescent="0.25">
      <c r="D92" s="101" t="s">
        <v>220</v>
      </c>
      <c r="J92" s="179"/>
      <c r="K92" s="268">
        <f>ProjectedP205_Consumption!K73*(1-$S$70)*T92*U92</f>
        <v>1.1328719940522283E-2</v>
      </c>
      <c r="L92" s="268">
        <f>ProjectedP205_Consumption!L73*(1-$S$70)*V92*W92</f>
        <v>0.11438033010321544</v>
      </c>
      <c r="M92" s="268">
        <f>ProjectedP205_Consumption!M73*(1-$S$70)*X92*Y92</f>
        <v>0.2869314927993365</v>
      </c>
      <c r="N92" s="266">
        <f>K92/ProjectedP205_Consumption!K73</f>
        <v>4.5500000000000006E-2</v>
      </c>
      <c r="O92" s="266">
        <f>L92/ProjectedP205_Consumption!L73</f>
        <v>0.13650000000000001</v>
      </c>
      <c r="P92" s="266">
        <f>M92/ProjectedP205_Consumption!M73</f>
        <v>0.22749999999999995</v>
      </c>
      <c r="S92" s="79">
        <f t="shared" si="20"/>
        <v>0.3</v>
      </c>
      <c r="T92" s="79">
        <f t="shared" si="21"/>
        <v>0.65</v>
      </c>
      <c r="U92" s="79">
        <f t="shared" si="22"/>
        <v>0.1</v>
      </c>
      <c r="V92" s="79">
        <f t="shared" si="23"/>
        <v>0.65</v>
      </c>
      <c r="W92" s="79">
        <f t="shared" si="24"/>
        <v>0.3</v>
      </c>
      <c r="X92" s="79">
        <f t="shared" si="25"/>
        <v>0.65</v>
      </c>
      <c r="Y92" s="79">
        <f t="shared" si="26"/>
        <v>0.5</v>
      </c>
    </row>
    <row r="93" spans="4:25" ht="13.5" customHeight="1" outlineLevel="1" x14ac:dyDescent="0.25">
      <c r="D93" s="101" t="s">
        <v>165</v>
      </c>
      <c r="J93" s="179"/>
      <c r="K93" s="268">
        <f>ProjectedP205_Consumption!K74*(1-$S$70)*T93*U93</f>
        <v>1.2488357160844048E-2</v>
      </c>
      <c r="L93" s="268">
        <f>ProjectedP205_Consumption!L74*(1-$S$70)*V93*W93</f>
        <v>0.13181098441293404</v>
      </c>
      <c r="M93" s="268">
        <f>ProjectedP205_Consumption!M74*(1-$S$70)*X93*Y93</f>
        <v>0.34566408930352027</v>
      </c>
      <c r="N93" s="266">
        <f>K93/ProjectedP205_Consumption!K74</f>
        <v>4.5499999999999999E-2</v>
      </c>
      <c r="O93" s="266">
        <f>L93/ProjectedP205_Consumption!L74</f>
        <v>0.13649999999999998</v>
      </c>
      <c r="P93" s="266">
        <f>M93/ProjectedP205_Consumption!M74</f>
        <v>0.22750000000000001</v>
      </c>
      <c r="S93" s="79">
        <f t="shared" si="20"/>
        <v>0.3</v>
      </c>
      <c r="T93" s="79">
        <f t="shared" si="21"/>
        <v>0.65</v>
      </c>
      <c r="U93" s="79">
        <f t="shared" si="22"/>
        <v>0.1</v>
      </c>
      <c r="V93" s="79">
        <f t="shared" si="23"/>
        <v>0.65</v>
      </c>
      <c r="W93" s="79">
        <f t="shared" si="24"/>
        <v>0.3</v>
      </c>
      <c r="X93" s="79">
        <f t="shared" si="25"/>
        <v>0.65</v>
      </c>
      <c r="Y93" s="79">
        <f t="shared" si="26"/>
        <v>0.5</v>
      </c>
    </row>
    <row r="94" spans="4:25" ht="13.5" customHeight="1" outlineLevel="1" x14ac:dyDescent="0.25">
      <c r="D94" s="101" t="s">
        <v>131</v>
      </c>
      <c r="J94" s="179"/>
      <c r="K94" s="268">
        <f>ProjectedP205_Consumption!K75*(1-$S$70)*T94*U94</f>
        <v>9.6092721465429812E-3</v>
      </c>
      <c r="L94" s="268">
        <f>ProjectedP205_Consumption!L75*(1-$S$70)*V94*W94</f>
        <v>0.1057951080791097</v>
      </c>
      <c r="M94" s="268">
        <f>ProjectedP205_Consumption!M75*(1-$S$70)*X94*Y94</f>
        <v>0.26236331443681526</v>
      </c>
      <c r="N94" s="266">
        <f>K94/ProjectedP205_Consumption!K75</f>
        <v>4.5499999999999999E-2</v>
      </c>
      <c r="O94" s="266">
        <f>L94/ProjectedP205_Consumption!L75</f>
        <v>0.13650000000000001</v>
      </c>
      <c r="P94" s="266">
        <f>M94/ProjectedP205_Consumption!M75</f>
        <v>0.22749999999999998</v>
      </c>
      <c r="S94" s="79">
        <f t="shared" si="20"/>
        <v>0.3</v>
      </c>
      <c r="T94" s="79">
        <f t="shared" si="21"/>
        <v>0.65</v>
      </c>
      <c r="U94" s="79">
        <f t="shared" si="22"/>
        <v>0.1</v>
      </c>
      <c r="V94" s="79">
        <f t="shared" si="23"/>
        <v>0.65</v>
      </c>
      <c r="W94" s="79">
        <f t="shared" si="24"/>
        <v>0.3</v>
      </c>
      <c r="X94" s="79">
        <f t="shared" si="25"/>
        <v>0.65</v>
      </c>
      <c r="Y94" s="79">
        <f t="shared" si="26"/>
        <v>0.5</v>
      </c>
    </row>
    <row r="95" spans="4:25" ht="13.5" customHeight="1" outlineLevel="1" x14ac:dyDescent="0.25">
      <c r="D95" s="101" t="s">
        <v>187</v>
      </c>
      <c r="J95" s="179"/>
      <c r="K95" s="268">
        <f>ProjectedP205_Consumption!K76*(1-$S$70)*T95*U95</f>
        <v>7.9254630833437603E-2</v>
      </c>
      <c r="L95" s="268">
        <f>ProjectedP205_Consumption!L76*(1-$S$70)*V95*W95</f>
        <v>0.32262780813891212</v>
      </c>
      <c r="M95" s="268">
        <f>ProjectedP205_Consumption!M76*(1-$S$70)*X95*Y95</f>
        <v>0.63349120657659796</v>
      </c>
      <c r="N95" s="266">
        <f>K95/ProjectedP205_Consumption!K76</f>
        <v>4.5500000000000006E-2</v>
      </c>
      <c r="O95" s="266">
        <f>L95/ProjectedP205_Consumption!L76</f>
        <v>0.13649999999999998</v>
      </c>
      <c r="P95" s="266">
        <f>M95/ProjectedP205_Consumption!M76</f>
        <v>0.22749999999999998</v>
      </c>
      <c r="S95" s="79">
        <f t="shared" si="20"/>
        <v>0.3</v>
      </c>
      <c r="T95" s="79">
        <f t="shared" si="21"/>
        <v>0.65</v>
      </c>
      <c r="U95" s="79">
        <f t="shared" si="22"/>
        <v>0.1</v>
      </c>
      <c r="V95" s="79">
        <f t="shared" si="23"/>
        <v>0.65</v>
      </c>
      <c r="W95" s="79">
        <f t="shared" si="24"/>
        <v>0.3</v>
      </c>
      <c r="X95" s="79">
        <f t="shared" si="25"/>
        <v>0.65</v>
      </c>
      <c r="Y95" s="79">
        <f t="shared" si="26"/>
        <v>0.5</v>
      </c>
    </row>
    <row r="96" spans="4:25" ht="13.5" customHeight="1" outlineLevel="1" x14ac:dyDescent="0.25">
      <c r="D96" s="101" t="s">
        <v>128</v>
      </c>
      <c r="J96" s="179"/>
      <c r="K96" s="268">
        <f>ProjectedP205_Consumption!K77*(1-$S$70)*T96*U96</f>
        <v>8.3942794673418607E-3</v>
      </c>
      <c r="L96" s="268">
        <f>ProjectedP205_Consumption!L77*(1-$S$70)*V96*W96</f>
        <v>8.2343316219688614E-2</v>
      </c>
      <c r="M96" s="268">
        <f>ProjectedP205_Consumption!M77*(1-$S$70)*X96*Y96</f>
        <v>0.20069181016853838</v>
      </c>
      <c r="N96" s="266">
        <f>K96/ProjectedP205_Consumption!K77</f>
        <v>4.5499999999999999E-2</v>
      </c>
      <c r="O96" s="266">
        <f>L96/ProjectedP205_Consumption!L77</f>
        <v>0.13650000000000001</v>
      </c>
      <c r="P96" s="266">
        <f>M96/ProjectedP205_Consumption!M77</f>
        <v>0.22750000000000001</v>
      </c>
      <c r="S96" s="79">
        <f t="shared" si="20"/>
        <v>0.3</v>
      </c>
      <c r="T96" s="79">
        <f t="shared" si="21"/>
        <v>0.65</v>
      </c>
      <c r="U96" s="79">
        <f t="shared" si="22"/>
        <v>0.1</v>
      </c>
      <c r="V96" s="79">
        <f t="shared" si="23"/>
        <v>0.65</v>
      </c>
      <c r="W96" s="79">
        <f t="shared" si="24"/>
        <v>0.3</v>
      </c>
      <c r="X96" s="79">
        <f t="shared" si="25"/>
        <v>0.65</v>
      </c>
      <c r="Y96" s="79">
        <f t="shared" si="26"/>
        <v>0.5</v>
      </c>
    </row>
    <row r="97" spans="2:25" ht="13.5" customHeight="1" outlineLevel="1" x14ac:dyDescent="0.25">
      <c r="D97" s="101" t="s">
        <v>183</v>
      </c>
      <c r="J97" s="179"/>
      <c r="K97" s="268">
        <f>ProjectedP205_Consumption!K78*(1-$S$70)*T97*U97</f>
        <v>8.3645433808291151E-3</v>
      </c>
      <c r="L97" s="268">
        <f>ProjectedP205_Consumption!L78*(1-$S$70)*V97*W97</f>
        <v>8.1997502578778386E-2</v>
      </c>
      <c r="M97" s="268">
        <f>ProjectedP205_Consumption!M78*(1-$S$70)*X97*Y97</f>
        <v>0.19971715908084731</v>
      </c>
      <c r="N97" s="266">
        <f>K97/ProjectedP205_Consumption!K78</f>
        <v>4.5499999999999999E-2</v>
      </c>
      <c r="O97" s="266">
        <f>L97/ProjectedP205_Consumption!L78</f>
        <v>0.13650000000000001</v>
      </c>
      <c r="P97" s="266">
        <f>M97/ProjectedP205_Consumption!M78</f>
        <v>0.22749999999999998</v>
      </c>
      <c r="S97" s="79">
        <f t="shared" si="20"/>
        <v>0.3</v>
      </c>
      <c r="T97" s="79">
        <f t="shared" si="21"/>
        <v>0.65</v>
      </c>
      <c r="U97" s="79">
        <f t="shared" si="22"/>
        <v>0.1</v>
      </c>
      <c r="V97" s="79">
        <f t="shared" si="23"/>
        <v>0.65</v>
      </c>
      <c r="W97" s="79">
        <f t="shared" si="24"/>
        <v>0.3</v>
      </c>
      <c r="X97" s="79">
        <f t="shared" si="25"/>
        <v>0.65</v>
      </c>
      <c r="Y97" s="79">
        <f t="shared" si="26"/>
        <v>0.5</v>
      </c>
    </row>
    <row r="98" spans="2:25" ht="13.5" customHeight="1" outlineLevel="1" x14ac:dyDescent="0.25">
      <c r="D98" s="101" t="s">
        <v>214</v>
      </c>
      <c r="J98" s="179"/>
      <c r="K98" s="268">
        <f>ProjectedP205_Consumption!K79*(1-$S$70)*T98*U98</f>
        <v>6.7153550999894344E-3</v>
      </c>
      <c r="L98" s="268">
        <f>ProjectedP205_Consumption!L79*(1-$S$70)*V98*W98</f>
        <v>4.0761843810556704E-2</v>
      </c>
      <c r="M98" s="268">
        <f>ProjectedP205_Consumption!M79*(1-$S$70)*X98*Y98</f>
        <v>9.2217643861919135E-2</v>
      </c>
      <c r="N98" s="266">
        <f>K98/ProjectedP205_Consumption!K79</f>
        <v>4.5499999999999999E-2</v>
      </c>
      <c r="O98" s="266">
        <f>L98/ProjectedP205_Consumption!L79</f>
        <v>0.13649999999999995</v>
      </c>
      <c r="P98" s="266">
        <f>M98/ProjectedP205_Consumption!M79</f>
        <v>0.22750000000000001</v>
      </c>
      <c r="S98" s="79">
        <f t="shared" si="20"/>
        <v>0.3</v>
      </c>
      <c r="T98" s="79">
        <f t="shared" si="21"/>
        <v>0.65</v>
      </c>
      <c r="U98" s="79">
        <f t="shared" si="22"/>
        <v>0.1</v>
      </c>
      <c r="V98" s="79">
        <f t="shared" si="23"/>
        <v>0.65</v>
      </c>
      <c r="W98" s="79">
        <f t="shared" si="24"/>
        <v>0.3</v>
      </c>
      <c r="X98" s="79">
        <f t="shared" si="25"/>
        <v>0.65</v>
      </c>
      <c r="Y98" s="79">
        <f t="shared" si="26"/>
        <v>0.5</v>
      </c>
    </row>
    <row r="99" spans="2:25" ht="13.5" customHeight="1" outlineLevel="1" x14ac:dyDescent="0.25">
      <c r="D99" s="101" t="s">
        <v>155</v>
      </c>
      <c r="J99" s="179"/>
      <c r="K99" s="268">
        <f>ProjectedP205_Consumption!K80*(1-$S$70)*T99*U99</f>
        <v>5.4028663379429159E-3</v>
      </c>
      <c r="L99" s="268">
        <f>ProjectedP205_Consumption!L80*(1-$S$70)*V99*W99</f>
        <v>3.3634910054781045E-2</v>
      </c>
      <c r="M99" s="268">
        <f>ProjectedP205_Consumption!M80*(1-$S$70)*X99*Y99</f>
        <v>7.8042591292517491E-2</v>
      </c>
      <c r="N99" s="266">
        <f>K99/ProjectedP205_Consumption!K80</f>
        <v>4.5499999999999999E-2</v>
      </c>
      <c r="O99" s="266">
        <f>L99/ProjectedP205_Consumption!L80</f>
        <v>0.13649999999999998</v>
      </c>
      <c r="P99" s="266">
        <f>M99/ProjectedP205_Consumption!M80</f>
        <v>0.22750000000000001</v>
      </c>
      <c r="S99" s="79">
        <f t="shared" si="20"/>
        <v>0.3</v>
      </c>
      <c r="T99" s="79">
        <f t="shared" si="21"/>
        <v>0.65</v>
      </c>
      <c r="U99" s="79">
        <f t="shared" si="22"/>
        <v>0.1</v>
      </c>
      <c r="V99" s="79">
        <f t="shared" si="23"/>
        <v>0.65</v>
      </c>
      <c r="W99" s="79">
        <f t="shared" si="24"/>
        <v>0.3</v>
      </c>
      <c r="X99" s="79">
        <f t="shared" si="25"/>
        <v>0.65</v>
      </c>
      <c r="Y99" s="79">
        <f t="shared" si="26"/>
        <v>0.5</v>
      </c>
    </row>
    <row r="100" spans="2:25" ht="13.5" customHeight="1" outlineLevel="1" thickBot="1" x14ac:dyDescent="0.3">
      <c r="D100" s="101" t="s">
        <v>148</v>
      </c>
      <c r="J100" s="179"/>
      <c r="K100" s="268">
        <f>ProjectedP205_Consumption!K81*(1-$S$70)*T100*U100</f>
        <v>6.1083210292734759E-3</v>
      </c>
      <c r="L100" s="268">
        <f>ProjectedP205_Consumption!L81*(1-$S$70)*V100*W100</f>
        <v>2.8750832756535793E-2</v>
      </c>
      <c r="M100" s="268">
        <f>ProjectedP205_Consumption!M81*(1-$S$70)*X100*Y100</f>
        <v>5.984537939811066E-2</v>
      </c>
      <c r="N100" s="266">
        <f>K100/ProjectedP205_Consumption!K81</f>
        <v>4.5500000000000006E-2</v>
      </c>
      <c r="O100" s="266">
        <f>L100/ProjectedP205_Consumption!L81</f>
        <v>0.13650000000000001</v>
      </c>
      <c r="P100" s="266">
        <f>M100/ProjectedP205_Consumption!M81</f>
        <v>0.22749999999999998</v>
      </c>
      <c r="S100" s="79">
        <f t="shared" si="20"/>
        <v>0.3</v>
      </c>
      <c r="T100" s="79">
        <f t="shared" si="21"/>
        <v>0.65</v>
      </c>
      <c r="U100" s="79">
        <f t="shared" si="22"/>
        <v>0.1</v>
      </c>
      <c r="V100" s="79">
        <f t="shared" si="23"/>
        <v>0.65</v>
      </c>
      <c r="W100" s="79">
        <f t="shared" si="24"/>
        <v>0.3</v>
      </c>
      <c r="X100" s="79">
        <f t="shared" si="25"/>
        <v>0.65</v>
      </c>
      <c r="Y100" s="79">
        <f t="shared" si="26"/>
        <v>0.5</v>
      </c>
    </row>
    <row r="101" spans="2:25" ht="13.5" customHeight="1" outlineLevel="1" thickTop="1" thickBot="1" x14ac:dyDescent="0.3">
      <c r="D101" s="102" t="s">
        <v>13</v>
      </c>
      <c r="E101" s="125"/>
      <c r="F101" s="125"/>
      <c r="G101" s="125"/>
      <c r="H101" s="125"/>
      <c r="I101" s="125"/>
      <c r="J101" s="126"/>
      <c r="K101" s="126">
        <f t="shared" ref="K101:M101" si="27">SUM(K70:K100)</f>
        <v>4.6905233888307043</v>
      </c>
      <c r="L101" s="126">
        <f t="shared" si="27"/>
        <v>21.449110525763235</v>
      </c>
      <c r="M101" s="126">
        <f t="shared" si="27"/>
        <v>46.301518491462801</v>
      </c>
      <c r="N101" s="193"/>
      <c r="O101" s="193"/>
      <c r="P101" s="193"/>
    </row>
    <row r="102" spans="2:25" ht="13.5" customHeight="1" outlineLevel="1" thickTop="1" thickBot="1" x14ac:dyDescent="0.3">
      <c r="D102" s="100" t="s">
        <v>17</v>
      </c>
      <c r="E102" s="125"/>
      <c r="F102" s="125"/>
      <c r="G102" s="125"/>
      <c r="H102" s="125"/>
      <c r="I102" s="125"/>
      <c r="J102" s="126"/>
      <c r="K102" s="126">
        <f t="shared" ref="K102:M102" si="28">K101/46%</f>
        <v>10.196789975718922</v>
      </c>
      <c r="L102" s="126">
        <f t="shared" si="28"/>
        <v>46.62850114296355</v>
      </c>
      <c r="M102" s="126">
        <f t="shared" si="28"/>
        <v>100.65547498144086</v>
      </c>
      <c r="N102" s="193"/>
      <c r="O102" s="193"/>
      <c r="P102" s="193"/>
    </row>
    <row r="103" spans="2:25" ht="13.5" customHeight="1" thickTop="1" x14ac:dyDescent="0.25"/>
    <row r="104" spans="2:25" ht="13.5" customHeight="1" x14ac:dyDescent="0.35">
      <c r="B104" s="29">
        <v>2</v>
      </c>
      <c r="D104" s="28" t="s">
        <v>251</v>
      </c>
    </row>
    <row r="105" spans="2:25" ht="13.5" customHeight="1" outlineLevel="1" x14ac:dyDescent="0.25"/>
    <row r="106" spans="2:25" ht="13.5" customHeight="1" outlineLevel="1" x14ac:dyDescent="0.3">
      <c r="D106" s="32" t="s">
        <v>76</v>
      </c>
      <c r="E106" s="1"/>
    </row>
    <row r="107" spans="2:25" ht="13.5" customHeight="1" outlineLevel="1" x14ac:dyDescent="0.3">
      <c r="D107" s="33" t="s">
        <v>77</v>
      </c>
      <c r="R107" s="39" t="s">
        <v>24</v>
      </c>
    </row>
    <row r="108" spans="2:25" ht="13.5" customHeight="1" outlineLevel="1" x14ac:dyDescent="0.25">
      <c r="N108" s="2" t="s">
        <v>314</v>
      </c>
    </row>
    <row r="109" spans="2:25" ht="13.5" customHeight="1" outlineLevel="1" x14ac:dyDescent="0.3">
      <c r="D109" s="30" t="s">
        <v>15</v>
      </c>
      <c r="E109" s="34">
        <v>2017</v>
      </c>
      <c r="F109" s="34">
        <v>2018</v>
      </c>
      <c r="G109" s="34">
        <v>2019</v>
      </c>
      <c r="H109" s="34">
        <v>2020</v>
      </c>
      <c r="I109" s="34">
        <v>2021</v>
      </c>
      <c r="J109" s="118">
        <v>2022</v>
      </c>
      <c r="K109" s="118">
        <v>2023</v>
      </c>
      <c r="L109" s="118">
        <v>2024</v>
      </c>
      <c r="M109" s="118">
        <v>2025</v>
      </c>
      <c r="N109" s="118">
        <v>2023</v>
      </c>
      <c r="O109" s="118">
        <v>2024</v>
      </c>
      <c r="P109" s="118">
        <v>2025</v>
      </c>
      <c r="R109" s="127" t="s">
        <v>252</v>
      </c>
      <c r="S109" s="127" t="s">
        <v>253</v>
      </c>
      <c r="T109" s="127" t="s">
        <v>257</v>
      </c>
      <c r="U109" s="127"/>
    </row>
    <row r="110" spans="2:25" ht="13.5" customHeight="1" outlineLevel="1" x14ac:dyDescent="0.25">
      <c r="D110" s="2" t="str">
        <f>D70</f>
        <v>Sorghum</v>
      </c>
      <c r="E110" s="37"/>
      <c r="F110" s="37"/>
      <c r="G110" s="37"/>
      <c r="H110" s="37"/>
      <c r="I110" s="37"/>
      <c r="J110" s="179"/>
      <c r="K110" s="268">
        <f>IF($R110="Yes",(ProjectedP205_Consumption!K13-K35)*$T110,0)</f>
        <v>0</v>
      </c>
      <c r="L110" s="268">
        <f>IF($R110="Yes",(ProjectedP205_Consumption!L13-L35)*$T110,0)</f>
        <v>0</v>
      </c>
      <c r="M110" s="268">
        <f>IF($R110="Yes",(ProjectedP205_Consumption!M13-M35)*$T110,0)</f>
        <v>0</v>
      </c>
      <c r="N110" s="267">
        <f>K110/ProjectedP205_Consumption!K13</f>
        <v>0</v>
      </c>
      <c r="O110" s="267">
        <f>L110/ProjectedP205_Consumption!L13</f>
        <v>0</v>
      </c>
      <c r="P110" s="267">
        <f>M110/ProjectedP205_Consumption!M13</f>
        <v>0</v>
      </c>
      <c r="R110" s="184" t="s">
        <v>254</v>
      </c>
      <c r="S110" s="183"/>
      <c r="T110" s="186">
        <v>0</v>
      </c>
    </row>
    <row r="111" spans="2:25" ht="13.5" customHeight="1" outlineLevel="1" x14ac:dyDescent="0.25">
      <c r="D111" s="2" t="str">
        <f t="shared" ref="D111:D140" si="29">D71</f>
        <v>Sesame seed</v>
      </c>
      <c r="E111" s="37"/>
      <c r="F111" s="37"/>
      <c r="G111" s="37"/>
      <c r="H111" s="37"/>
      <c r="I111" s="37"/>
      <c r="J111" s="179"/>
      <c r="K111" s="268">
        <f>IF($R111="Yes",(ProjectedP205_Consumption!K14-K36)*$T111,0)</f>
        <v>0</v>
      </c>
      <c r="L111" s="268">
        <f>IF($R111="Yes",(ProjectedP205_Consumption!L14-L36)*$T111,0)</f>
        <v>0</v>
      </c>
      <c r="M111" s="268">
        <f>IF($R111="Yes",(ProjectedP205_Consumption!M14-M36)*$T111,0)</f>
        <v>0</v>
      </c>
      <c r="N111" s="267">
        <f>K111/ProjectedP205_Consumption!K14</f>
        <v>0</v>
      </c>
      <c r="O111" s="267">
        <f>L111/ProjectedP205_Consumption!L14</f>
        <v>0</v>
      </c>
      <c r="P111" s="267">
        <f>M111/ProjectedP205_Consumption!M14</f>
        <v>0</v>
      </c>
      <c r="R111" s="184" t="s">
        <v>254</v>
      </c>
      <c r="S111" s="183"/>
      <c r="T111" s="186">
        <v>0</v>
      </c>
    </row>
    <row r="112" spans="2:25" ht="13.5" customHeight="1" outlineLevel="1" x14ac:dyDescent="0.25">
      <c r="D112" s="2" t="str">
        <f t="shared" si="29"/>
        <v>Groundnuts, excluding shelled</v>
      </c>
      <c r="E112" s="37"/>
      <c r="F112" s="37"/>
      <c r="G112" s="37"/>
      <c r="H112" s="37"/>
      <c r="I112" s="37"/>
      <c r="J112" s="179"/>
      <c r="K112" s="268">
        <f>IF($R112="Yes",(ProjectedP205_Consumption!K15-K37)*$T112,0)</f>
        <v>0</v>
      </c>
      <c r="L112" s="268">
        <f>IF($R112="Yes",(ProjectedP205_Consumption!L15-L37)*$T112,0)</f>
        <v>0</v>
      </c>
      <c r="M112" s="268">
        <f>IF($R112="Yes",(ProjectedP205_Consumption!M15-M37)*$T112,0)</f>
        <v>0</v>
      </c>
      <c r="N112" s="267">
        <f>K112/ProjectedP205_Consumption!K15</f>
        <v>0</v>
      </c>
      <c r="O112" s="267">
        <f>L112/ProjectedP205_Consumption!L15</f>
        <v>0</v>
      </c>
      <c r="P112" s="267">
        <f>M112/ProjectedP205_Consumption!M15</f>
        <v>0</v>
      </c>
      <c r="R112" s="184" t="s">
        <v>254</v>
      </c>
      <c r="S112" s="183"/>
      <c r="T112" s="186">
        <v>0</v>
      </c>
    </row>
    <row r="113" spans="4:20" ht="13.5" customHeight="1" outlineLevel="1" x14ac:dyDescent="0.25">
      <c r="D113" s="2" t="str">
        <f t="shared" si="29"/>
        <v>Millet</v>
      </c>
      <c r="E113" s="37"/>
      <c r="F113" s="37"/>
      <c r="G113" s="37"/>
      <c r="H113" s="37"/>
      <c r="I113" s="37"/>
      <c r="J113" s="179"/>
      <c r="K113" s="268">
        <f>IF($R113="Yes",(ProjectedP205_Consumption!K16-K38)*$T113,0)</f>
        <v>0</v>
      </c>
      <c r="L113" s="268">
        <f>IF($R113="Yes",(ProjectedP205_Consumption!L16-L38)*$T113,0)</f>
        <v>0</v>
      </c>
      <c r="M113" s="268">
        <f>IF($R113="Yes",(ProjectedP205_Consumption!M16-M38)*$T113,0)</f>
        <v>0</v>
      </c>
      <c r="N113" s="267">
        <f>K113/ProjectedP205_Consumption!K16</f>
        <v>0</v>
      </c>
      <c r="O113" s="267">
        <f>L113/ProjectedP205_Consumption!L16</f>
        <v>0</v>
      </c>
      <c r="P113" s="267">
        <f>M113/ProjectedP205_Consumption!M16</f>
        <v>0</v>
      </c>
      <c r="R113" s="184" t="s">
        <v>254</v>
      </c>
      <c r="S113" s="183"/>
      <c r="T113" s="186">
        <v>0</v>
      </c>
    </row>
    <row r="114" spans="4:20" ht="13.5" customHeight="1" outlineLevel="1" x14ac:dyDescent="0.25">
      <c r="D114" s="2" t="str">
        <f t="shared" si="29"/>
        <v>Sugar cane</v>
      </c>
      <c r="E114" s="37"/>
      <c r="F114" s="37"/>
      <c r="G114" s="37"/>
      <c r="H114" s="37"/>
      <c r="I114" s="37"/>
      <c r="J114" s="179"/>
      <c r="K114" s="268">
        <f>IF($R114="Yes",(ProjectedP205_Consumption!K17-K39)*$T114,0)</f>
        <v>0</v>
      </c>
      <c r="L114" s="268">
        <f>IF($R114="Yes",(ProjectedP205_Consumption!L17-L39)*$T114,0)</f>
        <v>0</v>
      </c>
      <c r="M114" s="268">
        <f>IF($R114="Yes",(ProjectedP205_Consumption!M17-M39)*$T114,0)</f>
        <v>0</v>
      </c>
      <c r="N114" s="267">
        <f>K114/ProjectedP205_Consumption!K17</f>
        <v>0</v>
      </c>
      <c r="O114" s="267">
        <f>L114/ProjectedP205_Consumption!L17</f>
        <v>0</v>
      </c>
      <c r="P114" s="267">
        <f>M114/ProjectedP205_Consumption!M17</f>
        <v>0</v>
      </c>
      <c r="R114" s="184" t="s">
        <v>254</v>
      </c>
      <c r="S114" s="31"/>
      <c r="T114" s="186">
        <v>0</v>
      </c>
    </row>
    <row r="115" spans="4:20" ht="13.5" customHeight="1" outlineLevel="1" x14ac:dyDescent="0.25">
      <c r="D115" s="2" t="str">
        <f t="shared" si="29"/>
        <v>Melonseed</v>
      </c>
      <c r="E115" s="37"/>
      <c r="F115" s="37"/>
      <c r="G115" s="37"/>
      <c r="H115" s="37"/>
      <c r="I115" s="37"/>
      <c r="J115" s="179"/>
      <c r="K115" s="268">
        <f>IF($R115="Yes",(ProjectedP205_Consumption!K18-K40)*$T115,0)</f>
        <v>0</v>
      </c>
      <c r="L115" s="268">
        <f>IF($R115="Yes",(ProjectedP205_Consumption!L18-L40)*$T115,0)</f>
        <v>0</v>
      </c>
      <c r="M115" s="268">
        <f>IF($R115="Yes",(ProjectedP205_Consumption!M18-M40)*$T115,0)</f>
        <v>0</v>
      </c>
      <c r="N115" s="267">
        <f>K115/ProjectedP205_Consumption!K18</f>
        <v>0</v>
      </c>
      <c r="O115" s="267">
        <f>L115/ProjectedP205_Consumption!L18</f>
        <v>0</v>
      </c>
      <c r="P115" s="267">
        <f>M115/ProjectedP205_Consumption!M18</f>
        <v>0</v>
      </c>
      <c r="R115" s="184" t="s">
        <v>254</v>
      </c>
      <c r="S115" s="31"/>
      <c r="T115" s="186">
        <v>0</v>
      </c>
    </row>
    <row r="116" spans="4:20" ht="13.5" customHeight="1" outlineLevel="1" x14ac:dyDescent="0.25">
      <c r="D116" s="2" t="str">
        <f t="shared" si="29"/>
        <v>Cow peas, dry</v>
      </c>
      <c r="E116" s="37"/>
      <c r="F116" s="37"/>
      <c r="G116" s="37"/>
      <c r="H116" s="37"/>
      <c r="I116" s="37"/>
      <c r="J116" s="179"/>
      <c r="K116" s="268">
        <f>IF($R116="Yes",(ProjectedP205_Consumption!K19-K41)*$T116,0)</f>
        <v>0</v>
      </c>
      <c r="L116" s="268">
        <f>IF($R116="Yes",(ProjectedP205_Consumption!L19-L41)*$T116,0)</f>
        <v>0</v>
      </c>
      <c r="M116" s="268">
        <f>IF($R116="Yes",(ProjectedP205_Consumption!M19-M41)*$T116,0)</f>
        <v>0</v>
      </c>
      <c r="N116" s="267">
        <f>K116/ProjectedP205_Consumption!K19</f>
        <v>0</v>
      </c>
      <c r="O116" s="267">
        <f>L116/ProjectedP205_Consumption!L19</f>
        <v>0</v>
      </c>
      <c r="P116" s="267">
        <f>M116/ProjectedP205_Consumption!M19</f>
        <v>0</v>
      </c>
      <c r="R116" s="184" t="s">
        <v>254</v>
      </c>
      <c r="S116" s="31"/>
      <c r="T116" s="186">
        <v>0</v>
      </c>
    </row>
    <row r="117" spans="4:20" ht="13.5" customHeight="1" outlineLevel="1" x14ac:dyDescent="0.25">
      <c r="D117" s="2" t="str">
        <f t="shared" si="29"/>
        <v>Wheat</v>
      </c>
      <c r="E117" s="37"/>
      <c r="F117" s="37"/>
      <c r="G117" s="37"/>
      <c r="H117" s="37"/>
      <c r="I117" s="37"/>
      <c r="J117" s="179"/>
      <c r="K117" s="268">
        <f>IF($R117="Yes",(ProjectedP205_Consumption!K20-K42)*$T117,0)</f>
        <v>1.5978491677137012</v>
      </c>
      <c r="L117" s="268">
        <f>IF($R117="Yes",(ProjectedP205_Consumption!L20-L42)*$T117,0)</f>
        <v>1.9822993755389458</v>
      </c>
      <c r="M117" s="268">
        <f>IF($R117="Yes",(ProjectedP205_Consumption!M20-M42)*$T117,0)</f>
        <v>2.4319376961836214</v>
      </c>
      <c r="N117" s="267">
        <f>K117/ProjectedP205_Consumption!K20</f>
        <v>0.47724999999999995</v>
      </c>
      <c r="O117" s="267">
        <f>L117/ProjectedP205_Consumption!L20</f>
        <v>0.43175000000000002</v>
      </c>
      <c r="P117" s="267">
        <f>M117/ProjectedP205_Consumption!M20</f>
        <v>0.38625000000000004</v>
      </c>
      <c r="R117" s="184" t="s">
        <v>255</v>
      </c>
      <c r="S117" s="183" t="s">
        <v>256</v>
      </c>
      <c r="T117" s="185">
        <f>1/2</f>
        <v>0.5</v>
      </c>
    </row>
    <row r="118" spans="4:20" ht="13.5" customHeight="1" outlineLevel="1" x14ac:dyDescent="0.25">
      <c r="D118" s="2" t="str">
        <f t="shared" si="29"/>
        <v>Onions and shallots, dry (excluding dehydrated)</v>
      </c>
      <c r="E118" s="37"/>
      <c r="F118" s="37"/>
      <c r="G118" s="37"/>
      <c r="H118" s="37"/>
      <c r="I118" s="37"/>
      <c r="J118" s="179"/>
      <c r="K118" s="268">
        <f>IF($R118="Yes",(ProjectedP205_Consumption!K21-K43)*$T118,0)</f>
        <v>0</v>
      </c>
      <c r="L118" s="268">
        <f>IF($R118="Yes",(ProjectedP205_Consumption!L21-L43)*$T118,0)</f>
        <v>0</v>
      </c>
      <c r="M118" s="268">
        <f>IF($R118="Yes",(ProjectedP205_Consumption!M21-M43)*$T118,0)</f>
        <v>0</v>
      </c>
      <c r="N118" s="267">
        <f>K118/ProjectedP205_Consumption!K21</f>
        <v>0</v>
      </c>
      <c r="O118" s="267">
        <f>L118/ProjectedP205_Consumption!L21</f>
        <v>0</v>
      </c>
      <c r="P118" s="267">
        <f>M118/ProjectedP205_Consumption!M21</f>
        <v>0</v>
      </c>
      <c r="R118" s="184" t="s">
        <v>254</v>
      </c>
      <c r="S118" s="31"/>
      <c r="T118" s="186">
        <v>0</v>
      </c>
    </row>
    <row r="119" spans="4:20" ht="13.5" customHeight="1" outlineLevel="1" x14ac:dyDescent="0.25">
      <c r="D119" s="2" t="str">
        <f t="shared" si="29"/>
        <v>Bananas</v>
      </c>
      <c r="E119" s="37"/>
      <c r="F119" s="37"/>
      <c r="G119" s="37"/>
      <c r="H119" s="37"/>
      <c r="I119" s="37"/>
      <c r="J119" s="179"/>
      <c r="K119" s="268">
        <f>IF($R119="Yes",(ProjectedP205_Consumption!K22-K44)*$T119,0)</f>
        <v>0</v>
      </c>
      <c r="L119" s="268">
        <f>IF($R119="Yes",(ProjectedP205_Consumption!L22-L44)*$T119,0)</f>
        <v>0</v>
      </c>
      <c r="M119" s="268">
        <f>IF($R119="Yes",(ProjectedP205_Consumption!M22-M44)*$T119,0)</f>
        <v>0</v>
      </c>
      <c r="N119" s="267">
        <f>K119/ProjectedP205_Consumption!K22</f>
        <v>0</v>
      </c>
      <c r="O119" s="267">
        <f>L119/ProjectedP205_Consumption!L22</f>
        <v>0</v>
      </c>
      <c r="P119" s="267">
        <f>M119/ProjectedP205_Consumption!M22</f>
        <v>0</v>
      </c>
      <c r="R119" s="184" t="s">
        <v>254</v>
      </c>
      <c r="S119" s="31"/>
      <c r="T119" s="186">
        <v>0</v>
      </c>
    </row>
    <row r="120" spans="4:20" ht="13.5" customHeight="1" outlineLevel="1" x14ac:dyDescent="0.25">
      <c r="D120" s="2" t="str">
        <f t="shared" si="29"/>
        <v>Mangoes, guavas and mangosteens</v>
      </c>
      <c r="E120" s="37"/>
      <c r="F120" s="37"/>
      <c r="G120" s="37"/>
      <c r="H120" s="37"/>
      <c r="I120" s="37"/>
      <c r="J120" s="179"/>
      <c r="K120" s="268">
        <f>IF($R120="Yes",(ProjectedP205_Consumption!K23-K45)*$T120,0)</f>
        <v>0</v>
      </c>
      <c r="L120" s="268">
        <f>IF($R120="Yes",(ProjectedP205_Consumption!L23-L45)*$T120,0)</f>
        <v>0</v>
      </c>
      <c r="M120" s="268">
        <f>IF($R120="Yes",(ProjectedP205_Consumption!M23-M45)*$T120,0)</f>
        <v>0</v>
      </c>
      <c r="N120" s="267">
        <f>K120/ProjectedP205_Consumption!K23</f>
        <v>0</v>
      </c>
      <c r="O120" s="267">
        <f>L120/ProjectedP205_Consumption!L23</f>
        <v>0</v>
      </c>
      <c r="P120" s="267">
        <f>M120/ProjectedP205_Consumption!M23</f>
        <v>0</v>
      </c>
      <c r="R120" s="184" t="s">
        <v>254</v>
      </c>
      <c r="S120" s="31"/>
      <c r="T120" s="186">
        <v>0</v>
      </c>
    </row>
    <row r="121" spans="4:20" ht="13.5" customHeight="1" outlineLevel="1" x14ac:dyDescent="0.25">
      <c r="D121" s="2" t="str">
        <f t="shared" si="29"/>
        <v>Cantaloupes and other melons</v>
      </c>
      <c r="E121" s="37"/>
      <c r="F121" s="37"/>
      <c r="G121" s="37"/>
      <c r="H121" s="37"/>
      <c r="I121" s="37"/>
      <c r="J121" s="179"/>
      <c r="K121" s="268">
        <f>IF($R121="Yes",(ProjectedP205_Consumption!K24-K46)*$T121,0)</f>
        <v>0</v>
      </c>
      <c r="L121" s="268">
        <f>IF($R121="Yes",(ProjectedP205_Consumption!L24-L46)*$T121,0)</f>
        <v>0</v>
      </c>
      <c r="M121" s="268">
        <f>IF($R121="Yes",(ProjectedP205_Consumption!M24-M46)*$T121,0)</f>
        <v>0</v>
      </c>
      <c r="N121" s="267">
        <f>K121/ProjectedP205_Consumption!K24</f>
        <v>0</v>
      </c>
      <c r="O121" s="267">
        <f>L121/ProjectedP205_Consumption!L24</f>
        <v>0</v>
      </c>
      <c r="P121" s="267">
        <f>M121/ProjectedP205_Consumption!M24</f>
        <v>0</v>
      </c>
      <c r="R121" s="184" t="s">
        <v>254</v>
      </c>
      <c r="S121" s="31"/>
      <c r="T121" s="186">
        <v>0</v>
      </c>
    </row>
    <row r="122" spans="4:20" ht="13.5" customHeight="1" outlineLevel="1" x14ac:dyDescent="0.25">
      <c r="D122" s="2" t="str">
        <f t="shared" si="29"/>
        <v>Sunflower seed</v>
      </c>
      <c r="E122" s="37"/>
      <c r="F122" s="37"/>
      <c r="G122" s="37"/>
      <c r="H122" s="37"/>
      <c r="I122" s="37"/>
      <c r="J122" s="179"/>
      <c r="K122" s="268">
        <f>IF($R122="Yes",(ProjectedP205_Consumption!K25-K47)*$T122,0)</f>
        <v>0</v>
      </c>
      <c r="L122" s="268">
        <f>IF($R122="Yes",(ProjectedP205_Consumption!L25-L47)*$T122,0)</f>
        <v>0</v>
      </c>
      <c r="M122" s="268">
        <f>IF($R122="Yes",(ProjectedP205_Consumption!M25-M47)*$T122,0)</f>
        <v>0</v>
      </c>
      <c r="N122" s="267">
        <f>K122/ProjectedP205_Consumption!K25</f>
        <v>0</v>
      </c>
      <c r="O122" s="267">
        <f>L122/ProjectedP205_Consumption!L25</f>
        <v>0</v>
      </c>
      <c r="P122" s="267">
        <f>M122/ProjectedP205_Consumption!M25</f>
        <v>0</v>
      </c>
      <c r="R122" s="184" t="s">
        <v>254</v>
      </c>
      <c r="S122" s="31"/>
      <c r="T122" s="186">
        <v>0</v>
      </c>
    </row>
    <row r="123" spans="4:20" ht="13.5" customHeight="1" outlineLevel="1" x14ac:dyDescent="0.25">
      <c r="D123" s="2" t="str">
        <f t="shared" si="29"/>
        <v>Cauliflowers and broccoli</v>
      </c>
      <c r="E123" s="37"/>
      <c r="F123" s="37"/>
      <c r="G123" s="37"/>
      <c r="H123" s="37"/>
      <c r="I123" s="37"/>
      <c r="J123" s="179"/>
      <c r="K123" s="268">
        <f>IF($R123="Yes",(ProjectedP205_Consumption!K26-K48)*$T123,0)</f>
        <v>0</v>
      </c>
      <c r="L123" s="268">
        <f>IF($R123="Yes",(ProjectedP205_Consumption!L26-L48)*$T123,0)</f>
        <v>0</v>
      </c>
      <c r="M123" s="268">
        <f>IF($R123="Yes",(ProjectedP205_Consumption!M26-M48)*$T123,0)</f>
        <v>0</v>
      </c>
      <c r="N123" s="267">
        <f>K123/ProjectedP205_Consumption!K26</f>
        <v>0</v>
      </c>
      <c r="O123" s="267">
        <f>L123/ProjectedP205_Consumption!L26</f>
        <v>0</v>
      </c>
      <c r="P123" s="267">
        <f>M123/ProjectedP205_Consumption!M26</f>
        <v>0</v>
      </c>
      <c r="R123" s="184" t="s">
        <v>254</v>
      </c>
      <c r="S123" s="31"/>
      <c r="T123" s="186">
        <v>0</v>
      </c>
    </row>
    <row r="124" spans="4:20" ht="13.5" customHeight="1" outlineLevel="1" x14ac:dyDescent="0.25">
      <c r="D124" s="2" t="str">
        <f t="shared" si="29"/>
        <v>Seed cotton, unginned</v>
      </c>
      <c r="E124" s="37"/>
      <c r="F124" s="37"/>
      <c r="G124" s="37"/>
      <c r="H124" s="37"/>
      <c r="I124" s="37"/>
      <c r="J124" s="179"/>
      <c r="K124" s="268">
        <f>IF($R124="Yes",(ProjectedP205_Consumption!K27-K49)*$T124,0)</f>
        <v>0</v>
      </c>
      <c r="L124" s="268">
        <f>IF($R124="Yes",(ProjectedP205_Consumption!L27-L49)*$T124,0)</f>
        <v>0</v>
      </c>
      <c r="M124" s="268">
        <f>IF($R124="Yes",(ProjectedP205_Consumption!M27-M49)*$T124,0)</f>
        <v>0</v>
      </c>
      <c r="N124" s="267">
        <f>K124/ProjectedP205_Consumption!K27</f>
        <v>0</v>
      </c>
      <c r="O124" s="267">
        <f>L124/ProjectedP205_Consumption!L27</f>
        <v>0</v>
      </c>
      <c r="P124" s="267">
        <f>M124/ProjectedP205_Consumption!M27</f>
        <v>0</v>
      </c>
      <c r="R124" s="184" t="s">
        <v>254</v>
      </c>
      <c r="S124" s="31"/>
      <c r="T124" s="186">
        <v>0</v>
      </c>
    </row>
    <row r="125" spans="4:20" ht="13.5" customHeight="1" outlineLevel="1" x14ac:dyDescent="0.25">
      <c r="D125" s="2" t="str">
        <f t="shared" si="29"/>
        <v>Cucumbers and gherkins</v>
      </c>
      <c r="E125" s="37"/>
      <c r="F125" s="37"/>
      <c r="G125" s="37"/>
      <c r="H125" s="37"/>
      <c r="I125" s="37"/>
      <c r="J125" s="179"/>
      <c r="K125" s="268">
        <f>IF($R125="Yes",(ProjectedP205_Consumption!K28-K50)*$T125,0)</f>
        <v>0</v>
      </c>
      <c r="L125" s="268">
        <f>IF($R125="Yes",(ProjectedP205_Consumption!L28-L50)*$T125,0)</f>
        <v>0</v>
      </c>
      <c r="M125" s="268">
        <f>IF($R125="Yes",(ProjectedP205_Consumption!M28-M50)*$T125,0)</f>
        <v>0</v>
      </c>
      <c r="N125" s="267">
        <f>K125/ProjectedP205_Consumption!K28</f>
        <v>0</v>
      </c>
      <c r="O125" s="267">
        <f>L125/ProjectedP205_Consumption!L28</f>
        <v>0</v>
      </c>
      <c r="P125" s="267">
        <f>M125/ProjectedP205_Consumption!M28</f>
        <v>0</v>
      </c>
      <c r="R125" s="184" t="s">
        <v>254</v>
      </c>
      <c r="S125" s="31"/>
      <c r="T125" s="186">
        <v>0</v>
      </c>
    </row>
    <row r="126" spans="4:20" ht="13.5" customHeight="1" outlineLevel="1" x14ac:dyDescent="0.25">
      <c r="D126" s="2" t="str">
        <f t="shared" si="29"/>
        <v>Tomatoes</v>
      </c>
      <c r="E126" s="37"/>
      <c r="F126" s="37"/>
      <c r="G126" s="37"/>
      <c r="H126" s="37"/>
      <c r="I126" s="37"/>
      <c r="J126" s="179"/>
      <c r="K126" s="268">
        <f>IF($R126="Yes",(ProjectedP205_Consumption!K29-K51)*$T126,0)</f>
        <v>0</v>
      </c>
      <c r="L126" s="268">
        <f>IF($R126="Yes",(ProjectedP205_Consumption!L29-L51)*$T126,0)</f>
        <v>0</v>
      </c>
      <c r="M126" s="268">
        <f>IF($R126="Yes",(ProjectedP205_Consumption!M29-M51)*$T126,0)</f>
        <v>0</v>
      </c>
      <c r="N126" s="267">
        <f>K126/ProjectedP205_Consumption!K29</f>
        <v>0</v>
      </c>
      <c r="O126" s="267">
        <f>L126/ProjectedP205_Consumption!L29</f>
        <v>0</v>
      </c>
      <c r="P126" s="267">
        <f>M126/ProjectedP205_Consumption!M29</f>
        <v>0</v>
      </c>
      <c r="R126" s="184" t="s">
        <v>254</v>
      </c>
      <c r="S126" s="31"/>
      <c r="T126" s="186">
        <v>0</v>
      </c>
    </row>
    <row r="127" spans="4:20" ht="13.5" customHeight="1" outlineLevel="1" x14ac:dyDescent="0.25">
      <c r="D127" s="2" t="str">
        <f t="shared" si="29"/>
        <v>Potatoes</v>
      </c>
      <c r="E127" s="37"/>
      <c r="F127" s="37"/>
      <c r="G127" s="37"/>
      <c r="H127" s="37"/>
      <c r="I127" s="37"/>
      <c r="J127" s="179"/>
      <c r="K127" s="268">
        <f>IF($R127="Yes",(ProjectedP205_Consumption!K30-K52)*$T127,0)</f>
        <v>0</v>
      </c>
      <c r="L127" s="268">
        <f>IF($R127="Yes",(ProjectedP205_Consumption!L30-L52)*$T127,0)</f>
        <v>0</v>
      </c>
      <c r="M127" s="268">
        <f>IF($R127="Yes",(ProjectedP205_Consumption!M30-M52)*$T127,0)</f>
        <v>0</v>
      </c>
      <c r="N127" s="267">
        <f>K127/ProjectedP205_Consumption!K30</f>
        <v>0</v>
      </c>
      <c r="O127" s="267">
        <f>L127/ProjectedP205_Consumption!L30</f>
        <v>0</v>
      </c>
      <c r="P127" s="267">
        <f>M127/ProjectedP205_Consumption!M30</f>
        <v>0</v>
      </c>
      <c r="R127" s="184" t="s">
        <v>254</v>
      </c>
      <c r="S127" s="31"/>
      <c r="T127" s="186">
        <v>0</v>
      </c>
    </row>
    <row r="128" spans="4:20" ht="13.5" customHeight="1" outlineLevel="1" x14ac:dyDescent="0.25">
      <c r="D128" s="2" t="str">
        <f t="shared" si="29"/>
        <v>Pumpkins, squash and gourds</v>
      </c>
      <c r="E128" s="37"/>
      <c r="F128" s="37"/>
      <c r="G128" s="37"/>
      <c r="H128" s="37"/>
      <c r="I128" s="37"/>
      <c r="J128" s="179"/>
      <c r="K128" s="268">
        <f>IF($R128="Yes",(ProjectedP205_Consumption!K31-K53)*$T128,0)</f>
        <v>0</v>
      </c>
      <c r="L128" s="268">
        <f>IF($R128="Yes",(ProjectedP205_Consumption!L31-L53)*$T128,0)</f>
        <v>0</v>
      </c>
      <c r="M128" s="268">
        <f>IF($R128="Yes",(ProjectedP205_Consumption!M31-M53)*$T128,0)</f>
        <v>0</v>
      </c>
      <c r="N128" s="267">
        <f>K128/ProjectedP205_Consumption!K31</f>
        <v>0</v>
      </c>
      <c r="O128" s="267">
        <f>L128/ProjectedP205_Consumption!L31</f>
        <v>0</v>
      </c>
      <c r="P128" s="267">
        <f>M128/ProjectedP205_Consumption!M31</f>
        <v>0</v>
      </c>
      <c r="R128" s="184" t="s">
        <v>254</v>
      </c>
      <c r="S128" s="31"/>
      <c r="T128" s="186">
        <v>0</v>
      </c>
    </row>
    <row r="129" spans="4:20" ht="13.5" customHeight="1" outlineLevel="1" x14ac:dyDescent="0.25">
      <c r="D129" s="2" t="str">
        <f t="shared" si="29"/>
        <v>Dates</v>
      </c>
      <c r="E129" s="37"/>
      <c r="F129" s="37"/>
      <c r="G129" s="37"/>
      <c r="H129" s="37"/>
      <c r="I129" s="37"/>
      <c r="J129" s="179"/>
      <c r="K129" s="268">
        <f>IF($R129="Yes",(ProjectedP205_Consumption!K32-K54)*$T129,0)</f>
        <v>0</v>
      </c>
      <c r="L129" s="268">
        <f>IF($R129="Yes",(ProjectedP205_Consumption!L32-L54)*$T129,0)</f>
        <v>0</v>
      </c>
      <c r="M129" s="268">
        <f>IF($R129="Yes",(ProjectedP205_Consumption!M32-M54)*$T129,0)</f>
        <v>0</v>
      </c>
      <c r="N129" s="267">
        <f>K129/ProjectedP205_Consumption!K32</f>
        <v>0</v>
      </c>
      <c r="O129" s="267">
        <f>L129/ProjectedP205_Consumption!L32</f>
        <v>0</v>
      </c>
      <c r="P129" s="267">
        <f>M129/ProjectedP205_Consumption!M32</f>
        <v>0</v>
      </c>
      <c r="R129" s="184" t="s">
        <v>254</v>
      </c>
      <c r="S129" s="31"/>
      <c r="T129" s="186">
        <v>0</v>
      </c>
    </row>
    <row r="130" spans="4:20" ht="13.5" customHeight="1" outlineLevel="1" x14ac:dyDescent="0.25">
      <c r="D130" s="2" t="str">
        <f t="shared" si="29"/>
        <v>Pomelos and grapefruits</v>
      </c>
      <c r="E130" s="37"/>
      <c r="F130" s="37"/>
      <c r="G130" s="37"/>
      <c r="H130" s="37"/>
      <c r="I130" s="37"/>
      <c r="J130" s="179"/>
      <c r="K130" s="268">
        <f>IF($R130="Yes",(ProjectedP205_Consumption!K33-K55)*$T130,0)</f>
        <v>0</v>
      </c>
      <c r="L130" s="268">
        <f>IF($R130="Yes",(ProjectedP205_Consumption!L33-L55)*$T130,0)</f>
        <v>0</v>
      </c>
      <c r="M130" s="268">
        <f>IF($R130="Yes",(ProjectedP205_Consumption!M33-M55)*$T130,0)</f>
        <v>0</v>
      </c>
      <c r="N130" s="267">
        <f>K130/ProjectedP205_Consumption!K33</f>
        <v>0</v>
      </c>
      <c r="O130" s="267">
        <f>L130/ProjectedP205_Consumption!L33</f>
        <v>0</v>
      </c>
      <c r="P130" s="267">
        <f>M130/ProjectedP205_Consumption!M33</f>
        <v>0</v>
      </c>
      <c r="R130" s="184" t="s">
        <v>254</v>
      </c>
      <c r="S130" s="31"/>
      <c r="T130" s="186">
        <v>0</v>
      </c>
    </row>
    <row r="131" spans="4:20" ht="13.5" customHeight="1" outlineLevel="1" x14ac:dyDescent="0.25">
      <c r="D131" s="2" t="str">
        <f t="shared" si="29"/>
        <v>Okra</v>
      </c>
      <c r="E131" s="37"/>
      <c r="F131" s="37"/>
      <c r="G131" s="37"/>
      <c r="H131" s="37"/>
      <c r="I131" s="37"/>
      <c r="J131" s="179"/>
      <c r="K131" s="268">
        <f>IF($R131="Yes",(ProjectedP205_Consumption!K34-K56)*$T131,0)</f>
        <v>0</v>
      </c>
      <c r="L131" s="268">
        <f>IF($R131="Yes",(ProjectedP205_Consumption!L34-L56)*$T131,0)</f>
        <v>0</v>
      </c>
      <c r="M131" s="268">
        <f>IF($R131="Yes",(ProjectedP205_Consumption!M34-M56)*$T131,0)</f>
        <v>0</v>
      </c>
      <c r="N131" s="267">
        <f>K131/ProjectedP205_Consumption!K34</f>
        <v>0</v>
      </c>
      <c r="O131" s="267">
        <f>L131/ProjectedP205_Consumption!L34</f>
        <v>0</v>
      </c>
      <c r="P131" s="267">
        <f>M131/ProjectedP205_Consumption!M34</f>
        <v>0</v>
      </c>
      <c r="R131" s="184" t="s">
        <v>254</v>
      </c>
      <c r="S131" s="31"/>
      <c r="T131" s="186">
        <v>0</v>
      </c>
    </row>
    <row r="132" spans="4:20" ht="13.5" customHeight="1" outlineLevel="1" x14ac:dyDescent="0.25">
      <c r="D132" s="2" t="str">
        <f t="shared" si="29"/>
        <v>Lemons and limes</v>
      </c>
      <c r="E132" s="37"/>
      <c r="F132" s="37"/>
      <c r="G132" s="37"/>
      <c r="H132" s="37"/>
      <c r="I132" s="37"/>
      <c r="J132" s="179"/>
      <c r="K132" s="268">
        <f>IF($R132="Yes",(ProjectedP205_Consumption!K35-K57)*$T132,0)</f>
        <v>0</v>
      </c>
      <c r="L132" s="268">
        <f>IF($R132="Yes",(ProjectedP205_Consumption!L35-L57)*$T132,0)</f>
        <v>0</v>
      </c>
      <c r="M132" s="268">
        <f>IF($R132="Yes",(ProjectedP205_Consumption!M35-M57)*$T132,0)</f>
        <v>0</v>
      </c>
      <c r="N132" s="267">
        <f>K132/ProjectedP205_Consumption!K35</f>
        <v>0</v>
      </c>
      <c r="O132" s="267">
        <f>L132/ProjectedP205_Consumption!L35</f>
        <v>0</v>
      </c>
      <c r="P132" s="267">
        <f>M132/ProjectedP205_Consumption!M35</f>
        <v>0</v>
      </c>
      <c r="R132" s="184" t="s">
        <v>254</v>
      </c>
      <c r="S132" s="31"/>
      <c r="T132" s="186">
        <v>0</v>
      </c>
    </row>
    <row r="133" spans="4:20" ht="13.5" customHeight="1" outlineLevel="1" x14ac:dyDescent="0.25">
      <c r="D133" s="2" t="str">
        <f t="shared" si="29"/>
        <v>Green garlic</v>
      </c>
      <c r="E133" s="37"/>
      <c r="F133" s="37"/>
      <c r="G133" s="37"/>
      <c r="H133" s="37"/>
      <c r="I133" s="37"/>
      <c r="J133" s="179"/>
      <c r="K133" s="268">
        <f>IF($R133="Yes",(ProjectedP205_Consumption!K36-K58)*$T133,0)</f>
        <v>0</v>
      </c>
      <c r="L133" s="268">
        <f>IF($R133="Yes",(ProjectedP205_Consumption!L36-L58)*$T133,0)</f>
        <v>0</v>
      </c>
      <c r="M133" s="268">
        <f>IF($R133="Yes",(ProjectedP205_Consumption!M36-M58)*$T133,0)</f>
        <v>0</v>
      </c>
      <c r="N133" s="267">
        <f>K133/ProjectedP205_Consumption!K36</f>
        <v>0</v>
      </c>
      <c r="O133" s="267">
        <f>L133/ProjectedP205_Consumption!L36</f>
        <v>0</v>
      </c>
      <c r="P133" s="267">
        <f>M133/ProjectedP205_Consumption!M36</f>
        <v>0</v>
      </c>
      <c r="R133" s="184" t="s">
        <v>254</v>
      </c>
      <c r="S133" s="31"/>
      <c r="T133" s="186">
        <v>0</v>
      </c>
    </row>
    <row r="134" spans="4:20" ht="13.5" customHeight="1" outlineLevel="1" x14ac:dyDescent="0.25">
      <c r="D134" s="2" t="str">
        <f t="shared" si="29"/>
        <v>Sweet potatoes</v>
      </c>
      <c r="E134" s="37"/>
      <c r="F134" s="37"/>
      <c r="G134" s="37"/>
      <c r="H134" s="37"/>
      <c r="I134" s="37"/>
      <c r="J134" s="179"/>
      <c r="K134" s="268">
        <f>IF($R134="Yes",(ProjectedP205_Consumption!K37-K59)*$T134,0)</f>
        <v>0</v>
      </c>
      <c r="L134" s="268">
        <f>IF($R134="Yes",(ProjectedP205_Consumption!L37-L59)*$T134,0)</f>
        <v>0</v>
      </c>
      <c r="M134" s="268">
        <f>IF($R134="Yes",(ProjectedP205_Consumption!M37-M59)*$T134,0)</f>
        <v>0</v>
      </c>
      <c r="N134" s="267">
        <f>K134/ProjectedP205_Consumption!K37</f>
        <v>0</v>
      </c>
      <c r="O134" s="267">
        <f>L134/ProjectedP205_Consumption!L37</f>
        <v>0</v>
      </c>
      <c r="P134" s="267">
        <f>M134/ProjectedP205_Consumption!M37</f>
        <v>0</v>
      </c>
      <c r="R134" s="184" t="s">
        <v>254</v>
      </c>
      <c r="S134" s="31"/>
      <c r="T134" s="186">
        <v>0</v>
      </c>
    </row>
    <row r="135" spans="4:20" ht="13.5" customHeight="1" outlineLevel="1" x14ac:dyDescent="0.25">
      <c r="D135" s="2" t="str">
        <f t="shared" si="29"/>
        <v>Other pulses n.e.c.</v>
      </c>
      <c r="E135" s="37"/>
      <c r="F135" s="37"/>
      <c r="G135" s="37"/>
      <c r="H135" s="37"/>
      <c r="I135" s="37"/>
      <c r="J135" s="179"/>
      <c r="K135" s="268">
        <f>IF($R135="Yes",(ProjectedP205_Consumption!K38-K60)*$T135,0)</f>
        <v>0</v>
      </c>
      <c r="L135" s="268">
        <f>IF($R135="Yes",(ProjectedP205_Consumption!L38-L60)*$T135,0)</f>
        <v>0</v>
      </c>
      <c r="M135" s="268">
        <f>IF($R135="Yes",(ProjectedP205_Consumption!M38-M60)*$T135,0)</f>
        <v>0</v>
      </c>
      <c r="N135" s="267">
        <f>K135/ProjectedP205_Consumption!K38</f>
        <v>0</v>
      </c>
      <c r="O135" s="267">
        <f>L135/ProjectedP205_Consumption!L38</f>
        <v>0</v>
      </c>
      <c r="P135" s="267">
        <f>M135/ProjectedP205_Consumption!M38</f>
        <v>0</v>
      </c>
      <c r="R135" s="184" t="s">
        <v>254</v>
      </c>
      <c r="S135" s="31"/>
      <c r="T135" s="186">
        <v>0</v>
      </c>
    </row>
    <row r="136" spans="4:20" ht="13.5" customHeight="1" outlineLevel="1" x14ac:dyDescent="0.25">
      <c r="D136" s="2" t="str">
        <f t="shared" si="29"/>
        <v>Other vegetables, fresh n.e.c.</v>
      </c>
      <c r="E136" s="37"/>
      <c r="F136" s="37"/>
      <c r="G136" s="37"/>
      <c r="H136" s="37"/>
      <c r="I136" s="37"/>
      <c r="J136" s="179"/>
      <c r="K136" s="268">
        <f>IF($R136="Yes",(ProjectedP205_Consumption!K39-K61)*$T136,0)</f>
        <v>0</v>
      </c>
      <c r="L136" s="268">
        <f>IF($R136="Yes",(ProjectedP205_Consumption!L39-L61)*$T136,0)</f>
        <v>0</v>
      </c>
      <c r="M136" s="268">
        <f>IF($R136="Yes",(ProjectedP205_Consumption!M39-M61)*$T136,0)</f>
        <v>0</v>
      </c>
      <c r="N136" s="267">
        <f>K136/ProjectedP205_Consumption!K39</f>
        <v>0</v>
      </c>
      <c r="O136" s="267">
        <f>L136/ProjectedP205_Consumption!L39</f>
        <v>0</v>
      </c>
      <c r="P136" s="267">
        <f>M136/ProjectedP205_Consumption!M39</f>
        <v>0</v>
      </c>
      <c r="R136" s="184" t="s">
        <v>254</v>
      </c>
      <c r="S136" s="31"/>
      <c r="T136" s="186">
        <v>0</v>
      </c>
    </row>
    <row r="137" spans="4:20" ht="13.5" customHeight="1" outlineLevel="1" x14ac:dyDescent="0.25">
      <c r="D137" s="2" t="str">
        <f t="shared" si="29"/>
        <v>Other fruits, n.e.c.</v>
      </c>
      <c r="E137" s="37"/>
      <c r="F137" s="37"/>
      <c r="G137" s="37"/>
      <c r="H137" s="37"/>
      <c r="I137" s="37"/>
      <c r="J137" s="179"/>
      <c r="K137" s="268">
        <f>IF($R137="Yes",(ProjectedP205_Consumption!K40-K62)*$T137,0)</f>
        <v>0</v>
      </c>
      <c r="L137" s="268">
        <f>IF($R137="Yes",(ProjectedP205_Consumption!L40-L62)*$T137,0)</f>
        <v>0</v>
      </c>
      <c r="M137" s="268">
        <f>IF($R137="Yes",(ProjectedP205_Consumption!M40-M62)*$T137,0)</f>
        <v>0</v>
      </c>
      <c r="N137" s="267">
        <f>K137/ProjectedP205_Consumption!K40</f>
        <v>0</v>
      </c>
      <c r="O137" s="267">
        <f>L137/ProjectedP205_Consumption!L40</f>
        <v>0</v>
      </c>
      <c r="P137" s="267">
        <f>M137/ProjectedP205_Consumption!M40</f>
        <v>0</v>
      </c>
      <c r="R137" s="184" t="s">
        <v>254</v>
      </c>
      <c r="S137" s="31"/>
      <c r="T137" s="186">
        <v>0</v>
      </c>
    </row>
    <row r="138" spans="4:20" ht="13.5" customHeight="1" outlineLevel="1" x14ac:dyDescent="0.25">
      <c r="D138" s="2" t="str">
        <f t="shared" si="29"/>
        <v>Broad beans and horse beans, dry</v>
      </c>
      <c r="E138" s="37"/>
      <c r="F138" s="37"/>
      <c r="G138" s="37"/>
      <c r="H138" s="37"/>
      <c r="I138" s="37"/>
      <c r="J138" s="179"/>
      <c r="K138" s="268">
        <f>IF($R138="Yes",(ProjectedP205_Consumption!K41-K63)*$T138,0)</f>
        <v>0</v>
      </c>
      <c r="L138" s="268">
        <f>IF($R138="Yes",(ProjectedP205_Consumption!L41-L63)*$T138,0)</f>
        <v>0</v>
      </c>
      <c r="M138" s="268">
        <f>IF($R138="Yes",(ProjectedP205_Consumption!M41-M63)*$T138,0)</f>
        <v>0</v>
      </c>
      <c r="N138" s="267">
        <f>K138/ProjectedP205_Consumption!K41</f>
        <v>0</v>
      </c>
      <c r="O138" s="267">
        <f>L138/ProjectedP205_Consumption!L41</f>
        <v>0</v>
      </c>
      <c r="P138" s="267">
        <f>M138/ProjectedP205_Consumption!M41</f>
        <v>0</v>
      </c>
      <c r="R138" s="184" t="s">
        <v>254</v>
      </c>
      <c r="S138" s="31"/>
      <c r="T138" s="186">
        <v>0</v>
      </c>
    </row>
    <row r="139" spans="4:20" ht="13.5" customHeight="1" outlineLevel="1" x14ac:dyDescent="0.25">
      <c r="D139" s="2" t="str">
        <f t="shared" si="29"/>
        <v>Chick peas, dry</v>
      </c>
      <c r="E139" s="37"/>
      <c r="F139" s="37"/>
      <c r="G139" s="37"/>
      <c r="H139" s="37"/>
      <c r="I139" s="37"/>
      <c r="J139" s="179"/>
      <c r="K139" s="268">
        <f>IF($R139="Yes",(ProjectedP205_Consumption!K42-K64)*$T139,0)</f>
        <v>0</v>
      </c>
      <c r="L139" s="268">
        <f>IF($R139="Yes",(ProjectedP205_Consumption!L42-L64)*$T139,0)</f>
        <v>0</v>
      </c>
      <c r="M139" s="268">
        <f>IF($R139="Yes",(ProjectedP205_Consumption!M42-M64)*$T139,0)</f>
        <v>0</v>
      </c>
      <c r="N139" s="267">
        <f>K139/ProjectedP205_Consumption!K42</f>
        <v>0</v>
      </c>
      <c r="O139" s="267">
        <f>L139/ProjectedP205_Consumption!L42</f>
        <v>0</v>
      </c>
      <c r="P139" s="267">
        <f>M139/ProjectedP205_Consumption!M42</f>
        <v>0</v>
      </c>
      <c r="R139" s="184" t="s">
        <v>254</v>
      </c>
      <c r="S139" s="31"/>
      <c r="T139" s="186">
        <v>0</v>
      </c>
    </row>
    <row r="140" spans="4:20" ht="13.5" customHeight="1" outlineLevel="1" thickBot="1" x14ac:dyDescent="0.3">
      <c r="D140" s="2" t="str">
        <f t="shared" si="29"/>
        <v>Beans, dry</v>
      </c>
      <c r="E140" s="37"/>
      <c r="F140" s="37"/>
      <c r="G140" s="37"/>
      <c r="H140" s="37"/>
      <c r="I140" s="37"/>
      <c r="J140" s="179"/>
      <c r="K140" s="268">
        <f>IF($R140="Yes",(ProjectedP205_Consumption!K43-K65)*$T140,0)</f>
        <v>0</v>
      </c>
      <c r="L140" s="268">
        <f>IF($R140="Yes",(ProjectedP205_Consumption!L43-L65)*$T140,0)</f>
        <v>0</v>
      </c>
      <c r="M140" s="268">
        <f>IF($R140="Yes",(ProjectedP205_Consumption!M43-M65)*$T140,0)</f>
        <v>0</v>
      </c>
      <c r="N140" s="267">
        <f>K140/ProjectedP205_Consumption!K43</f>
        <v>0</v>
      </c>
      <c r="O140" s="267">
        <f>L140/ProjectedP205_Consumption!L43</f>
        <v>0</v>
      </c>
      <c r="P140" s="267">
        <f>M140/ProjectedP205_Consumption!M43</f>
        <v>0</v>
      </c>
      <c r="R140" s="184" t="s">
        <v>254</v>
      </c>
      <c r="S140" s="31"/>
      <c r="T140" s="186">
        <v>0</v>
      </c>
    </row>
    <row r="141" spans="4:20" ht="13.5" customHeight="1" outlineLevel="1" thickTop="1" thickBot="1" x14ac:dyDescent="0.3">
      <c r="D141" s="102" t="s">
        <v>13</v>
      </c>
      <c r="E141" s="125"/>
      <c r="F141" s="125"/>
      <c r="G141" s="125"/>
      <c r="H141" s="125"/>
      <c r="I141" s="125"/>
      <c r="J141" s="126"/>
      <c r="K141" s="126">
        <f t="shared" ref="K141:M141" si="30">SUM(K110:K140)</f>
        <v>1.5978491677137012</v>
      </c>
      <c r="L141" s="126">
        <f t="shared" si="30"/>
        <v>1.9822993755389458</v>
      </c>
      <c r="M141" s="126">
        <f t="shared" si="30"/>
        <v>2.4319376961836214</v>
      </c>
      <c r="N141" s="193"/>
      <c r="O141" s="193"/>
      <c r="P141" s="193"/>
    </row>
    <row r="142" spans="4:20" ht="13.5" customHeight="1" outlineLevel="1" thickTop="1" thickBot="1" x14ac:dyDescent="0.3">
      <c r="D142" s="100" t="s">
        <v>17</v>
      </c>
      <c r="E142" s="125"/>
      <c r="F142" s="125"/>
      <c r="G142" s="125"/>
      <c r="H142" s="125"/>
      <c r="I142" s="125"/>
      <c r="J142" s="126"/>
      <c r="K142" s="126">
        <f t="shared" ref="K142:M142" si="31">K141/46%</f>
        <v>3.473585147203698</v>
      </c>
      <c r="L142" s="126">
        <f t="shared" si="31"/>
        <v>4.309346468562925</v>
      </c>
      <c r="M142" s="126">
        <f t="shared" si="31"/>
        <v>5.2868210786600462</v>
      </c>
      <c r="N142" s="193"/>
      <c r="O142" s="193"/>
      <c r="P142" s="193"/>
    </row>
    <row r="143" spans="4:20" ht="13.5" customHeight="1" outlineLevel="1" thickTop="1" x14ac:dyDescent="0.25">
      <c r="E143" s="37"/>
      <c r="F143" s="37"/>
      <c r="G143" s="37"/>
      <c r="H143" s="37"/>
      <c r="I143" s="37"/>
      <c r="J143" s="37"/>
      <c r="K143" s="37"/>
      <c r="L143" s="37"/>
      <c r="M143" s="37"/>
      <c r="N143" s="37"/>
      <c r="O143" s="37"/>
      <c r="P143" s="37"/>
      <c r="R143" s="31"/>
      <c r="S143" s="31"/>
    </row>
    <row r="144" spans="4:20" ht="13.5" customHeight="1" outlineLevel="1" x14ac:dyDescent="0.25">
      <c r="N144" s="2" t="s">
        <v>314</v>
      </c>
      <c r="R144" s="31"/>
      <c r="S144" s="31"/>
    </row>
    <row r="145" spans="4:21" ht="13.5" customHeight="1" outlineLevel="1" x14ac:dyDescent="0.3">
      <c r="D145" s="30" t="s">
        <v>282</v>
      </c>
      <c r="E145" s="34">
        <v>2017</v>
      </c>
      <c r="F145" s="34">
        <v>2018</v>
      </c>
      <c r="G145" s="34">
        <v>2019</v>
      </c>
      <c r="H145" s="34">
        <v>2020</v>
      </c>
      <c r="I145" s="34">
        <v>2021</v>
      </c>
      <c r="J145" s="118">
        <v>2022</v>
      </c>
      <c r="K145" s="118">
        <v>2023</v>
      </c>
      <c r="L145" s="118">
        <v>2024</v>
      </c>
      <c r="M145" s="118">
        <v>2025</v>
      </c>
      <c r="N145" s="118">
        <v>2023</v>
      </c>
      <c r="O145" s="118">
        <v>2024</v>
      </c>
      <c r="P145" s="118">
        <v>2025</v>
      </c>
      <c r="R145" s="127" t="s">
        <v>252</v>
      </c>
      <c r="S145" s="127" t="s">
        <v>253</v>
      </c>
      <c r="T145" s="127" t="s">
        <v>269</v>
      </c>
      <c r="U145" s="127"/>
    </row>
    <row r="146" spans="4:21" ht="13.5" customHeight="1" outlineLevel="1" x14ac:dyDescent="0.25">
      <c r="D146" s="2" t="str">
        <f>D110</f>
        <v>Sorghum</v>
      </c>
      <c r="E146" s="37"/>
      <c r="F146" s="37"/>
      <c r="G146" s="37"/>
      <c r="H146" s="37"/>
      <c r="I146" s="37"/>
      <c r="J146" s="179"/>
      <c r="K146" s="268">
        <f>IF($R146="Yes",(ProjectedP205_Consumption!K51-K70)*$T146,0)</f>
        <v>0</v>
      </c>
      <c r="L146" s="268">
        <f>IF($R146="Yes",(ProjectedP205_Consumption!L51-L70)*$T146,0)</f>
        <v>0</v>
      </c>
      <c r="M146" s="268">
        <f>IF($R146="Yes",(ProjectedP205_Consumption!M51-M70)*$T146,0)</f>
        <v>0</v>
      </c>
      <c r="N146" s="267">
        <f>K146/ProjectedP205_Consumption!K51</f>
        <v>0</v>
      </c>
      <c r="O146" s="267">
        <f>L146/ProjectedP205_Consumption!L51</f>
        <v>0</v>
      </c>
      <c r="P146" s="267">
        <f>M146/ProjectedP205_Consumption!M51</f>
        <v>0</v>
      </c>
      <c r="R146" s="31" t="str">
        <f>R110</f>
        <v>No</v>
      </c>
      <c r="S146" s="183"/>
      <c r="T146" s="186">
        <f>T110</f>
        <v>0</v>
      </c>
    </row>
    <row r="147" spans="4:21" ht="13.5" customHeight="1" outlineLevel="1" x14ac:dyDescent="0.25">
      <c r="D147" s="2" t="str">
        <f t="shared" ref="D147:D176" si="32">D111</f>
        <v>Sesame seed</v>
      </c>
      <c r="E147" s="37"/>
      <c r="F147" s="37"/>
      <c r="G147" s="37"/>
      <c r="H147" s="37"/>
      <c r="I147" s="37"/>
      <c r="J147" s="179"/>
      <c r="K147" s="268">
        <f>IF($R147="Yes",(ProjectedP205_Consumption!K52-K71)*$T147,0)</f>
        <v>0</v>
      </c>
      <c r="L147" s="268">
        <f>IF($R147="Yes",(ProjectedP205_Consumption!L52-L71)*$T147,0)</f>
        <v>0</v>
      </c>
      <c r="M147" s="268">
        <f>IF($R147="Yes",(ProjectedP205_Consumption!M52-M71)*$T147,0)</f>
        <v>0</v>
      </c>
      <c r="N147" s="267">
        <f>K147/ProjectedP205_Consumption!K52</f>
        <v>0</v>
      </c>
      <c r="O147" s="267">
        <f>L147/ProjectedP205_Consumption!L52</f>
        <v>0</v>
      </c>
      <c r="P147" s="267">
        <f>M147/ProjectedP205_Consumption!M52</f>
        <v>0</v>
      </c>
      <c r="R147" s="31" t="str">
        <f t="shared" ref="R147:R176" si="33">R111</f>
        <v>No</v>
      </c>
      <c r="S147" s="183"/>
      <c r="T147" s="186">
        <f t="shared" ref="T147:T176" si="34">T111</f>
        <v>0</v>
      </c>
    </row>
    <row r="148" spans="4:21" ht="13.5" customHeight="1" outlineLevel="1" x14ac:dyDescent="0.25">
      <c r="D148" s="2" t="str">
        <f t="shared" si="32"/>
        <v>Groundnuts, excluding shelled</v>
      </c>
      <c r="E148" s="37"/>
      <c r="F148" s="37"/>
      <c r="G148" s="37"/>
      <c r="H148" s="37"/>
      <c r="I148" s="37"/>
      <c r="J148" s="179"/>
      <c r="K148" s="268">
        <f>IF($R148="Yes",(ProjectedP205_Consumption!K53-K72)*$T148,0)</f>
        <v>0</v>
      </c>
      <c r="L148" s="268">
        <f>IF($R148="Yes",(ProjectedP205_Consumption!L53-L72)*$T148,0)</f>
        <v>0</v>
      </c>
      <c r="M148" s="268">
        <f>IF($R148="Yes",(ProjectedP205_Consumption!M53-M72)*$T148,0)</f>
        <v>0</v>
      </c>
      <c r="N148" s="267">
        <f>K148/ProjectedP205_Consumption!K53</f>
        <v>0</v>
      </c>
      <c r="O148" s="267">
        <f>L148/ProjectedP205_Consumption!L53</f>
        <v>0</v>
      </c>
      <c r="P148" s="267">
        <f>M148/ProjectedP205_Consumption!M53</f>
        <v>0</v>
      </c>
      <c r="R148" s="31" t="str">
        <f t="shared" si="33"/>
        <v>No</v>
      </c>
      <c r="S148" s="183"/>
      <c r="T148" s="186">
        <f t="shared" si="34"/>
        <v>0</v>
      </c>
    </row>
    <row r="149" spans="4:21" ht="13.5" customHeight="1" outlineLevel="1" x14ac:dyDescent="0.25">
      <c r="D149" s="2" t="str">
        <f t="shared" si="32"/>
        <v>Millet</v>
      </c>
      <c r="E149" s="37"/>
      <c r="F149" s="37"/>
      <c r="G149" s="37"/>
      <c r="H149" s="37"/>
      <c r="I149" s="37"/>
      <c r="J149" s="179"/>
      <c r="K149" s="268">
        <f>IF($R149="Yes",(ProjectedP205_Consumption!K54-K73)*$T149,0)</f>
        <v>0</v>
      </c>
      <c r="L149" s="268">
        <f>IF($R149="Yes",(ProjectedP205_Consumption!L54-L73)*$T149,0)</f>
        <v>0</v>
      </c>
      <c r="M149" s="268">
        <f>IF($R149="Yes",(ProjectedP205_Consumption!M54-M73)*$T149,0)</f>
        <v>0</v>
      </c>
      <c r="N149" s="267">
        <f>K149/ProjectedP205_Consumption!K54</f>
        <v>0</v>
      </c>
      <c r="O149" s="267">
        <f>L149/ProjectedP205_Consumption!L54</f>
        <v>0</v>
      </c>
      <c r="P149" s="267">
        <f>M149/ProjectedP205_Consumption!M54</f>
        <v>0</v>
      </c>
      <c r="R149" s="31" t="str">
        <f t="shared" si="33"/>
        <v>No</v>
      </c>
      <c r="S149" s="183"/>
      <c r="T149" s="186">
        <f t="shared" si="34"/>
        <v>0</v>
      </c>
    </row>
    <row r="150" spans="4:21" ht="13.5" customHeight="1" outlineLevel="1" x14ac:dyDescent="0.25">
      <c r="D150" s="2" t="str">
        <f t="shared" si="32"/>
        <v>Sugar cane</v>
      </c>
      <c r="E150" s="37"/>
      <c r="F150" s="37"/>
      <c r="G150" s="37"/>
      <c r="H150" s="37"/>
      <c r="I150" s="37"/>
      <c r="J150" s="179"/>
      <c r="K150" s="268">
        <f>IF($R150="Yes",(ProjectedP205_Consumption!K55-K74)*$T150,0)</f>
        <v>0</v>
      </c>
      <c r="L150" s="268">
        <f>IF($R150="Yes",(ProjectedP205_Consumption!L55-L74)*$T150,0)</f>
        <v>0</v>
      </c>
      <c r="M150" s="268">
        <f>IF($R150="Yes",(ProjectedP205_Consumption!M55-M74)*$T150,0)</f>
        <v>0</v>
      </c>
      <c r="N150" s="267">
        <f>K150/ProjectedP205_Consumption!K55</f>
        <v>0</v>
      </c>
      <c r="O150" s="267">
        <f>L150/ProjectedP205_Consumption!L55</f>
        <v>0</v>
      </c>
      <c r="P150" s="267">
        <f>M150/ProjectedP205_Consumption!M55</f>
        <v>0</v>
      </c>
      <c r="R150" s="31" t="str">
        <f t="shared" si="33"/>
        <v>No</v>
      </c>
      <c r="S150" s="31"/>
      <c r="T150" s="186">
        <f t="shared" si="34"/>
        <v>0</v>
      </c>
    </row>
    <row r="151" spans="4:21" ht="13.5" customHeight="1" outlineLevel="1" x14ac:dyDescent="0.25">
      <c r="D151" s="2" t="str">
        <f t="shared" si="32"/>
        <v>Melonseed</v>
      </c>
      <c r="E151" s="37"/>
      <c r="F151" s="37"/>
      <c r="G151" s="37"/>
      <c r="H151" s="37"/>
      <c r="I151" s="37"/>
      <c r="J151" s="179"/>
      <c r="K151" s="268">
        <f>IF($R151="Yes",(ProjectedP205_Consumption!K56-K75)*$T151,0)</f>
        <v>0</v>
      </c>
      <c r="L151" s="268">
        <f>IF($R151="Yes",(ProjectedP205_Consumption!L56-L75)*$T151,0)</f>
        <v>0</v>
      </c>
      <c r="M151" s="268">
        <f>IF($R151="Yes",(ProjectedP205_Consumption!M56-M75)*$T151,0)</f>
        <v>0</v>
      </c>
      <c r="N151" s="267">
        <f>K151/ProjectedP205_Consumption!K56</f>
        <v>0</v>
      </c>
      <c r="O151" s="267">
        <f>L151/ProjectedP205_Consumption!L56</f>
        <v>0</v>
      </c>
      <c r="P151" s="267">
        <f>M151/ProjectedP205_Consumption!M56</f>
        <v>0</v>
      </c>
      <c r="R151" s="31" t="str">
        <f t="shared" si="33"/>
        <v>No</v>
      </c>
      <c r="S151" s="31"/>
      <c r="T151" s="186">
        <f t="shared" si="34"/>
        <v>0</v>
      </c>
    </row>
    <row r="152" spans="4:21" ht="13.5" customHeight="1" outlineLevel="1" x14ac:dyDescent="0.25">
      <c r="D152" s="2" t="str">
        <f t="shared" si="32"/>
        <v>Cow peas, dry</v>
      </c>
      <c r="E152" s="37"/>
      <c r="F152" s="37"/>
      <c r="G152" s="37"/>
      <c r="H152" s="37"/>
      <c r="I152" s="37"/>
      <c r="J152" s="179"/>
      <c r="K152" s="268">
        <f>IF($R152="Yes",(ProjectedP205_Consumption!K57-K76)*$T152,0)</f>
        <v>0</v>
      </c>
      <c r="L152" s="268">
        <f>IF($R152="Yes",(ProjectedP205_Consumption!L57-L76)*$T152,0)</f>
        <v>0</v>
      </c>
      <c r="M152" s="268">
        <f>IF($R152="Yes",(ProjectedP205_Consumption!M57-M76)*$T152,0)</f>
        <v>0</v>
      </c>
      <c r="N152" s="267">
        <f>K152/ProjectedP205_Consumption!K57</f>
        <v>0</v>
      </c>
      <c r="O152" s="267">
        <f>L152/ProjectedP205_Consumption!L57</f>
        <v>0</v>
      </c>
      <c r="P152" s="267">
        <f>M152/ProjectedP205_Consumption!M57</f>
        <v>0</v>
      </c>
      <c r="R152" s="31" t="str">
        <f t="shared" si="33"/>
        <v>No</v>
      </c>
      <c r="S152" s="31"/>
      <c r="T152" s="186">
        <f t="shared" si="34"/>
        <v>0</v>
      </c>
    </row>
    <row r="153" spans="4:21" ht="13.5" customHeight="1" outlineLevel="1" x14ac:dyDescent="0.25">
      <c r="D153" s="2" t="str">
        <f t="shared" si="32"/>
        <v>Wheat</v>
      </c>
      <c r="E153" s="37"/>
      <c r="F153" s="37"/>
      <c r="G153" s="37"/>
      <c r="H153" s="37"/>
      <c r="I153" s="37"/>
      <c r="J153" s="179"/>
      <c r="K153" s="268">
        <f>IF($R153="Yes",(ProjectedP205_Consumption!K58-K77)*$T153,0)</f>
        <v>1.5978491677137012</v>
      </c>
      <c r="L153" s="268">
        <f>IF($R153="Yes",(ProjectedP205_Consumption!L58-L77)*$T153,0)</f>
        <v>2.4429470879813016</v>
      </c>
      <c r="M153" s="268">
        <f>IF($R153="Yes",(ProjectedP205_Consumption!M58-M77)*$T153,0)</f>
        <v>2.9495269919513527</v>
      </c>
      <c r="N153" s="267">
        <f>K153/ProjectedP205_Consumption!K58</f>
        <v>0.47724999999999995</v>
      </c>
      <c r="O153" s="267">
        <f>L153/ProjectedP205_Consumption!L58</f>
        <v>0.43175000000000002</v>
      </c>
      <c r="P153" s="267">
        <f>M153/ProjectedP205_Consumption!M58</f>
        <v>0.38624999999999998</v>
      </c>
      <c r="R153" s="31" t="str">
        <f t="shared" si="33"/>
        <v>Yes</v>
      </c>
      <c r="S153" s="183" t="s">
        <v>256</v>
      </c>
      <c r="T153" s="186">
        <f t="shared" si="34"/>
        <v>0.5</v>
      </c>
    </row>
    <row r="154" spans="4:21" ht="13.5" customHeight="1" outlineLevel="1" x14ac:dyDescent="0.25">
      <c r="D154" s="2" t="str">
        <f t="shared" si="32"/>
        <v>Onions and shallots, dry (excluding dehydrated)</v>
      </c>
      <c r="E154" s="37"/>
      <c r="F154" s="37"/>
      <c r="G154" s="37"/>
      <c r="H154" s="37"/>
      <c r="I154" s="37"/>
      <c r="J154" s="179"/>
      <c r="K154" s="268">
        <f>IF($R154="Yes",(ProjectedP205_Consumption!K59-K78)*$T154,0)</f>
        <v>0</v>
      </c>
      <c r="L154" s="268">
        <f>IF($R154="Yes",(ProjectedP205_Consumption!L59-L78)*$T154,0)</f>
        <v>0</v>
      </c>
      <c r="M154" s="268">
        <f>IF($R154="Yes",(ProjectedP205_Consumption!M59-M78)*$T154,0)</f>
        <v>0</v>
      </c>
      <c r="N154" s="267">
        <f>K154/ProjectedP205_Consumption!K59</f>
        <v>0</v>
      </c>
      <c r="O154" s="267">
        <f>L154/ProjectedP205_Consumption!L59</f>
        <v>0</v>
      </c>
      <c r="P154" s="267">
        <f>M154/ProjectedP205_Consumption!M59</f>
        <v>0</v>
      </c>
      <c r="R154" s="31" t="str">
        <f t="shared" si="33"/>
        <v>No</v>
      </c>
      <c r="S154" s="31"/>
      <c r="T154" s="186">
        <f t="shared" si="34"/>
        <v>0</v>
      </c>
    </row>
    <row r="155" spans="4:21" ht="13.5" customHeight="1" outlineLevel="1" x14ac:dyDescent="0.25">
      <c r="D155" s="2" t="str">
        <f t="shared" si="32"/>
        <v>Bananas</v>
      </c>
      <c r="E155" s="37"/>
      <c r="F155" s="37"/>
      <c r="G155" s="37"/>
      <c r="H155" s="37"/>
      <c r="I155" s="37"/>
      <c r="J155" s="179"/>
      <c r="K155" s="268">
        <f>IF($R155="Yes",(ProjectedP205_Consumption!K60-K79)*$T155,0)</f>
        <v>0</v>
      </c>
      <c r="L155" s="268">
        <f>IF($R155="Yes",(ProjectedP205_Consumption!L60-L79)*$T155,0)</f>
        <v>0</v>
      </c>
      <c r="M155" s="268">
        <f>IF($R155="Yes",(ProjectedP205_Consumption!M60-M79)*$T155,0)</f>
        <v>0</v>
      </c>
      <c r="N155" s="267">
        <f>K155/ProjectedP205_Consumption!K60</f>
        <v>0</v>
      </c>
      <c r="O155" s="267">
        <f>L155/ProjectedP205_Consumption!L60</f>
        <v>0</v>
      </c>
      <c r="P155" s="267">
        <f>M155/ProjectedP205_Consumption!M60</f>
        <v>0</v>
      </c>
      <c r="R155" s="31" t="str">
        <f t="shared" si="33"/>
        <v>No</v>
      </c>
      <c r="S155" s="31"/>
      <c r="T155" s="186">
        <f t="shared" si="34"/>
        <v>0</v>
      </c>
    </row>
    <row r="156" spans="4:21" ht="13.5" customHeight="1" outlineLevel="1" x14ac:dyDescent="0.25">
      <c r="D156" s="2" t="str">
        <f t="shared" si="32"/>
        <v>Mangoes, guavas and mangosteens</v>
      </c>
      <c r="E156" s="37"/>
      <c r="F156" s="37"/>
      <c r="G156" s="37"/>
      <c r="H156" s="37"/>
      <c r="I156" s="37"/>
      <c r="J156" s="179"/>
      <c r="K156" s="268">
        <f>IF($R156="Yes",(ProjectedP205_Consumption!K61-K80)*$T156,0)</f>
        <v>0</v>
      </c>
      <c r="L156" s="268">
        <f>IF($R156="Yes",(ProjectedP205_Consumption!L61-L80)*$T156,0)</f>
        <v>0</v>
      </c>
      <c r="M156" s="268">
        <f>IF($R156="Yes",(ProjectedP205_Consumption!M61-M80)*$T156,0)</f>
        <v>0</v>
      </c>
      <c r="N156" s="267">
        <f>K156/ProjectedP205_Consumption!K61</f>
        <v>0</v>
      </c>
      <c r="O156" s="267">
        <f>L156/ProjectedP205_Consumption!L61</f>
        <v>0</v>
      </c>
      <c r="P156" s="267">
        <f>M156/ProjectedP205_Consumption!M61</f>
        <v>0</v>
      </c>
      <c r="R156" s="31" t="str">
        <f t="shared" si="33"/>
        <v>No</v>
      </c>
      <c r="S156" s="31"/>
      <c r="T156" s="186">
        <f t="shared" si="34"/>
        <v>0</v>
      </c>
    </row>
    <row r="157" spans="4:21" ht="13.5" customHeight="1" outlineLevel="1" x14ac:dyDescent="0.25">
      <c r="D157" s="2" t="str">
        <f t="shared" si="32"/>
        <v>Cantaloupes and other melons</v>
      </c>
      <c r="E157" s="37"/>
      <c r="F157" s="37"/>
      <c r="G157" s="37"/>
      <c r="H157" s="37"/>
      <c r="I157" s="37"/>
      <c r="J157" s="179"/>
      <c r="K157" s="268">
        <f>IF($R157="Yes",(ProjectedP205_Consumption!K62-K81)*$T157,0)</f>
        <v>0</v>
      </c>
      <c r="L157" s="268">
        <f>IF($R157="Yes",(ProjectedP205_Consumption!L62-L81)*$T157,0)</f>
        <v>0</v>
      </c>
      <c r="M157" s="268">
        <f>IF($R157="Yes",(ProjectedP205_Consumption!M62-M81)*$T157,0)</f>
        <v>0</v>
      </c>
      <c r="N157" s="267">
        <f>K157/ProjectedP205_Consumption!K62</f>
        <v>0</v>
      </c>
      <c r="O157" s="267">
        <f>L157/ProjectedP205_Consumption!L62</f>
        <v>0</v>
      </c>
      <c r="P157" s="267">
        <f>M157/ProjectedP205_Consumption!M62</f>
        <v>0</v>
      </c>
      <c r="R157" s="31" t="str">
        <f t="shared" si="33"/>
        <v>No</v>
      </c>
      <c r="S157" s="31"/>
      <c r="T157" s="186">
        <f t="shared" si="34"/>
        <v>0</v>
      </c>
    </row>
    <row r="158" spans="4:21" ht="13.5" customHeight="1" outlineLevel="1" x14ac:dyDescent="0.25">
      <c r="D158" s="2" t="str">
        <f t="shared" si="32"/>
        <v>Sunflower seed</v>
      </c>
      <c r="E158" s="37"/>
      <c r="F158" s="37"/>
      <c r="G158" s="37"/>
      <c r="H158" s="37"/>
      <c r="I158" s="37"/>
      <c r="J158" s="179"/>
      <c r="K158" s="268">
        <f>IF($R158="Yes",(ProjectedP205_Consumption!K63-K82)*$T158,0)</f>
        <v>0</v>
      </c>
      <c r="L158" s="268">
        <f>IF($R158="Yes",(ProjectedP205_Consumption!L63-L82)*$T158,0)</f>
        <v>0</v>
      </c>
      <c r="M158" s="268">
        <f>IF($R158="Yes",(ProjectedP205_Consumption!M63-M82)*$T158,0)</f>
        <v>0</v>
      </c>
      <c r="N158" s="267">
        <f>K158/ProjectedP205_Consumption!K63</f>
        <v>0</v>
      </c>
      <c r="O158" s="267">
        <f>L158/ProjectedP205_Consumption!L63</f>
        <v>0</v>
      </c>
      <c r="P158" s="267">
        <f>M158/ProjectedP205_Consumption!M63</f>
        <v>0</v>
      </c>
      <c r="R158" s="31" t="str">
        <f t="shared" si="33"/>
        <v>No</v>
      </c>
      <c r="S158" s="31"/>
      <c r="T158" s="186">
        <f t="shared" si="34"/>
        <v>0</v>
      </c>
    </row>
    <row r="159" spans="4:21" ht="13.5" customHeight="1" outlineLevel="1" x14ac:dyDescent="0.25">
      <c r="D159" s="2" t="str">
        <f t="shared" si="32"/>
        <v>Cauliflowers and broccoli</v>
      </c>
      <c r="E159" s="37"/>
      <c r="F159" s="37"/>
      <c r="G159" s="37"/>
      <c r="H159" s="37"/>
      <c r="I159" s="37"/>
      <c r="J159" s="179"/>
      <c r="K159" s="268">
        <f>IF($R159="Yes",(ProjectedP205_Consumption!K64-K83)*$T159,0)</f>
        <v>0</v>
      </c>
      <c r="L159" s="268">
        <f>IF($R159="Yes",(ProjectedP205_Consumption!L64-L83)*$T159,0)</f>
        <v>0</v>
      </c>
      <c r="M159" s="268">
        <f>IF($R159="Yes",(ProjectedP205_Consumption!M64-M83)*$T159,0)</f>
        <v>0</v>
      </c>
      <c r="N159" s="267">
        <f>K159/ProjectedP205_Consumption!K64</f>
        <v>0</v>
      </c>
      <c r="O159" s="267">
        <f>L159/ProjectedP205_Consumption!L64</f>
        <v>0</v>
      </c>
      <c r="P159" s="267">
        <f>M159/ProjectedP205_Consumption!M64</f>
        <v>0</v>
      </c>
      <c r="R159" s="31" t="str">
        <f t="shared" si="33"/>
        <v>No</v>
      </c>
      <c r="S159" s="31"/>
      <c r="T159" s="186">
        <f t="shared" si="34"/>
        <v>0</v>
      </c>
    </row>
    <row r="160" spans="4:21" ht="13.5" customHeight="1" outlineLevel="1" x14ac:dyDescent="0.25">
      <c r="D160" s="2" t="str">
        <f t="shared" si="32"/>
        <v>Seed cotton, unginned</v>
      </c>
      <c r="E160" s="37"/>
      <c r="F160" s="37"/>
      <c r="G160" s="37"/>
      <c r="H160" s="37"/>
      <c r="I160" s="37"/>
      <c r="J160" s="179"/>
      <c r="K160" s="268">
        <f>IF($R160="Yes",(ProjectedP205_Consumption!K65-K84)*$T160,0)</f>
        <v>0</v>
      </c>
      <c r="L160" s="268">
        <f>IF($R160="Yes",(ProjectedP205_Consumption!L65-L84)*$T160,0)</f>
        <v>0</v>
      </c>
      <c r="M160" s="268">
        <f>IF($R160="Yes",(ProjectedP205_Consumption!M65-M84)*$T160,0)</f>
        <v>0</v>
      </c>
      <c r="N160" s="267">
        <f>K160/ProjectedP205_Consumption!K65</f>
        <v>0</v>
      </c>
      <c r="O160" s="267">
        <f>L160/ProjectedP205_Consumption!L65</f>
        <v>0</v>
      </c>
      <c r="P160" s="267">
        <f>M160/ProjectedP205_Consumption!M65</f>
        <v>0</v>
      </c>
      <c r="R160" s="31" t="str">
        <f t="shared" si="33"/>
        <v>No</v>
      </c>
      <c r="S160" s="31"/>
      <c r="T160" s="186">
        <f t="shared" si="34"/>
        <v>0</v>
      </c>
    </row>
    <row r="161" spans="4:20" ht="13.5" customHeight="1" outlineLevel="1" x14ac:dyDescent="0.25">
      <c r="D161" s="2" t="str">
        <f t="shared" si="32"/>
        <v>Cucumbers and gherkins</v>
      </c>
      <c r="E161" s="37"/>
      <c r="F161" s="37"/>
      <c r="G161" s="37"/>
      <c r="H161" s="37"/>
      <c r="I161" s="37"/>
      <c r="J161" s="179"/>
      <c r="K161" s="268">
        <f>IF($R161="Yes",(ProjectedP205_Consumption!K66-K85)*$T161,0)</f>
        <v>0</v>
      </c>
      <c r="L161" s="268">
        <f>IF($R161="Yes",(ProjectedP205_Consumption!L66-L85)*$T161,0)</f>
        <v>0</v>
      </c>
      <c r="M161" s="268">
        <f>IF($R161="Yes",(ProjectedP205_Consumption!M66-M85)*$T161,0)</f>
        <v>0</v>
      </c>
      <c r="N161" s="267">
        <f>K161/ProjectedP205_Consumption!K66</f>
        <v>0</v>
      </c>
      <c r="O161" s="267">
        <f>L161/ProjectedP205_Consumption!L66</f>
        <v>0</v>
      </c>
      <c r="P161" s="267">
        <f>M161/ProjectedP205_Consumption!M66</f>
        <v>0</v>
      </c>
      <c r="R161" s="31" t="str">
        <f t="shared" si="33"/>
        <v>No</v>
      </c>
      <c r="S161" s="31"/>
      <c r="T161" s="186">
        <f t="shared" si="34"/>
        <v>0</v>
      </c>
    </row>
    <row r="162" spans="4:20" ht="13.5" customHeight="1" outlineLevel="1" x14ac:dyDescent="0.25">
      <c r="D162" s="2" t="str">
        <f t="shared" si="32"/>
        <v>Tomatoes</v>
      </c>
      <c r="E162" s="37"/>
      <c r="F162" s="37"/>
      <c r="G162" s="37"/>
      <c r="H162" s="37"/>
      <c r="I162" s="37"/>
      <c r="J162" s="179"/>
      <c r="K162" s="268">
        <f>IF($R162="Yes",(ProjectedP205_Consumption!K67-K86)*$T162,0)</f>
        <v>0</v>
      </c>
      <c r="L162" s="268">
        <f>IF($R162="Yes",(ProjectedP205_Consumption!L67-L86)*$T162,0)</f>
        <v>0</v>
      </c>
      <c r="M162" s="268">
        <f>IF($R162="Yes",(ProjectedP205_Consumption!M67-M86)*$T162,0)</f>
        <v>0</v>
      </c>
      <c r="N162" s="267">
        <f>K162/ProjectedP205_Consumption!K67</f>
        <v>0</v>
      </c>
      <c r="O162" s="267">
        <f>L162/ProjectedP205_Consumption!L67</f>
        <v>0</v>
      </c>
      <c r="P162" s="267">
        <f>M162/ProjectedP205_Consumption!M67</f>
        <v>0</v>
      </c>
      <c r="R162" s="31" t="str">
        <f t="shared" si="33"/>
        <v>No</v>
      </c>
      <c r="S162" s="31"/>
      <c r="T162" s="186">
        <f t="shared" si="34"/>
        <v>0</v>
      </c>
    </row>
    <row r="163" spans="4:20" ht="13.5" customHeight="1" outlineLevel="1" x14ac:dyDescent="0.25">
      <c r="D163" s="2" t="str">
        <f t="shared" si="32"/>
        <v>Potatoes</v>
      </c>
      <c r="E163" s="37"/>
      <c r="F163" s="37"/>
      <c r="G163" s="37"/>
      <c r="H163" s="37"/>
      <c r="I163" s="37"/>
      <c r="J163" s="179"/>
      <c r="K163" s="268">
        <f>IF($R163="Yes",(ProjectedP205_Consumption!K68-K87)*$T163,0)</f>
        <v>0</v>
      </c>
      <c r="L163" s="268">
        <f>IF($R163="Yes",(ProjectedP205_Consumption!L68-L87)*$T163,0)</f>
        <v>0</v>
      </c>
      <c r="M163" s="268">
        <f>IF($R163="Yes",(ProjectedP205_Consumption!M68-M87)*$T163,0)</f>
        <v>0</v>
      </c>
      <c r="N163" s="267">
        <f>K163/ProjectedP205_Consumption!K68</f>
        <v>0</v>
      </c>
      <c r="O163" s="267">
        <f>L163/ProjectedP205_Consumption!L68</f>
        <v>0</v>
      </c>
      <c r="P163" s="267">
        <f>M163/ProjectedP205_Consumption!M68</f>
        <v>0</v>
      </c>
      <c r="R163" s="31" t="str">
        <f t="shared" si="33"/>
        <v>No</v>
      </c>
      <c r="S163" s="31"/>
      <c r="T163" s="186">
        <f t="shared" si="34"/>
        <v>0</v>
      </c>
    </row>
    <row r="164" spans="4:20" ht="13.5" customHeight="1" outlineLevel="1" x14ac:dyDescent="0.25">
      <c r="D164" s="2" t="str">
        <f t="shared" si="32"/>
        <v>Pumpkins, squash and gourds</v>
      </c>
      <c r="E164" s="37"/>
      <c r="F164" s="37"/>
      <c r="G164" s="37"/>
      <c r="H164" s="37"/>
      <c r="I164" s="37"/>
      <c r="J164" s="179"/>
      <c r="K164" s="268">
        <f>IF($R164="Yes",(ProjectedP205_Consumption!K69-K88)*$T164,0)</f>
        <v>0</v>
      </c>
      <c r="L164" s="268">
        <f>IF($R164="Yes",(ProjectedP205_Consumption!L69-L88)*$T164,0)</f>
        <v>0</v>
      </c>
      <c r="M164" s="268">
        <f>IF($R164="Yes",(ProjectedP205_Consumption!M69-M88)*$T164,0)</f>
        <v>0</v>
      </c>
      <c r="N164" s="267">
        <f>K164/ProjectedP205_Consumption!K69</f>
        <v>0</v>
      </c>
      <c r="O164" s="267">
        <f>L164/ProjectedP205_Consumption!L69</f>
        <v>0</v>
      </c>
      <c r="P164" s="267">
        <f>M164/ProjectedP205_Consumption!M69</f>
        <v>0</v>
      </c>
      <c r="R164" s="31" t="str">
        <f t="shared" si="33"/>
        <v>No</v>
      </c>
      <c r="S164" s="31"/>
      <c r="T164" s="186">
        <f t="shared" si="34"/>
        <v>0</v>
      </c>
    </row>
    <row r="165" spans="4:20" ht="13.5" customHeight="1" outlineLevel="1" x14ac:dyDescent="0.25">
      <c r="D165" s="2" t="str">
        <f t="shared" si="32"/>
        <v>Dates</v>
      </c>
      <c r="E165" s="37"/>
      <c r="F165" s="37"/>
      <c r="G165" s="37"/>
      <c r="H165" s="37"/>
      <c r="I165" s="37"/>
      <c r="J165" s="179"/>
      <c r="K165" s="268">
        <f>IF($R165="Yes",(ProjectedP205_Consumption!K70-K89)*$T165,0)</f>
        <v>0</v>
      </c>
      <c r="L165" s="268">
        <f>IF($R165="Yes",(ProjectedP205_Consumption!L70-L89)*$T165,0)</f>
        <v>0</v>
      </c>
      <c r="M165" s="268">
        <f>IF($R165="Yes",(ProjectedP205_Consumption!M70-M89)*$T165,0)</f>
        <v>0</v>
      </c>
      <c r="N165" s="267">
        <f>K165/ProjectedP205_Consumption!K70</f>
        <v>0</v>
      </c>
      <c r="O165" s="267">
        <f>L165/ProjectedP205_Consumption!L70</f>
        <v>0</v>
      </c>
      <c r="P165" s="267">
        <f>M165/ProjectedP205_Consumption!M70</f>
        <v>0</v>
      </c>
      <c r="R165" s="31" t="str">
        <f t="shared" si="33"/>
        <v>No</v>
      </c>
      <c r="S165" s="31"/>
      <c r="T165" s="186">
        <f t="shared" si="34"/>
        <v>0</v>
      </c>
    </row>
    <row r="166" spans="4:20" ht="13.5" customHeight="1" outlineLevel="1" x14ac:dyDescent="0.25">
      <c r="D166" s="2" t="str">
        <f t="shared" si="32"/>
        <v>Pomelos and grapefruits</v>
      </c>
      <c r="E166" s="37"/>
      <c r="F166" s="37"/>
      <c r="G166" s="37"/>
      <c r="H166" s="37"/>
      <c r="I166" s="37"/>
      <c r="J166" s="179"/>
      <c r="K166" s="268">
        <f>IF($R166="Yes",(ProjectedP205_Consumption!K71-K90)*$T166,0)</f>
        <v>0</v>
      </c>
      <c r="L166" s="268">
        <f>IF($R166="Yes",(ProjectedP205_Consumption!L71-L90)*$T166,0)</f>
        <v>0</v>
      </c>
      <c r="M166" s="268">
        <f>IF($R166="Yes",(ProjectedP205_Consumption!M71-M90)*$T166,0)</f>
        <v>0</v>
      </c>
      <c r="N166" s="267">
        <f>K166/ProjectedP205_Consumption!K71</f>
        <v>0</v>
      </c>
      <c r="O166" s="267">
        <f>L166/ProjectedP205_Consumption!L71</f>
        <v>0</v>
      </c>
      <c r="P166" s="267">
        <f>M166/ProjectedP205_Consumption!M71</f>
        <v>0</v>
      </c>
      <c r="R166" s="31" t="str">
        <f t="shared" si="33"/>
        <v>No</v>
      </c>
      <c r="S166" s="31"/>
      <c r="T166" s="186">
        <f t="shared" si="34"/>
        <v>0</v>
      </c>
    </row>
    <row r="167" spans="4:20" ht="13.5" customHeight="1" outlineLevel="1" x14ac:dyDescent="0.25">
      <c r="D167" s="2" t="str">
        <f t="shared" si="32"/>
        <v>Okra</v>
      </c>
      <c r="E167" s="37"/>
      <c r="F167" s="37"/>
      <c r="G167" s="37"/>
      <c r="H167" s="37"/>
      <c r="I167" s="37"/>
      <c r="J167" s="179"/>
      <c r="K167" s="268">
        <f>IF($R167="Yes",(ProjectedP205_Consumption!K72-K91)*$T167,0)</f>
        <v>0</v>
      </c>
      <c r="L167" s="268">
        <f>IF($R167="Yes",(ProjectedP205_Consumption!L72-L91)*$T167,0)</f>
        <v>0</v>
      </c>
      <c r="M167" s="268">
        <f>IF($R167="Yes",(ProjectedP205_Consumption!M72-M91)*$T167,0)</f>
        <v>0</v>
      </c>
      <c r="N167" s="267">
        <f>K167/ProjectedP205_Consumption!K72</f>
        <v>0</v>
      </c>
      <c r="O167" s="267">
        <f>L167/ProjectedP205_Consumption!L72</f>
        <v>0</v>
      </c>
      <c r="P167" s="267">
        <f>M167/ProjectedP205_Consumption!M72</f>
        <v>0</v>
      </c>
      <c r="R167" s="31" t="str">
        <f t="shared" si="33"/>
        <v>No</v>
      </c>
      <c r="S167" s="31"/>
      <c r="T167" s="186">
        <f t="shared" si="34"/>
        <v>0</v>
      </c>
    </row>
    <row r="168" spans="4:20" ht="13.5" customHeight="1" outlineLevel="1" x14ac:dyDescent="0.25">
      <c r="D168" s="2" t="str">
        <f t="shared" si="32"/>
        <v>Lemons and limes</v>
      </c>
      <c r="E168" s="37"/>
      <c r="F168" s="37"/>
      <c r="G168" s="37"/>
      <c r="H168" s="37"/>
      <c r="I168" s="37"/>
      <c r="J168" s="179"/>
      <c r="K168" s="268">
        <f>IF($R168="Yes",(ProjectedP205_Consumption!K73-K92)*$T168,0)</f>
        <v>0</v>
      </c>
      <c r="L168" s="268">
        <f>IF($R168="Yes",(ProjectedP205_Consumption!L73-L92)*$T168,0)</f>
        <v>0</v>
      </c>
      <c r="M168" s="268">
        <f>IF($R168="Yes",(ProjectedP205_Consumption!M73-M92)*$T168,0)</f>
        <v>0</v>
      </c>
      <c r="N168" s="267">
        <f>K168/ProjectedP205_Consumption!K73</f>
        <v>0</v>
      </c>
      <c r="O168" s="267">
        <f>L168/ProjectedP205_Consumption!L73</f>
        <v>0</v>
      </c>
      <c r="P168" s="267">
        <f>M168/ProjectedP205_Consumption!M73</f>
        <v>0</v>
      </c>
      <c r="R168" s="31" t="str">
        <f t="shared" si="33"/>
        <v>No</v>
      </c>
      <c r="S168" s="31"/>
      <c r="T168" s="186">
        <f t="shared" si="34"/>
        <v>0</v>
      </c>
    </row>
    <row r="169" spans="4:20" ht="13.5" customHeight="1" outlineLevel="1" x14ac:dyDescent="0.25">
      <c r="D169" s="2" t="str">
        <f t="shared" si="32"/>
        <v>Green garlic</v>
      </c>
      <c r="E169" s="37"/>
      <c r="F169" s="37"/>
      <c r="G169" s="37"/>
      <c r="H169" s="37"/>
      <c r="I169" s="37"/>
      <c r="J169" s="179"/>
      <c r="K169" s="268">
        <f>IF($R169="Yes",(ProjectedP205_Consumption!K74-K93)*$T169,0)</f>
        <v>0</v>
      </c>
      <c r="L169" s="268">
        <f>IF($R169="Yes",(ProjectedP205_Consumption!L74-L93)*$T169,0)</f>
        <v>0</v>
      </c>
      <c r="M169" s="268">
        <f>IF($R169="Yes",(ProjectedP205_Consumption!M74-M93)*$T169,0)</f>
        <v>0</v>
      </c>
      <c r="N169" s="267">
        <f>K169/ProjectedP205_Consumption!K74</f>
        <v>0</v>
      </c>
      <c r="O169" s="267">
        <f>L169/ProjectedP205_Consumption!L74</f>
        <v>0</v>
      </c>
      <c r="P169" s="267">
        <f>M169/ProjectedP205_Consumption!M74</f>
        <v>0</v>
      </c>
      <c r="R169" s="31" t="str">
        <f t="shared" si="33"/>
        <v>No</v>
      </c>
      <c r="S169" s="31"/>
      <c r="T169" s="186">
        <f t="shared" si="34"/>
        <v>0</v>
      </c>
    </row>
    <row r="170" spans="4:20" ht="13.5" customHeight="1" outlineLevel="1" x14ac:dyDescent="0.25">
      <c r="D170" s="2" t="str">
        <f t="shared" si="32"/>
        <v>Sweet potatoes</v>
      </c>
      <c r="E170" s="37"/>
      <c r="F170" s="37"/>
      <c r="G170" s="37"/>
      <c r="H170" s="37"/>
      <c r="I170" s="37"/>
      <c r="J170" s="179"/>
      <c r="K170" s="268">
        <f>IF($R170="Yes",(ProjectedP205_Consumption!K75-K94)*$T170,0)</f>
        <v>0</v>
      </c>
      <c r="L170" s="268">
        <f>IF($R170="Yes",(ProjectedP205_Consumption!L75-L94)*$T170,0)</f>
        <v>0</v>
      </c>
      <c r="M170" s="268">
        <f>IF($R170="Yes",(ProjectedP205_Consumption!M75-M94)*$T170,0)</f>
        <v>0</v>
      </c>
      <c r="N170" s="267">
        <f>K170/ProjectedP205_Consumption!K75</f>
        <v>0</v>
      </c>
      <c r="O170" s="267">
        <f>L170/ProjectedP205_Consumption!L75</f>
        <v>0</v>
      </c>
      <c r="P170" s="267">
        <f>M170/ProjectedP205_Consumption!M75</f>
        <v>0</v>
      </c>
      <c r="R170" s="31" t="str">
        <f t="shared" si="33"/>
        <v>No</v>
      </c>
      <c r="S170" s="31"/>
      <c r="T170" s="186">
        <f t="shared" si="34"/>
        <v>0</v>
      </c>
    </row>
    <row r="171" spans="4:20" ht="13.5" customHeight="1" outlineLevel="1" x14ac:dyDescent="0.25">
      <c r="D171" s="2" t="str">
        <f t="shared" si="32"/>
        <v>Other pulses n.e.c.</v>
      </c>
      <c r="E171" s="37"/>
      <c r="F171" s="37"/>
      <c r="G171" s="37"/>
      <c r="H171" s="37"/>
      <c r="I171" s="37"/>
      <c r="J171" s="179"/>
      <c r="K171" s="268">
        <f>IF($R171="Yes",(ProjectedP205_Consumption!K76-K95)*$T171,0)</f>
        <v>0</v>
      </c>
      <c r="L171" s="268">
        <f>IF($R171="Yes",(ProjectedP205_Consumption!L76-L95)*$T171,0)</f>
        <v>0</v>
      </c>
      <c r="M171" s="268">
        <f>IF($R171="Yes",(ProjectedP205_Consumption!M76-M95)*$T171,0)</f>
        <v>0</v>
      </c>
      <c r="N171" s="267">
        <f>K171/ProjectedP205_Consumption!K76</f>
        <v>0</v>
      </c>
      <c r="O171" s="267">
        <f>L171/ProjectedP205_Consumption!L76</f>
        <v>0</v>
      </c>
      <c r="P171" s="267">
        <f>M171/ProjectedP205_Consumption!M76</f>
        <v>0</v>
      </c>
      <c r="R171" s="31" t="str">
        <f t="shared" si="33"/>
        <v>No</v>
      </c>
      <c r="S171" s="31"/>
      <c r="T171" s="186">
        <f t="shared" si="34"/>
        <v>0</v>
      </c>
    </row>
    <row r="172" spans="4:20" ht="13.5" customHeight="1" outlineLevel="1" x14ac:dyDescent="0.25">
      <c r="D172" s="2" t="str">
        <f t="shared" si="32"/>
        <v>Other vegetables, fresh n.e.c.</v>
      </c>
      <c r="E172" s="37"/>
      <c r="F172" s="37"/>
      <c r="G172" s="37"/>
      <c r="H172" s="37"/>
      <c r="I172" s="37"/>
      <c r="J172" s="179"/>
      <c r="K172" s="268">
        <f>IF($R172="Yes",(ProjectedP205_Consumption!K77-K96)*$T172,0)</f>
        <v>0</v>
      </c>
      <c r="L172" s="268">
        <f>IF($R172="Yes",(ProjectedP205_Consumption!L77-L96)*$T172,0)</f>
        <v>0</v>
      </c>
      <c r="M172" s="268">
        <f>IF($R172="Yes",(ProjectedP205_Consumption!M77-M96)*$T172,0)</f>
        <v>0</v>
      </c>
      <c r="N172" s="267">
        <f>K172/ProjectedP205_Consumption!K77</f>
        <v>0</v>
      </c>
      <c r="O172" s="267">
        <f>L172/ProjectedP205_Consumption!L77</f>
        <v>0</v>
      </c>
      <c r="P172" s="267">
        <f>M172/ProjectedP205_Consumption!M77</f>
        <v>0</v>
      </c>
      <c r="R172" s="31" t="str">
        <f t="shared" si="33"/>
        <v>No</v>
      </c>
      <c r="S172" s="31"/>
      <c r="T172" s="186">
        <f t="shared" si="34"/>
        <v>0</v>
      </c>
    </row>
    <row r="173" spans="4:20" ht="13.5" customHeight="1" outlineLevel="1" x14ac:dyDescent="0.25">
      <c r="D173" s="2" t="str">
        <f t="shared" si="32"/>
        <v>Other fruits, n.e.c.</v>
      </c>
      <c r="E173" s="37"/>
      <c r="F173" s="37"/>
      <c r="G173" s="37"/>
      <c r="H173" s="37"/>
      <c r="I173" s="37"/>
      <c r="J173" s="179"/>
      <c r="K173" s="268">
        <f>IF($R173="Yes",(ProjectedP205_Consumption!K78-K97)*$T173,0)</f>
        <v>0</v>
      </c>
      <c r="L173" s="268">
        <f>IF($R173="Yes",(ProjectedP205_Consumption!L78-L97)*$T173,0)</f>
        <v>0</v>
      </c>
      <c r="M173" s="268">
        <f>IF($R173="Yes",(ProjectedP205_Consumption!M78-M97)*$T173,0)</f>
        <v>0</v>
      </c>
      <c r="N173" s="267">
        <f>K173/ProjectedP205_Consumption!K78</f>
        <v>0</v>
      </c>
      <c r="O173" s="267">
        <f>L173/ProjectedP205_Consumption!L78</f>
        <v>0</v>
      </c>
      <c r="P173" s="267">
        <f>M173/ProjectedP205_Consumption!M78</f>
        <v>0</v>
      </c>
      <c r="R173" s="31" t="str">
        <f t="shared" si="33"/>
        <v>No</v>
      </c>
      <c r="S173" s="31"/>
      <c r="T173" s="186">
        <f t="shared" si="34"/>
        <v>0</v>
      </c>
    </row>
    <row r="174" spans="4:20" ht="13.5" customHeight="1" outlineLevel="1" x14ac:dyDescent="0.25">
      <c r="D174" s="2" t="str">
        <f t="shared" si="32"/>
        <v>Broad beans and horse beans, dry</v>
      </c>
      <c r="E174" s="37"/>
      <c r="F174" s="37"/>
      <c r="G174" s="37"/>
      <c r="H174" s="37"/>
      <c r="I174" s="37"/>
      <c r="J174" s="179"/>
      <c r="K174" s="268">
        <f>IF($R174="Yes",(ProjectedP205_Consumption!K79-K98)*$T174,0)</f>
        <v>0</v>
      </c>
      <c r="L174" s="268">
        <f>IF($R174="Yes",(ProjectedP205_Consumption!L79-L98)*$T174,0)</f>
        <v>0</v>
      </c>
      <c r="M174" s="268">
        <f>IF($R174="Yes",(ProjectedP205_Consumption!M79-M98)*$T174,0)</f>
        <v>0</v>
      </c>
      <c r="N174" s="267">
        <f>K174/ProjectedP205_Consumption!K79</f>
        <v>0</v>
      </c>
      <c r="O174" s="267">
        <f>L174/ProjectedP205_Consumption!L79</f>
        <v>0</v>
      </c>
      <c r="P174" s="267">
        <f>M174/ProjectedP205_Consumption!M79</f>
        <v>0</v>
      </c>
      <c r="R174" s="31" t="str">
        <f t="shared" si="33"/>
        <v>No</v>
      </c>
      <c r="S174" s="31"/>
      <c r="T174" s="186">
        <f t="shared" si="34"/>
        <v>0</v>
      </c>
    </row>
    <row r="175" spans="4:20" ht="13.5" customHeight="1" outlineLevel="1" x14ac:dyDescent="0.25">
      <c r="D175" s="2" t="str">
        <f t="shared" si="32"/>
        <v>Chick peas, dry</v>
      </c>
      <c r="E175" s="37"/>
      <c r="F175" s="37"/>
      <c r="G175" s="37"/>
      <c r="H175" s="37"/>
      <c r="I175" s="37"/>
      <c r="J175" s="179"/>
      <c r="K175" s="268">
        <f>IF($R175="Yes",(ProjectedP205_Consumption!K80-K99)*$T175,0)</f>
        <v>0</v>
      </c>
      <c r="L175" s="268">
        <f>IF($R175="Yes",(ProjectedP205_Consumption!L80-L99)*$T175,0)</f>
        <v>0</v>
      </c>
      <c r="M175" s="268">
        <f>IF($R175="Yes",(ProjectedP205_Consumption!M80-M99)*$T175,0)</f>
        <v>0</v>
      </c>
      <c r="N175" s="267">
        <f>K175/ProjectedP205_Consumption!K80</f>
        <v>0</v>
      </c>
      <c r="O175" s="267">
        <f>L175/ProjectedP205_Consumption!L80</f>
        <v>0</v>
      </c>
      <c r="P175" s="267">
        <f>M175/ProjectedP205_Consumption!M80</f>
        <v>0</v>
      </c>
      <c r="R175" s="31" t="str">
        <f t="shared" si="33"/>
        <v>No</v>
      </c>
      <c r="S175" s="31"/>
      <c r="T175" s="186">
        <f t="shared" si="34"/>
        <v>0</v>
      </c>
    </row>
    <row r="176" spans="4:20" ht="13.5" customHeight="1" outlineLevel="1" thickBot="1" x14ac:dyDescent="0.3">
      <c r="D176" s="2" t="str">
        <f t="shared" si="32"/>
        <v>Beans, dry</v>
      </c>
      <c r="E176" s="37"/>
      <c r="F176" s="37"/>
      <c r="G176" s="37"/>
      <c r="H176" s="37"/>
      <c r="I176" s="37"/>
      <c r="J176" s="179"/>
      <c r="K176" s="268">
        <f>IF($R176="Yes",(ProjectedP205_Consumption!K81-K100)*$T176,0)</f>
        <v>0</v>
      </c>
      <c r="L176" s="268">
        <f>IF($R176="Yes",(ProjectedP205_Consumption!L81-L100)*$T176,0)</f>
        <v>0</v>
      </c>
      <c r="M176" s="268">
        <f>IF($R176="Yes",(ProjectedP205_Consumption!M81-M100)*$T176,0)</f>
        <v>0</v>
      </c>
      <c r="N176" s="267">
        <f>K176/ProjectedP205_Consumption!K81</f>
        <v>0</v>
      </c>
      <c r="O176" s="267">
        <f>L176/ProjectedP205_Consumption!L81</f>
        <v>0</v>
      </c>
      <c r="P176" s="267">
        <f>M176/ProjectedP205_Consumption!M81</f>
        <v>0</v>
      </c>
      <c r="R176" s="31" t="str">
        <f t="shared" si="33"/>
        <v>No</v>
      </c>
      <c r="S176" s="31"/>
      <c r="T176" s="186">
        <f t="shared" si="34"/>
        <v>0</v>
      </c>
    </row>
    <row r="177" spans="2:21" ht="13.5" customHeight="1" outlineLevel="1" thickTop="1" thickBot="1" x14ac:dyDescent="0.3">
      <c r="D177" s="102" t="s">
        <v>13</v>
      </c>
      <c r="E177" s="125"/>
      <c r="F177" s="125"/>
      <c r="G177" s="125"/>
      <c r="H177" s="125"/>
      <c r="I177" s="125"/>
      <c r="J177" s="126"/>
      <c r="K177" s="126">
        <f t="shared" ref="K177:M177" si="35">SUM(K146:K176)</f>
        <v>1.5978491677137012</v>
      </c>
      <c r="L177" s="126">
        <f t="shared" si="35"/>
        <v>2.4429470879813016</v>
      </c>
      <c r="M177" s="126">
        <f t="shared" si="35"/>
        <v>2.9495269919513527</v>
      </c>
      <c r="N177" s="193"/>
      <c r="O177" s="193"/>
      <c r="P177" s="193"/>
    </row>
    <row r="178" spans="2:21" ht="13.5" customHeight="1" outlineLevel="1" thickTop="1" thickBot="1" x14ac:dyDescent="0.3">
      <c r="D178" s="100" t="s">
        <v>17</v>
      </c>
      <c r="E178" s="125"/>
      <c r="F178" s="125"/>
      <c r="G178" s="125"/>
      <c r="H178" s="125"/>
      <c r="I178" s="125"/>
      <c r="J178" s="126"/>
      <c r="K178" s="126">
        <f t="shared" ref="K178:M178" si="36">K177/46%</f>
        <v>3.473585147203698</v>
      </c>
      <c r="L178" s="126">
        <f t="shared" si="36"/>
        <v>5.3107545390897855</v>
      </c>
      <c r="M178" s="126">
        <f t="shared" si="36"/>
        <v>6.4120151998942445</v>
      </c>
      <c r="N178" s="193"/>
      <c r="O178" s="193"/>
      <c r="P178" s="193"/>
    </row>
    <row r="179" spans="2:21" ht="13.5" customHeight="1" thickTop="1" x14ac:dyDescent="0.25">
      <c r="R179" s="31"/>
      <c r="S179" s="31"/>
    </row>
    <row r="180" spans="2:21" ht="13.5" customHeight="1" x14ac:dyDescent="0.35">
      <c r="B180" s="29">
        <v>3</v>
      </c>
      <c r="D180" s="28" t="s">
        <v>241</v>
      </c>
      <c r="R180" s="31"/>
      <c r="S180" s="31"/>
    </row>
    <row r="181" spans="2:21" ht="13.5" customHeight="1" outlineLevel="1" x14ac:dyDescent="0.25"/>
    <row r="182" spans="2:21" ht="13.5" customHeight="1" outlineLevel="1" x14ac:dyDescent="0.3">
      <c r="D182" s="32" t="s">
        <v>76</v>
      </c>
      <c r="E182" s="1"/>
    </row>
    <row r="183" spans="2:21" ht="13.5" customHeight="1" outlineLevel="1" x14ac:dyDescent="0.3">
      <c r="D183" s="33" t="s">
        <v>77</v>
      </c>
      <c r="R183" s="39" t="s">
        <v>24</v>
      </c>
    </row>
    <row r="184" spans="2:21" ht="13.5" customHeight="1" outlineLevel="1" x14ac:dyDescent="0.25">
      <c r="N184" s="2" t="s">
        <v>314</v>
      </c>
    </row>
    <row r="185" spans="2:21" ht="13.5" customHeight="1" outlineLevel="1" x14ac:dyDescent="0.3">
      <c r="D185" s="30" t="s">
        <v>15</v>
      </c>
      <c r="E185" s="34">
        <v>2017</v>
      </c>
      <c r="F185" s="34">
        <v>2018</v>
      </c>
      <c r="G185" s="34">
        <v>2019</v>
      </c>
      <c r="H185" s="34">
        <v>2020</v>
      </c>
      <c r="I185" s="34">
        <v>2021</v>
      </c>
      <c r="J185" s="118">
        <v>2022</v>
      </c>
      <c r="K185" s="118">
        <v>2023</v>
      </c>
      <c r="L185" s="118">
        <v>2024</v>
      </c>
      <c r="M185" s="118">
        <v>2025</v>
      </c>
      <c r="N185" s="118">
        <v>2023</v>
      </c>
      <c r="O185" s="118">
        <v>2024</v>
      </c>
      <c r="P185" s="118">
        <v>2025</v>
      </c>
      <c r="R185" s="127" t="s">
        <v>260</v>
      </c>
      <c r="S185" s="127" t="s">
        <v>78</v>
      </c>
      <c r="T185" s="127" t="s">
        <v>261</v>
      </c>
      <c r="U185" s="127" t="s">
        <v>56</v>
      </c>
    </row>
    <row r="186" spans="2:21" ht="13.5" customHeight="1" outlineLevel="1" x14ac:dyDescent="0.25">
      <c r="D186" s="2" t="str">
        <f>D146</f>
        <v>Sorghum</v>
      </c>
      <c r="J186" s="179"/>
      <c r="K186" s="268">
        <v>0</v>
      </c>
      <c r="L186" s="268">
        <f>IF($R186="Yes",(ProjectedP205_Consumption!L13-L35-L70)*$T186,0)</f>
        <v>0</v>
      </c>
      <c r="M186" s="268">
        <f>IF($R186="Yes",(ProjectedP205_Consumption!M13-M35-M70)*$T186,0)</f>
        <v>0</v>
      </c>
      <c r="N186" s="267">
        <f>K186/ProjectedP205_Consumption!K13</f>
        <v>0</v>
      </c>
      <c r="O186" s="267">
        <f>L186/ProjectedP205_Consumption!L13</f>
        <v>0</v>
      </c>
      <c r="P186" s="267">
        <f>M186/ProjectedP205_Consumption!M13</f>
        <v>0</v>
      </c>
      <c r="R186" s="196" t="s">
        <v>254</v>
      </c>
      <c r="T186" s="197">
        <v>0.1</v>
      </c>
    </row>
    <row r="187" spans="2:21" ht="13.5" customHeight="1" outlineLevel="1" x14ac:dyDescent="0.25">
      <c r="D187" s="170" t="str">
        <f t="shared" ref="D187:D216" si="37">D147</f>
        <v>Sesame seed</v>
      </c>
      <c r="J187" s="179"/>
      <c r="K187" s="268">
        <v>0</v>
      </c>
      <c r="L187" s="268">
        <f>IF($R187="Yes",(ProjectedP205_Consumption!L14-L36-L71)*$T187,0)</f>
        <v>3.1078495526097401</v>
      </c>
      <c r="M187" s="268">
        <f>IF($R187="Yes",(ProjectedP205_Consumption!M14-M36-M71)*$T187,0)</f>
        <v>3.0324387190810533</v>
      </c>
      <c r="N187" s="267">
        <f>K187/ProjectedP205_Consumption!K14</f>
        <v>0</v>
      </c>
      <c r="O187" s="267">
        <f>L187/ProjectedP205_Consumption!L14</f>
        <v>7.1459990124004308E-2</v>
      </c>
      <c r="P187" s="267">
        <f>M187/ProjectedP205_Consumption!M14</f>
        <v>5.3314791953713643E-2</v>
      </c>
      <c r="R187" s="196" t="s">
        <v>255</v>
      </c>
      <c r="S187" s="2" t="s">
        <v>271</v>
      </c>
      <c r="T187" s="197">
        <v>0.1</v>
      </c>
    </row>
    <row r="188" spans="2:21" ht="13.5" customHeight="1" outlineLevel="1" x14ac:dyDescent="0.25">
      <c r="D188" s="170" t="str">
        <f t="shared" si="37"/>
        <v>Groundnuts, excluding shelled</v>
      </c>
      <c r="J188" s="179"/>
      <c r="K188" s="268">
        <v>0</v>
      </c>
      <c r="L188" s="268">
        <f>IF($R188="Yes",(ProjectedP205_Consumption!L15-L37-L72)*$T188,0)</f>
        <v>3.8089541168404253</v>
      </c>
      <c r="M188" s="268">
        <f>IF($R188="Yes",(ProjectedP205_Consumption!M15-M37-M72)*$T188,0)</f>
        <v>3.9354366849507501</v>
      </c>
      <c r="N188" s="267">
        <f>K188/ProjectedP205_Consumption!K15</f>
        <v>0</v>
      </c>
      <c r="O188" s="267">
        <f>L188/ProjectedP205_Consumption!L15</f>
        <v>7.1459990124004294E-2</v>
      </c>
      <c r="P188" s="267">
        <f>M188/ProjectedP205_Consumption!M15</f>
        <v>5.3314791953713643E-2</v>
      </c>
      <c r="R188" s="196" t="s">
        <v>255</v>
      </c>
      <c r="S188" s="2" t="s">
        <v>271</v>
      </c>
      <c r="T188" s="197">
        <v>0.1</v>
      </c>
    </row>
    <row r="189" spans="2:21" ht="13.5" customHeight="1" outlineLevel="1" x14ac:dyDescent="0.25">
      <c r="D189" s="2" t="str">
        <f t="shared" si="37"/>
        <v>Millet</v>
      </c>
      <c r="J189" s="179"/>
      <c r="K189" s="268">
        <v>0</v>
      </c>
      <c r="L189" s="268">
        <f>IF($R189="Yes",(ProjectedP205_Consumption!L16-L38-L73)*$T189,0)</f>
        <v>0</v>
      </c>
      <c r="M189" s="268">
        <f>IF($R189="Yes",(ProjectedP205_Consumption!M16-M38-M73)*$T189,0)</f>
        <v>0</v>
      </c>
      <c r="N189" s="267">
        <f>K189/ProjectedP205_Consumption!K16</f>
        <v>0</v>
      </c>
      <c r="O189" s="267">
        <f>L189/ProjectedP205_Consumption!L16</f>
        <v>0</v>
      </c>
      <c r="P189" s="267">
        <f>M189/ProjectedP205_Consumption!M16</f>
        <v>0</v>
      </c>
      <c r="R189" s="196" t="s">
        <v>254</v>
      </c>
      <c r="T189" s="197">
        <v>0.1</v>
      </c>
    </row>
    <row r="190" spans="2:21" ht="13.5" customHeight="1" outlineLevel="1" x14ac:dyDescent="0.25">
      <c r="D190" s="2" t="str">
        <f t="shared" si="37"/>
        <v>Sugar cane</v>
      </c>
      <c r="J190" s="179"/>
      <c r="K190" s="268">
        <v>0</v>
      </c>
      <c r="L190" s="268">
        <f>IF($R190="Yes",(ProjectedP205_Consumption!L17-L39-L74)*$T190,0)</f>
        <v>0.10575593679499717</v>
      </c>
      <c r="M190" s="268">
        <f>IF($R190="Yes",(ProjectedP205_Consumption!M17-M39-M74)*$T190,0)</f>
        <v>6.0870803978953052E-2</v>
      </c>
      <c r="N190" s="267">
        <f>K190/ProjectedP205_Consumption!K17</f>
        <v>0</v>
      </c>
      <c r="O190" s="267">
        <f>L190/ProjectedP205_Consumption!L17</f>
        <v>6.5720863062847121E-2</v>
      </c>
      <c r="P190" s="267">
        <f>M190/ProjectedP205_Consumption!M17</f>
        <v>3.6432177414939468E-2</v>
      </c>
      <c r="R190" s="196" t="s">
        <v>255</v>
      </c>
      <c r="S190" s="2" t="s">
        <v>271</v>
      </c>
      <c r="T190" s="197">
        <v>0.1</v>
      </c>
    </row>
    <row r="191" spans="2:21" ht="13.5" customHeight="1" outlineLevel="1" x14ac:dyDescent="0.25">
      <c r="D191" s="2" t="str">
        <f t="shared" si="37"/>
        <v>Melonseed</v>
      </c>
      <c r="J191" s="179"/>
      <c r="K191" s="268">
        <v>0</v>
      </c>
      <c r="L191" s="268">
        <f>IF($R191="Yes",(ProjectedP205_Consumption!L18-L40-L75)*$T191,0)</f>
        <v>5.8924625706797955E-2</v>
      </c>
      <c r="M191" s="268">
        <f>IF($R191="Yes",(ProjectedP205_Consumption!M18-M40-M75)*$T191,0)</f>
        <v>3.2900856964854903E-2</v>
      </c>
      <c r="N191" s="267">
        <f>K191/ProjectedP205_Consumption!K18</f>
        <v>0</v>
      </c>
      <c r="O191" s="267">
        <f>L191/ProjectedP205_Consumption!L18</f>
        <v>6.5720863062847121E-2</v>
      </c>
      <c r="P191" s="267">
        <f>M191/ProjectedP205_Consumption!M18</f>
        <v>3.6432177414939482E-2</v>
      </c>
      <c r="R191" s="196" t="s">
        <v>255</v>
      </c>
      <c r="S191" s="2" t="s">
        <v>271</v>
      </c>
      <c r="T191" s="197">
        <v>0.1</v>
      </c>
    </row>
    <row r="192" spans="2:21" ht="13.5" customHeight="1" outlineLevel="1" x14ac:dyDescent="0.25">
      <c r="D192" s="2" t="str">
        <f t="shared" si="37"/>
        <v>Cow peas, dry</v>
      </c>
      <c r="J192" s="179"/>
      <c r="K192" s="268">
        <v>0</v>
      </c>
      <c r="L192" s="268">
        <f>IF($R192="Yes",(ProjectedP205_Consumption!L19-L41-L76)*$T192,0)</f>
        <v>3.7829946328087338E-2</v>
      </c>
      <c r="M192" s="268">
        <f>IF($R192="Yes",(ProjectedP205_Consumption!M19-M41-M76)*$T192,0)</f>
        <v>2.0492583559852992E-2</v>
      </c>
      <c r="N192" s="267">
        <f>K192/ProjectedP205_Consumption!K19</f>
        <v>0</v>
      </c>
      <c r="O192" s="267">
        <f>L192/ProjectedP205_Consumption!L19</f>
        <v>6.3420648285714282E-2</v>
      </c>
      <c r="P192" s="267">
        <f>M192/ProjectedP205_Consumption!M19</f>
        <v>3.0346953136810302E-2</v>
      </c>
      <c r="R192" s="196" t="s">
        <v>255</v>
      </c>
      <c r="S192" s="2" t="s">
        <v>271</v>
      </c>
      <c r="T192" s="197">
        <v>0.1</v>
      </c>
    </row>
    <row r="193" spans="4:20" ht="13.5" customHeight="1" outlineLevel="1" x14ac:dyDescent="0.25">
      <c r="D193" s="2" t="str">
        <f t="shared" si="37"/>
        <v>Wheat</v>
      </c>
      <c r="J193" s="179"/>
      <c r="K193" s="268">
        <v>0</v>
      </c>
      <c r="L193" s="268">
        <f>IF($R193="Yes",(ProjectedP205_Consumption!L20-L42-L77)*$T193,0)</f>
        <v>0</v>
      </c>
      <c r="M193" s="268">
        <f>IF($R193="Yes",(ProjectedP205_Consumption!M20-M42-M77)*$T193,0)</f>
        <v>0</v>
      </c>
      <c r="N193" s="267">
        <f>K193/ProjectedP205_Consumption!K20</f>
        <v>0</v>
      </c>
      <c r="O193" s="267">
        <f>L193/ProjectedP205_Consumption!L20</f>
        <v>0</v>
      </c>
      <c r="P193" s="267">
        <f>M193/ProjectedP205_Consumption!M20</f>
        <v>0</v>
      </c>
      <c r="R193" s="196" t="s">
        <v>254</v>
      </c>
      <c r="T193" s="197">
        <v>0.1</v>
      </c>
    </row>
    <row r="194" spans="4:20" ht="13.5" customHeight="1" outlineLevel="1" x14ac:dyDescent="0.25">
      <c r="D194" s="2" t="str">
        <f t="shared" si="37"/>
        <v>Onions and shallots, dry (excluding dehydrated)</v>
      </c>
      <c r="J194" s="179"/>
      <c r="K194" s="268">
        <v>0</v>
      </c>
      <c r="L194" s="268">
        <f>IF($R194="Yes",(ProjectedP205_Consumption!L21-L43-L78)*$T194,0)</f>
        <v>0</v>
      </c>
      <c r="M194" s="268">
        <f>IF($R194="Yes",(ProjectedP205_Consumption!M21-M43-M78)*$T194,0)</f>
        <v>0</v>
      </c>
      <c r="N194" s="267">
        <f>K194/ProjectedP205_Consumption!K21</f>
        <v>0</v>
      </c>
      <c r="O194" s="267">
        <f>L194/ProjectedP205_Consumption!L21</f>
        <v>0</v>
      </c>
      <c r="P194" s="267">
        <f>M194/ProjectedP205_Consumption!M21</f>
        <v>0</v>
      </c>
      <c r="R194" s="196" t="s">
        <v>254</v>
      </c>
      <c r="T194" s="197">
        <v>0.1</v>
      </c>
    </row>
    <row r="195" spans="4:20" ht="13.5" customHeight="1" outlineLevel="1" x14ac:dyDescent="0.25">
      <c r="D195" s="2" t="str">
        <f t="shared" si="37"/>
        <v>Bananas</v>
      </c>
      <c r="J195" s="179"/>
      <c r="K195" s="268">
        <v>0</v>
      </c>
      <c r="L195" s="268">
        <f>IF($R195="Yes",(ProjectedP205_Consumption!L22-L44-L79)*$T195,0)</f>
        <v>0</v>
      </c>
      <c r="M195" s="268">
        <f>IF($R195="Yes",(ProjectedP205_Consumption!M22-M44-M79)*$T195,0)</f>
        <v>0</v>
      </c>
      <c r="N195" s="267">
        <f>K195/ProjectedP205_Consumption!K22</f>
        <v>0</v>
      </c>
      <c r="O195" s="267">
        <f>L195/ProjectedP205_Consumption!L22</f>
        <v>0</v>
      </c>
      <c r="P195" s="267">
        <f>M195/ProjectedP205_Consumption!M22</f>
        <v>0</v>
      </c>
      <c r="R195" s="196" t="s">
        <v>254</v>
      </c>
      <c r="T195" s="197">
        <v>0.1</v>
      </c>
    </row>
    <row r="196" spans="4:20" ht="13.5" customHeight="1" outlineLevel="1" x14ac:dyDescent="0.25">
      <c r="D196" s="2" t="str">
        <f t="shared" si="37"/>
        <v>Mangoes, guavas and mangosteens</v>
      </c>
      <c r="J196" s="179"/>
      <c r="K196" s="268">
        <v>0</v>
      </c>
      <c r="L196" s="268">
        <f>IF($R196="Yes",(ProjectedP205_Consumption!L23-L45-L80)*$T196,0)</f>
        <v>0</v>
      </c>
      <c r="M196" s="268">
        <f>IF($R196="Yes",(ProjectedP205_Consumption!M23-M45-M80)*$T196,0)</f>
        <v>0</v>
      </c>
      <c r="N196" s="267">
        <f>K196/ProjectedP205_Consumption!K23</f>
        <v>0</v>
      </c>
      <c r="O196" s="267">
        <f>L196/ProjectedP205_Consumption!L23</f>
        <v>0</v>
      </c>
      <c r="P196" s="267">
        <f>M196/ProjectedP205_Consumption!M23</f>
        <v>0</v>
      </c>
      <c r="R196" s="196" t="s">
        <v>254</v>
      </c>
      <c r="T196" s="197">
        <v>0.1</v>
      </c>
    </row>
    <row r="197" spans="4:20" ht="13.5" customHeight="1" outlineLevel="1" x14ac:dyDescent="0.25">
      <c r="D197" s="2" t="str">
        <f t="shared" si="37"/>
        <v>Cantaloupes and other melons</v>
      </c>
      <c r="J197" s="179"/>
      <c r="K197" s="268">
        <v>0</v>
      </c>
      <c r="L197" s="268">
        <f>IF($R197="Yes",(ProjectedP205_Consumption!L24-L46-L81)*$T197,0)</f>
        <v>0</v>
      </c>
      <c r="M197" s="268">
        <f>IF($R197="Yes",(ProjectedP205_Consumption!M24-M46-M81)*$T197,0)</f>
        <v>0</v>
      </c>
      <c r="N197" s="267">
        <f>K197/ProjectedP205_Consumption!K24</f>
        <v>0</v>
      </c>
      <c r="O197" s="267">
        <f>L197/ProjectedP205_Consumption!L24</f>
        <v>0</v>
      </c>
      <c r="P197" s="267">
        <f>M197/ProjectedP205_Consumption!M24</f>
        <v>0</v>
      </c>
      <c r="R197" s="196" t="s">
        <v>254</v>
      </c>
      <c r="T197" s="197">
        <v>0.1</v>
      </c>
    </row>
    <row r="198" spans="4:20" ht="13.5" customHeight="1" outlineLevel="1" x14ac:dyDescent="0.25">
      <c r="D198" s="2" t="str">
        <f t="shared" si="37"/>
        <v>Sunflower seed</v>
      </c>
      <c r="J198" s="179"/>
      <c r="K198" s="268">
        <v>0</v>
      </c>
      <c r="L198" s="268">
        <f>IF($R198="Yes",(ProjectedP205_Consumption!L25-L47-L82)*$T198,0)</f>
        <v>0</v>
      </c>
      <c r="M198" s="268">
        <f>IF($R198="Yes",(ProjectedP205_Consumption!M25-M47-M82)*$T198,0)</f>
        <v>0</v>
      </c>
      <c r="N198" s="267">
        <f>K198/ProjectedP205_Consumption!K25</f>
        <v>0</v>
      </c>
      <c r="O198" s="267">
        <f>L198/ProjectedP205_Consumption!L25</f>
        <v>0</v>
      </c>
      <c r="P198" s="267">
        <f>M198/ProjectedP205_Consumption!M25</f>
        <v>0</v>
      </c>
      <c r="R198" s="196" t="s">
        <v>254</v>
      </c>
      <c r="T198" s="197">
        <v>0.1</v>
      </c>
    </row>
    <row r="199" spans="4:20" ht="13.5" customHeight="1" outlineLevel="1" x14ac:dyDescent="0.25">
      <c r="D199" s="2" t="str">
        <f t="shared" si="37"/>
        <v>Cauliflowers and broccoli</v>
      </c>
      <c r="J199" s="179"/>
      <c r="K199" s="268">
        <v>0</v>
      </c>
      <c r="L199" s="268">
        <f>IF($R199="Yes",(ProjectedP205_Consumption!L26-L48-L83)*$T199,0)</f>
        <v>0</v>
      </c>
      <c r="M199" s="268">
        <f>IF($R199="Yes",(ProjectedP205_Consumption!M26-M48-M83)*$T199,0)</f>
        <v>0</v>
      </c>
      <c r="N199" s="267">
        <f>K199/ProjectedP205_Consumption!K26</f>
        <v>0</v>
      </c>
      <c r="O199" s="267">
        <f>L199/ProjectedP205_Consumption!L26</f>
        <v>0</v>
      </c>
      <c r="P199" s="267">
        <f>M199/ProjectedP205_Consumption!M26</f>
        <v>0</v>
      </c>
      <c r="R199" s="196" t="s">
        <v>254</v>
      </c>
      <c r="T199" s="197">
        <v>0.1</v>
      </c>
    </row>
    <row r="200" spans="4:20" ht="13.5" customHeight="1" outlineLevel="1" x14ac:dyDescent="0.25">
      <c r="D200" s="2" t="str">
        <f t="shared" si="37"/>
        <v>Seed cotton, unginned</v>
      </c>
      <c r="J200" s="179"/>
      <c r="K200" s="268">
        <v>0</v>
      </c>
      <c r="L200" s="268">
        <f>IF($R200="Yes",(ProjectedP205_Consumption!L27-L49-L84)*$T200,0)</f>
        <v>0.10662311114959969</v>
      </c>
      <c r="M200" s="268">
        <f>IF($R200="Yes",(ProjectedP205_Consumption!M27-M49-M84)*$T200,0)</f>
        <v>9.0776281926946326E-2</v>
      </c>
      <c r="N200" s="267">
        <f>K200/ProjectedP205_Consumption!K27</f>
        <v>0</v>
      </c>
      <c r="O200" s="267">
        <f>L200/ProjectedP205_Consumption!L27</f>
        <v>6.9262887148882582E-2</v>
      </c>
      <c r="P200" s="267">
        <f>M200/ProjectedP205_Consumption!M27</f>
        <v>4.810334517470638E-2</v>
      </c>
      <c r="R200" s="196" t="s">
        <v>255</v>
      </c>
      <c r="S200" s="2" t="s">
        <v>271</v>
      </c>
      <c r="T200" s="197">
        <v>0.1</v>
      </c>
    </row>
    <row r="201" spans="4:20" ht="13.5" customHeight="1" outlineLevel="1" x14ac:dyDescent="0.25">
      <c r="D201" s="2" t="str">
        <f t="shared" si="37"/>
        <v>Cucumbers and gherkins</v>
      </c>
      <c r="J201" s="179"/>
      <c r="K201" s="268">
        <v>0</v>
      </c>
      <c r="L201" s="268">
        <f>IF($R201="Yes",(ProjectedP205_Consumption!L28-L50-L85)*$T201,0)</f>
        <v>0</v>
      </c>
      <c r="M201" s="268">
        <f>IF($R201="Yes",(ProjectedP205_Consumption!M28-M50-M85)*$T201,0)</f>
        <v>0</v>
      </c>
      <c r="N201" s="267">
        <f>K201/ProjectedP205_Consumption!K28</f>
        <v>0</v>
      </c>
      <c r="O201" s="267">
        <f>L201/ProjectedP205_Consumption!L28</f>
        <v>0</v>
      </c>
      <c r="P201" s="267">
        <f>M201/ProjectedP205_Consumption!M28</f>
        <v>0</v>
      </c>
      <c r="R201" s="196" t="s">
        <v>254</v>
      </c>
      <c r="T201" s="197">
        <v>0.1</v>
      </c>
    </row>
    <row r="202" spans="4:20" ht="13.5" customHeight="1" outlineLevel="1" x14ac:dyDescent="0.25">
      <c r="D202" s="2" t="str">
        <f t="shared" si="37"/>
        <v>Tomatoes</v>
      </c>
      <c r="J202" s="179"/>
      <c r="K202" s="268">
        <v>0</v>
      </c>
      <c r="L202" s="268">
        <f>IF($R202="Yes",(ProjectedP205_Consumption!L29-L51-L86)*$T202,0)</f>
        <v>0</v>
      </c>
      <c r="M202" s="268">
        <f>IF($R202="Yes",(ProjectedP205_Consumption!M29-M51-M86)*$T202,0)</f>
        <v>0</v>
      </c>
      <c r="N202" s="267">
        <f>K202/ProjectedP205_Consumption!K29</f>
        <v>0</v>
      </c>
      <c r="O202" s="267">
        <f>L202/ProjectedP205_Consumption!L29</f>
        <v>0</v>
      </c>
      <c r="P202" s="267">
        <f>M202/ProjectedP205_Consumption!M29</f>
        <v>0</v>
      </c>
      <c r="R202" s="196" t="s">
        <v>254</v>
      </c>
      <c r="T202" s="197">
        <v>0.1</v>
      </c>
    </row>
    <row r="203" spans="4:20" ht="13.5" customHeight="1" outlineLevel="1" x14ac:dyDescent="0.25">
      <c r="D203" s="2" t="str">
        <f t="shared" si="37"/>
        <v>Potatoes</v>
      </c>
      <c r="J203" s="179"/>
      <c r="K203" s="268">
        <v>0</v>
      </c>
      <c r="L203" s="268">
        <f>IF($R203="Yes",(ProjectedP205_Consumption!L30-L52-L87)*$T203,0)</f>
        <v>0</v>
      </c>
      <c r="M203" s="268">
        <f>IF($R203="Yes",(ProjectedP205_Consumption!M30-M52-M87)*$T203,0)</f>
        <v>0</v>
      </c>
      <c r="N203" s="267">
        <f>K203/ProjectedP205_Consumption!K30</f>
        <v>0</v>
      </c>
      <c r="O203" s="267">
        <f>L203/ProjectedP205_Consumption!L30</f>
        <v>0</v>
      </c>
      <c r="P203" s="267">
        <f>M203/ProjectedP205_Consumption!M30</f>
        <v>0</v>
      </c>
      <c r="R203" s="196" t="s">
        <v>254</v>
      </c>
      <c r="T203" s="197">
        <v>0.1</v>
      </c>
    </row>
    <row r="204" spans="4:20" ht="13.5" customHeight="1" outlineLevel="1" x14ac:dyDescent="0.25">
      <c r="D204" s="2" t="str">
        <f t="shared" si="37"/>
        <v>Pumpkins, squash and gourds</v>
      </c>
      <c r="J204" s="179"/>
      <c r="K204" s="268">
        <v>0</v>
      </c>
      <c r="L204" s="268">
        <f>IF($R204="Yes",(ProjectedP205_Consumption!L31-L53-L88)*$T204,0)</f>
        <v>0</v>
      </c>
      <c r="M204" s="268">
        <f>IF($R204="Yes",(ProjectedP205_Consumption!M31-M53-M88)*$T204,0)</f>
        <v>0</v>
      </c>
      <c r="N204" s="267">
        <f>K204/ProjectedP205_Consumption!K31</f>
        <v>0</v>
      </c>
      <c r="O204" s="267">
        <f>L204/ProjectedP205_Consumption!L31</f>
        <v>0</v>
      </c>
      <c r="P204" s="267">
        <f>M204/ProjectedP205_Consumption!M31</f>
        <v>0</v>
      </c>
      <c r="R204" s="196" t="s">
        <v>254</v>
      </c>
      <c r="T204" s="197">
        <v>0.1</v>
      </c>
    </row>
    <row r="205" spans="4:20" ht="13.5" customHeight="1" outlineLevel="1" x14ac:dyDescent="0.25">
      <c r="D205" s="2" t="str">
        <f t="shared" si="37"/>
        <v>Dates</v>
      </c>
      <c r="J205" s="179"/>
      <c r="K205" s="268">
        <v>0</v>
      </c>
      <c r="L205" s="268">
        <f>IF($R205="Yes",(ProjectedP205_Consumption!L32-L54-L89)*$T205,0)</f>
        <v>0</v>
      </c>
      <c r="M205" s="268">
        <f>IF($R205="Yes",(ProjectedP205_Consumption!M32-M54-M89)*$T205,0)</f>
        <v>0</v>
      </c>
      <c r="N205" s="267">
        <f>K205/ProjectedP205_Consumption!K32</f>
        <v>0</v>
      </c>
      <c r="O205" s="267">
        <f>L205/ProjectedP205_Consumption!L32</f>
        <v>0</v>
      </c>
      <c r="P205" s="267">
        <f>M205/ProjectedP205_Consumption!M32</f>
        <v>0</v>
      </c>
      <c r="R205" s="196" t="s">
        <v>254</v>
      </c>
      <c r="T205" s="197">
        <v>0.1</v>
      </c>
    </row>
    <row r="206" spans="4:20" ht="13.5" customHeight="1" outlineLevel="1" x14ac:dyDescent="0.25">
      <c r="D206" s="2" t="str">
        <f t="shared" si="37"/>
        <v>Pomelos and grapefruits</v>
      </c>
      <c r="J206" s="179"/>
      <c r="K206" s="268">
        <v>0</v>
      </c>
      <c r="L206" s="268">
        <f>IF($R206="Yes",(ProjectedP205_Consumption!L33-L55-L90)*$T206,0)</f>
        <v>0</v>
      </c>
      <c r="M206" s="268">
        <f>IF($R206="Yes",(ProjectedP205_Consumption!M33-M55-M90)*$T206,0)</f>
        <v>0</v>
      </c>
      <c r="N206" s="267">
        <f>K206/ProjectedP205_Consumption!K33</f>
        <v>0</v>
      </c>
      <c r="O206" s="267">
        <f>L206/ProjectedP205_Consumption!L33</f>
        <v>0</v>
      </c>
      <c r="P206" s="267">
        <f>M206/ProjectedP205_Consumption!M33</f>
        <v>0</v>
      </c>
      <c r="R206" s="196" t="s">
        <v>254</v>
      </c>
      <c r="T206" s="197">
        <v>0.1</v>
      </c>
    </row>
    <row r="207" spans="4:20" ht="13.5" customHeight="1" outlineLevel="1" x14ac:dyDescent="0.25">
      <c r="D207" s="2" t="str">
        <f t="shared" si="37"/>
        <v>Okra</v>
      </c>
      <c r="J207" s="179"/>
      <c r="K207" s="268">
        <v>0</v>
      </c>
      <c r="L207" s="268">
        <f>IF($R207="Yes",(ProjectedP205_Consumption!L34-L56-L91)*$T207,0)</f>
        <v>0</v>
      </c>
      <c r="M207" s="268">
        <f>IF($R207="Yes",(ProjectedP205_Consumption!M34-M56-M91)*$T207,0)</f>
        <v>0</v>
      </c>
      <c r="N207" s="267">
        <f>K207/ProjectedP205_Consumption!K34</f>
        <v>0</v>
      </c>
      <c r="O207" s="267">
        <f>L207/ProjectedP205_Consumption!L34</f>
        <v>0</v>
      </c>
      <c r="P207" s="267">
        <f>M207/ProjectedP205_Consumption!M34</f>
        <v>0</v>
      </c>
      <c r="R207" s="196" t="s">
        <v>254</v>
      </c>
      <c r="T207" s="197">
        <v>0.1</v>
      </c>
    </row>
    <row r="208" spans="4:20" ht="13.5" customHeight="1" outlineLevel="1" x14ac:dyDescent="0.25">
      <c r="D208" s="2" t="str">
        <f t="shared" si="37"/>
        <v>Lemons and limes</v>
      </c>
      <c r="J208" s="179"/>
      <c r="K208" s="268">
        <v>0</v>
      </c>
      <c r="L208" s="268">
        <f>IF($R208="Yes",(ProjectedP205_Consumption!L35-L57-L92)*$T208,0)</f>
        <v>0</v>
      </c>
      <c r="M208" s="268">
        <f>IF($R208="Yes",(ProjectedP205_Consumption!M35-M57-M92)*$T208,0)</f>
        <v>0</v>
      </c>
      <c r="N208" s="267">
        <f>K208/ProjectedP205_Consumption!K35</f>
        <v>0</v>
      </c>
      <c r="O208" s="267">
        <f>L208/ProjectedP205_Consumption!L35</f>
        <v>0</v>
      </c>
      <c r="P208" s="267">
        <f>M208/ProjectedP205_Consumption!M35</f>
        <v>0</v>
      </c>
      <c r="R208" s="196" t="s">
        <v>254</v>
      </c>
      <c r="T208" s="197">
        <v>0.1</v>
      </c>
    </row>
    <row r="209" spans="4:20" ht="13.5" customHeight="1" outlineLevel="1" x14ac:dyDescent="0.25">
      <c r="D209" s="2" t="str">
        <f t="shared" si="37"/>
        <v>Green garlic</v>
      </c>
      <c r="J209" s="179"/>
      <c r="K209" s="268">
        <v>0</v>
      </c>
      <c r="L209" s="268">
        <f>IF($R209="Yes",(ProjectedP205_Consumption!L36-L58-L93)*$T209,0)</f>
        <v>0</v>
      </c>
      <c r="M209" s="268">
        <f>IF($R209="Yes",(ProjectedP205_Consumption!M36-M58-M93)*$T209,0)</f>
        <v>0</v>
      </c>
      <c r="N209" s="267">
        <f>K209/ProjectedP205_Consumption!K36</f>
        <v>0</v>
      </c>
      <c r="O209" s="267">
        <f>L209/ProjectedP205_Consumption!L36</f>
        <v>0</v>
      </c>
      <c r="P209" s="267">
        <f>M209/ProjectedP205_Consumption!M36</f>
        <v>0</v>
      </c>
      <c r="R209" s="196" t="s">
        <v>254</v>
      </c>
      <c r="T209" s="197">
        <v>0.1</v>
      </c>
    </row>
    <row r="210" spans="4:20" ht="13.5" customHeight="1" outlineLevel="1" x14ac:dyDescent="0.25">
      <c r="D210" s="2" t="str">
        <f t="shared" si="37"/>
        <v>Sweet potatoes</v>
      </c>
      <c r="J210" s="179"/>
      <c r="K210" s="268">
        <v>0</v>
      </c>
      <c r="L210" s="268">
        <f>IF($R210="Yes",(ProjectedP205_Consumption!L37-L59-L94)*$T210,0)</f>
        <v>0</v>
      </c>
      <c r="M210" s="268">
        <f>IF($R210="Yes",(ProjectedP205_Consumption!M37-M59-M94)*$T210,0)</f>
        <v>0</v>
      </c>
      <c r="N210" s="267">
        <f>K210/ProjectedP205_Consumption!K37</f>
        <v>0</v>
      </c>
      <c r="O210" s="267">
        <f>L210/ProjectedP205_Consumption!L37</f>
        <v>0</v>
      </c>
      <c r="P210" s="267">
        <f>M210/ProjectedP205_Consumption!M37</f>
        <v>0</v>
      </c>
      <c r="R210" s="196" t="s">
        <v>254</v>
      </c>
      <c r="T210" s="197">
        <v>0.1</v>
      </c>
    </row>
    <row r="211" spans="4:20" ht="13.5" customHeight="1" outlineLevel="1" x14ac:dyDescent="0.25">
      <c r="D211" s="2" t="str">
        <f t="shared" si="37"/>
        <v>Other pulses n.e.c.</v>
      </c>
      <c r="J211" s="179"/>
      <c r="K211" s="268">
        <v>0</v>
      </c>
      <c r="L211" s="268">
        <f>IF($R211="Yes",(ProjectedP205_Consumption!L38-L60-L95)*$T211,0)</f>
        <v>0.1573912565019179</v>
      </c>
      <c r="M211" s="268">
        <f>IF($R211="Yes",(ProjectedP205_Consumption!M38-M60-M95)*$T211,0)</f>
        <v>0.15058730629601894</v>
      </c>
      <c r="N211" s="267">
        <f>K211/ProjectedP205_Consumption!K38</f>
        <v>0</v>
      </c>
      <c r="O211" s="267">
        <f>L211/ProjectedP205_Consumption!L38</f>
        <v>7.1660667978871023E-2</v>
      </c>
      <c r="P211" s="267">
        <f>M211/ProjectedP205_Consumption!M38</f>
        <v>5.4375356160763583E-2</v>
      </c>
      <c r="R211" s="196" t="s">
        <v>255</v>
      </c>
      <c r="S211" s="2" t="s">
        <v>271</v>
      </c>
      <c r="T211" s="197">
        <v>0.1</v>
      </c>
    </row>
    <row r="212" spans="4:20" ht="13.5" customHeight="1" outlineLevel="1" x14ac:dyDescent="0.25">
      <c r="D212" s="2" t="str">
        <f t="shared" si="37"/>
        <v>Other vegetables, fresh n.e.c.</v>
      </c>
      <c r="J212" s="179"/>
      <c r="K212" s="268">
        <v>0</v>
      </c>
      <c r="L212" s="268">
        <f>IF($R212="Yes",(ProjectedP205_Consumption!L39-L61-L96)*$T212,0)</f>
        <v>0</v>
      </c>
      <c r="M212" s="268">
        <f>IF($R212="Yes",(ProjectedP205_Consumption!M39-M61-M96)*$T212,0)</f>
        <v>0</v>
      </c>
      <c r="N212" s="267">
        <f>K212/ProjectedP205_Consumption!K39</f>
        <v>0</v>
      </c>
      <c r="O212" s="267">
        <f>L212/ProjectedP205_Consumption!L39</f>
        <v>0</v>
      </c>
      <c r="P212" s="267">
        <f>M212/ProjectedP205_Consumption!M39</f>
        <v>0</v>
      </c>
      <c r="R212" s="196" t="s">
        <v>254</v>
      </c>
      <c r="T212" s="197">
        <v>0.1</v>
      </c>
    </row>
    <row r="213" spans="4:20" ht="13.5" customHeight="1" outlineLevel="1" x14ac:dyDescent="0.25">
      <c r="D213" s="2" t="str">
        <f t="shared" si="37"/>
        <v>Other fruits, n.e.c.</v>
      </c>
      <c r="J213" s="179"/>
      <c r="K213" s="268">
        <v>0</v>
      </c>
      <c r="L213" s="268">
        <f>IF($R213="Yes",(ProjectedP205_Consumption!L40-L62-L97)*$T213,0)</f>
        <v>0</v>
      </c>
      <c r="M213" s="268">
        <f>IF($R213="Yes",(ProjectedP205_Consumption!M40-M62-M97)*$T213,0)</f>
        <v>0</v>
      </c>
      <c r="N213" s="267">
        <f>K213/ProjectedP205_Consumption!K40</f>
        <v>0</v>
      </c>
      <c r="O213" s="267">
        <f>L213/ProjectedP205_Consumption!L40</f>
        <v>0</v>
      </c>
      <c r="P213" s="267">
        <f>M213/ProjectedP205_Consumption!M40</f>
        <v>0</v>
      </c>
      <c r="R213" s="196" t="s">
        <v>254</v>
      </c>
      <c r="T213" s="197">
        <v>0.1</v>
      </c>
    </row>
    <row r="214" spans="4:20" ht="13.5" customHeight="1" outlineLevel="1" x14ac:dyDescent="0.25">
      <c r="D214" s="2" t="str">
        <f t="shared" si="37"/>
        <v>Broad beans and horse beans, dry</v>
      </c>
      <c r="J214" s="179"/>
      <c r="K214" s="268">
        <v>0</v>
      </c>
      <c r="L214" s="268">
        <f>IF($R214="Yes",(ProjectedP205_Consumption!L41-L63-L98)*$T214,0)</f>
        <v>0</v>
      </c>
      <c r="M214" s="268">
        <f>IF($R214="Yes",(ProjectedP205_Consumption!M41-M63-M98)*$T214,0)</f>
        <v>0</v>
      </c>
      <c r="N214" s="267">
        <f>K214/ProjectedP205_Consumption!K41</f>
        <v>0</v>
      </c>
      <c r="O214" s="267">
        <f>L214/ProjectedP205_Consumption!L41</f>
        <v>0</v>
      </c>
      <c r="P214" s="267">
        <f>M214/ProjectedP205_Consumption!M41</f>
        <v>0</v>
      </c>
      <c r="R214" s="196" t="s">
        <v>254</v>
      </c>
      <c r="T214" s="197">
        <v>0.1</v>
      </c>
    </row>
    <row r="215" spans="4:20" ht="13.5" customHeight="1" outlineLevel="1" x14ac:dyDescent="0.25">
      <c r="D215" s="2" t="str">
        <f t="shared" si="37"/>
        <v>Chick peas, dry</v>
      </c>
      <c r="J215" s="179"/>
      <c r="K215" s="268">
        <v>0</v>
      </c>
      <c r="L215" s="268">
        <f>IF($R215="Yes",(ProjectedP205_Consumption!L42-L64-L99)*$T215,0)</f>
        <v>0</v>
      </c>
      <c r="M215" s="268">
        <f>IF($R215="Yes",(ProjectedP205_Consumption!M42-M64-M99)*$T215,0)</f>
        <v>0</v>
      </c>
      <c r="N215" s="267">
        <f>K215/ProjectedP205_Consumption!K42</f>
        <v>0</v>
      </c>
      <c r="O215" s="267">
        <f>L215/ProjectedP205_Consumption!L42</f>
        <v>0</v>
      </c>
      <c r="P215" s="267">
        <f>M215/ProjectedP205_Consumption!M42</f>
        <v>0</v>
      </c>
      <c r="R215" s="196" t="s">
        <v>254</v>
      </c>
      <c r="T215" s="197">
        <v>0.1</v>
      </c>
    </row>
    <row r="216" spans="4:20" ht="13.5" customHeight="1" outlineLevel="1" thickBot="1" x14ac:dyDescent="0.3">
      <c r="D216" s="2" t="str">
        <f t="shared" si="37"/>
        <v>Beans, dry</v>
      </c>
      <c r="J216" s="179"/>
      <c r="K216" s="268">
        <v>0</v>
      </c>
      <c r="L216" s="268">
        <f>IF($R216="Yes",(ProjectedP205_Consumption!L43-L65-L100)*$T216,0)</f>
        <v>0</v>
      </c>
      <c r="M216" s="268">
        <f>IF($R216="Yes",(ProjectedP205_Consumption!M43-M65-M100)*$T216,0)</f>
        <v>0</v>
      </c>
      <c r="N216" s="267">
        <f>K216/ProjectedP205_Consumption!K43</f>
        <v>0</v>
      </c>
      <c r="O216" s="267">
        <f>L216/ProjectedP205_Consumption!L43</f>
        <v>0</v>
      </c>
      <c r="P216" s="267">
        <f>M216/ProjectedP205_Consumption!M43</f>
        <v>0</v>
      </c>
      <c r="R216" s="196" t="s">
        <v>254</v>
      </c>
      <c r="T216" s="197">
        <v>0.1</v>
      </c>
    </row>
    <row r="217" spans="4:20" ht="13.5" customHeight="1" outlineLevel="1" thickTop="1" thickBot="1" x14ac:dyDescent="0.3">
      <c r="D217" s="102" t="s">
        <v>13</v>
      </c>
      <c r="E217" s="125"/>
      <c r="F217" s="125"/>
      <c r="G217" s="125"/>
      <c r="H217" s="125"/>
      <c r="I217" s="125"/>
      <c r="J217" s="126"/>
      <c r="K217" s="126">
        <f t="shared" ref="K217" si="38">SUM(K186:K216)</f>
        <v>0</v>
      </c>
      <c r="L217" s="126">
        <f t="shared" ref="L217:M217" si="39">SUM(L186:L216)</f>
        <v>7.3833285459315654</v>
      </c>
      <c r="M217" s="126">
        <f t="shared" si="39"/>
        <v>7.3235032367584294</v>
      </c>
      <c r="N217" s="193"/>
      <c r="O217" s="193"/>
      <c r="P217" s="193"/>
    </row>
    <row r="218" spans="4:20" ht="13.5" customHeight="1" outlineLevel="1" thickTop="1" thickBot="1" x14ac:dyDescent="0.3">
      <c r="D218" s="100" t="s">
        <v>17</v>
      </c>
      <c r="E218" s="125"/>
      <c r="F218" s="125"/>
      <c r="G218" s="125"/>
      <c r="H218" s="125"/>
      <c r="I218" s="125"/>
      <c r="J218" s="126"/>
      <c r="K218" s="126">
        <f t="shared" ref="K218" si="40">K217/46%</f>
        <v>0</v>
      </c>
      <c r="L218" s="126">
        <f t="shared" ref="L218:M218" si="41">L217/46%</f>
        <v>16.050714230286012</v>
      </c>
      <c r="M218" s="126">
        <f t="shared" si="41"/>
        <v>15.920659210344411</v>
      </c>
      <c r="N218" s="193"/>
      <c r="O218" s="193"/>
      <c r="P218" s="193"/>
    </row>
    <row r="219" spans="4:20" ht="13.5" customHeight="1" outlineLevel="1" thickTop="1" x14ac:dyDescent="0.25">
      <c r="N219" s="2" t="s">
        <v>314</v>
      </c>
    </row>
    <row r="220" spans="4:20" ht="13.5" customHeight="1" outlineLevel="1" x14ac:dyDescent="0.3">
      <c r="D220" s="30" t="s">
        <v>282</v>
      </c>
      <c r="E220" s="34">
        <v>2017</v>
      </c>
      <c r="F220" s="34">
        <v>2018</v>
      </c>
      <c r="G220" s="34">
        <v>2019</v>
      </c>
      <c r="H220" s="34">
        <v>2020</v>
      </c>
      <c r="I220" s="34">
        <v>2021</v>
      </c>
      <c r="J220" s="118">
        <v>2022</v>
      </c>
      <c r="K220" s="118">
        <v>2023</v>
      </c>
      <c r="L220" s="118">
        <v>2024</v>
      </c>
      <c r="M220" s="118">
        <v>2025</v>
      </c>
      <c r="N220" s="118">
        <v>2023</v>
      </c>
      <c r="O220" s="118">
        <v>2024</v>
      </c>
      <c r="P220" s="118">
        <v>2025</v>
      </c>
    </row>
    <row r="221" spans="4:20" ht="13.5" customHeight="1" outlineLevel="1" x14ac:dyDescent="0.25">
      <c r="D221" s="2" t="str">
        <f>D186</f>
        <v>Sorghum</v>
      </c>
      <c r="J221" s="179"/>
      <c r="K221" s="268">
        <v>0</v>
      </c>
      <c r="L221" s="268">
        <f>IF($R221="Yes",(ProjectedP205_Consumption!L51-L70-L146)*$T221,0)</f>
        <v>0</v>
      </c>
      <c r="M221" s="268">
        <f>IF($R221="Yes",(ProjectedP205_Consumption!M51-M70-M146)*$T221,0)</f>
        <v>0</v>
      </c>
      <c r="N221" s="267">
        <f>K221/ProjectedP205_Consumption!K51</f>
        <v>0</v>
      </c>
      <c r="O221" s="267">
        <f>L221/ProjectedP205_Consumption!L51</f>
        <v>0</v>
      </c>
      <c r="P221" s="267">
        <f>M221/ProjectedP205_Consumption!M51</f>
        <v>0</v>
      </c>
      <c r="R221" s="2" t="str">
        <f>R186</f>
        <v>No</v>
      </c>
      <c r="T221" s="181">
        <f>T186</f>
        <v>0.1</v>
      </c>
    </row>
    <row r="222" spans="4:20" ht="13.5" customHeight="1" outlineLevel="1" x14ac:dyDescent="0.25">
      <c r="D222" s="2" t="str">
        <f t="shared" ref="D222:D251" si="42">D187</f>
        <v>Sesame seed</v>
      </c>
      <c r="J222" s="179"/>
      <c r="K222" s="268">
        <v>0</v>
      </c>
      <c r="L222" s="268">
        <f>IF($R222="Yes",(ProjectedP205_Consumption!L52-L71-L147)*$T222,0)</f>
        <v>4.0965825566408762</v>
      </c>
      <c r="M222" s="268">
        <f>IF($R222="Yes",(ProjectedP205_Consumption!M52-M71-M147)*$T222,0)</f>
        <v>4.6227308505071694</v>
      </c>
      <c r="N222" s="267">
        <f>K222/ProjectedP205_Consumption!K52</f>
        <v>0</v>
      </c>
      <c r="O222" s="267">
        <f>L222/ProjectedP205_Consumption!L52</f>
        <v>8.635000000000001E-2</v>
      </c>
      <c r="P222" s="267">
        <f>M222/ProjectedP205_Consumption!M52</f>
        <v>7.7250000000000013E-2</v>
      </c>
      <c r="R222" s="2" t="str">
        <f t="shared" ref="R222:R251" si="43">R187</f>
        <v>Yes</v>
      </c>
      <c r="T222" s="181">
        <f t="shared" ref="T222:T251" si="44">T187</f>
        <v>0.1</v>
      </c>
    </row>
    <row r="223" spans="4:20" ht="13.5" customHeight="1" outlineLevel="1" x14ac:dyDescent="0.25">
      <c r="D223" s="2" t="str">
        <f t="shared" si="42"/>
        <v>Groundnuts, excluding shelled</v>
      </c>
      <c r="J223" s="179"/>
      <c r="K223" s="268">
        <v>0</v>
      </c>
      <c r="L223" s="268">
        <f>IF($R223="Yes",(ProjectedP205_Consumption!L53-L72-L148)*$T223,0)</f>
        <v>5.020736921126419</v>
      </c>
      <c r="M223" s="268">
        <f>IF($R223="Yes",(ProjectedP205_Consumption!M53-M72-M148)*$T223,0)</f>
        <v>5.9992851493640478</v>
      </c>
      <c r="N223" s="267">
        <f>K223/ProjectedP205_Consumption!K53</f>
        <v>0</v>
      </c>
      <c r="O223" s="267">
        <f>L223/ProjectedP205_Consumption!L53</f>
        <v>8.635000000000001E-2</v>
      </c>
      <c r="P223" s="267">
        <f>M223/ProjectedP205_Consumption!M53</f>
        <v>7.7250000000000013E-2</v>
      </c>
      <c r="R223" s="2" t="str">
        <f t="shared" si="43"/>
        <v>Yes</v>
      </c>
      <c r="T223" s="181">
        <f t="shared" si="44"/>
        <v>0.1</v>
      </c>
    </row>
    <row r="224" spans="4:20" ht="13.5" customHeight="1" outlineLevel="1" x14ac:dyDescent="0.25">
      <c r="D224" s="2" t="str">
        <f t="shared" si="42"/>
        <v>Millet</v>
      </c>
      <c r="J224" s="179"/>
      <c r="K224" s="268">
        <v>0</v>
      </c>
      <c r="L224" s="268">
        <f>IF($R224="Yes",(ProjectedP205_Consumption!L54-L73-L149)*$T224,0)</f>
        <v>0</v>
      </c>
      <c r="M224" s="268">
        <f>IF($R224="Yes",(ProjectedP205_Consumption!M54-M73-M149)*$T224,0)</f>
        <v>0</v>
      </c>
      <c r="N224" s="267">
        <f>K224/ProjectedP205_Consumption!K54</f>
        <v>0</v>
      </c>
      <c r="O224" s="267">
        <f>L224/ProjectedP205_Consumption!L54</f>
        <v>0</v>
      </c>
      <c r="P224" s="267">
        <f>M224/ProjectedP205_Consumption!M54</f>
        <v>0</v>
      </c>
      <c r="R224" s="2" t="str">
        <f t="shared" si="43"/>
        <v>No</v>
      </c>
      <c r="T224" s="181">
        <f t="shared" si="44"/>
        <v>0.1</v>
      </c>
    </row>
    <row r="225" spans="4:20" ht="13.5" customHeight="1" outlineLevel="1" x14ac:dyDescent="0.25">
      <c r="D225" s="2" t="str">
        <f t="shared" si="42"/>
        <v>Sugar cane</v>
      </c>
      <c r="J225" s="179"/>
      <c r="K225" s="268">
        <v>0</v>
      </c>
      <c r="L225" s="268">
        <f>IF($R225="Yes",(ProjectedP205_Consumption!L55-L74-L150)*$T225,0)</f>
        <v>0.20999659254094791</v>
      </c>
      <c r="M225" s="268">
        <f>IF($R225="Yes",(ProjectedP205_Consumption!M55-M74-M150)*$T225,0)</f>
        <v>0.23157455093464732</v>
      </c>
      <c r="N225" s="267">
        <f>K225/ProjectedP205_Consumption!K55</f>
        <v>0</v>
      </c>
      <c r="O225" s="267">
        <f>L225/ProjectedP205_Consumption!L55</f>
        <v>8.6349999999999996E-2</v>
      </c>
      <c r="P225" s="267">
        <f>M225/ProjectedP205_Consumption!M55</f>
        <v>7.7249999999999999E-2</v>
      </c>
      <c r="R225" s="2" t="str">
        <f t="shared" si="43"/>
        <v>Yes</v>
      </c>
      <c r="T225" s="181">
        <f t="shared" si="44"/>
        <v>0.1</v>
      </c>
    </row>
    <row r="226" spans="4:20" ht="13.5" customHeight="1" outlineLevel="1" x14ac:dyDescent="0.25">
      <c r="D226" s="2" t="str">
        <f t="shared" si="42"/>
        <v>Melonseed</v>
      </c>
      <c r="J226" s="179"/>
      <c r="K226" s="268">
        <v>0</v>
      </c>
      <c r="L226" s="268">
        <f>IF($R226="Yes",(ProjectedP205_Consumption!L56-L75-L151)*$T226,0)</f>
        <v>0.11700497381215264</v>
      </c>
      <c r="M226" s="268">
        <f>IF($R226="Yes",(ProjectedP205_Consumption!M56-M75-M151)*$T226,0)</f>
        <v>0.12516675777168498</v>
      </c>
      <c r="N226" s="267">
        <f>K226/ProjectedP205_Consumption!K56</f>
        <v>0</v>
      </c>
      <c r="O226" s="267">
        <f>L226/ProjectedP205_Consumption!L56</f>
        <v>8.635000000000001E-2</v>
      </c>
      <c r="P226" s="267">
        <f>M226/ProjectedP205_Consumption!M56</f>
        <v>7.7249999999999999E-2</v>
      </c>
      <c r="R226" s="2" t="str">
        <f t="shared" si="43"/>
        <v>Yes</v>
      </c>
      <c r="T226" s="181">
        <f t="shared" si="44"/>
        <v>0.1</v>
      </c>
    </row>
    <row r="227" spans="4:20" ht="13.5" customHeight="1" outlineLevel="1" x14ac:dyDescent="0.25">
      <c r="D227" s="2" t="str">
        <f t="shared" si="42"/>
        <v>Cow peas, dry</v>
      </c>
      <c r="J227" s="179"/>
      <c r="K227" s="268">
        <v>0</v>
      </c>
      <c r="L227" s="268">
        <f>IF($R227="Yes",(ProjectedP205_Consumption!L57-L76-L152)*$T227,0)</f>
        <v>8.6521992983748075E-2</v>
      </c>
      <c r="M227" s="268">
        <f>IF($R227="Yes",(ProjectedP205_Consumption!M57-M76-M152)*$T227,0)</f>
        <v>0.10754736233004461</v>
      </c>
      <c r="N227" s="267">
        <f>K227/ProjectedP205_Consumption!K57</f>
        <v>0</v>
      </c>
      <c r="O227" s="267">
        <f>L227/ProjectedP205_Consumption!L57</f>
        <v>8.6349999999999996E-2</v>
      </c>
      <c r="P227" s="267">
        <f>M227/ProjectedP205_Consumption!M57</f>
        <v>7.7250000000000013E-2</v>
      </c>
      <c r="R227" s="2" t="str">
        <f t="shared" si="43"/>
        <v>Yes</v>
      </c>
      <c r="T227" s="181">
        <f t="shared" si="44"/>
        <v>0.1</v>
      </c>
    </row>
    <row r="228" spans="4:20" ht="13.5" customHeight="1" outlineLevel="1" x14ac:dyDescent="0.25">
      <c r="D228" s="2" t="str">
        <f t="shared" si="42"/>
        <v>Wheat</v>
      </c>
      <c r="J228" s="179"/>
      <c r="K228" s="268">
        <v>0</v>
      </c>
      <c r="L228" s="268">
        <f>IF($R228="Yes",(ProjectedP205_Consumption!L58-L77-L153)*$T228,0)</f>
        <v>0</v>
      </c>
      <c r="M228" s="268">
        <f>IF($R228="Yes",(ProjectedP205_Consumption!M58-M77-M153)*$T228,0)</f>
        <v>0</v>
      </c>
      <c r="N228" s="267">
        <f>K228/ProjectedP205_Consumption!K58</f>
        <v>0</v>
      </c>
      <c r="O228" s="267">
        <f>L228/ProjectedP205_Consumption!L58</f>
        <v>0</v>
      </c>
      <c r="P228" s="267">
        <f>M228/ProjectedP205_Consumption!M58</f>
        <v>0</v>
      </c>
      <c r="R228" s="2" t="str">
        <f t="shared" si="43"/>
        <v>No</v>
      </c>
      <c r="T228" s="181">
        <f t="shared" si="44"/>
        <v>0.1</v>
      </c>
    </row>
    <row r="229" spans="4:20" ht="13.5" customHeight="1" outlineLevel="1" x14ac:dyDescent="0.25">
      <c r="D229" s="2" t="str">
        <f t="shared" si="42"/>
        <v>Onions and shallots, dry (excluding dehydrated)</v>
      </c>
      <c r="J229" s="179"/>
      <c r="K229" s="268">
        <v>0</v>
      </c>
      <c r="L229" s="268">
        <f>IF($R229="Yes",(ProjectedP205_Consumption!L59-L78-L154)*$T229,0)</f>
        <v>0</v>
      </c>
      <c r="M229" s="268">
        <f>IF($R229="Yes",(ProjectedP205_Consumption!M59-M78-M154)*$T229,0)</f>
        <v>0</v>
      </c>
      <c r="N229" s="267">
        <f>K229/ProjectedP205_Consumption!K59</f>
        <v>0</v>
      </c>
      <c r="O229" s="267">
        <f>L229/ProjectedP205_Consumption!L59</f>
        <v>0</v>
      </c>
      <c r="P229" s="267">
        <f>M229/ProjectedP205_Consumption!M59</f>
        <v>0</v>
      </c>
      <c r="R229" s="2" t="str">
        <f t="shared" si="43"/>
        <v>No</v>
      </c>
      <c r="T229" s="181">
        <f t="shared" si="44"/>
        <v>0.1</v>
      </c>
    </row>
    <row r="230" spans="4:20" ht="13.5" customHeight="1" outlineLevel="1" x14ac:dyDescent="0.25">
      <c r="D230" s="2" t="str">
        <f t="shared" si="42"/>
        <v>Bananas</v>
      </c>
      <c r="J230" s="179"/>
      <c r="K230" s="268">
        <v>0</v>
      </c>
      <c r="L230" s="268">
        <f>IF($R230="Yes",(ProjectedP205_Consumption!L60-L79-L155)*$T230,0)</f>
        <v>0</v>
      </c>
      <c r="M230" s="268">
        <f>IF($R230="Yes",(ProjectedP205_Consumption!M60-M79-M155)*$T230,0)</f>
        <v>0</v>
      </c>
      <c r="N230" s="267">
        <f>K230/ProjectedP205_Consumption!K60</f>
        <v>0</v>
      </c>
      <c r="O230" s="267">
        <f>L230/ProjectedP205_Consumption!L60</f>
        <v>0</v>
      </c>
      <c r="P230" s="267">
        <f>M230/ProjectedP205_Consumption!M60</f>
        <v>0</v>
      </c>
      <c r="R230" s="2" t="str">
        <f t="shared" si="43"/>
        <v>No</v>
      </c>
      <c r="T230" s="181">
        <f t="shared" si="44"/>
        <v>0.1</v>
      </c>
    </row>
    <row r="231" spans="4:20" ht="13.5" customHeight="1" outlineLevel="1" x14ac:dyDescent="0.25">
      <c r="D231" s="2" t="str">
        <f t="shared" si="42"/>
        <v>Mangoes, guavas and mangosteens</v>
      </c>
      <c r="J231" s="179"/>
      <c r="K231" s="268">
        <v>0</v>
      </c>
      <c r="L231" s="268">
        <f>IF($R231="Yes",(ProjectedP205_Consumption!L61-L80-L156)*$T231,0)</f>
        <v>0</v>
      </c>
      <c r="M231" s="268">
        <f>IF($R231="Yes",(ProjectedP205_Consumption!M61-M80-M156)*$T231,0)</f>
        <v>0</v>
      </c>
      <c r="N231" s="267">
        <f>K231/ProjectedP205_Consumption!K61</f>
        <v>0</v>
      </c>
      <c r="O231" s="267">
        <f>L231/ProjectedP205_Consumption!L61</f>
        <v>0</v>
      </c>
      <c r="P231" s="267">
        <f>M231/ProjectedP205_Consumption!M61</f>
        <v>0</v>
      </c>
      <c r="R231" s="2" t="str">
        <f t="shared" si="43"/>
        <v>No</v>
      </c>
      <c r="T231" s="181">
        <f t="shared" si="44"/>
        <v>0.1</v>
      </c>
    </row>
    <row r="232" spans="4:20" ht="13.5" customHeight="1" outlineLevel="1" x14ac:dyDescent="0.25">
      <c r="D232" s="2" t="str">
        <f t="shared" si="42"/>
        <v>Cantaloupes and other melons</v>
      </c>
      <c r="J232" s="179"/>
      <c r="K232" s="268">
        <v>0</v>
      </c>
      <c r="L232" s="268">
        <f>IF($R232="Yes",(ProjectedP205_Consumption!L62-L81-L157)*$T232,0)</f>
        <v>0</v>
      </c>
      <c r="M232" s="268">
        <f>IF($R232="Yes",(ProjectedP205_Consumption!M62-M81-M157)*$T232,0)</f>
        <v>0</v>
      </c>
      <c r="N232" s="267">
        <f>K232/ProjectedP205_Consumption!K62</f>
        <v>0</v>
      </c>
      <c r="O232" s="267">
        <f>L232/ProjectedP205_Consumption!L62</f>
        <v>0</v>
      </c>
      <c r="P232" s="267">
        <f>M232/ProjectedP205_Consumption!M62</f>
        <v>0</v>
      </c>
      <c r="R232" s="2" t="str">
        <f t="shared" si="43"/>
        <v>No</v>
      </c>
      <c r="T232" s="181">
        <f t="shared" si="44"/>
        <v>0.1</v>
      </c>
    </row>
    <row r="233" spans="4:20" ht="13.5" customHeight="1" outlineLevel="1" x14ac:dyDescent="0.25">
      <c r="D233" s="2" t="str">
        <f t="shared" si="42"/>
        <v>Sunflower seed</v>
      </c>
      <c r="J233" s="179"/>
      <c r="K233" s="268">
        <v>0</v>
      </c>
      <c r="L233" s="268">
        <f>IF($R233="Yes",(ProjectedP205_Consumption!L63-L82-L158)*$T233,0)</f>
        <v>0</v>
      </c>
      <c r="M233" s="268">
        <f>IF($R233="Yes",(ProjectedP205_Consumption!M63-M82-M158)*$T233,0)</f>
        <v>0</v>
      </c>
      <c r="N233" s="267">
        <f>K233/ProjectedP205_Consumption!K63</f>
        <v>0</v>
      </c>
      <c r="O233" s="267">
        <f>L233/ProjectedP205_Consumption!L63</f>
        <v>0</v>
      </c>
      <c r="P233" s="267">
        <f>M233/ProjectedP205_Consumption!M63</f>
        <v>0</v>
      </c>
      <c r="R233" s="2" t="str">
        <f t="shared" si="43"/>
        <v>No</v>
      </c>
      <c r="T233" s="181">
        <f t="shared" si="44"/>
        <v>0.1</v>
      </c>
    </row>
    <row r="234" spans="4:20" ht="13.5" customHeight="1" outlineLevel="1" x14ac:dyDescent="0.25">
      <c r="D234" s="2" t="str">
        <f t="shared" si="42"/>
        <v>Cauliflowers and broccoli</v>
      </c>
      <c r="J234" s="179"/>
      <c r="K234" s="268">
        <v>0</v>
      </c>
      <c r="L234" s="268">
        <f>IF($R234="Yes",(ProjectedP205_Consumption!L64-L83-L159)*$T234,0)</f>
        <v>0</v>
      </c>
      <c r="M234" s="268">
        <f>IF($R234="Yes",(ProjectedP205_Consumption!M64-M83-M159)*$T234,0)</f>
        <v>0</v>
      </c>
      <c r="N234" s="267">
        <f>K234/ProjectedP205_Consumption!K64</f>
        <v>0</v>
      </c>
      <c r="O234" s="267">
        <f>L234/ProjectedP205_Consumption!L64</f>
        <v>0</v>
      </c>
      <c r="P234" s="267">
        <f>M234/ProjectedP205_Consumption!M64</f>
        <v>0</v>
      </c>
      <c r="R234" s="2" t="str">
        <f t="shared" si="43"/>
        <v>No</v>
      </c>
      <c r="T234" s="181">
        <f t="shared" si="44"/>
        <v>0.1</v>
      </c>
    </row>
    <row r="235" spans="4:20" ht="13.5" customHeight="1" outlineLevel="1" x14ac:dyDescent="0.25">
      <c r="D235" s="2" t="str">
        <f t="shared" si="42"/>
        <v>Seed cotton, unginned</v>
      </c>
      <c r="J235" s="179"/>
      <c r="K235" s="268">
        <v>0</v>
      </c>
      <c r="L235" s="268">
        <f>IF($R235="Yes",(ProjectedP205_Consumption!L65-L84-L160)*$T235,0)</f>
        <v>0.16639839699607126</v>
      </c>
      <c r="M235" s="268">
        <f>IF($R235="Yes",(ProjectedP205_Consumption!M65-M84-M160)*$T235,0)</f>
        <v>0.18676819287243723</v>
      </c>
      <c r="N235" s="267">
        <f>K235/ProjectedP205_Consumption!K65</f>
        <v>0</v>
      </c>
      <c r="O235" s="267">
        <f>L235/ProjectedP205_Consumption!L65</f>
        <v>8.635000000000001E-2</v>
      </c>
      <c r="P235" s="267">
        <f>M235/ProjectedP205_Consumption!M65</f>
        <v>7.7249999999999999E-2</v>
      </c>
      <c r="R235" s="2" t="str">
        <f t="shared" si="43"/>
        <v>Yes</v>
      </c>
      <c r="T235" s="181">
        <f t="shared" si="44"/>
        <v>0.1</v>
      </c>
    </row>
    <row r="236" spans="4:20" ht="13.5" customHeight="1" outlineLevel="1" x14ac:dyDescent="0.25">
      <c r="D236" s="2" t="str">
        <f t="shared" si="42"/>
        <v>Cucumbers and gherkins</v>
      </c>
      <c r="J236" s="179"/>
      <c r="K236" s="268">
        <v>0</v>
      </c>
      <c r="L236" s="268">
        <f>IF($R236="Yes",(ProjectedP205_Consumption!L66-L85-L161)*$T236,0)</f>
        <v>0</v>
      </c>
      <c r="M236" s="268">
        <f>IF($R236="Yes",(ProjectedP205_Consumption!M66-M85-M161)*$T236,0)</f>
        <v>0</v>
      </c>
      <c r="N236" s="267">
        <f>K236/ProjectedP205_Consumption!K66</f>
        <v>0</v>
      </c>
      <c r="O236" s="267">
        <f>L236/ProjectedP205_Consumption!L66</f>
        <v>0</v>
      </c>
      <c r="P236" s="267">
        <f>M236/ProjectedP205_Consumption!M66</f>
        <v>0</v>
      </c>
      <c r="R236" s="2" t="str">
        <f t="shared" si="43"/>
        <v>No</v>
      </c>
      <c r="T236" s="181">
        <f t="shared" si="44"/>
        <v>0.1</v>
      </c>
    </row>
    <row r="237" spans="4:20" ht="13.5" customHeight="1" outlineLevel="1" x14ac:dyDescent="0.25">
      <c r="D237" s="2" t="str">
        <f t="shared" si="42"/>
        <v>Tomatoes</v>
      </c>
      <c r="J237" s="179"/>
      <c r="K237" s="268">
        <v>0</v>
      </c>
      <c r="L237" s="268">
        <f>IF($R237="Yes",(ProjectedP205_Consumption!L67-L86-L162)*$T237,0)</f>
        <v>0</v>
      </c>
      <c r="M237" s="268">
        <f>IF($R237="Yes",(ProjectedP205_Consumption!M67-M86-M162)*$T237,0)</f>
        <v>0</v>
      </c>
      <c r="N237" s="267">
        <f>K237/ProjectedP205_Consumption!K67</f>
        <v>0</v>
      </c>
      <c r="O237" s="267">
        <f>L237/ProjectedP205_Consumption!L67</f>
        <v>0</v>
      </c>
      <c r="P237" s="267">
        <f>M237/ProjectedP205_Consumption!M67</f>
        <v>0</v>
      </c>
      <c r="R237" s="2" t="str">
        <f t="shared" si="43"/>
        <v>No</v>
      </c>
      <c r="T237" s="181">
        <f t="shared" si="44"/>
        <v>0.1</v>
      </c>
    </row>
    <row r="238" spans="4:20" ht="13.5" customHeight="1" outlineLevel="1" x14ac:dyDescent="0.25">
      <c r="D238" s="2" t="str">
        <f t="shared" si="42"/>
        <v>Potatoes</v>
      </c>
      <c r="J238" s="179"/>
      <c r="K238" s="268">
        <v>0</v>
      </c>
      <c r="L238" s="268">
        <f>IF($R238="Yes",(ProjectedP205_Consumption!L68-L87-L163)*$T238,0)</f>
        <v>0</v>
      </c>
      <c r="M238" s="268">
        <f>IF($R238="Yes",(ProjectedP205_Consumption!M68-M87-M163)*$T238,0)</f>
        <v>0</v>
      </c>
      <c r="N238" s="267">
        <f>K238/ProjectedP205_Consumption!K68</f>
        <v>0</v>
      </c>
      <c r="O238" s="267">
        <f>L238/ProjectedP205_Consumption!L68</f>
        <v>0</v>
      </c>
      <c r="P238" s="267">
        <f>M238/ProjectedP205_Consumption!M68</f>
        <v>0</v>
      </c>
      <c r="R238" s="2" t="str">
        <f t="shared" si="43"/>
        <v>No</v>
      </c>
      <c r="T238" s="181">
        <f t="shared" si="44"/>
        <v>0.1</v>
      </c>
    </row>
    <row r="239" spans="4:20" ht="13.5" customHeight="1" outlineLevel="1" x14ac:dyDescent="0.25">
      <c r="D239" s="2" t="str">
        <f t="shared" si="42"/>
        <v>Pumpkins, squash and gourds</v>
      </c>
      <c r="J239" s="179"/>
      <c r="K239" s="268">
        <v>0</v>
      </c>
      <c r="L239" s="268">
        <f>IF($R239="Yes",(ProjectedP205_Consumption!L69-L88-L164)*$T239,0)</f>
        <v>0</v>
      </c>
      <c r="M239" s="268">
        <f>IF($R239="Yes",(ProjectedP205_Consumption!M69-M88-M164)*$T239,0)</f>
        <v>0</v>
      </c>
      <c r="N239" s="267">
        <f>K239/ProjectedP205_Consumption!K69</f>
        <v>0</v>
      </c>
      <c r="O239" s="267">
        <f>L239/ProjectedP205_Consumption!L69</f>
        <v>0</v>
      </c>
      <c r="P239" s="267">
        <f>M239/ProjectedP205_Consumption!M69</f>
        <v>0</v>
      </c>
      <c r="R239" s="2" t="str">
        <f t="shared" si="43"/>
        <v>No</v>
      </c>
      <c r="T239" s="181">
        <f t="shared" si="44"/>
        <v>0.1</v>
      </c>
    </row>
    <row r="240" spans="4:20" ht="13.5" customHeight="1" outlineLevel="1" x14ac:dyDescent="0.25">
      <c r="D240" s="2" t="str">
        <f t="shared" si="42"/>
        <v>Dates</v>
      </c>
      <c r="J240" s="179"/>
      <c r="K240" s="268">
        <v>0</v>
      </c>
      <c r="L240" s="268">
        <f>IF($R240="Yes",(ProjectedP205_Consumption!L70-L89-L165)*$T240,0)</f>
        <v>0</v>
      </c>
      <c r="M240" s="268">
        <f>IF($R240="Yes",(ProjectedP205_Consumption!M70-M89-M165)*$T240,0)</f>
        <v>0</v>
      </c>
      <c r="N240" s="267">
        <f>K240/ProjectedP205_Consumption!K70</f>
        <v>0</v>
      </c>
      <c r="O240" s="267">
        <f>L240/ProjectedP205_Consumption!L70</f>
        <v>0</v>
      </c>
      <c r="P240" s="267">
        <f>M240/ProjectedP205_Consumption!M70</f>
        <v>0</v>
      </c>
      <c r="R240" s="2" t="str">
        <f t="shared" si="43"/>
        <v>No</v>
      </c>
      <c r="T240" s="181">
        <f t="shared" si="44"/>
        <v>0.1</v>
      </c>
    </row>
    <row r="241" spans="4:20" ht="13.5" customHeight="1" outlineLevel="1" x14ac:dyDescent="0.25">
      <c r="D241" s="2" t="str">
        <f t="shared" si="42"/>
        <v>Pomelos and grapefruits</v>
      </c>
      <c r="J241" s="179"/>
      <c r="K241" s="268">
        <v>0</v>
      </c>
      <c r="L241" s="268">
        <f>IF($R241="Yes",(ProjectedP205_Consumption!L71-L90-L166)*$T241,0)</f>
        <v>0</v>
      </c>
      <c r="M241" s="268">
        <f>IF($R241="Yes",(ProjectedP205_Consumption!M71-M90-M166)*$T241,0)</f>
        <v>0</v>
      </c>
      <c r="N241" s="267">
        <f>K241/ProjectedP205_Consumption!K71</f>
        <v>0</v>
      </c>
      <c r="O241" s="267">
        <f>L241/ProjectedP205_Consumption!L71</f>
        <v>0</v>
      </c>
      <c r="P241" s="267">
        <f>M241/ProjectedP205_Consumption!M71</f>
        <v>0</v>
      </c>
      <c r="R241" s="2" t="str">
        <f t="shared" si="43"/>
        <v>No</v>
      </c>
      <c r="T241" s="181">
        <f t="shared" si="44"/>
        <v>0.1</v>
      </c>
    </row>
    <row r="242" spans="4:20" ht="13.5" customHeight="1" outlineLevel="1" x14ac:dyDescent="0.25">
      <c r="D242" s="2" t="str">
        <f t="shared" si="42"/>
        <v>Okra</v>
      </c>
      <c r="J242" s="179"/>
      <c r="K242" s="268">
        <v>0</v>
      </c>
      <c r="L242" s="268">
        <f>IF($R242="Yes",(ProjectedP205_Consumption!L72-L91-L167)*$T242,0)</f>
        <v>0</v>
      </c>
      <c r="M242" s="268">
        <f>IF($R242="Yes",(ProjectedP205_Consumption!M72-M91-M167)*$T242,0)</f>
        <v>0</v>
      </c>
      <c r="N242" s="267">
        <f>K242/ProjectedP205_Consumption!K72</f>
        <v>0</v>
      </c>
      <c r="O242" s="267">
        <f>L242/ProjectedP205_Consumption!L72</f>
        <v>0</v>
      </c>
      <c r="P242" s="267">
        <f>M242/ProjectedP205_Consumption!M72</f>
        <v>0</v>
      </c>
      <c r="R242" s="2" t="str">
        <f t="shared" si="43"/>
        <v>No</v>
      </c>
      <c r="T242" s="181">
        <f t="shared" si="44"/>
        <v>0.1</v>
      </c>
    </row>
    <row r="243" spans="4:20" ht="13.5" customHeight="1" outlineLevel="1" x14ac:dyDescent="0.25">
      <c r="D243" s="2" t="str">
        <f t="shared" si="42"/>
        <v>Lemons and limes</v>
      </c>
      <c r="J243" s="179"/>
      <c r="K243" s="268">
        <v>0</v>
      </c>
      <c r="L243" s="268">
        <f>IF($R243="Yes",(ProjectedP205_Consumption!L73-L92-L168)*$T243,0)</f>
        <v>0</v>
      </c>
      <c r="M243" s="268">
        <f>IF($R243="Yes",(ProjectedP205_Consumption!M73-M92-M168)*$T243,0)</f>
        <v>0</v>
      </c>
      <c r="N243" s="267">
        <f>K243/ProjectedP205_Consumption!K73</f>
        <v>0</v>
      </c>
      <c r="O243" s="267">
        <f>L243/ProjectedP205_Consumption!L73</f>
        <v>0</v>
      </c>
      <c r="P243" s="267">
        <f>M243/ProjectedP205_Consumption!M73</f>
        <v>0</v>
      </c>
      <c r="R243" s="2" t="str">
        <f t="shared" si="43"/>
        <v>No</v>
      </c>
      <c r="T243" s="181">
        <f t="shared" si="44"/>
        <v>0.1</v>
      </c>
    </row>
    <row r="244" spans="4:20" ht="13.5" customHeight="1" outlineLevel="1" x14ac:dyDescent="0.25">
      <c r="D244" s="2" t="str">
        <f t="shared" si="42"/>
        <v>Green garlic</v>
      </c>
      <c r="J244" s="179"/>
      <c r="K244" s="268">
        <v>0</v>
      </c>
      <c r="L244" s="268">
        <f>IF($R244="Yes",(ProjectedP205_Consumption!L74-L93-L169)*$T244,0)</f>
        <v>0</v>
      </c>
      <c r="M244" s="268">
        <f>IF($R244="Yes",(ProjectedP205_Consumption!M74-M93-M169)*$T244,0)</f>
        <v>0</v>
      </c>
      <c r="N244" s="267">
        <f>K244/ProjectedP205_Consumption!K74</f>
        <v>0</v>
      </c>
      <c r="O244" s="267">
        <f>L244/ProjectedP205_Consumption!L74</f>
        <v>0</v>
      </c>
      <c r="P244" s="267">
        <f>M244/ProjectedP205_Consumption!M74</f>
        <v>0</v>
      </c>
      <c r="R244" s="2" t="str">
        <f t="shared" si="43"/>
        <v>No</v>
      </c>
      <c r="T244" s="181">
        <f t="shared" si="44"/>
        <v>0.1</v>
      </c>
    </row>
    <row r="245" spans="4:20" ht="13.5" customHeight="1" outlineLevel="1" x14ac:dyDescent="0.25">
      <c r="D245" s="2" t="str">
        <f t="shared" si="42"/>
        <v>Sweet potatoes</v>
      </c>
      <c r="J245" s="179"/>
      <c r="K245" s="268">
        <v>0</v>
      </c>
      <c r="L245" s="268">
        <f>IF($R245="Yes",(ProjectedP205_Consumption!L75-L94-L170)*$T245,0)</f>
        <v>0</v>
      </c>
      <c r="M245" s="268">
        <f>IF($R245="Yes",(ProjectedP205_Consumption!M75-M94-M170)*$T245,0)</f>
        <v>0</v>
      </c>
      <c r="N245" s="267">
        <f>K245/ProjectedP205_Consumption!K75</f>
        <v>0</v>
      </c>
      <c r="O245" s="267">
        <f>L245/ProjectedP205_Consumption!L75</f>
        <v>0</v>
      </c>
      <c r="P245" s="267">
        <f>M245/ProjectedP205_Consumption!M75</f>
        <v>0</v>
      </c>
      <c r="R245" s="2" t="str">
        <f t="shared" si="43"/>
        <v>No</v>
      </c>
      <c r="T245" s="181">
        <f t="shared" si="44"/>
        <v>0.1</v>
      </c>
    </row>
    <row r="246" spans="4:20" ht="13.5" customHeight="1" outlineLevel="1" x14ac:dyDescent="0.25">
      <c r="D246" s="2" t="str">
        <f t="shared" si="42"/>
        <v>Other pulses n.e.c.</v>
      </c>
      <c r="J246" s="179"/>
      <c r="K246" s="268">
        <v>0</v>
      </c>
      <c r="L246" s="268">
        <f>IF($R246="Yes",(ProjectedP205_Consumption!L76-L95-L171)*$T246,0)</f>
        <v>0.20409458778604447</v>
      </c>
      <c r="M246" s="268">
        <f>IF($R246="Yes",(ProjectedP205_Consumption!M76-M95-M171)*$T246,0)</f>
        <v>0.21510855256282288</v>
      </c>
      <c r="N246" s="267">
        <f>K246/ProjectedP205_Consumption!K76</f>
        <v>0</v>
      </c>
      <c r="O246" s="267">
        <f>L246/ProjectedP205_Consumption!L76</f>
        <v>8.635000000000001E-2</v>
      </c>
      <c r="P246" s="267">
        <f>M246/ProjectedP205_Consumption!M76</f>
        <v>7.7250000000000013E-2</v>
      </c>
      <c r="R246" s="2" t="str">
        <f t="shared" si="43"/>
        <v>Yes</v>
      </c>
      <c r="T246" s="181">
        <f t="shared" si="44"/>
        <v>0.1</v>
      </c>
    </row>
    <row r="247" spans="4:20" ht="13.5" customHeight="1" outlineLevel="1" x14ac:dyDescent="0.25">
      <c r="D247" s="2" t="str">
        <f t="shared" si="42"/>
        <v>Other vegetables, fresh n.e.c.</v>
      </c>
      <c r="J247" s="179"/>
      <c r="K247" s="268">
        <v>0</v>
      </c>
      <c r="L247" s="268">
        <f>IF($R247="Yes",(ProjectedP205_Consumption!L77-L96-L172)*$T247,0)</f>
        <v>0</v>
      </c>
      <c r="M247" s="268">
        <f>IF($R247="Yes",(ProjectedP205_Consumption!M77-M96-M172)*$T247,0)</f>
        <v>0</v>
      </c>
      <c r="N247" s="267">
        <f>K247/ProjectedP205_Consumption!K77</f>
        <v>0</v>
      </c>
      <c r="O247" s="267">
        <f>L247/ProjectedP205_Consumption!L77</f>
        <v>0</v>
      </c>
      <c r="P247" s="267">
        <f>M247/ProjectedP205_Consumption!M77</f>
        <v>0</v>
      </c>
      <c r="R247" s="2" t="str">
        <f t="shared" si="43"/>
        <v>No</v>
      </c>
      <c r="T247" s="181">
        <f t="shared" si="44"/>
        <v>0.1</v>
      </c>
    </row>
    <row r="248" spans="4:20" ht="13.5" customHeight="1" outlineLevel="1" x14ac:dyDescent="0.25">
      <c r="D248" s="2" t="str">
        <f t="shared" si="42"/>
        <v>Other fruits, n.e.c.</v>
      </c>
      <c r="J248" s="179"/>
      <c r="K248" s="268">
        <v>0</v>
      </c>
      <c r="L248" s="268">
        <f>IF($R248="Yes",(ProjectedP205_Consumption!L78-L97-L173)*$T248,0)</f>
        <v>0</v>
      </c>
      <c r="M248" s="268">
        <f>IF($R248="Yes",(ProjectedP205_Consumption!M78-M97-M173)*$T248,0)</f>
        <v>0</v>
      </c>
      <c r="N248" s="267">
        <f>K248/ProjectedP205_Consumption!K78</f>
        <v>0</v>
      </c>
      <c r="O248" s="267">
        <f>L248/ProjectedP205_Consumption!L78</f>
        <v>0</v>
      </c>
      <c r="P248" s="267">
        <f>M248/ProjectedP205_Consumption!M78</f>
        <v>0</v>
      </c>
      <c r="R248" s="2" t="str">
        <f t="shared" si="43"/>
        <v>No</v>
      </c>
      <c r="T248" s="181">
        <f t="shared" si="44"/>
        <v>0.1</v>
      </c>
    </row>
    <row r="249" spans="4:20" ht="13.5" customHeight="1" outlineLevel="1" x14ac:dyDescent="0.25">
      <c r="D249" s="2" t="str">
        <f t="shared" si="42"/>
        <v>Broad beans and horse beans, dry</v>
      </c>
      <c r="J249" s="179"/>
      <c r="K249" s="268">
        <v>0</v>
      </c>
      <c r="L249" s="268">
        <f>IF($R249="Yes",(ProjectedP205_Consumption!L79-L98-L174)*$T249,0)</f>
        <v>0</v>
      </c>
      <c r="M249" s="268">
        <f>IF($R249="Yes",(ProjectedP205_Consumption!M79-M98-M174)*$T249,0)</f>
        <v>0</v>
      </c>
      <c r="N249" s="267">
        <f>K249/ProjectedP205_Consumption!K79</f>
        <v>0</v>
      </c>
      <c r="O249" s="267">
        <f>L249/ProjectedP205_Consumption!L79</f>
        <v>0</v>
      </c>
      <c r="P249" s="267">
        <f>M249/ProjectedP205_Consumption!M79</f>
        <v>0</v>
      </c>
      <c r="R249" s="2" t="str">
        <f t="shared" si="43"/>
        <v>No</v>
      </c>
      <c r="T249" s="181">
        <f t="shared" si="44"/>
        <v>0.1</v>
      </c>
    </row>
    <row r="250" spans="4:20" ht="13.5" customHeight="1" outlineLevel="1" x14ac:dyDescent="0.25">
      <c r="D250" s="2" t="str">
        <f t="shared" si="42"/>
        <v>Chick peas, dry</v>
      </c>
      <c r="J250" s="179"/>
      <c r="K250" s="268">
        <v>0</v>
      </c>
      <c r="L250" s="268">
        <f>IF($R250="Yes",(ProjectedP205_Consumption!L80-L99-L175)*$T250,0)</f>
        <v>0</v>
      </c>
      <c r="M250" s="268">
        <f>IF($R250="Yes",(ProjectedP205_Consumption!M80-M99-M175)*$T250,0)</f>
        <v>0</v>
      </c>
      <c r="N250" s="267">
        <f>K250/ProjectedP205_Consumption!K80</f>
        <v>0</v>
      </c>
      <c r="O250" s="267">
        <f>L250/ProjectedP205_Consumption!L80</f>
        <v>0</v>
      </c>
      <c r="P250" s="267">
        <f>M250/ProjectedP205_Consumption!M80</f>
        <v>0</v>
      </c>
      <c r="R250" s="2" t="str">
        <f t="shared" si="43"/>
        <v>No</v>
      </c>
      <c r="T250" s="181">
        <f t="shared" si="44"/>
        <v>0.1</v>
      </c>
    </row>
    <row r="251" spans="4:20" ht="13.5" customHeight="1" outlineLevel="1" thickBot="1" x14ac:dyDescent="0.3">
      <c r="D251" s="2" t="str">
        <f t="shared" si="42"/>
        <v>Beans, dry</v>
      </c>
      <c r="J251" s="179"/>
      <c r="K251" s="268">
        <v>0</v>
      </c>
      <c r="L251" s="268">
        <f>IF($R251="Yes",(ProjectedP205_Consumption!L81-L100-L176)*$T251,0)</f>
        <v>0</v>
      </c>
      <c r="M251" s="268">
        <f>IF($R251="Yes",(ProjectedP205_Consumption!M81-M100-M176)*$T251,0)</f>
        <v>0</v>
      </c>
      <c r="N251" s="267">
        <f>K251/ProjectedP205_Consumption!K81</f>
        <v>0</v>
      </c>
      <c r="O251" s="267">
        <f>L251/ProjectedP205_Consumption!L81</f>
        <v>0</v>
      </c>
      <c r="P251" s="267">
        <f>M251/ProjectedP205_Consumption!M81</f>
        <v>0</v>
      </c>
      <c r="R251" s="2" t="str">
        <f t="shared" si="43"/>
        <v>No</v>
      </c>
      <c r="T251" s="181">
        <f t="shared" si="44"/>
        <v>0.1</v>
      </c>
    </row>
    <row r="252" spans="4:20" ht="13.5" customHeight="1" outlineLevel="1" thickTop="1" thickBot="1" x14ac:dyDescent="0.3">
      <c r="D252" s="102" t="s">
        <v>13</v>
      </c>
      <c r="E252" s="125"/>
      <c r="F252" s="125"/>
      <c r="G252" s="125"/>
      <c r="H252" s="125"/>
      <c r="I252" s="125"/>
      <c r="J252" s="126"/>
      <c r="K252" s="126">
        <f t="shared" ref="K252" si="45">SUM(K221:K251)</f>
        <v>0</v>
      </c>
      <c r="L252" s="126">
        <f t="shared" ref="L252:M252" si="46">SUM(L221:L251)</f>
        <v>9.9013360218862605</v>
      </c>
      <c r="M252" s="126">
        <f t="shared" si="46"/>
        <v>11.488181416342854</v>
      </c>
      <c r="N252" s="193"/>
      <c r="O252" s="193"/>
      <c r="P252" s="193"/>
    </row>
    <row r="253" spans="4:20" ht="13.5" customHeight="1" outlineLevel="1" thickTop="1" thickBot="1" x14ac:dyDescent="0.3">
      <c r="D253" s="100" t="s">
        <v>17</v>
      </c>
      <c r="E253" s="125"/>
      <c r="F253" s="125"/>
      <c r="G253" s="125"/>
      <c r="H253" s="125"/>
      <c r="I253" s="125"/>
      <c r="J253" s="126"/>
      <c r="K253" s="126">
        <f t="shared" ref="K253" si="47">K252/46%</f>
        <v>0</v>
      </c>
      <c r="L253" s="126">
        <f t="shared" ref="L253:M253" si="48">L252/46%</f>
        <v>21.524643525839696</v>
      </c>
      <c r="M253" s="126">
        <f t="shared" si="48"/>
        <v>24.97430742683229</v>
      </c>
      <c r="N253" s="193"/>
      <c r="O253" s="193"/>
      <c r="P253" s="193"/>
    </row>
    <row r="254" spans="4:20" ht="13.5" customHeight="1" thickTop="1" x14ac:dyDescent="0.25"/>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E2FA-26A1-43A3-AA06-4F82C7FD2C38}">
  <dimension ref="A1:AT451"/>
  <sheetViews>
    <sheetView showGridLines="0" topLeftCell="A13" zoomScale="70" zoomScaleNormal="70" workbookViewId="0">
      <selection activeCell="E78" sqref="E78:G78"/>
    </sheetView>
  </sheetViews>
  <sheetFormatPr defaultColWidth="9.26953125" defaultRowHeight="13.5" customHeight="1" x14ac:dyDescent="0.25"/>
  <cols>
    <col min="1" max="1" width="1.7265625" style="2" customWidth="1"/>
    <col min="2" max="2" width="3.54296875" style="2" customWidth="1"/>
    <col min="3" max="3" width="2" style="2" customWidth="1"/>
    <col min="4" max="4" width="53.7265625" style="2" bestFit="1" customWidth="1"/>
    <col min="5" max="19" width="19.7265625" style="2" customWidth="1"/>
    <col min="20" max="20" width="38.7265625" style="2" bestFit="1" customWidth="1"/>
    <col min="21" max="21" width="37.26953125" style="2" bestFit="1" customWidth="1"/>
    <col min="22" max="22" width="35.1796875" style="2" customWidth="1"/>
    <col min="23" max="30" width="19.7265625" style="2" customWidth="1"/>
    <col min="31" max="31" width="23.1796875" style="2" customWidth="1"/>
    <col min="32" max="32" width="20.7265625" style="2" customWidth="1"/>
    <col min="33" max="33" width="23.1796875" style="2" bestFit="1" customWidth="1"/>
    <col min="34" max="34" width="38.7265625" style="2" bestFit="1" customWidth="1"/>
    <col min="35" max="35" width="19.7265625" style="2" customWidth="1"/>
    <col min="36" max="36" width="36.81640625" style="2" customWidth="1"/>
    <col min="37" max="37" width="26.54296875" style="2" customWidth="1"/>
    <col min="38" max="16384" width="9.26953125" style="2"/>
  </cols>
  <sheetData>
    <row r="1" spans="1:15" s="7" customFormat="1" ht="13.5" customHeight="1" x14ac:dyDescent="0.25">
      <c r="A1" s="5"/>
      <c r="B1" s="5"/>
      <c r="C1" s="5"/>
      <c r="D1" s="6" t="s">
        <v>75</v>
      </c>
      <c r="E1" s="25"/>
    </row>
    <row r="2" spans="1:15" s="7" customFormat="1" ht="13.5" customHeight="1" x14ac:dyDescent="0.25">
      <c r="A2" s="5"/>
      <c r="B2" s="5"/>
      <c r="C2" s="5"/>
      <c r="D2" s="6"/>
      <c r="E2" s="26" t="s">
        <v>324</v>
      </c>
    </row>
    <row r="3" spans="1:15" s="7" customFormat="1" ht="13.5" customHeight="1" x14ac:dyDescent="0.25">
      <c r="A3" s="5"/>
      <c r="B3" s="5"/>
      <c r="C3" s="5"/>
      <c r="D3" s="6"/>
      <c r="E3" s="27" t="str">
        <f ca="1">MID(CELL("filename",E3),FIND("]",CELL("filename",E3))+1,256)</f>
        <v>OCP_SalesProduct</v>
      </c>
    </row>
    <row r="4" spans="1:15" s="7" customFormat="1" ht="13.5" customHeight="1" x14ac:dyDescent="0.25">
      <c r="A4" s="5"/>
      <c r="B4" s="5"/>
      <c r="C4" s="5"/>
      <c r="D4" s="6"/>
      <c r="E4" s="25"/>
    </row>
    <row r="5" spans="1:15" s="11" customFormat="1" ht="13.5" customHeight="1" x14ac:dyDescent="0.3">
      <c r="A5" s="8"/>
      <c r="B5" s="8"/>
      <c r="C5" s="8"/>
      <c r="D5" s="9"/>
      <c r="E5" s="10"/>
    </row>
    <row r="6" spans="1:15" s="210" customFormat="1" ht="13.5" customHeight="1" x14ac:dyDescent="0.3">
      <c r="A6" s="207"/>
      <c r="B6" s="207"/>
      <c r="C6" s="207"/>
      <c r="D6" s="208"/>
      <c r="E6" s="209"/>
    </row>
    <row r="7" spans="1:15" ht="13.5" customHeight="1" x14ac:dyDescent="0.25">
      <c r="N7" s="7"/>
      <c r="O7" s="7"/>
    </row>
    <row r="8" spans="1:15" ht="13.5" customHeight="1" x14ac:dyDescent="0.35">
      <c r="B8" s="29">
        <v>0</v>
      </c>
      <c r="C8" s="29" t="s">
        <v>272</v>
      </c>
      <c r="D8" s="28" t="s">
        <v>273</v>
      </c>
      <c r="N8" s="7"/>
      <c r="O8" s="7"/>
    </row>
    <row r="9" spans="1:15" ht="13.5" customHeight="1" x14ac:dyDescent="0.25">
      <c r="N9" s="7"/>
      <c r="O9" s="7"/>
    </row>
    <row r="10" spans="1:15" ht="13.5" customHeight="1" x14ac:dyDescent="0.25">
      <c r="D10" s="1" t="s">
        <v>315</v>
      </c>
      <c r="N10" s="7"/>
      <c r="O10" s="7"/>
    </row>
    <row r="11" spans="1:15" ht="13.5" customHeight="1" x14ac:dyDescent="0.25">
      <c r="D11" s="1" t="s">
        <v>277</v>
      </c>
      <c r="K11" s="181">
        <v>0.46</v>
      </c>
      <c r="N11" s="7"/>
      <c r="O11" s="7"/>
    </row>
    <row r="12" spans="1:15" ht="13.5" customHeight="1" x14ac:dyDescent="0.25">
      <c r="D12" s="1" t="s">
        <v>316</v>
      </c>
      <c r="K12" s="181">
        <v>0.46</v>
      </c>
      <c r="N12" s="7"/>
      <c r="O12" s="7"/>
    </row>
    <row r="13" spans="1:15" ht="13.5" customHeight="1" x14ac:dyDescent="0.25">
      <c r="D13" s="1" t="s">
        <v>279</v>
      </c>
      <c r="K13" s="181">
        <v>0.19</v>
      </c>
      <c r="N13" s="7"/>
      <c r="O13" s="7"/>
    </row>
    <row r="14" spans="1:15" ht="13.5" customHeight="1" x14ac:dyDescent="0.25">
      <c r="N14" s="7"/>
      <c r="O14" s="7"/>
    </row>
    <row r="15" spans="1:15" ht="13.5" customHeight="1" x14ac:dyDescent="0.25">
      <c r="N15" s="7"/>
      <c r="O15" s="7"/>
    </row>
    <row r="16" spans="1:15" ht="13.5" customHeight="1" x14ac:dyDescent="0.25">
      <c r="N16" s="7"/>
      <c r="O16" s="7"/>
    </row>
    <row r="17" spans="4:44" ht="13.5" customHeight="1" x14ac:dyDescent="0.3">
      <c r="D17" s="32" t="s">
        <v>274</v>
      </c>
      <c r="R17" s="32" t="s">
        <v>274</v>
      </c>
      <c r="S17" s="7"/>
      <c r="T17" s="7"/>
      <c r="U17" s="7"/>
      <c r="V17" s="7"/>
      <c r="W17" s="35"/>
      <c r="X17" s="35"/>
      <c r="Y17" s="35"/>
      <c r="Z17" s="35"/>
      <c r="AA17" s="35"/>
      <c r="AB17" s="32" t="s">
        <v>274</v>
      </c>
      <c r="AC17" s="7"/>
      <c r="AD17" s="7"/>
      <c r="AE17" s="7"/>
      <c r="AF17" s="7"/>
      <c r="AG17" s="7"/>
      <c r="AH17" s="7"/>
      <c r="AI17" s="7"/>
    </row>
    <row r="18" spans="4:44" ht="13.5" customHeight="1" x14ac:dyDescent="0.3">
      <c r="D18" s="33" t="s">
        <v>275</v>
      </c>
      <c r="R18" s="33" t="s">
        <v>276</v>
      </c>
      <c r="S18" s="7"/>
      <c r="T18" s="7"/>
      <c r="U18" s="7"/>
      <c r="V18" s="7"/>
      <c r="W18" s="36"/>
      <c r="X18" s="36"/>
      <c r="Y18" s="36"/>
      <c r="Z18" s="36"/>
      <c r="AA18" s="36"/>
      <c r="AB18" s="33" t="s">
        <v>331</v>
      </c>
      <c r="AC18" s="7"/>
      <c r="AD18" s="7"/>
      <c r="AE18" s="7"/>
      <c r="AF18" s="7"/>
      <c r="AG18" s="7"/>
      <c r="AH18" s="7"/>
      <c r="AI18" s="7"/>
    </row>
    <row r="19" spans="4:44" ht="13.5" customHeight="1" x14ac:dyDescent="0.3">
      <c r="H19" s="211" t="s">
        <v>277</v>
      </c>
      <c r="I19" s="212"/>
      <c r="J19" s="212"/>
      <c r="K19" s="211" t="s">
        <v>278</v>
      </c>
      <c r="L19" s="212"/>
      <c r="M19" s="212"/>
      <c r="N19" s="211" t="s">
        <v>279</v>
      </c>
      <c r="O19" s="212"/>
      <c r="P19" s="7"/>
      <c r="R19" s="211" t="s">
        <v>277</v>
      </c>
      <c r="S19" s="212"/>
      <c r="T19" s="212"/>
      <c r="U19" s="211" t="s">
        <v>278</v>
      </c>
      <c r="V19" s="212"/>
      <c r="W19" s="212"/>
      <c r="X19" s="211" t="s">
        <v>279</v>
      </c>
      <c r="Y19" s="212"/>
      <c r="Z19" s="7"/>
      <c r="AA19" s="7"/>
      <c r="AB19" s="213"/>
      <c r="AD19" s="36" t="s">
        <v>280</v>
      </c>
      <c r="AE19" s="213"/>
      <c r="AF19" s="7"/>
      <c r="AG19" s="59" t="s">
        <v>277</v>
      </c>
      <c r="AH19" s="7"/>
      <c r="AI19" s="7"/>
      <c r="AJ19" s="1" t="s">
        <v>313</v>
      </c>
      <c r="AM19" s="1" t="s">
        <v>279</v>
      </c>
      <c r="AP19" s="1" t="s">
        <v>332</v>
      </c>
    </row>
    <row r="20" spans="4:44" ht="13.5" customHeight="1" x14ac:dyDescent="0.3">
      <c r="D20" s="30" t="s">
        <v>15</v>
      </c>
      <c r="E20" s="34">
        <v>2023</v>
      </c>
      <c r="F20" s="34">
        <v>2024</v>
      </c>
      <c r="G20" s="34">
        <v>2025</v>
      </c>
      <c r="H20" s="34">
        <v>2023</v>
      </c>
      <c r="I20" s="34">
        <v>2024</v>
      </c>
      <c r="J20" s="34">
        <v>2025</v>
      </c>
      <c r="K20" s="34">
        <v>2023</v>
      </c>
      <c r="L20" s="34">
        <v>2024</v>
      </c>
      <c r="M20" s="34">
        <v>2025</v>
      </c>
      <c r="N20" s="34">
        <v>2023</v>
      </c>
      <c r="O20" s="34">
        <v>2024</v>
      </c>
      <c r="P20" s="34">
        <v>2025</v>
      </c>
      <c r="R20" s="34">
        <v>2023</v>
      </c>
      <c r="S20" s="34">
        <v>2024</v>
      </c>
      <c r="T20" s="34">
        <v>2025</v>
      </c>
      <c r="U20" s="34">
        <v>2023</v>
      </c>
      <c r="V20" s="34">
        <v>2024</v>
      </c>
      <c r="W20" s="34">
        <v>2025</v>
      </c>
      <c r="X20" s="34">
        <v>2023</v>
      </c>
      <c r="Y20" s="34">
        <v>2024</v>
      </c>
      <c r="Z20" s="34">
        <v>2025</v>
      </c>
      <c r="AA20" s="214"/>
      <c r="AB20" s="214"/>
      <c r="AC20" s="34">
        <v>2023</v>
      </c>
      <c r="AD20" s="34">
        <v>2024</v>
      </c>
      <c r="AE20" s="34">
        <v>2025</v>
      </c>
      <c r="AF20" s="34">
        <v>2023</v>
      </c>
      <c r="AG20" s="34">
        <v>2024</v>
      </c>
      <c r="AH20" s="34">
        <v>2025</v>
      </c>
      <c r="AI20" s="34">
        <v>2023</v>
      </c>
      <c r="AJ20" s="34">
        <v>2024</v>
      </c>
      <c r="AK20" s="34">
        <v>2025</v>
      </c>
      <c r="AL20" s="34">
        <v>2023</v>
      </c>
      <c r="AM20" s="34">
        <v>2024</v>
      </c>
      <c r="AN20" s="34">
        <v>2025</v>
      </c>
      <c r="AP20" s="1" t="s">
        <v>277</v>
      </c>
      <c r="AQ20" s="1" t="s">
        <v>316</v>
      </c>
      <c r="AR20" s="1" t="s">
        <v>279</v>
      </c>
    </row>
    <row r="21" spans="4:44" ht="13.5" customHeight="1" x14ac:dyDescent="0.35">
      <c r="D21" s="195" t="s">
        <v>240</v>
      </c>
      <c r="E21" s="2">
        <f>H21+K21+N21</f>
        <v>10.196789975718918</v>
      </c>
      <c r="F21" s="2">
        <f t="shared" ref="F21:F23" si="0">I21+L21+O21</f>
        <v>39.010088453249658</v>
      </c>
      <c r="G21" s="2">
        <f t="shared" ref="G21:G23" si="1">J21+M21+P21</f>
        <v>83.786486157939862</v>
      </c>
      <c r="H21" s="1">
        <f t="shared" ref="H21:P21" si="2">U182</f>
        <v>7.6475924817891867</v>
      </c>
      <c r="I21" s="1">
        <f t="shared" si="2"/>
        <v>19.505044226624829</v>
      </c>
      <c r="J21" s="1">
        <f t="shared" si="2"/>
        <v>20.946621539484966</v>
      </c>
      <c r="K21" s="1">
        <f t="shared" si="2"/>
        <v>2.5491974939297313</v>
      </c>
      <c r="L21" s="1">
        <f t="shared" si="2"/>
        <v>19.505044226624829</v>
      </c>
      <c r="M21" s="1">
        <f t="shared" si="2"/>
        <v>62.839864618454904</v>
      </c>
      <c r="N21" s="1">
        <f t="shared" si="2"/>
        <v>0</v>
      </c>
      <c r="O21" s="1">
        <f t="shared" si="2"/>
        <v>0</v>
      </c>
      <c r="P21" s="1">
        <f t="shared" si="2"/>
        <v>0</v>
      </c>
      <c r="R21" s="84">
        <f>H21/SUM(H21,K21,N21)</f>
        <v>0.74999999999999978</v>
      </c>
      <c r="S21" s="84">
        <f t="shared" ref="S21:T24" si="3">I21/SUM(I21,L21,O21)</f>
        <v>0.5</v>
      </c>
      <c r="T21" s="84">
        <f t="shared" si="3"/>
        <v>0.25</v>
      </c>
      <c r="U21" s="84">
        <f>K21/SUM(H21,K21,N21)</f>
        <v>0.25000000000000017</v>
      </c>
      <c r="V21" s="84">
        <f t="shared" ref="V21:W24" si="4">L21/SUM(I21,L21,O21)</f>
        <v>0.5</v>
      </c>
      <c r="W21" s="84">
        <f t="shared" si="4"/>
        <v>0.75000000000000011</v>
      </c>
      <c r="X21" s="84">
        <f>N21/SUM(H21,K21,N21)</f>
        <v>0</v>
      </c>
      <c r="Y21" s="84">
        <f t="shared" ref="Y21:Z24" si="5">O21/SUM(I21,L21,O21)</f>
        <v>0</v>
      </c>
      <c r="Z21" s="84">
        <f t="shared" si="5"/>
        <v>0</v>
      </c>
      <c r="AA21" s="215"/>
      <c r="AB21" s="278" t="str">
        <f>D21</f>
        <v>Lever 1 - Push volumes to importers to serve the open market</v>
      </c>
      <c r="AC21" s="2">
        <f>SUM(AF21+AI21+AL21)</f>
        <v>4.6905233888307025</v>
      </c>
      <c r="AD21" s="2">
        <f t="shared" ref="AD21:AE23" si="6">SUM(AG21+AJ21+AM21)</f>
        <v>17.944640688494843</v>
      </c>
      <c r="AE21" s="2">
        <f t="shared" si="6"/>
        <v>38.54178363265234</v>
      </c>
      <c r="AF21" s="1">
        <f>H21*$AP$21</f>
        <v>3.5178925416230262</v>
      </c>
      <c r="AG21" s="1">
        <f t="shared" ref="AG21:AG23" si="7">I21*$AP$21</f>
        <v>8.9723203442474215</v>
      </c>
      <c r="AH21" s="1">
        <f t="shared" ref="AH21:AH23" si="8">J21*$AP$21</f>
        <v>9.635445908163085</v>
      </c>
      <c r="AI21" s="1">
        <f>K21*$AQ$21</f>
        <v>1.1726308472076765</v>
      </c>
      <c r="AJ21" s="1">
        <f t="shared" ref="AJ21:AJ23" si="9">L21*$AQ$21</f>
        <v>8.9723203442474215</v>
      </c>
      <c r="AK21" s="1">
        <f t="shared" ref="AK21:AK23" si="10">M21*$AQ$21</f>
        <v>28.906337724489259</v>
      </c>
      <c r="AL21" s="1">
        <f>N21*$AR$21</f>
        <v>0</v>
      </c>
      <c r="AM21" s="1">
        <f t="shared" ref="AM21:AM23" si="11">O21*$AR$21</f>
        <v>0</v>
      </c>
      <c r="AN21" s="1">
        <f t="shared" ref="AN21:AN23" si="12">P21*$AR$21</f>
        <v>0</v>
      </c>
      <c r="AP21" s="181">
        <f>K11</f>
        <v>0.46</v>
      </c>
      <c r="AQ21" s="181">
        <f>K12</f>
        <v>0.46</v>
      </c>
      <c r="AR21" s="181">
        <f>K13</f>
        <v>0.19</v>
      </c>
    </row>
    <row r="22" spans="4:44" ht="13.5" customHeight="1" x14ac:dyDescent="0.35">
      <c r="D22" s="195" t="s">
        <v>251</v>
      </c>
      <c r="E22" s="2">
        <f t="shared" ref="E22:E23" si="13">H22+K22+N22</f>
        <v>3.4735851472036985</v>
      </c>
      <c r="F22" s="2">
        <f t="shared" si="0"/>
        <v>4.309346468562925</v>
      </c>
      <c r="G22" s="2">
        <f t="shared" si="1"/>
        <v>5.2868210786600462</v>
      </c>
      <c r="H22" s="1">
        <f t="shared" ref="H22:P22" si="14">U260</f>
        <v>2.605188860402774</v>
      </c>
      <c r="I22" s="1">
        <f t="shared" si="14"/>
        <v>2.1546732342814625</v>
      </c>
      <c r="J22" s="1">
        <f t="shared" si="14"/>
        <v>1.3217052696650116</v>
      </c>
      <c r="K22" s="1">
        <f t="shared" si="14"/>
        <v>0.86839628680092451</v>
      </c>
      <c r="L22" s="1">
        <f t="shared" si="14"/>
        <v>2.1546732342814625</v>
      </c>
      <c r="M22" s="1">
        <f t="shared" si="14"/>
        <v>3.9651158089950349</v>
      </c>
      <c r="N22" s="1">
        <f t="shared" si="14"/>
        <v>0</v>
      </c>
      <c r="O22" s="1">
        <f t="shared" si="14"/>
        <v>0</v>
      </c>
      <c r="P22" s="1">
        <f t="shared" si="14"/>
        <v>0</v>
      </c>
      <c r="R22" s="84">
        <f t="shared" ref="R22:R24" si="15">H22/SUM(H22,K22,N22)</f>
        <v>0.75</v>
      </c>
      <c r="S22" s="84">
        <f t="shared" si="3"/>
        <v>0.5</v>
      </c>
      <c r="T22" s="84">
        <f t="shared" si="3"/>
        <v>0.25</v>
      </c>
      <c r="U22" s="84">
        <f t="shared" ref="U22:U24" si="16">K22/SUM(H22,K22,N22)</f>
        <v>0.24999999999999997</v>
      </c>
      <c r="V22" s="84">
        <f t="shared" si="4"/>
        <v>0.5</v>
      </c>
      <c r="W22" s="84">
        <f t="shared" si="4"/>
        <v>0.75</v>
      </c>
      <c r="X22" s="84">
        <f t="shared" ref="X22:X24" si="17">N22/SUM(H22,K22,N22)</f>
        <v>0</v>
      </c>
      <c r="Y22" s="84">
        <f t="shared" si="5"/>
        <v>0</v>
      </c>
      <c r="Z22" s="84">
        <f t="shared" si="5"/>
        <v>0</v>
      </c>
      <c r="AA22" s="215"/>
      <c r="AB22" s="278" t="str">
        <f t="shared" ref="AB22:AB23" si="18">D22</f>
        <v>Lever 2 - Partner with development actors to support strategic crops</v>
      </c>
      <c r="AC22" s="2">
        <f t="shared" ref="AC22:AC23" si="19">SUM(AF22+AI22+AL22)</f>
        <v>1.5978491677137012</v>
      </c>
      <c r="AD22" s="2">
        <f t="shared" si="6"/>
        <v>1.9822993755389455</v>
      </c>
      <c r="AE22" s="2">
        <f t="shared" si="6"/>
        <v>2.4319376961836214</v>
      </c>
      <c r="AF22" s="1">
        <f t="shared" ref="AF22:AF23" si="20">H22*$AP$21</f>
        <v>1.198386875785276</v>
      </c>
      <c r="AG22" s="1">
        <f t="shared" si="7"/>
        <v>0.99114968776947276</v>
      </c>
      <c r="AH22" s="1">
        <f t="shared" si="8"/>
        <v>0.60798442404590536</v>
      </c>
      <c r="AI22" s="1">
        <f t="shared" ref="AI22:AI23" si="21">K22*$AQ$21</f>
        <v>0.39946229192842531</v>
      </c>
      <c r="AJ22" s="1">
        <f t="shared" si="9"/>
        <v>0.99114968776947276</v>
      </c>
      <c r="AK22" s="1">
        <f t="shared" si="10"/>
        <v>1.8239532721377161</v>
      </c>
      <c r="AL22" s="1">
        <f t="shared" ref="AL22:AL23" si="22">N22*$AR$21</f>
        <v>0</v>
      </c>
      <c r="AM22" s="1">
        <f t="shared" si="11"/>
        <v>0</v>
      </c>
      <c r="AN22" s="1">
        <f t="shared" si="12"/>
        <v>0</v>
      </c>
    </row>
    <row r="23" spans="4:44" ht="13.5" customHeight="1" thickBot="1" x14ac:dyDescent="0.4">
      <c r="D23" s="195" t="s">
        <v>241</v>
      </c>
      <c r="E23" s="2">
        <f t="shared" si="13"/>
        <v>0</v>
      </c>
      <c r="F23" s="2">
        <f t="shared" si="0"/>
        <v>16.050714230286008</v>
      </c>
      <c r="G23" s="2">
        <f t="shared" si="1"/>
        <v>15.920659210344411</v>
      </c>
      <c r="H23" s="1">
        <f t="shared" ref="H23:P23" si="23">U336</f>
        <v>0</v>
      </c>
      <c r="I23" s="1">
        <f t="shared" si="23"/>
        <v>8.0253571151430041</v>
      </c>
      <c r="J23" s="1">
        <f t="shared" si="23"/>
        <v>3.9801648025861027</v>
      </c>
      <c r="K23" s="1">
        <f t="shared" si="23"/>
        <v>0</v>
      </c>
      <c r="L23" s="1">
        <f t="shared" si="23"/>
        <v>8.0253571151430041</v>
      </c>
      <c r="M23" s="1">
        <f t="shared" si="23"/>
        <v>11.940494407758308</v>
      </c>
      <c r="N23" s="1">
        <f t="shared" si="23"/>
        <v>0</v>
      </c>
      <c r="O23" s="1">
        <f t="shared" si="23"/>
        <v>0</v>
      </c>
      <c r="P23" s="1">
        <f t="shared" si="23"/>
        <v>0</v>
      </c>
      <c r="R23" s="84">
        <v>0</v>
      </c>
      <c r="S23" s="84">
        <f t="shared" si="3"/>
        <v>0.5</v>
      </c>
      <c r="T23" s="84">
        <f t="shared" si="3"/>
        <v>0.25</v>
      </c>
      <c r="U23" s="84">
        <v>0</v>
      </c>
      <c r="V23" s="84">
        <f t="shared" si="4"/>
        <v>0.5</v>
      </c>
      <c r="W23" s="84">
        <f t="shared" si="4"/>
        <v>0.75</v>
      </c>
      <c r="X23" s="84">
        <v>0</v>
      </c>
      <c r="Y23" s="84">
        <f t="shared" si="5"/>
        <v>0</v>
      </c>
      <c r="Z23" s="84">
        <f t="shared" si="5"/>
        <v>0</v>
      </c>
      <c r="AA23" s="215"/>
      <c r="AB23" s="278" t="str">
        <f t="shared" si="18"/>
        <v>Lever 3 - Go further in the value chain with direct supplies to customers</v>
      </c>
      <c r="AC23" s="2">
        <f t="shared" si="19"/>
        <v>0</v>
      </c>
      <c r="AD23" s="2">
        <f t="shared" si="6"/>
        <v>7.3833285459315645</v>
      </c>
      <c r="AE23" s="2">
        <f t="shared" si="6"/>
        <v>7.3235032367584294</v>
      </c>
      <c r="AF23" s="1">
        <f t="shared" si="20"/>
        <v>0</v>
      </c>
      <c r="AG23" s="1">
        <f t="shared" si="7"/>
        <v>3.6916642729657823</v>
      </c>
      <c r="AH23" s="1">
        <f t="shared" si="8"/>
        <v>1.8308758091896074</v>
      </c>
      <c r="AI23" s="1">
        <f t="shared" si="21"/>
        <v>0</v>
      </c>
      <c r="AJ23" s="1">
        <f t="shared" si="9"/>
        <v>3.6916642729657823</v>
      </c>
      <c r="AK23" s="1">
        <f t="shared" si="10"/>
        <v>5.4926274275688218</v>
      </c>
      <c r="AL23" s="1">
        <f t="shared" si="22"/>
        <v>0</v>
      </c>
      <c r="AM23" s="1">
        <f t="shared" si="11"/>
        <v>0</v>
      </c>
      <c r="AN23" s="1">
        <f t="shared" si="12"/>
        <v>0</v>
      </c>
    </row>
    <row r="24" spans="4:44" ht="13.5" customHeight="1" thickTop="1" thickBot="1" x14ac:dyDescent="0.3">
      <c r="D24" s="102" t="s">
        <v>280</v>
      </c>
      <c r="E24" s="216">
        <f t="shared" ref="E24:G24" si="24">SUM(E21:E23)</f>
        <v>13.670375122922616</v>
      </c>
      <c r="F24" s="216">
        <f t="shared" si="24"/>
        <v>59.370149152098591</v>
      </c>
      <c r="G24" s="216">
        <f t="shared" si="24"/>
        <v>104.99396644694431</v>
      </c>
      <c r="H24" s="216">
        <f>SUM(H21:H23)</f>
        <v>10.252781342191961</v>
      </c>
      <c r="I24" s="216">
        <f t="shared" ref="I24:P24" si="25">SUM(I21:I23)</f>
        <v>29.685074576049296</v>
      </c>
      <c r="J24" s="216">
        <f t="shared" si="25"/>
        <v>26.248491611736078</v>
      </c>
      <c r="K24" s="216">
        <f t="shared" si="25"/>
        <v>3.4175937807306558</v>
      </c>
      <c r="L24" s="216">
        <f t="shared" si="25"/>
        <v>29.685074576049296</v>
      </c>
      <c r="M24" s="216">
        <f t="shared" si="25"/>
        <v>78.745474835208242</v>
      </c>
      <c r="N24" s="216">
        <f t="shared" si="25"/>
        <v>0</v>
      </c>
      <c r="O24" s="216">
        <f t="shared" si="25"/>
        <v>0</v>
      </c>
      <c r="P24" s="216">
        <f t="shared" si="25"/>
        <v>0</v>
      </c>
      <c r="R24" s="217">
        <f t="shared" si="15"/>
        <v>0.74999999999999989</v>
      </c>
      <c r="S24" s="217">
        <f t="shared" si="3"/>
        <v>0.5</v>
      </c>
      <c r="T24" s="217">
        <f t="shared" si="3"/>
        <v>0.25</v>
      </c>
      <c r="U24" s="217">
        <f t="shared" si="16"/>
        <v>0.25000000000000011</v>
      </c>
      <c r="V24" s="217">
        <f t="shared" si="4"/>
        <v>0.5</v>
      </c>
      <c r="W24" s="217">
        <f t="shared" si="4"/>
        <v>0.75000000000000011</v>
      </c>
      <c r="X24" s="217">
        <f t="shared" si="17"/>
        <v>0</v>
      </c>
      <c r="Y24" s="217">
        <f t="shared" si="5"/>
        <v>0</v>
      </c>
      <c r="Z24" s="217">
        <f t="shared" si="5"/>
        <v>0</v>
      </c>
      <c r="AA24" s="218"/>
      <c r="AB24" s="279" t="s">
        <v>280</v>
      </c>
      <c r="AC24" s="216">
        <f>SUM(AC21:AC23)</f>
        <v>6.2883725565444042</v>
      </c>
      <c r="AD24" s="216">
        <f t="shared" ref="AD24:AK24" si="26">SUM(AD21:AD23)</f>
        <v>27.310268609965355</v>
      </c>
      <c r="AE24" s="216">
        <f t="shared" si="26"/>
        <v>48.297224565594391</v>
      </c>
      <c r="AF24" s="216">
        <f t="shared" si="26"/>
        <v>4.7162794174083018</v>
      </c>
      <c r="AG24" s="216">
        <f t="shared" si="26"/>
        <v>13.655134304982678</v>
      </c>
      <c r="AH24" s="216">
        <f t="shared" si="26"/>
        <v>12.074306141398598</v>
      </c>
      <c r="AI24" s="216">
        <f t="shared" si="26"/>
        <v>1.5720931391361019</v>
      </c>
      <c r="AJ24" s="216">
        <f t="shared" si="26"/>
        <v>13.655134304982678</v>
      </c>
      <c r="AK24" s="216">
        <f t="shared" si="26"/>
        <v>36.222918424195797</v>
      </c>
      <c r="AL24" s="216">
        <f t="shared" ref="AL24" si="27">SUM(AL21:AL23)</f>
        <v>0</v>
      </c>
      <c r="AM24" s="216">
        <f t="shared" ref="AM24:AN24" si="28">SUM(AM21:AM23)</f>
        <v>0</v>
      </c>
      <c r="AN24" s="216">
        <f t="shared" si="28"/>
        <v>0</v>
      </c>
    </row>
    <row r="25" spans="4:44" ht="13.5" customHeight="1" thickTop="1" x14ac:dyDescent="0.3">
      <c r="D25" s="219" t="s">
        <v>281</v>
      </c>
      <c r="E25" s="181">
        <f>E24/ProjectedP205_Consumption!N236</f>
        <v>6.0999792049666608E-2</v>
      </c>
      <c r="F25" s="181">
        <f>F24/ProjectedP205_Consumption!O236</f>
        <v>0.20774178374328622</v>
      </c>
      <c r="G25" s="181">
        <f>G24/ProjectedP205_Consumption!P236</f>
        <v>0.28508329280755146</v>
      </c>
      <c r="H25" s="220"/>
      <c r="I25" s="220"/>
      <c r="J25" s="221">
        <f>J24/SUM($J$24,$M$24,$P$24)</f>
        <v>0.25</v>
      </c>
      <c r="K25" s="220"/>
      <c r="L25" s="220"/>
      <c r="M25" s="221">
        <f>M24/SUM($J$24,$M$24,$P$24)</f>
        <v>0.75000000000000011</v>
      </c>
      <c r="N25" s="220"/>
      <c r="O25" s="220"/>
      <c r="P25" s="221">
        <f>P24/SUM($J$24,$M$24,$P$24)</f>
        <v>0</v>
      </c>
      <c r="R25" s="220"/>
      <c r="S25" s="220"/>
      <c r="T25" s="220"/>
      <c r="U25" s="220"/>
      <c r="V25" s="220"/>
      <c r="W25" s="220"/>
      <c r="X25" s="220"/>
      <c r="Y25" s="220"/>
      <c r="Z25" s="221"/>
      <c r="AA25" s="222"/>
      <c r="AB25" s="222"/>
      <c r="AC25" s="222">
        <f>AC24/ProjectedP205_Consumption!K44</f>
        <v>6.0999792049666622E-2</v>
      </c>
      <c r="AD25" s="222">
        <f>AD24/ProjectedP205_Consumption!L44</f>
        <v>0.20774178374328611</v>
      </c>
      <c r="AE25" s="222">
        <f>AE24/ProjectedP205_Consumption!M44</f>
        <v>0.28508329280755157</v>
      </c>
      <c r="AF25" s="222"/>
      <c r="AG25" s="222"/>
      <c r="AH25" s="7"/>
      <c r="AI25" s="7"/>
    </row>
    <row r="26" spans="4:44" ht="13.5" customHeight="1" x14ac:dyDescent="0.3">
      <c r="D26" s="219"/>
      <c r="H26" s="220"/>
      <c r="I26" s="220"/>
      <c r="J26" s="220"/>
      <c r="K26" s="220"/>
      <c r="L26" s="220"/>
      <c r="M26" s="220"/>
      <c r="N26" s="220"/>
      <c r="O26" s="220"/>
      <c r="P26" s="221"/>
      <c r="R26" s="220"/>
      <c r="S26" s="220"/>
      <c r="T26" s="220"/>
      <c r="U26" s="220"/>
      <c r="V26" s="220"/>
      <c r="W26" s="220"/>
      <c r="X26" s="220"/>
      <c r="Y26" s="220"/>
      <c r="Z26" s="221"/>
      <c r="AA26" s="222"/>
      <c r="AB26" s="222"/>
      <c r="AC26" s="222"/>
      <c r="AD26" s="222"/>
      <c r="AE26" s="222"/>
      <c r="AF26" s="222"/>
      <c r="AG26" s="222"/>
      <c r="AH26" s="7"/>
      <c r="AI26" s="7"/>
    </row>
    <row r="27" spans="4:44" ht="13.5" customHeight="1" x14ac:dyDescent="0.25">
      <c r="H27" s="1"/>
      <c r="I27" s="1"/>
      <c r="J27" s="1"/>
      <c r="K27" s="1"/>
      <c r="L27" s="1"/>
      <c r="M27" s="1"/>
      <c r="N27" s="1"/>
      <c r="O27" s="1"/>
      <c r="P27" s="59"/>
      <c r="R27" s="1"/>
      <c r="S27" s="1"/>
      <c r="T27" s="1"/>
      <c r="U27" s="1"/>
      <c r="V27" s="1"/>
      <c r="W27" s="1"/>
      <c r="X27" s="1"/>
      <c r="Y27" s="1"/>
      <c r="Z27" s="59"/>
      <c r="AA27" s="7"/>
      <c r="AB27" s="7"/>
      <c r="AC27" s="7"/>
      <c r="AD27" s="7"/>
      <c r="AE27" s="7"/>
      <c r="AF27" s="7"/>
      <c r="AG27" s="7"/>
      <c r="AH27" s="7"/>
      <c r="AI27" s="7"/>
    </row>
    <row r="28" spans="4:44" ht="13.5" customHeight="1" x14ac:dyDescent="0.3">
      <c r="D28" s="32" t="s">
        <v>274</v>
      </c>
      <c r="P28" s="7"/>
      <c r="Z28" s="7"/>
      <c r="AA28" s="7"/>
      <c r="AB28" s="7"/>
      <c r="AC28" s="7"/>
      <c r="AD28" s="7"/>
      <c r="AE28" s="7"/>
      <c r="AF28" s="7"/>
      <c r="AG28" s="7"/>
      <c r="AH28" s="7"/>
      <c r="AI28" s="7"/>
    </row>
    <row r="29" spans="4:44" ht="13.5" customHeight="1" x14ac:dyDescent="0.3">
      <c r="D29" s="33" t="s">
        <v>275</v>
      </c>
      <c r="F29" s="212" t="s">
        <v>280</v>
      </c>
      <c r="H29" s="211" t="s">
        <v>277</v>
      </c>
      <c r="I29" s="212"/>
      <c r="J29" s="212"/>
      <c r="K29" s="211" t="s">
        <v>278</v>
      </c>
      <c r="L29" s="212"/>
      <c r="M29" s="212"/>
      <c r="N29" s="211" t="s">
        <v>279</v>
      </c>
      <c r="O29" s="212"/>
      <c r="P29" s="7"/>
      <c r="R29" s="211" t="s">
        <v>277</v>
      </c>
      <c r="S29" s="212"/>
      <c r="T29" s="212"/>
      <c r="U29" s="211" t="s">
        <v>278</v>
      </c>
      <c r="V29" s="212"/>
      <c r="W29" s="212"/>
      <c r="X29" s="211" t="s">
        <v>279</v>
      </c>
      <c r="Y29" s="212"/>
      <c r="Z29" s="7"/>
      <c r="AA29" s="7"/>
      <c r="AB29" s="213"/>
      <c r="AC29" s="7"/>
      <c r="AD29" s="7"/>
      <c r="AE29" s="213"/>
      <c r="AF29" s="7"/>
      <c r="AG29" s="7"/>
      <c r="AH29" s="7"/>
      <c r="AI29" s="7"/>
    </row>
    <row r="30" spans="4:44" ht="13.5" customHeight="1" x14ac:dyDescent="0.3">
      <c r="D30" s="36"/>
      <c r="H30" s="211"/>
      <c r="I30" s="212"/>
      <c r="J30" s="212"/>
      <c r="K30" s="211"/>
      <c r="L30" s="212"/>
      <c r="M30" s="212"/>
      <c r="N30" s="211"/>
      <c r="O30" s="212"/>
      <c r="P30" s="7"/>
      <c r="R30" s="211"/>
      <c r="S30" s="212"/>
      <c r="T30" s="212"/>
      <c r="U30" s="211"/>
      <c r="V30" s="212"/>
      <c r="W30" s="212"/>
      <c r="X30" s="211"/>
      <c r="Y30" s="212"/>
      <c r="Z30" s="7"/>
      <c r="AA30" s="7"/>
      <c r="AB30" s="213"/>
      <c r="AD30" s="36" t="s">
        <v>280</v>
      </c>
      <c r="AE30" s="213"/>
      <c r="AF30" s="7"/>
      <c r="AG30" s="59" t="s">
        <v>277</v>
      </c>
      <c r="AH30" s="7"/>
      <c r="AI30" s="7"/>
      <c r="AJ30" s="1" t="s">
        <v>313</v>
      </c>
      <c r="AM30" s="1" t="s">
        <v>279</v>
      </c>
    </row>
    <row r="31" spans="4:44" ht="13.5" customHeight="1" x14ac:dyDescent="0.3">
      <c r="D31" s="30" t="s">
        <v>282</v>
      </c>
      <c r="E31" s="34">
        <v>2023</v>
      </c>
      <c r="F31" s="34">
        <v>2024</v>
      </c>
      <c r="G31" s="34">
        <v>2025</v>
      </c>
      <c r="H31" s="34">
        <v>2023</v>
      </c>
      <c r="I31" s="34">
        <v>2024</v>
      </c>
      <c r="J31" s="34">
        <v>2025</v>
      </c>
      <c r="K31" s="34">
        <v>2023</v>
      </c>
      <c r="L31" s="34">
        <v>2024</v>
      </c>
      <c r="M31" s="34">
        <v>2025</v>
      </c>
      <c r="N31" s="34">
        <v>2023</v>
      </c>
      <c r="O31" s="34">
        <v>2024</v>
      </c>
      <c r="P31" s="34">
        <v>2025</v>
      </c>
      <c r="R31" s="34">
        <v>2023</v>
      </c>
      <c r="S31" s="34">
        <v>2024</v>
      </c>
      <c r="T31" s="34">
        <v>2025</v>
      </c>
      <c r="U31" s="34">
        <v>2023</v>
      </c>
      <c r="V31" s="34">
        <v>2024</v>
      </c>
      <c r="W31" s="34">
        <v>2025</v>
      </c>
      <c r="X31" s="34">
        <v>2023</v>
      </c>
      <c r="Y31" s="34">
        <v>2024</v>
      </c>
      <c r="Z31" s="34">
        <v>2025</v>
      </c>
      <c r="AA31" s="214"/>
      <c r="AB31" s="214"/>
      <c r="AC31" s="34">
        <v>2023</v>
      </c>
      <c r="AD31" s="34">
        <v>2024</v>
      </c>
      <c r="AE31" s="34">
        <v>2025</v>
      </c>
      <c r="AF31" s="34">
        <v>2023</v>
      </c>
      <c r="AG31" s="34">
        <v>2024</v>
      </c>
      <c r="AH31" s="34">
        <v>2025</v>
      </c>
      <c r="AI31" s="34">
        <v>2023</v>
      </c>
      <c r="AJ31" s="34">
        <v>2024</v>
      </c>
      <c r="AK31" s="34">
        <v>2025</v>
      </c>
      <c r="AL31" s="34">
        <v>2023</v>
      </c>
      <c r="AM31" s="34">
        <v>2024</v>
      </c>
      <c r="AN31" s="34">
        <v>2025</v>
      </c>
      <c r="AP31" s="1" t="s">
        <v>332</v>
      </c>
    </row>
    <row r="32" spans="4:44" ht="13.5" customHeight="1" x14ac:dyDescent="0.35">
      <c r="D32" s="195" t="s">
        <v>240</v>
      </c>
      <c r="E32" s="2">
        <f>H32+K32+N32</f>
        <v>10.196789975718918</v>
      </c>
      <c r="F32" s="2">
        <f t="shared" ref="F32:F34" si="29">I32+L32+O32</f>
        <v>46.628501142963557</v>
      </c>
      <c r="G32" s="2">
        <f t="shared" ref="G32:G34" si="30">J32+M32+P32</f>
        <v>100.65547498144085</v>
      </c>
      <c r="H32" s="1">
        <f t="shared" ref="H32:P32" si="31">U217</f>
        <v>7.6475924817891867</v>
      </c>
      <c r="I32" s="1">
        <f t="shared" si="31"/>
        <v>23.314250571481779</v>
      </c>
      <c r="J32" s="1">
        <f t="shared" si="31"/>
        <v>25.163868745360222</v>
      </c>
      <c r="K32" s="1">
        <f t="shared" si="31"/>
        <v>2.5491974939297313</v>
      </c>
      <c r="L32" s="1">
        <f t="shared" si="31"/>
        <v>23.314250571481779</v>
      </c>
      <c r="M32" s="1">
        <f t="shared" si="31"/>
        <v>75.491606236080628</v>
      </c>
      <c r="N32" s="1">
        <f t="shared" si="31"/>
        <v>0</v>
      </c>
      <c r="O32" s="1">
        <f t="shared" si="31"/>
        <v>0</v>
      </c>
      <c r="P32" s="1">
        <f t="shared" si="31"/>
        <v>0</v>
      </c>
      <c r="R32" s="84">
        <f>H32/SUM(H32,K32,N32)</f>
        <v>0.74999999999999978</v>
      </c>
      <c r="S32" s="84">
        <f t="shared" ref="S32:T35" si="32">I32/SUM(I32,L32,O32)</f>
        <v>0.5</v>
      </c>
      <c r="T32" s="84">
        <f t="shared" si="32"/>
        <v>0.25000000000000011</v>
      </c>
      <c r="U32" s="84">
        <f>K32/SUM(H32,K32,N32)</f>
        <v>0.25000000000000017</v>
      </c>
      <c r="V32" s="84">
        <f t="shared" ref="V32:W35" si="33">L32/SUM(I32,L32,O32)</f>
        <v>0.5</v>
      </c>
      <c r="W32" s="84">
        <f t="shared" si="33"/>
        <v>0.74999999999999989</v>
      </c>
      <c r="X32" s="84">
        <f>N32/SUM(H32,K32,N32)</f>
        <v>0</v>
      </c>
      <c r="Y32" s="84">
        <f t="shared" ref="Y32:Z35" si="34">O32/SUM(I32,L32,O32)</f>
        <v>0</v>
      </c>
      <c r="Z32" s="84">
        <f t="shared" si="34"/>
        <v>0</v>
      </c>
      <c r="AA32" s="215"/>
      <c r="AB32" s="278" t="str">
        <f>D32</f>
        <v>Lever 1 - Push volumes to importers to serve the open market</v>
      </c>
      <c r="AC32" s="2">
        <f>SUM(AF32+AI32+AL32)</f>
        <v>4.6905233888307025</v>
      </c>
      <c r="AD32" s="2">
        <f t="shared" ref="AD32:AD34" si="35">SUM(AG32+AJ32+AM32)</f>
        <v>21.449110525763238</v>
      </c>
      <c r="AE32" s="2">
        <f t="shared" ref="AE32:AE34" si="36">SUM(AH32+AK32+AN32)</f>
        <v>46.301518491462794</v>
      </c>
      <c r="AF32" s="1">
        <f>H32*$AP$21</f>
        <v>3.5178925416230262</v>
      </c>
      <c r="AG32" s="1">
        <f t="shared" ref="AG32:AG34" si="37">I32*$AP$21</f>
        <v>10.724555262881619</v>
      </c>
      <c r="AH32" s="1">
        <f t="shared" ref="AH32:AH34" si="38">J32*$AP$21</f>
        <v>11.575379622865702</v>
      </c>
      <c r="AI32" s="1">
        <f>K32*$AQ$21</f>
        <v>1.1726308472076765</v>
      </c>
      <c r="AJ32" s="1">
        <f t="shared" ref="AJ32:AJ34" si="39">L32*$AQ$21</f>
        <v>10.724555262881619</v>
      </c>
      <c r="AK32" s="1">
        <f t="shared" ref="AK32:AK34" si="40">M32*$AQ$21</f>
        <v>34.72613886859709</v>
      </c>
      <c r="AL32" s="1">
        <f>N32*$AR$21</f>
        <v>0</v>
      </c>
      <c r="AM32" s="1">
        <f t="shared" ref="AM32:AM34" si="41">O32*$AR$21</f>
        <v>0</v>
      </c>
      <c r="AN32" s="1">
        <f t="shared" ref="AN32:AN34" si="42">P32*$AR$21</f>
        <v>0</v>
      </c>
      <c r="AP32" s="181">
        <f>AP21</f>
        <v>0.46</v>
      </c>
      <c r="AQ32" s="181">
        <f>AQ21</f>
        <v>0.46</v>
      </c>
      <c r="AR32" s="181">
        <f>AR21</f>
        <v>0.19</v>
      </c>
    </row>
    <row r="33" spans="2:40" ht="13.5" customHeight="1" x14ac:dyDescent="0.35">
      <c r="D33" s="195" t="s">
        <v>251</v>
      </c>
      <c r="E33" s="2">
        <f t="shared" ref="E33:E34" si="43">H33+K33+N33</f>
        <v>3.4735851472036985</v>
      </c>
      <c r="F33" s="2">
        <f t="shared" si="29"/>
        <v>5.3107545390897855</v>
      </c>
      <c r="G33" s="2">
        <f t="shared" si="30"/>
        <v>6.4120151998942454</v>
      </c>
      <c r="H33" s="1">
        <f t="shared" ref="H33:P33" si="44">U295</f>
        <v>2.605188860402774</v>
      </c>
      <c r="I33" s="1">
        <f t="shared" si="44"/>
        <v>2.6553772695448927</v>
      </c>
      <c r="J33" s="1">
        <f t="shared" si="44"/>
        <v>1.6030037999735611</v>
      </c>
      <c r="K33" s="1">
        <f t="shared" si="44"/>
        <v>0.86839628680092451</v>
      </c>
      <c r="L33" s="1">
        <f t="shared" si="44"/>
        <v>2.6553772695448927</v>
      </c>
      <c r="M33" s="1">
        <f t="shared" si="44"/>
        <v>4.809011399920684</v>
      </c>
      <c r="N33" s="1">
        <f t="shared" si="44"/>
        <v>0</v>
      </c>
      <c r="O33" s="1">
        <f t="shared" si="44"/>
        <v>0</v>
      </c>
      <c r="P33" s="1">
        <f t="shared" si="44"/>
        <v>0</v>
      </c>
      <c r="R33" s="84">
        <f t="shared" ref="R33:R35" si="45">H33/SUM(H33,K33,N33)</f>
        <v>0.75</v>
      </c>
      <c r="S33" s="84">
        <f t="shared" si="32"/>
        <v>0.5</v>
      </c>
      <c r="T33" s="84">
        <f t="shared" si="32"/>
        <v>0.24999999999999997</v>
      </c>
      <c r="U33" s="84">
        <f t="shared" ref="U33:U35" si="46">K33/SUM(H33,K33,N33)</f>
        <v>0.24999999999999997</v>
      </c>
      <c r="V33" s="84">
        <f t="shared" si="33"/>
        <v>0.5</v>
      </c>
      <c r="W33" s="84">
        <f t="shared" si="33"/>
        <v>0.75</v>
      </c>
      <c r="X33" s="84">
        <f t="shared" ref="X33:X35" si="47">N33/SUM(H33,K33,N33)</f>
        <v>0</v>
      </c>
      <c r="Y33" s="84">
        <f t="shared" si="34"/>
        <v>0</v>
      </c>
      <c r="Z33" s="84">
        <f t="shared" si="34"/>
        <v>0</v>
      </c>
      <c r="AA33" s="215"/>
      <c r="AB33" s="278" t="str">
        <f t="shared" ref="AB33:AB34" si="48">D33</f>
        <v>Lever 2 - Partner with development actors to support strategic crops</v>
      </c>
      <c r="AC33" s="2">
        <f t="shared" ref="AC33:AC34" si="49">SUM(AF33+AI33+AL33)</f>
        <v>1.5978491677137012</v>
      </c>
      <c r="AD33" s="2">
        <f t="shared" si="35"/>
        <v>2.4429470879813016</v>
      </c>
      <c r="AE33" s="2">
        <f t="shared" si="36"/>
        <v>2.9495269919513527</v>
      </c>
      <c r="AF33" s="1">
        <f t="shared" ref="AF33:AF34" si="50">H33*$AP$21</f>
        <v>1.198386875785276</v>
      </c>
      <c r="AG33" s="1">
        <f t="shared" si="37"/>
        <v>1.2214735439906508</v>
      </c>
      <c r="AH33" s="1">
        <f t="shared" si="38"/>
        <v>0.73738174798783818</v>
      </c>
      <c r="AI33" s="1">
        <f t="shared" ref="AI33:AI34" si="51">K33*$AQ$21</f>
        <v>0.39946229192842531</v>
      </c>
      <c r="AJ33" s="1">
        <f t="shared" si="39"/>
        <v>1.2214735439906508</v>
      </c>
      <c r="AK33" s="1">
        <f t="shared" si="40"/>
        <v>2.2121452439635148</v>
      </c>
      <c r="AL33" s="1">
        <f t="shared" ref="AL33:AL34" si="52">N33*$AR$21</f>
        <v>0</v>
      </c>
      <c r="AM33" s="1">
        <f t="shared" si="41"/>
        <v>0</v>
      </c>
      <c r="AN33" s="1">
        <f t="shared" si="42"/>
        <v>0</v>
      </c>
    </row>
    <row r="34" spans="2:40" ht="13.5" customHeight="1" thickBot="1" x14ac:dyDescent="0.4">
      <c r="D34" s="195" t="s">
        <v>241</v>
      </c>
      <c r="E34" s="2">
        <f t="shared" si="43"/>
        <v>0</v>
      </c>
      <c r="F34" s="2">
        <f t="shared" si="29"/>
        <v>21.524643525839689</v>
      </c>
      <c r="G34" s="2">
        <f t="shared" si="30"/>
        <v>24.97430742683229</v>
      </c>
      <c r="H34" s="1">
        <f>AA371</f>
        <v>0</v>
      </c>
      <c r="I34" s="1">
        <f t="shared" ref="I34:P34" si="53">AB371</f>
        <v>10.762321762919845</v>
      </c>
      <c r="J34" s="1">
        <f t="shared" si="53"/>
        <v>6.2435768567080734</v>
      </c>
      <c r="K34" s="1">
        <f t="shared" si="53"/>
        <v>0</v>
      </c>
      <c r="L34" s="1">
        <f t="shared" si="53"/>
        <v>10.762321762919845</v>
      </c>
      <c r="M34" s="1">
        <f t="shared" si="53"/>
        <v>18.730730570124216</v>
      </c>
      <c r="N34" s="1">
        <f t="shared" si="53"/>
        <v>0</v>
      </c>
      <c r="O34" s="1">
        <f t="shared" si="53"/>
        <v>0</v>
      </c>
      <c r="P34" s="1">
        <f t="shared" si="53"/>
        <v>0</v>
      </c>
      <c r="R34" s="84">
        <v>0</v>
      </c>
      <c r="S34" s="84">
        <f t="shared" si="32"/>
        <v>0.5</v>
      </c>
      <c r="T34" s="84">
        <f t="shared" si="32"/>
        <v>0.25000000000000006</v>
      </c>
      <c r="U34" s="84">
        <v>0</v>
      </c>
      <c r="V34" s="84">
        <f t="shared" si="33"/>
        <v>0.5</v>
      </c>
      <c r="W34" s="84">
        <f t="shared" si="33"/>
        <v>0.74999999999999989</v>
      </c>
      <c r="X34" s="84">
        <v>0</v>
      </c>
      <c r="Y34" s="84">
        <f t="shared" si="34"/>
        <v>0</v>
      </c>
      <c r="Z34" s="84">
        <f t="shared" si="34"/>
        <v>0</v>
      </c>
      <c r="AA34" s="215"/>
      <c r="AB34" s="278" t="str">
        <f t="shared" si="48"/>
        <v>Lever 3 - Go further in the value chain with direct supplies to customers</v>
      </c>
      <c r="AC34" s="2">
        <f t="shared" si="49"/>
        <v>0</v>
      </c>
      <c r="AD34" s="2">
        <f t="shared" si="35"/>
        <v>9.9013360218862569</v>
      </c>
      <c r="AE34" s="2">
        <f t="shared" si="36"/>
        <v>11.488181416342853</v>
      </c>
      <c r="AF34" s="1">
        <f t="shared" si="50"/>
        <v>0</v>
      </c>
      <c r="AG34" s="1">
        <f t="shared" si="37"/>
        <v>4.9506680109431285</v>
      </c>
      <c r="AH34" s="1">
        <f t="shared" si="38"/>
        <v>2.872045354085714</v>
      </c>
      <c r="AI34" s="1">
        <f t="shared" si="51"/>
        <v>0</v>
      </c>
      <c r="AJ34" s="1">
        <f t="shared" si="39"/>
        <v>4.9506680109431285</v>
      </c>
      <c r="AK34" s="1">
        <f t="shared" si="40"/>
        <v>8.616136062257139</v>
      </c>
      <c r="AL34" s="1">
        <f t="shared" si="52"/>
        <v>0</v>
      </c>
      <c r="AM34" s="1">
        <f t="shared" si="41"/>
        <v>0</v>
      </c>
      <c r="AN34" s="1">
        <f t="shared" si="42"/>
        <v>0</v>
      </c>
    </row>
    <row r="35" spans="2:40" ht="13.5" customHeight="1" thickTop="1" thickBot="1" x14ac:dyDescent="0.3">
      <c r="D35" s="102" t="s">
        <v>280</v>
      </c>
      <c r="E35" s="216">
        <f t="shared" ref="E35:G35" si="54">SUM(E32:E34)</f>
        <v>13.670375122922616</v>
      </c>
      <c r="F35" s="216">
        <f t="shared" si="54"/>
        <v>73.463899207893036</v>
      </c>
      <c r="G35" s="216">
        <f t="shared" si="54"/>
        <v>132.04179760816737</v>
      </c>
      <c r="H35" s="216">
        <f>SUM(H32:H34)</f>
        <v>10.252781342191961</v>
      </c>
      <c r="I35" s="216">
        <f t="shared" ref="I35:P35" si="55">SUM(I32:I34)</f>
        <v>36.731949603946518</v>
      </c>
      <c r="J35" s="216">
        <f t="shared" si="55"/>
        <v>33.010449402041857</v>
      </c>
      <c r="K35" s="216">
        <f t="shared" si="55"/>
        <v>3.4175937807306558</v>
      </c>
      <c r="L35" s="216">
        <f t="shared" si="55"/>
        <v>36.731949603946518</v>
      </c>
      <c r="M35" s="216">
        <f t="shared" si="55"/>
        <v>99.031348206125529</v>
      </c>
      <c r="N35" s="216">
        <f t="shared" si="55"/>
        <v>0</v>
      </c>
      <c r="O35" s="216">
        <f t="shared" si="55"/>
        <v>0</v>
      </c>
      <c r="P35" s="216">
        <f t="shared" si="55"/>
        <v>0</v>
      </c>
      <c r="R35" s="217">
        <f t="shared" si="45"/>
        <v>0.74999999999999989</v>
      </c>
      <c r="S35" s="217">
        <f t="shared" si="32"/>
        <v>0.5</v>
      </c>
      <c r="T35" s="217">
        <f t="shared" si="32"/>
        <v>0.25000000000000011</v>
      </c>
      <c r="U35" s="217">
        <f t="shared" si="46"/>
        <v>0.25000000000000011</v>
      </c>
      <c r="V35" s="217">
        <f t="shared" si="33"/>
        <v>0.5</v>
      </c>
      <c r="W35" s="217">
        <f t="shared" si="33"/>
        <v>0.75</v>
      </c>
      <c r="X35" s="217">
        <f t="shared" si="47"/>
        <v>0</v>
      </c>
      <c r="Y35" s="217">
        <f t="shared" si="34"/>
        <v>0</v>
      </c>
      <c r="Z35" s="217">
        <f t="shared" si="34"/>
        <v>0</v>
      </c>
      <c r="AA35" s="218"/>
      <c r="AB35" s="279" t="s">
        <v>280</v>
      </c>
      <c r="AC35" s="216">
        <f>SUM(AC32:AC34)</f>
        <v>6.2883725565444042</v>
      </c>
      <c r="AD35" s="216">
        <f t="shared" ref="AD35" si="56">SUM(AD32:AD34)</f>
        <v>33.7933936356308</v>
      </c>
      <c r="AE35" s="216">
        <f t="shared" ref="AE35" si="57">SUM(AE32:AE34)</f>
        <v>60.739226899757</v>
      </c>
      <c r="AF35" s="216">
        <f t="shared" ref="AF35" si="58">SUM(AF32:AF34)</f>
        <v>4.7162794174083018</v>
      </c>
      <c r="AG35" s="216">
        <f t="shared" ref="AG35" si="59">SUM(AG32:AG34)</f>
        <v>16.8966968178154</v>
      </c>
      <c r="AH35" s="216">
        <f t="shared" ref="AH35" si="60">SUM(AH32:AH34)</f>
        <v>15.184806724939254</v>
      </c>
      <c r="AI35" s="216">
        <f t="shared" ref="AI35" si="61">SUM(AI32:AI34)</f>
        <v>1.5720931391361019</v>
      </c>
      <c r="AJ35" s="216">
        <f t="shared" ref="AJ35" si="62">SUM(AJ32:AJ34)</f>
        <v>16.8966968178154</v>
      </c>
      <c r="AK35" s="216">
        <f t="shared" ref="AK35" si="63">SUM(AK32:AK34)</f>
        <v>45.554420174817743</v>
      </c>
      <c r="AL35" s="216">
        <f t="shared" ref="AL35" si="64">SUM(AL32:AL34)</f>
        <v>0</v>
      </c>
      <c r="AM35" s="216">
        <f t="shared" ref="AM35" si="65">SUM(AM32:AM34)</f>
        <v>0</v>
      </c>
      <c r="AN35" s="216">
        <f t="shared" ref="AN35" si="66">SUM(AN32:AN34)</f>
        <v>0</v>
      </c>
    </row>
    <row r="36" spans="2:40" ht="13.5" customHeight="1" thickTop="1" x14ac:dyDescent="0.3">
      <c r="D36" s="219" t="s">
        <v>281</v>
      </c>
      <c r="E36" s="181">
        <f>E35/ProjectedP205_Consumption!N244</f>
        <v>6.0999792049666608E-2</v>
      </c>
      <c r="F36" s="181">
        <f>F35/ProjectedP205_Consumption!O244</f>
        <v>0.21505778646266088</v>
      </c>
      <c r="G36" s="181">
        <f>G35/ProjectedP205_Consumption!P244</f>
        <v>0.29843889725220452</v>
      </c>
      <c r="H36" s="220"/>
      <c r="I36" s="220"/>
      <c r="J36" s="220"/>
      <c r="K36" s="220"/>
      <c r="L36" s="220"/>
      <c r="M36" s="220"/>
      <c r="N36" s="220"/>
      <c r="O36" s="220"/>
      <c r="P36" s="220"/>
      <c r="Q36" s="220"/>
      <c r="R36" s="220"/>
      <c r="S36" s="220"/>
      <c r="U36" s="1"/>
      <c r="V36" s="222"/>
      <c r="W36" s="222"/>
      <c r="X36" s="222"/>
      <c r="Y36" s="222"/>
      <c r="Z36" s="222"/>
      <c r="AA36" s="222"/>
      <c r="AB36" s="222"/>
      <c r="AC36" s="215">
        <f>AC35/ProjectedP205_Consumption!K82</f>
        <v>6.0999792049666622E-2</v>
      </c>
      <c r="AD36" s="215">
        <f>AD35/ProjectedP205_Consumption!L82</f>
        <v>0.21505778646266091</v>
      </c>
      <c r="AE36" s="215">
        <f>AE35/ProjectedP205_Consumption!M82</f>
        <v>0.29843889725220457</v>
      </c>
      <c r="AF36" s="222"/>
      <c r="AG36" s="222"/>
      <c r="AH36" s="7"/>
      <c r="AI36" s="7"/>
    </row>
    <row r="37" spans="2:40" ht="13.5" customHeight="1" x14ac:dyDescent="0.3">
      <c r="D37" s="219"/>
      <c r="K37" s="220"/>
      <c r="L37" s="220"/>
      <c r="M37" s="220"/>
      <c r="N37" s="220"/>
      <c r="O37" s="220"/>
      <c r="P37" s="220"/>
      <c r="Q37" s="220"/>
      <c r="R37" s="220"/>
      <c r="S37" s="220"/>
      <c r="T37" s="220"/>
      <c r="U37" s="220"/>
      <c r="V37" s="220"/>
      <c r="X37" s="1"/>
      <c r="Y37" s="222"/>
      <c r="Z37" s="222"/>
      <c r="AA37" s="222"/>
      <c r="AB37" s="222"/>
      <c r="AC37" s="222"/>
      <c r="AD37" s="222"/>
      <c r="AE37" s="222"/>
      <c r="AF37" s="222"/>
      <c r="AG37" s="222"/>
      <c r="AH37" s="222"/>
      <c r="AI37" s="222"/>
      <c r="AJ37" s="222"/>
      <c r="AK37" s="7"/>
      <c r="AL37" s="7"/>
    </row>
    <row r="38" spans="2:40" ht="13.5" customHeight="1" x14ac:dyDescent="0.3">
      <c r="D38" s="219"/>
      <c r="K38" s="220"/>
      <c r="L38" s="220"/>
      <c r="M38" s="220"/>
      <c r="N38" s="220"/>
      <c r="O38" s="220"/>
      <c r="P38" s="220"/>
      <c r="Q38" s="220"/>
      <c r="R38" s="220"/>
      <c r="S38" s="220"/>
      <c r="T38" s="220"/>
      <c r="U38" s="220"/>
      <c r="V38" s="220"/>
      <c r="X38" s="1"/>
      <c r="Y38" s="222"/>
      <c r="Z38" s="222"/>
      <c r="AA38" s="222"/>
      <c r="AB38" s="222"/>
      <c r="AC38" s="222"/>
      <c r="AD38" s="222"/>
      <c r="AE38" s="222"/>
      <c r="AF38" s="222"/>
      <c r="AG38" s="222"/>
      <c r="AH38" s="222"/>
      <c r="AI38" s="222"/>
      <c r="AJ38" s="222"/>
      <c r="AK38" s="7"/>
      <c r="AL38" s="7"/>
    </row>
    <row r="39" spans="2:40" ht="13.5" customHeight="1" x14ac:dyDescent="0.35">
      <c r="B39" s="29">
        <v>0</v>
      </c>
      <c r="C39" s="29" t="s">
        <v>46</v>
      </c>
      <c r="D39" s="28" t="s">
        <v>283</v>
      </c>
      <c r="K39" s="220"/>
      <c r="L39" s="220"/>
      <c r="M39" s="220"/>
      <c r="N39" s="220"/>
      <c r="O39" s="220"/>
      <c r="P39" s="220"/>
      <c r="Q39" s="220"/>
      <c r="R39" s="220"/>
      <c r="S39" s="220"/>
      <c r="T39" s="220"/>
      <c r="U39" s="220"/>
      <c r="V39" s="220"/>
      <c r="X39" s="1"/>
      <c r="Y39" s="222"/>
      <c r="Z39" s="222"/>
      <c r="AA39" s="222"/>
      <c r="AB39" s="222"/>
      <c r="AC39" s="222"/>
      <c r="AD39" s="222"/>
      <c r="AE39" s="222"/>
      <c r="AF39" s="222"/>
      <c r="AG39" s="222"/>
      <c r="AH39" s="222"/>
      <c r="AI39" s="222"/>
      <c r="AJ39" s="222"/>
      <c r="AK39" s="7"/>
      <c r="AL39" s="7"/>
    </row>
    <row r="40" spans="2:40" ht="13.5" customHeight="1" x14ac:dyDescent="0.3">
      <c r="D40" s="219"/>
      <c r="K40" s="220"/>
      <c r="L40" s="220"/>
      <c r="M40" s="220"/>
      <c r="N40" s="220"/>
      <c r="O40" s="220"/>
      <c r="P40" s="220"/>
      <c r="Q40" s="220"/>
      <c r="R40" s="220"/>
      <c r="S40" s="220"/>
      <c r="T40" s="220"/>
      <c r="U40" s="220"/>
      <c r="V40" s="220"/>
      <c r="X40" s="1"/>
      <c r="Y40" s="223"/>
      <c r="Z40" s="221"/>
      <c r="AA40" s="221"/>
      <c r="AB40" s="223"/>
      <c r="AC40" s="221"/>
      <c r="AD40" s="221"/>
      <c r="AE40" s="221"/>
      <c r="AF40" s="59"/>
      <c r="AG40" s="59"/>
      <c r="AH40" s="59"/>
      <c r="AI40" s="59"/>
      <c r="AJ40" s="59"/>
      <c r="AK40" s="7"/>
      <c r="AL40" s="7"/>
    </row>
    <row r="41" spans="2:40" ht="13.5" customHeight="1" x14ac:dyDescent="0.3">
      <c r="D41" s="32" t="s">
        <v>284</v>
      </c>
      <c r="E41" s="35"/>
      <c r="F41" s="35"/>
      <c r="G41" s="35"/>
      <c r="H41" s="220"/>
      <c r="I41" s="220"/>
      <c r="J41" s="220"/>
      <c r="K41" s="220"/>
      <c r="L41" s="220"/>
      <c r="M41" s="220"/>
      <c r="N41" s="220"/>
      <c r="O41" s="220"/>
      <c r="P41" s="220"/>
      <c r="R41" s="1"/>
      <c r="S41" s="219"/>
      <c r="T41" s="220"/>
      <c r="U41" s="220"/>
      <c r="V41" s="219"/>
      <c r="W41" s="220"/>
      <c r="X41" s="220"/>
      <c r="Y41" s="220"/>
      <c r="Z41" s="1"/>
      <c r="AA41" s="1"/>
      <c r="AB41" s="1"/>
      <c r="AC41" s="1"/>
      <c r="AD41" s="1"/>
    </row>
    <row r="42" spans="2:40" ht="13.5" customHeight="1" x14ac:dyDescent="0.3">
      <c r="D42" s="33" t="s">
        <v>275</v>
      </c>
      <c r="E42" s="36"/>
      <c r="F42" s="36"/>
      <c r="G42" s="36"/>
      <c r="H42" s="220"/>
      <c r="I42" s="220"/>
      <c r="J42" s="220"/>
      <c r="K42" s="220"/>
      <c r="L42" s="220"/>
      <c r="M42" s="220"/>
      <c r="N42" s="220"/>
      <c r="O42" s="220"/>
      <c r="P42" s="220"/>
      <c r="R42" s="1"/>
      <c r="S42" s="219"/>
      <c r="T42" s="220"/>
      <c r="U42" s="220"/>
      <c r="V42" s="219"/>
      <c r="W42" s="220"/>
      <c r="X42" s="220"/>
      <c r="Y42" s="220"/>
      <c r="Z42" s="1"/>
      <c r="AA42" s="1"/>
      <c r="AB42" s="1"/>
      <c r="AC42" s="1"/>
      <c r="AD42" s="1"/>
    </row>
    <row r="43" spans="2:40" s="7" customFormat="1" ht="13.5" customHeight="1" x14ac:dyDescent="0.3">
      <c r="D43" s="36"/>
      <c r="E43" s="36"/>
      <c r="F43" s="36"/>
      <c r="G43" s="36"/>
      <c r="H43" s="224"/>
      <c r="I43" s="224"/>
      <c r="J43" s="224"/>
      <c r="K43" s="224"/>
      <c r="L43" s="224"/>
      <c r="M43" s="224"/>
      <c r="N43" s="224"/>
      <c r="O43" s="224"/>
      <c r="P43" s="224"/>
      <c r="R43" s="59"/>
      <c r="S43" s="223"/>
      <c r="T43" s="224"/>
      <c r="U43" s="224"/>
      <c r="V43" s="223"/>
      <c r="W43" s="224"/>
      <c r="X43" s="224"/>
      <c r="Y43" s="224"/>
      <c r="Z43" s="59"/>
      <c r="AA43" s="59"/>
      <c r="AB43" s="59"/>
      <c r="AC43" s="59"/>
      <c r="AD43" s="59"/>
    </row>
    <row r="44" spans="2:40" ht="13.5" customHeight="1" x14ac:dyDescent="0.3">
      <c r="D44" s="30" t="s">
        <v>15</v>
      </c>
      <c r="E44" s="34">
        <v>2023</v>
      </c>
      <c r="F44" s="34">
        <v>2024</v>
      </c>
      <c r="G44" s="34">
        <v>2025</v>
      </c>
      <c r="H44" s="220"/>
      <c r="I44" s="220"/>
      <c r="J44" s="220"/>
      <c r="K44" s="220"/>
      <c r="L44" s="220"/>
      <c r="M44" s="220"/>
      <c r="N44" s="220"/>
      <c r="O44" s="220"/>
      <c r="P44" s="220"/>
      <c r="R44" s="1"/>
      <c r="S44" s="219"/>
      <c r="T44" s="220"/>
      <c r="U44" s="220"/>
      <c r="V44" s="219"/>
      <c r="W44" s="220"/>
      <c r="X44" s="220"/>
      <c r="Y44" s="220"/>
      <c r="Z44" s="1"/>
      <c r="AA44" s="1"/>
      <c r="AB44" s="1"/>
      <c r="AC44" s="1"/>
      <c r="AD44" s="1"/>
    </row>
    <row r="45" spans="2:40" ht="13.5" customHeight="1" x14ac:dyDescent="0.35">
      <c r="D45" s="195" t="s">
        <v>240</v>
      </c>
      <c r="E45" s="1">
        <f t="shared" ref="E45:G47" si="67">H21+K21+N21</f>
        <v>10.196789975718918</v>
      </c>
      <c r="F45" s="1">
        <f t="shared" si="67"/>
        <v>39.010088453249658</v>
      </c>
      <c r="G45" s="1">
        <f t="shared" si="67"/>
        <v>83.786486157939862</v>
      </c>
      <c r="H45" s="225"/>
      <c r="I45" s="225"/>
      <c r="J45" s="225"/>
      <c r="K45" s="225"/>
      <c r="L45" s="225"/>
      <c r="M45" s="225"/>
      <c r="N45" s="225"/>
      <c r="O45" s="225"/>
      <c r="P45" s="225"/>
      <c r="R45" s="225"/>
      <c r="S45" s="225"/>
      <c r="T45" s="225"/>
      <c r="U45" s="225"/>
      <c r="V45" s="225"/>
      <c r="W45" s="225"/>
      <c r="X45" s="225"/>
      <c r="Y45" s="225"/>
      <c r="Z45" s="225"/>
      <c r="AA45" s="225"/>
      <c r="AB45" s="225"/>
      <c r="AC45" s="225"/>
      <c r="AD45" s="225"/>
    </row>
    <row r="46" spans="2:40" ht="13.5" customHeight="1" x14ac:dyDescent="0.35">
      <c r="D46" s="195" t="s">
        <v>251</v>
      </c>
      <c r="E46" s="1">
        <f t="shared" si="67"/>
        <v>3.4735851472036985</v>
      </c>
      <c r="F46" s="1">
        <f t="shared" si="67"/>
        <v>4.309346468562925</v>
      </c>
      <c r="G46" s="1">
        <f t="shared" si="67"/>
        <v>5.2868210786600462</v>
      </c>
      <c r="H46" s="220"/>
      <c r="I46" s="220"/>
      <c r="J46" s="220"/>
      <c r="K46" s="220"/>
      <c r="L46" s="220"/>
      <c r="M46" s="220"/>
      <c r="N46" s="220"/>
      <c r="O46" s="220"/>
      <c r="P46" s="220"/>
      <c r="R46" s="1"/>
      <c r="S46" s="219"/>
      <c r="T46" s="220"/>
      <c r="U46" s="220"/>
      <c r="V46" s="219"/>
      <c r="W46" s="220"/>
      <c r="X46" s="220"/>
      <c r="Y46" s="220"/>
      <c r="Z46" s="1"/>
      <c r="AA46" s="1"/>
      <c r="AB46" s="1"/>
      <c r="AC46" s="1"/>
      <c r="AD46" s="1"/>
    </row>
    <row r="47" spans="2:40" ht="13.5" customHeight="1" thickBot="1" x14ac:dyDescent="0.4">
      <c r="D47" s="195" t="s">
        <v>241</v>
      </c>
      <c r="E47" s="1">
        <f t="shared" si="67"/>
        <v>0</v>
      </c>
      <c r="F47" s="1">
        <f t="shared" si="67"/>
        <v>16.050714230286008</v>
      </c>
      <c r="G47" s="1">
        <f t="shared" si="67"/>
        <v>15.920659210344411</v>
      </c>
      <c r="H47" s="220"/>
      <c r="I47" s="220"/>
      <c r="J47" s="220"/>
      <c r="K47" s="220"/>
      <c r="L47" s="220"/>
      <c r="M47" s="220"/>
      <c r="N47" s="220"/>
      <c r="O47" s="220"/>
      <c r="P47" s="220"/>
      <c r="R47" s="1"/>
      <c r="S47" s="219"/>
      <c r="T47" s="220"/>
      <c r="U47" s="220"/>
      <c r="V47" s="219"/>
      <c r="W47" s="220"/>
      <c r="X47" s="220"/>
      <c r="Y47" s="220"/>
      <c r="Z47" s="1"/>
      <c r="AA47" s="1"/>
      <c r="AB47" s="1"/>
      <c r="AC47" s="1"/>
      <c r="AD47" s="1"/>
    </row>
    <row r="48" spans="2:40" ht="13.5" customHeight="1" thickTop="1" thickBot="1" x14ac:dyDescent="0.35">
      <c r="D48" s="102" t="s">
        <v>280</v>
      </c>
      <c r="E48" s="342">
        <f>SUM(E45:E47)</f>
        <v>13.670375122922616</v>
      </c>
      <c r="F48" s="342">
        <f t="shared" ref="F48:G48" si="68">SUM(F45:F47)</f>
        <v>59.370149152098591</v>
      </c>
      <c r="G48" s="342">
        <f t="shared" si="68"/>
        <v>104.99396644694431</v>
      </c>
      <c r="H48" s="220"/>
      <c r="I48" s="220"/>
      <c r="J48" s="220"/>
      <c r="K48" s="220"/>
      <c r="L48" s="220"/>
      <c r="M48" s="220"/>
      <c r="N48" s="220"/>
      <c r="O48" s="220"/>
      <c r="P48" s="220"/>
      <c r="R48" s="1"/>
      <c r="S48" s="219"/>
      <c r="T48" s="220"/>
      <c r="U48" s="220"/>
      <c r="V48" s="219"/>
      <c r="W48" s="220"/>
      <c r="X48" s="220"/>
      <c r="Y48" s="220"/>
      <c r="Z48" s="1"/>
      <c r="AA48" s="1"/>
      <c r="AB48" s="1"/>
      <c r="AC48" s="1"/>
      <c r="AD48" s="1"/>
    </row>
    <row r="49" spans="2:36" ht="13.5" customHeight="1" thickTop="1" x14ac:dyDescent="0.25">
      <c r="D49" s="1"/>
      <c r="E49" s="1"/>
      <c r="F49" s="1"/>
      <c r="G49" s="1"/>
      <c r="H49" s="225"/>
      <c r="I49" s="225"/>
      <c r="J49" s="225"/>
      <c r="K49" s="225"/>
      <c r="L49" s="225"/>
      <c r="M49" s="225"/>
      <c r="N49" s="225"/>
      <c r="O49" s="225"/>
      <c r="P49" s="225"/>
      <c r="R49" s="225"/>
      <c r="S49" s="225"/>
      <c r="T49" s="225"/>
      <c r="U49" s="225"/>
      <c r="V49" s="225"/>
      <c r="W49" s="225"/>
      <c r="X49" s="225"/>
      <c r="Y49" s="225"/>
      <c r="Z49" s="225"/>
      <c r="AA49" s="225"/>
      <c r="AB49" s="225"/>
      <c r="AC49" s="225"/>
      <c r="AD49" s="225"/>
    </row>
    <row r="50" spans="2:36" ht="13.5" customHeight="1" x14ac:dyDescent="0.3">
      <c r="D50" s="32" t="s">
        <v>284</v>
      </c>
      <c r="E50" s="35"/>
      <c r="F50" s="35"/>
      <c r="G50" s="35"/>
      <c r="H50" s="220"/>
      <c r="I50" s="220"/>
      <c r="J50" s="220"/>
      <c r="K50" s="220"/>
      <c r="L50" s="220"/>
      <c r="M50" s="220"/>
      <c r="N50" s="220"/>
      <c r="O50" s="220"/>
      <c r="P50" s="220"/>
      <c r="R50" s="1"/>
      <c r="S50" s="219"/>
      <c r="T50" s="220"/>
      <c r="U50" s="220"/>
      <c r="V50" s="219"/>
      <c r="W50" s="220"/>
      <c r="X50" s="220"/>
      <c r="Y50" s="220"/>
      <c r="Z50" s="1"/>
      <c r="AA50" s="1"/>
      <c r="AB50" s="1"/>
      <c r="AC50" s="1"/>
      <c r="AD50" s="1"/>
    </row>
    <row r="51" spans="2:36" ht="13.5" customHeight="1" x14ac:dyDescent="0.3">
      <c r="D51" s="33" t="s">
        <v>275</v>
      </c>
      <c r="E51" s="36"/>
      <c r="F51" s="36"/>
      <c r="G51" s="36"/>
      <c r="H51" s="220"/>
      <c r="I51" s="220"/>
      <c r="J51" s="220"/>
      <c r="K51" s="220"/>
      <c r="L51" s="220"/>
      <c r="M51" s="220"/>
      <c r="N51" s="220"/>
      <c r="O51" s="220"/>
      <c r="P51" s="220"/>
      <c r="R51" s="1"/>
      <c r="S51" s="219"/>
      <c r="T51" s="220"/>
      <c r="U51" s="220"/>
      <c r="V51" s="219"/>
      <c r="W51" s="220"/>
      <c r="X51" s="220"/>
      <c r="Y51" s="220"/>
      <c r="Z51" s="1"/>
      <c r="AA51" s="1"/>
      <c r="AB51" s="1"/>
      <c r="AC51" s="1"/>
      <c r="AD51" s="1"/>
    </row>
    <row r="52" spans="2:36" ht="13.5" customHeight="1" x14ac:dyDescent="0.3">
      <c r="D52" s="36"/>
      <c r="E52" s="36"/>
      <c r="F52" s="36"/>
      <c r="G52" s="36"/>
      <c r="H52" s="220"/>
      <c r="I52" s="220"/>
      <c r="J52" s="220"/>
      <c r="K52" s="220"/>
      <c r="L52" s="220"/>
      <c r="M52" s="220"/>
      <c r="N52" s="220"/>
      <c r="O52" s="220"/>
      <c r="P52" s="220"/>
      <c r="R52" s="1"/>
      <c r="S52" s="219"/>
      <c r="T52" s="220"/>
      <c r="U52" s="220"/>
      <c r="V52" s="219"/>
      <c r="W52" s="220"/>
      <c r="X52" s="220"/>
      <c r="Y52" s="220"/>
      <c r="Z52" s="1"/>
      <c r="AA52" s="1"/>
      <c r="AB52" s="1"/>
      <c r="AC52" s="1"/>
      <c r="AD52" s="1"/>
    </row>
    <row r="53" spans="2:36" ht="13.5" customHeight="1" x14ac:dyDescent="0.3">
      <c r="D53" s="30" t="s">
        <v>285</v>
      </c>
      <c r="E53" s="34">
        <v>2023</v>
      </c>
      <c r="F53" s="34">
        <v>2024</v>
      </c>
      <c r="G53" s="34">
        <v>2025</v>
      </c>
      <c r="H53" s="220"/>
      <c r="I53" s="220"/>
      <c r="J53" s="220"/>
      <c r="K53" s="220"/>
      <c r="L53" s="220"/>
      <c r="M53" s="220"/>
      <c r="N53" s="220"/>
      <c r="O53" s="220"/>
      <c r="P53" s="220"/>
      <c r="R53" s="1"/>
      <c r="S53" s="219"/>
      <c r="T53" s="220"/>
      <c r="U53" s="220"/>
      <c r="V53" s="219"/>
      <c r="W53" s="220"/>
      <c r="X53" s="220"/>
      <c r="Y53" s="220"/>
      <c r="Z53" s="1"/>
      <c r="AA53" s="1"/>
      <c r="AB53" s="1"/>
      <c r="AC53" s="1"/>
      <c r="AD53" s="1"/>
    </row>
    <row r="54" spans="2:36" ht="13.5" customHeight="1" x14ac:dyDescent="0.35">
      <c r="D54" s="195" t="s">
        <v>240</v>
      </c>
      <c r="E54" s="1">
        <f t="shared" ref="E54:G56" si="69">H32+K32+N32</f>
        <v>10.196789975718918</v>
      </c>
      <c r="F54" s="1">
        <f t="shared" si="69"/>
        <v>46.628501142963557</v>
      </c>
      <c r="G54" s="1">
        <f t="shared" si="69"/>
        <v>100.65547498144085</v>
      </c>
      <c r="H54" s="225"/>
      <c r="I54" s="225"/>
      <c r="J54" s="225"/>
      <c r="K54" s="225"/>
      <c r="L54" s="225"/>
      <c r="M54" s="225"/>
      <c r="N54" s="225"/>
      <c r="O54" s="225"/>
      <c r="P54" s="225"/>
      <c r="R54" s="225"/>
      <c r="S54" s="225"/>
      <c r="T54" s="225"/>
      <c r="U54" s="225"/>
      <c r="V54" s="225"/>
      <c r="W54" s="225"/>
      <c r="X54" s="225"/>
      <c r="Y54" s="225"/>
      <c r="Z54" s="225"/>
      <c r="AA54" s="225"/>
      <c r="AB54" s="225"/>
      <c r="AC54" s="225"/>
      <c r="AD54" s="225"/>
    </row>
    <row r="55" spans="2:36" ht="13.5" customHeight="1" x14ac:dyDescent="0.35">
      <c r="D55" s="195" t="s">
        <v>251</v>
      </c>
      <c r="E55" s="1">
        <f t="shared" si="69"/>
        <v>3.4735851472036985</v>
      </c>
      <c r="F55" s="1">
        <f t="shared" si="69"/>
        <v>5.3107545390897855</v>
      </c>
      <c r="G55" s="1">
        <f t="shared" si="69"/>
        <v>6.4120151998942454</v>
      </c>
      <c r="H55" s="220"/>
      <c r="I55" s="220"/>
      <c r="J55" s="220"/>
      <c r="K55" s="220"/>
      <c r="L55" s="220"/>
      <c r="M55" s="220"/>
      <c r="N55" s="220"/>
      <c r="O55" s="220"/>
      <c r="P55" s="220"/>
      <c r="R55" s="1"/>
      <c r="S55" s="219"/>
      <c r="T55" s="220"/>
      <c r="U55" s="220"/>
      <c r="V55" s="219"/>
      <c r="W55" s="220"/>
      <c r="X55" s="220"/>
      <c r="Y55" s="220"/>
      <c r="Z55" s="1"/>
      <c r="AA55" s="1"/>
      <c r="AB55" s="1"/>
      <c r="AC55" s="1"/>
      <c r="AD55" s="1"/>
    </row>
    <row r="56" spans="2:36" ht="13.5" customHeight="1" thickBot="1" x14ac:dyDescent="0.4">
      <c r="D56" s="195" t="s">
        <v>241</v>
      </c>
      <c r="E56" s="1">
        <f t="shared" si="69"/>
        <v>0</v>
      </c>
      <c r="F56" s="1">
        <f t="shared" si="69"/>
        <v>21.524643525839689</v>
      </c>
      <c r="G56" s="1">
        <f t="shared" si="69"/>
        <v>24.97430742683229</v>
      </c>
      <c r="H56" s="220"/>
      <c r="I56" s="220"/>
      <c r="J56" s="220"/>
      <c r="K56" s="220"/>
      <c r="L56" s="220"/>
      <c r="M56" s="220"/>
      <c r="N56" s="220"/>
      <c r="O56" s="220"/>
      <c r="P56" s="220"/>
      <c r="R56" s="1"/>
      <c r="S56" s="219"/>
      <c r="T56" s="220"/>
      <c r="U56" s="220"/>
      <c r="V56" s="219"/>
      <c r="W56" s="220"/>
      <c r="X56" s="220"/>
      <c r="Y56" s="220"/>
      <c r="Z56" s="1"/>
      <c r="AA56" s="1"/>
      <c r="AB56" s="1"/>
      <c r="AC56" s="1"/>
      <c r="AD56" s="1"/>
    </row>
    <row r="57" spans="2:36" ht="13.5" customHeight="1" thickTop="1" thickBot="1" x14ac:dyDescent="0.35">
      <c r="D57" s="102" t="s">
        <v>280</v>
      </c>
      <c r="E57" s="216">
        <f>SUM(E54:E56)</f>
        <v>13.670375122922616</v>
      </c>
      <c r="F57" s="216">
        <f t="shared" ref="F57:G57" si="70">SUM(F54:F56)</f>
        <v>73.463899207893036</v>
      </c>
      <c r="G57" s="216">
        <f t="shared" si="70"/>
        <v>132.04179760816737</v>
      </c>
      <c r="H57" s="220"/>
      <c r="I57" s="220"/>
      <c r="J57" s="220"/>
      <c r="K57" s="220"/>
      <c r="L57" s="220"/>
      <c r="M57" s="220"/>
      <c r="N57" s="220"/>
      <c r="O57" s="220"/>
      <c r="P57" s="220"/>
      <c r="R57" s="1"/>
      <c r="S57" s="219"/>
      <c r="T57" s="220"/>
      <c r="U57" s="220"/>
      <c r="V57" s="219"/>
      <c r="W57" s="220"/>
      <c r="X57" s="220"/>
      <c r="Y57" s="220"/>
      <c r="Z57" s="1"/>
      <c r="AA57" s="1"/>
      <c r="AB57" s="1"/>
      <c r="AC57" s="1"/>
      <c r="AD57" s="1"/>
    </row>
    <row r="58" spans="2:36" ht="13.5" customHeight="1" thickTop="1" x14ac:dyDescent="0.3">
      <c r="D58" s="7"/>
      <c r="E58" s="7"/>
      <c r="F58" s="7"/>
      <c r="G58" s="7"/>
      <c r="H58" s="7"/>
      <c r="I58" s="7"/>
      <c r="J58" s="7"/>
      <c r="K58" s="226"/>
      <c r="L58" s="226"/>
      <c r="M58" s="226"/>
      <c r="N58" s="220"/>
      <c r="O58" s="220"/>
      <c r="P58" s="220"/>
      <c r="Q58" s="220"/>
      <c r="R58" s="220"/>
      <c r="S58" s="220"/>
      <c r="T58" s="220"/>
      <c r="U58" s="220"/>
      <c r="V58" s="220"/>
      <c r="X58" s="1"/>
      <c r="Y58" s="219"/>
      <c r="Z58" s="220"/>
      <c r="AA58" s="220"/>
      <c r="AB58" s="219"/>
      <c r="AC58" s="220"/>
      <c r="AD58" s="220"/>
      <c r="AE58" s="220"/>
      <c r="AF58" s="1"/>
      <c r="AG58" s="1"/>
      <c r="AH58" s="1"/>
      <c r="AI58" s="1"/>
      <c r="AJ58" s="1"/>
    </row>
    <row r="59" spans="2:36" ht="13.5" customHeight="1" x14ac:dyDescent="0.3">
      <c r="D59" s="7"/>
      <c r="E59" s="7"/>
      <c r="F59" s="7"/>
      <c r="G59" s="7"/>
      <c r="H59" s="7"/>
      <c r="I59" s="7"/>
      <c r="J59" s="7"/>
      <c r="K59" s="226"/>
      <c r="L59" s="226"/>
      <c r="M59" s="226"/>
      <c r="N59" s="220"/>
      <c r="O59" s="220"/>
      <c r="P59" s="220"/>
      <c r="Q59" s="220"/>
      <c r="R59" s="220"/>
      <c r="S59" s="220"/>
      <c r="T59" s="220"/>
      <c r="U59" s="220"/>
      <c r="V59" s="220"/>
      <c r="X59" s="1"/>
      <c r="Y59" s="219"/>
      <c r="Z59" s="220"/>
      <c r="AA59" s="220"/>
      <c r="AB59" s="219"/>
      <c r="AC59" s="220"/>
      <c r="AD59" s="220"/>
      <c r="AE59" s="220"/>
      <c r="AF59" s="1"/>
      <c r="AG59" s="1"/>
      <c r="AH59" s="1"/>
      <c r="AI59" s="1"/>
      <c r="AJ59" s="1"/>
    </row>
    <row r="60" spans="2:36" ht="13.5" customHeight="1" x14ac:dyDescent="0.3">
      <c r="D60" s="7"/>
      <c r="E60" s="7"/>
      <c r="F60" s="7"/>
      <c r="G60" s="7"/>
      <c r="H60" s="7"/>
      <c r="I60" s="7"/>
      <c r="J60" s="7"/>
      <c r="K60" s="226"/>
      <c r="L60" s="226"/>
      <c r="M60" s="226"/>
      <c r="N60" s="220"/>
      <c r="O60" s="220"/>
      <c r="P60" s="220"/>
      <c r="Q60" s="220"/>
      <c r="R60" s="220"/>
      <c r="S60" s="220"/>
      <c r="T60" s="220"/>
      <c r="U60" s="220"/>
      <c r="V60" s="220"/>
      <c r="X60" s="1"/>
      <c r="Y60" s="219"/>
      <c r="Z60" s="220"/>
      <c r="AA60" s="220"/>
      <c r="AB60" s="219"/>
      <c r="AC60" s="220"/>
      <c r="AD60" s="220"/>
      <c r="AE60" s="220"/>
      <c r="AF60" s="1"/>
      <c r="AG60" s="1"/>
      <c r="AH60" s="1"/>
      <c r="AI60" s="1"/>
      <c r="AJ60" s="1"/>
    </row>
    <row r="61" spans="2:36" ht="13.5" customHeight="1" x14ac:dyDescent="0.35">
      <c r="B61" s="29">
        <v>0</v>
      </c>
      <c r="C61" s="29" t="s">
        <v>286</v>
      </c>
      <c r="D61" s="28" t="s">
        <v>287</v>
      </c>
      <c r="E61" s="7"/>
      <c r="F61" s="7"/>
      <c r="G61" s="7"/>
      <c r="H61" s="7"/>
      <c r="I61" s="7"/>
      <c r="J61" s="7"/>
      <c r="K61" s="226"/>
      <c r="L61" s="226"/>
      <c r="M61" s="226"/>
      <c r="N61" s="220"/>
      <c r="O61" s="220"/>
      <c r="P61" s="220"/>
      <c r="Q61" s="220"/>
      <c r="R61" s="220"/>
      <c r="S61" s="220"/>
      <c r="T61" s="220"/>
      <c r="U61" s="220"/>
      <c r="V61" s="220"/>
      <c r="X61" s="1"/>
      <c r="Y61" s="219"/>
      <c r="Z61" s="220"/>
      <c r="AA61" s="220"/>
      <c r="AB61" s="219"/>
      <c r="AC61" s="220"/>
      <c r="AD61" s="220"/>
      <c r="AE61" s="220"/>
      <c r="AF61" s="1"/>
      <c r="AG61" s="1"/>
      <c r="AH61" s="1"/>
      <c r="AI61" s="1"/>
      <c r="AJ61" s="1"/>
    </row>
    <row r="62" spans="2:36" ht="13.5" customHeight="1" x14ac:dyDescent="0.3">
      <c r="D62" s="219"/>
      <c r="K62" s="220"/>
      <c r="L62" s="220"/>
      <c r="M62" s="220"/>
      <c r="N62" s="220"/>
      <c r="O62" s="220"/>
      <c r="P62" s="220"/>
      <c r="Q62" s="220"/>
      <c r="R62" s="220"/>
      <c r="S62" s="220"/>
      <c r="T62" s="220"/>
      <c r="U62" s="220"/>
      <c r="V62" s="220"/>
      <c r="X62" s="1"/>
      <c r="Y62" s="219"/>
      <c r="Z62" s="220"/>
      <c r="AA62" s="220"/>
      <c r="AB62" s="219"/>
      <c r="AC62" s="220"/>
      <c r="AD62" s="220"/>
      <c r="AE62" s="220"/>
      <c r="AF62" s="1"/>
      <c r="AG62" s="1"/>
      <c r="AH62" s="1"/>
      <c r="AI62" s="1"/>
      <c r="AJ62" s="1"/>
    </row>
    <row r="63" spans="2:36" ht="13.5" customHeight="1" x14ac:dyDescent="0.3">
      <c r="D63" s="32" t="s">
        <v>288</v>
      </c>
      <c r="E63" s="35"/>
      <c r="F63" s="35"/>
      <c r="G63" s="35"/>
      <c r="H63" s="220"/>
      <c r="I63" s="32" t="s">
        <v>288</v>
      </c>
      <c r="J63" s="220"/>
      <c r="K63" s="220"/>
      <c r="L63" s="220"/>
      <c r="M63" s="220"/>
      <c r="N63" s="220"/>
      <c r="O63" s="220"/>
      <c r="P63" s="220"/>
      <c r="R63" s="1"/>
      <c r="S63" s="219"/>
      <c r="T63" s="220"/>
      <c r="U63" s="220"/>
      <c r="V63" s="219"/>
      <c r="W63" s="220"/>
      <c r="X63" s="220"/>
      <c r="Y63" s="220"/>
      <c r="Z63" s="1"/>
      <c r="AA63" s="1"/>
      <c r="AB63" s="1"/>
      <c r="AC63" s="1"/>
      <c r="AD63" s="1"/>
    </row>
    <row r="64" spans="2:36" ht="13.5" customHeight="1" x14ac:dyDescent="0.3">
      <c r="D64" s="33" t="s">
        <v>275</v>
      </c>
      <c r="E64" s="36"/>
      <c r="F64" s="36"/>
      <c r="G64" s="36"/>
      <c r="H64" s="220"/>
      <c r="I64" s="33" t="s">
        <v>275</v>
      </c>
      <c r="J64" s="220"/>
      <c r="K64" s="220"/>
      <c r="L64" s="220"/>
      <c r="M64" s="220"/>
      <c r="N64" s="220"/>
      <c r="O64" s="220"/>
      <c r="P64" s="220"/>
      <c r="R64" s="1"/>
      <c r="S64" s="219"/>
      <c r="T64" s="220"/>
      <c r="U64" s="220"/>
      <c r="V64" s="219"/>
      <c r="W64" s="220"/>
      <c r="X64" s="220"/>
      <c r="Y64" s="220"/>
      <c r="Z64" s="1"/>
      <c r="AA64" s="1"/>
      <c r="AB64" s="1"/>
      <c r="AC64" s="1"/>
      <c r="AD64" s="1"/>
    </row>
    <row r="65" spans="4:30" s="7" customFormat="1" ht="13.5" customHeight="1" x14ac:dyDescent="0.3">
      <c r="D65" s="36"/>
      <c r="E65" s="36"/>
      <c r="F65" s="36"/>
      <c r="G65" s="36"/>
      <c r="H65" s="224"/>
      <c r="I65" s="36"/>
      <c r="J65" s="224"/>
      <c r="K65" s="224"/>
      <c r="L65" s="224"/>
      <c r="M65" s="224"/>
      <c r="N65" s="224"/>
      <c r="O65" s="224"/>
      <c r="P65" s="224"/>
      <c r="R65" s="59"/>
      <c r="S65" s="223"/>
      <c r="T65" s="224"/>
      <c r="U65" s="224"/>
      <c r="V65" s="223"/>
      <c r="W65" s="224"/>
      <c r="X65" s="224"/>
      <c r="Y65" s="224"/>
      <c r="Z65" s="59"/>
      <c r="AA65" s="59"/>
      <c r="AB65" s="59"/>
      <c r="AC65" s="59"/>
      <c r="AD65" s="59"/>
    </row>
    <row r="66" spans="4:30" ht="13.5" customHeight="1" x14ac:dyDescent="0.3">
      <c r="D66" s="30" t="s">
        <v>15</v>
      </c>
      <c r="E66" s="34">
        <v>2023</v>
      </c>
      <c r="F66" s="34">
        <v>2024</v>
      </c>
      <c r="G66" s="34">
        <v>2025</v>
      </c>
      <c r="H66" s="220"/>
      <c r="I66" s="30" t="s">
        <v>15</v>
      </c>
      <c r="J66" s="34">
        <v>2023</v>
      </c>
      <c r="K66" s="34">
        <v>2024</v>
      </c>
      <c r="L66" s="34">
        <v>2025</v>
      </c>
      <c r="M66" s="220"/>
      <c r="N66" s="220"/>
      <c r="O66" s="220"/>
      <c r="P66" s="220"/>
      <c r="R66" s="1"/>
      <c r="S66" s="219"/>
      <c r="T66" s="220"/>
      <c r="U66" s="220"/>
      <c r="V66" s="219"/>
      <c r="W66" s="220"/>
      <c r="X66" s="220"/>
      <c r="Y66" s="220"/>
      <c r="Z66" s="1"/>
      <c r="AA66" s="1"/>
      <c r="AB66" s="1"/>
      <c r="AC66" s="1"/>
      <c r="AD66" s="1"/>
    </row>
    <row r="67" spans="4:30" ht="13.5" customHeight="1" x14ac:dyDescent="0.25">
      <c r="D67" s="1" t="s">
        <v>277</v>
      </c>
      <c r="E67" s="1">
        <f>H24</f>
        <v>10.252781342191961</v>
      </c>
      <c r="F67" s="1">
        <f>I24</f>
        <v>29.685074576049296</v>
      </c>
      <c r="G67" s="1">
        <f>J24</f>
        <v>26.248491611736078</v>
      </c>
      <c r="H67" s="225"/>
      <c r="I67" s="1" t="s">
        <v>277</v>
      </c>
      <c r="J67" s="1">
        <f>E67*$K$12</f>
        <v>4.7162794174083018</v>
      </c>
      <c r="K67" s="1">
        <f t="shared" ref="K67:L68" si="71">F67*$K$12</f>
        <v>13.655134304982676</v>
      </c>
      <c r="L67" s="1">
        <f t="shared" si="71"/>
        <v>12.074306141398596</v>
      </c>
      <c r="M67" s="225"/>
      <c r="N67" s="225"/>
      <c r="O67" s="225"/>
      <c r="P67" s="225"/>
      <c r="R67" s="225"/>
      <c r="S67" s="225"/>
      <c r="T67" s="225"/>
      <c r="U67" s="225"/>
      <c r="V67" s="225"/>
      <c r="W67" s="225"/>
      <c r="X67" s="225"/>
      <c r="Y67" s="225"/>
      <c r="Z67" s="225"/>
      <c r="AA67" s="225"/>
      <c r="AB67" s="225"/>
      <c r="AC67" s="225"/>
      <c r="AD67" s="225"/>
    </row>
    <row r="68" spans="4:30" ht="13.5" customHeight="1" x14ac:dyDescent="0.3">
      <c r="D68" s="1" t="s">
        <v>278</v>
      </c>
      <c r="E68" s="1">
        <f>K24</f>
        <v>3.4175937807306558</v>
      </c>
      <c r="F68" s="1">
        <f>L24</f>
        <v>29.685074576049296</v>
      </c>
      <c r="G68" s="1">
        <f>M24</f>
        <v>78.745474835208242</v>
      </c>
      <c r="H68" s="220"/>
      <c r="I68" s="1" t="s">
        <v>278</v>
      </c>
      <c r="J68" s="1">
        <f>E68*$K$12</f>
        <v>1.5720931391361017</v>
      </c>
      <c r="K68" s="1">
        <f t="shared" si="71"/>
        <v>13.655134304982676</v>
      </c>
      <c r="L68" s="1">
        <f t="shared" si="71"/>
        <v>36.22291842419579</v>
      </c>
      <c r="M68" s="220"/>
      <c r="N68" s="220"/>
      <c r="O68" s="220"/>
      <c r="P68" s="220"/>
      <c r="R68" s="1"/>
      <c r="S68" s="219"/>
      <c r="T68" s="220"/>
      <c r="U68" s="220"/>
      <c r="V68" s="219"/>
      <c r="W68" s="220"/>
      <c r="X68" s="220"/>
      <c r="Y68" s="220"/>
      <c r="Z68" s="1"/>
      <c r="AA68" s="1"/>
      <c r="AB68" s="1"/>
      <c r="AC68" s="1"/>
      <c r="AD68" s="1"/>
    </row>
    <row r="69" spans="4:30" ht="13.5" customHeight="1" thickBot="1" x14ac:dyDescent="0.35">
      <c r="D69" s="1" t="s">
        <v>279</v>
      </c>
      <c r="E69" s="1">
        <f>N24</f>
        <v>0</v>
      </c>
      <c r="F69" s="1">
        <f>O24</f>
        <v>0</v>
      </c>
      <c r="G69" s="1">
        <f>P24</f>
        <v>0</v>
      </c>
      <c r="H69" s="220"/>
      <c r="I69" s="1" t="s">
        <v>279</v>
      </c>
      <c r="J69" s="1">
        <f>E69*$K$13</f>
        <v>0</v>
      </c>
      <c r="K69" s="1">
        <f t="shared" ref="K69:L69" si="72">F69*$K$13</f>
        <v>0</v>
      </c>
      <c r="L69" s="1">
        <f t="shared" si="72"/>
        <v>0</v>
      </c>
      <c r="M69" s="220"/>
      <c r="N69" s="220"/>
      <c r="O69" s="220"/>
      <c r="P69" s="220"/>
      <c r="R69" s="1"/>
      <c r="S69" s="219"/>
      <c r="T69" s="220"/>
      <c r="U69" s="220"/>
      <c r="V69" s="219"/>
      <c r="W69" s="220"/>
      <c r="X69" s="220"/>
      <c r="Y69" s="220"/>
      <c r="Z69" s="1"/>
      <c r="AA69" s="1"/>
      <c r="AB69" s="1"/>
      <c r="AC69" s="1"/>
      <c r="AD69" s="1"/>
    </row>
    <row r="70" spans="4:30" ht="13.5" customHeight="1" thickTop="1" thickBot="1" x14ac:dyDescent="0.35">
      <c r="D70" s="102" t="s">
        <v>280</v>
      </c>
      <c r="E70" s="216">
        <f>SUM(E67:E69)</f>
        <v>13.670375122922616</v>
      </c>
      <c r="F70" s="216">
        <f t="shared" ref="F70:G70" si="73">SUM(F67:F69)</f>
        <v>59.370149152098591</v>
      </c>
      <c r="G70" s="216">
        <f t="shared" si="73"/>
        <v>104.99396644694431</v>
      </c>
      <c r="H70" s="220"/>
      <c r="I70" s="102" t="s">
        <v>280</v>
      </c>
      <c r="J70" s="216">
        <f>SUM(J67:J69)</f>
        <v>6.2883725565444033</v>
      </c>
      <c r="K70" s="216">
        <f t="shared" ref="K70:L70" si="74">SUM(K67:K69)</f>
        <v>27.310268609965352</v>
      </c>
      <c r="L70" s="216">
        <f t="shared" si="74"/>
        <v>48.297224565594384</v>
      </c>
      <c r="M70" s="220"/>
      <c r="N70" s="220"/>
      <c r="O70" s="220"/>
      <c r="P70" s="220"/>
      <c r="R70" s="1"/>
      <c r="S70" s="219"/>
      <c r="T70" s="220"/>
      <c r="U70" s="220"/>
      <c r="V70" s="219"/>
      <c r="W70" s="220"/>
      <c r="X70" s="220"/>
      <c r="Y70" s="220"/>
      <c r="Z70" s="1"/>
      <c r="AA70" s="1"/>
      <c r="AB70" s="1"/>
      <c r="AC70" s="1"/>
      <c r="AD70" s="1"/>
    </row>
    <row r="71" spans="4:30" ht="13.5" customHeight="1" thickTop="1" x14ac:dyDescent="0.25">
      <c r="D71" s="1" t="s">
        <v>261</v>
      </c>
      <c r="E71" s="84">
        <f>E70/E93</f>
        <v>6.0999792049666608E-2</v>
      </c>
      <c r="F71" s="84">
        <f t="shared" ref="F71:G71" si="75">F70/F93</f>
        <v>0.20774178374328622</v>
      </c>
      <c r="G71" s="84">
        <f t="shared" si="75"/>
        <v>0.28508329280755146</v>
      </c>
      <c r="H71" s="225"/>
      <c r="I71" s="1" t="s">
        <v>261</v>
      </c>
      <c r="J71" s="225"/>
      <c r="K71" s="225"/>
      <c r="L71" s="225"/>
      <c r="M71" s="225"/>
      <c r="N71" s="225"/>
      <c r="O71" s="225"/>
      <c r="P71" s="225"/>
      <c r="R71" s="225"/>
      <c r="S71" s="225"/>
      <c r="T71" s="225"/>
      <c r="U71" s="225"/>
      <c r="V71" s="225"/>
      <c r="W71" s="225"/>
      <c r="X71" s="225"/>
      <c r="Y71" s="225"/>
      <c r="Z71" s="225"/>
      <c r="AA71" s="225"/>
      <c r="AB71" s="225"/>
      <c r="AC71" s="225"/>
      <c r="AD71" s="225"/>
    </row>
    <row r="72" spans="4:30" ht="13.5" customHeight="1" x14ac:dyDescent="0.3">
      <c r="H72" s="220"/>
      <c r="J72" s="220"/>
      <c r="K72" s="220"/>
      <c r="L72" s="220"/>
      <c r="M72" s="220"/>
      <c r="N72" s="220"/>
      <c r="O72" s="220"/>
      <c r="P72" s="220"/>
      <c r="R72" s="1"/>
      <c r="S72" s="219"/>
      <c r="T72" s="220"/>
      <c r="U72" s="220"/>
      <c r="V72" s="219"/>
      <c r="W72" s="220"/>
      <c r="X72" s="220"/>
      <c r="Y72" s="220"/>
      <c r="Z72" s="1"/>
      <c r="AA72" s="1"/>
      <c r="AB72" s="1"/>
      <c r="AC72" s="1"/>
      <c r="AD72" s="1"/>
    </row>
    <row r="73" spans="4:30" ht="13.5" customHeight="1" x14ac:dyDescent="0.3">
      <c r="D73" s="32" t="s">
        <v>288</v>
      </c>
      <c r="E73" s="35"/>
      <c r="F73" s="35"/>
      <c r="G73" s="35"/>
      <c r="H73" s="220"/>
      <c r="I73" s="32" t="s">
        <v>288</v>
      </c>
      <c r="J73" s="220"/>
      <c r="K73" s="220"/>
      <c r="L73" s="220"/>
      <c r="M73" s="220"/>
      <c r="N73" s="220"/>
      <c r="O73" s="220"/>
      <c r="P73" s="220"/>
      <c r="R73" s="1"/>
      <c r="S73" s="219"/>
      <c r="T73" s="220"/>
      <c r="U73" s="220"/>
      <c r="V73" s="219"/>
      <c r="W73" s="220"/>
      <c r="X73" s="220"/>
      <c r="Y73" s="220"/>
      <c r="Z73" s="1"/>
      <c r="AA73" s="1"/>
      <c r="AB73" s="1"/>
      <c r="AC73" s="1"/>
      <c r="AD73" s="1"/>
    </row>
    <row r="74" spans="4:30" ht="13.5" customHeight="1" x14ac:dyDescent="0.3">
      <c r="D74" s="33" t="s">
        <v>275</v>
      </c>
      <c r="E74" s="36"/>
      <c r="F74" s="36"/>
      <c r="G74" s="36"/>
      <c r="H74" s="220"/>
      <c r="I74" s="33" t="s">
        <v>275</v>
      </c>
      <c r="J74" s="220"/>
      <c r="K74" s="220"/>
      <c r="L74" s="220"/>
      <c r="M74" s="220"/>
      <c r="N74" s="220"/>
      <c r="O74" s="220"/>
      <c r="P74" s="220"/>
      <c r="R74" s="1"/>
      <c r="S74" s="219"/>
      <c r="T74" s="220"/>
      <c r="U74" s="220"/>
      <c r="V74" s="219"/>
      <c r="W74" s="220"/>
      <c r="X74" s="220"/>
      <c r="Y74" s="220"/>
      <c r="Z74" s="1"/>
      <c r="AA74" s="1"/>
      <c r="AB74" s="1"/>
      <c r="AC74" s="1"/>
      <c r="AD74" s="1"/>
    </row>
    <row r="75" spans="4:30" s="7" customFormat="1" ht="13.5" customHeight="1" x14ac:dyDescent="0.3">
      <c r="D75" s="36"/>
      <c r="E75" s="36"/>
      <c r="F75" s="36"/>
      <c r="G75" s="36"/>
      <c r="H75" s="224"/>
      <c r="I75" s="36"/>
      <c r="J75" s="224"/>
      <c r="K75" s="224"/>
      <c r="L75" s="224"/>
      <c r="M75" s="224"/>
      <c r="N75" s="224"/>
      <c r="O75" s="224"/>
      <c r="P75" s="224"/>
      <c r="R75" s="59"/>
      <c r="S75" s="223"/>
      <c r="T75" s="224"/>
      <c r="U75" s="224"/>
      <c r="V75" s="223"/>
      <c r="W75" s="224"/>
      <c r="X75" s="224"/>
      <c r="Y75" s="224"/>
      <c r="Z75" s="59"/>
      <c r="AA75" s="59"/>
      <c r="AB75" s="59"/>
      <c r="AC75" s="59"/>
      <c r="AD75" s="59"/>
    </row>
    <row r="76" spans="4:30" ht="13.5" customHeight="1" x14ac:dyDescent="0.3">
      <c r="D76" s="30" t="s">
        <v>282</v>
      </c>
      <c r="E76" s="34">
        <v>2023</v>
      </c>
      <c r="F76" s="34">
        <v>2024</v>
      </c>
      <c r="G76" s="34">
        <v>2025</v>
      </c>
      <c r="H76" s="220"/>
      <c r="I76" s="30" t="s">
        <v>282</v>
      </c>
      <c r="J76" s="34">
        <v>2023</v>
      </c>
      <c r="K76" s="34">
        <v>2024</v>
      </c>
      <c r="L76" s="34">
        <v>2025</v>
      </c>
      <c r="M76" s="220"/>
      <c r="N76" s="220"/>
      <c r="O76" s="220"/>
      <c r="P76" s="220"/>
      <c r="R76" s="1"/>
      <c r="S76" s="219"/>
      <c r="T76" s="220"/>
      <c r="U76" s="220"/>
      <c r="V76" s="219"/>
      <c r="W76" s="220"/>
      <c r="X76" s="220"/>
      <c r="Y76" s="220"/>
      <c r="Z76" s="1"/>
      <c r="AA76" s="1"/>
      <c r="AB76" s="1"/>
      <c r="AC76" s="1"/>
      <c r="AD76" s="1"/>
    </row>
    <row r="77" spans="4:30" ht="13.5" customHeight="1" x14ac:dyDescent="0.25">
      <c r="D77" s="1" t="s">
        <v>277</v>
      </c>
      <c r="E77" s="1">
        <f>H35</f>
        <v>10.252781342191961</v>
      </c>
      <c r="F77" s="1">
        <f>I35</f>
        <v>36.731949603946518</v>
      </c>
      <c r="G77" s="1">
        <f>J35</f>
        <v>33.010449402041857</v>
      </c>
      <c r="H77" s="225"/>
      <c r="I77" s="1" t="s">
        <v>277</v>
      </c>
      <c r="J77" s="1">
        <f>E77*$K$12</f>
        <v>4.7162794174083018</v>
      </c>
      <c r="K77" s="1">
        <f t="shared" ref="K77:K78" si="76">F77*$K$12</f>
        <v>16.8966968178154</v>
      </c>
      <c r="L77" s="1">
        <f t="shared" ref="L77:L78" si="77">G77*$K$12</f>
        <v>15.184806724939255</v>
      </c>
      <c r="M77" s="225"/>
      <c r="N77" s="225"/>
      <c r="O77" s="225"/>
      <c r="P77" s="225"/>
      <c r="R77" s="225"/>
      <c r="S77" s="225"/>
      <c r="T77" s="225"/>
      <c r="U77" s="225"/>
      <c r="V77" s="225"/>
      <c r="W77" s="225"/>
      <c r="X77" s="225"/>
      <c r="Y77" s="225"/>
      <c r="Z77" s="225"/>
      <c r="AA77" s="225"/>
      <c r="AB77" s="225"/>
      <c r="AC77" s="225"/>
      <c r="AD77" s="225"/>
    </row>
    <row r="78" spans="4:30" ht="13.5" customHeight="1" x14ac:dyDescent="0.3">
      <c r="D78" s="1" t="s">
        <v>278</v>
      </c>
      <c r="E78" s="1">
        <f>K35</f>
        <v>3.4175937807306558</v>
      </c>
      <c r="F78" s="1">
        <f>L35</f>
        <v>36.731949603946518</v>
      </c>
      <c r="G78" s="1">
        <f>M35</f>
        <v>99.031348206125529</v>
      </c>
      <c r="H78" s="220"/>
      <c r="I78" s="1" t="s">
        <v>278</v>
      </c>
      <c r="J78" s="1">
        <f>E78*$K$12</f>
        <v>1.5720931391361017</v>
      </c>
      <c r="K78" s="1">
        <f t="shared" si="76"/>
        <v>16.8966968178154</v>
      </c>
      <c r="L78" s="1">
        <f t="shared" si="77"/>
        <v>45.554420174817743</v>
      </c>
      <c r="M78" s="220"/>
      <c r="N78" s="220"/>
      <c r="O78" s="220"/>
      <c r="P78" s="220"/>
      <c r="R78" s="1"/>
      <c r="S78" s="219"/>
      <c r="T78" s="220"/>
      <c r="U78" s="220"/>
      <c r="V78" s="219"/>
      <c r="Z78" s="1"/>
      <c r="AA78" s="1"/>
      <c r="AB78" s="1"/>
      <c r="AC78" s="1"/>
      <c r="AD78" s="1"/>
    </row>
    <row r="79" spans="4:30" ht="13.5" customHeight="1" thickBot="1" x14ac:dyDescent="0.35">
      <c r="D79" s="1" t="s">
        <v>279</v>
      </c>
      <c r="E79" s="1">
        <f>N35</f>
        <v>0</v>
      </c>
      <c r="F79" s="1">
        <f>O35</f>
        <v>0</v>
      </c>
      <c r="G79" s="1">
        <f>P35</f>
        <v>0</v>
      </c>
      <c r="H79" s="220"/>
      <c r="I79" s="1" t="s">
        <v>279</v>
      </c>
      <c r="J79" s="1">
        <f>E79*$K$13</f>
        <v>0</v>
      </c>
      <c r="K79" s="1">
        <f t="shared" ref="K79" si="78">F79*$K$13</f>
        <v>0</v>
      </c>
      <c r="L79" s="1">
        <f t="shared" ref="L79" si="79">G79*$K$13</f>
        <v>0</v>
      </c>
      <c r="M79" s="220"/>
      <c r="N79" s="220"/>
      <c r="O79" s="220"/>
      <c r="P79" s="220"/>
      <c r="R79" s="1"/>
      <c r="S79" s="219"/>
      <c r="T79" s="220"/>
      <c r="U79" s="220"/>
      <c r="V79" s="219"/>
      <c r="Z79" s="1"/>
      <c r="AA79" s="1"/>
      <c r="AB79" s="1"/>
      <c r="AC79" s="1"/>
      <c r="AD79" s="1"/>
    </row>
    <row r="80" spans="4:30" ht="13.5" customHeight="1" thickTop="1" thickBot="1" x14ac:dyDescent="0.35">
      <c r="D80" s="102" t="s">
        <v>280</v>
      </c>
      <c r="E80" s="216">
        <f>SUM(E77:E79)</f>
        <v>13.670375122922616</v>
      </c>
      <c r="F80" s="216">
        <f t="shared" ref="F80:G80" si="80">SUM(F77:F79)</f>
        <v>73.463899207893036</v>
      </c>
      <c r="G80" s="216">
        <f t="shared" si="80"/>
        <v>132.04179760816737</v>
      </c>
      <c r="H80" s="220"/>
      <c r="I80" s="102" t="s">
        <v>280</v>
      </c>
      <c r="J80" s="216">
        <f>SUM(J77:J79)</f>
        <v>6.2883725565444033</v>
      </c>
      <c r="K80" s="216">
        <f t="shared" ref="K80:L80" si="81">SUM(K77:K79)</f>
        <v>33.7933936356308</v>
      </c>
      <c r="L80" s="216">
        <f t="shared" si="81"/>
        <v>60.739226899757</v>
      </c>
      <c r="M80" s="220"/>
      <c r="N80" s="220"/>
      <c r="O80" s="220"/>
      <c r="P80" s="220"/>
      <c r="R80" s="1"/>
      <c r="S80" s="219"/>
      <c r="T80" s="220"/>
      <c r="U80" s="220"/>
      <c r="V80" s="219"/>
      <c r="Z80" s="1"/>
      <c r="AA80" s="1"/>
      <c r="AB80" s="1"/>
      <c r="AC80" s="1"/>
      <c r="AD80" s="1"/>
    </row>
    <row r="81" spans="2:36" ht="13.5" customHeight="1" thickTop="1" x14ac:dyDescent="0.3">
      <c r="D81" s="281" t="s">
        <v>261</v>
      </c>
      <c r="E81" s="282">
        <f>E80/E103</f>
        <v>6.0999792049666608E-2</v>
      </c>
      <c r="F81" s="282">
        <f t="shared" ref="F81:G81" si="82">F80/F103</f>
        <v>0.21505778646266088</v>
      </c>
      <c r="G81" s="282">
        <f t="shared" si="82"/>
        <v>0.29843889725220452</v>
      </c>
      <c r="H81" s="220"/>
      <c r="I81" s="220"/>
      <c r="J81" s="220"/>
      <c r="K81" s="220"/>
      <c r="L81" s="220"/>
      <c r="M81" s="220"/>
      <c r="N81" s="220"/>
      <c r="O81" s="220"/>
      <c r="P81" s="220"/>
      <c r="R81" s="1"/>
      <c r="S81" s="219"/>
      <c r="T81" s="220"/>
      <c r="U81" s="220"/>
      <c r="V81" s="219"/>
      <c r="Z81" s="1"/>
      <c r="AA81" s="1"/>
      <c r="AB81" s="1"/>
      <c r="AC81" s="1"/>
      <c r="AD81" s="1"/>
    </row>
    <row r="82" spans="2:36" ht="13.5" customHeight="1" x14ac:dyDescent="0.3">
      <c r="D82" s="7"/>
      <c r="E82" s="7"/>
      <c r="F82" s="7"/>
      <c r="G82" s="7"/>
      <c r="H82" s="7"/>
      <c r="I82" s="7"/>
      <c r="J82" s="7"/>
      <c r="K82" s="226"/>
      <c r="L82" s="226"/>
      <c r="M82" s="226"/>
      <c r="N82" s="220"/>
      <c r="O82" s="220"/>
      <c r="P82" s="220"/>
      <c r="Q82" s="220"/>
      <c r="R82" s="220"/>
      <c r="S82" s="220"/>
      <c r="T82" s="220"/>
      <c r="U82" s="220"/>
      <c r="V82" s="220"/>
      <c r="X82" s="1"/>
      <c r="Y82" s="219"/>
      <c r="Z82" s="220"/>
      <c r="AA82" s="220"/>
      <c r="AB82" s="219"/>
      <c r="AF82" s="1"/>
      <c r="AG82" s="1"/>
      <c r="AH82" s="1"/>
      <c r="AI82" s="1"/>
      <c r="AJ82" s="1"/>
    </row>
    <row r="83" spans="2:36" ht="13.5" customHeight="1" x14ac:dyDescent="0.3">
      <c r="D83" s="7"/>
      <c r="E83" s="7"/>
      <c r="F83" s="7"/>
      <c r="G83" s="7"/>
      <c r="H83" s="7"/>
      <c r="I83" s="7"/>
      <c r="J83" s="7"/>
      <c r="K83" s="226"/>
      <c r="L83" s="226"/>
      <c r="M83" s="226"/>
      <c r="N83" s="220"/>
      <c r="O83" s="220"/>
      <c r="P83" s="220"/>
      <c r="Q83" s="220"/>
      <c r="R83" s="220"/>
      <c r="S83" s="220"/>
      <c r="T83" s="220"/>
      <c r="U83" s="220"/>
      <c r="V83" s="220"/>
      <c r="X83" s="1"/>
      <c r="Y83" s="219"/>
      <c r="Z83" s="220"/>
      <c r="AA83" s="220"/>
      <c r="AB83" s="219"/>
      <c r="AF83" s="1"/>
      <c r="AG83" s="1"/>
      <c r="AH83" s="1"/>
      <c r="AI83" s="1"/>
      <c r="AJ83" s="1"/>
    </row>
    <row r="84" spans="2:36" ht="13.5" customHeight="1" x14ac:dyDescent="0.35">
      <c r="B84" s="227">
        <v>0</v>
      </c>
      <c r="C84" s="227" t="s">
        <v>289</v>
      </c>
      <c r="D84" s="228" t="s">
        <v>290</v>
      </c>
      <c r="E84" s="7"/>
      <c r="F84" s="7"/>
      <c r="G84" s="7"/>
      <c r="H84" s="7"/>
      <c r="I84" s="7"/>
      <c r="J84" s="7"/>
      <c r="K84" s="226"/>
      <c r="L84" s="226"/>
      <c r="M84" s="226"/>
      <c r="N84" s="220"/>
      <c r="O84" s="220"/>
      <c r="P84" s="220"/>
      <c r="Q84" s="220"/>
      <c r="R84" s="220"/>
      <c r="S84" s="220"/>
      <c r="T84" s="220"/>
      <c r="U84" s="220"/>
      <c r="V84" s="220"/>
      <c r="X84" s="1"/>
      <c r="Y84" s="219"/>
      <c r="Z84" s="220"/>
      <c r="AA84" s="220"/>
      <c r="AB84" s="219"/>
      <c r="AC84" s="220"/>
      <c r="AD84" s="220"/>
      <c r="AE84" s="220"/>
      <c r="AF84" s="1"/>
      <c r="AG84" s="1"/>
      <c r="AH84" s="1"/>
      <c r="AI84" s="1"/>
      <c r="AJ84" s="1"/>
    </row>
    <row r="85" spans="2:36" ht="13.5" customHeight="1" x14ac:dyDescent="0.3">
      <c r="D85" s="7"/>
      <c r="E85" s="7"/>
      <c r="F85" s="7"/>
      <c r="G85" s="7"/>
      <c r="H85" s="7"/>
      <c r="I85" s="7"/>
      <c r="J85" s="7"/>
      <c r="K85" s="226"/>
      <c r="L85" s="226"/>
      <c r="M85" s="226"/>
      <c r="N85" s="220"/>
      <c r="O85" s="220"/>
      <c r="P85" s="220"/>
      <c r="Q85" s="220"/>
      <c r="R85" s="220"/>
      <c r="S85" s="220"/>
      <c r="T85" s="220"/>
      <c r="U85" s="220"/>
      <c r="V85" s="220"/>
      <c r="X85" s="1"/>
      <c r="Y85" s="219"/>
      <c r="Z85" s="220"/>
      <c r="AA85" s="220"/>
      <c r="AB85" s="219"/>
      <c r="AC85" s="220"/>
      <c r="AD85" s="220"/>
      <c r="AE85" s="220"/>
      <c r="AF85" s="1"/>
      <c r="AG85" s="1"/>
      <c r="AH85" s="1"/>
      <c r="AI85" s="1"/>
      <c r="AJ85" s="1"/>
    </row>
    <row r="86" spans="2:36" ht="13.5" customHeight="1" x14ac:dyDescent="0.3">
      <c r="D86" s="229" t="s">
        <v>291</v>
      </c>
      <c r="E86" s="35"/>
      <c r="F86" s="35"/>
      <c r="G86" s="35"/>
      <c r="H86" s="220"/>
      <c r="I86" s="229" t="s">
        <v>291</v>
      </c>
      <c r="J86" s="230"/>
      <c r="K86" s="220"/>
      <c r="L86" s="220"/>
      <c r="M86" s="220"/>
      <c r="N86" s="220"/>
      <c r="O86" s="220"/>
      <c r="P86" s="220"/>
      <c r="R86" s="1"/>
      <c r="S86" s="219"/>
      <c r="T86" s="220"/>
      <c r="U86" s="220"/>
      <c r="V86" s="219"/>
      <c r="W86" s="220"/>
      <c r="X86" s="220"/>
      <c r="Y86" s="220"/>
      <c r="Z86" s="1"/>
      <c r="AA86" s="1"/>
      <c r="AB86" s="1"/>
      <c r="AC86" s="1"/>
      <c r="AD86" s="1"/>
    </row>
    <row r="87" spans="2:36" ht="13.5" customHeight="1" x14ac:dyDescent="0.3">
      <c r="D87" s="231" t="s">
        <v>275</v>
      </c>
      <c r="E87" s="36"/>
      <c r="F87" s="36"/>
      <c r="G87" s="36"/>
      <c r="H87" s="220"/>
      <c r="I87" s="231" t="s">
        <v>317</v>
      </c>
      <c r="J87" s="230"/>
      <c r="K87" s="220"/>
      <c r="L87" s="220"/>
      <c r="M87" s="220"/>
      <c r="N87" s="220"/>
      <c r="O87" s="220"/>
      <c r="P87" s="220"/>
      <c r="R87" s="1"/>
      <c r="S87" s="219"/>
      <c r="T87" s="220"/>
      <c r="U87" s="220"/>
      <c r="V87" s="219"/>
      <c r="W87" s="220"/>
      <c r="X87" s="220"/>
      <c r="Y87" s="220"/>
      <c r="Z87" s="1"/>
      <c r="AA87" s="1"/>
      <c r="AB87" s="1"/>
      <c r="AC87" s="1"/>
      <c r="AD87" s="1"/>
    </row>
    <row r="88" spans="2:36" s="7" customFormat="1" ht="13.5" customHeight="1" x14ac:dyDescent="0.3">
      <c r="D88" s="36"/>
      <c r="E88" s="36"/>
      <c r="F88" s="36"/>
      <c r="G88" s="36"/>
      <c r="H88" s="224"/>
      <c r="I88" s="36"/>
      <c r="J88" s="230"/>
      <c r="K88" s="224"/>
      <c r="L88" s="224"/>
      <c r="M88" s="224"/>
      <c r="N88" s="224"/>
      <c r="O88" s="224"/>
      <c r="P88" s="224"/>
      <c r="R88" s="59"/>
      <c r="S88" s="223"/>
      <c r="T88" s="224"/>
      <c r="U88" s="224"/>
      <c r="V88" s="223"/>
      <c r="W88" s="224"/>
      <c r="X88" s="224"/>
      <c r="Y88" s="224"/>
      <c r="Z88" s="59"/>
      <c r="AA88" s="59"/>
      <c r="AB88" s="59"/>
      <c r="AC88" s="59"/>
      <c r="AD88" s="59"/>
    </row>
    <row r="89" spans="2:36" ht="13.5" customHeight="1" x14ac:dyDescent="0.3">
      <c r="D89" s="232" t="s">
        <v>15</v>
      </c>
      <c r="E89" s="233">
        <v>2023</v>
      </c>
      <c r="F89" s="233">
        <v>2024</v>
      </c>
      <c r="G89" s="233">
        <v>2025</v>
      </c>
      <c r="H89" s="220"/>
      <c r="I89" s="232" t="s">
        <v>15</v>
      </c>
      <c r="J89" s="233">
        <v>2023</v>
      </c>
      <c r="K89" s="233">
        <v>2024</v>
      </c>
      <c r="L89" s="233">
        <v>2025</v>
      </c>
      <c r="M89" s="220"/>
      <c r="N89" s="220"/>
      <c r="O89" s="220"/>
      <c r="P89" s="220"/>
      <c r="R89" s="1"/>
      <c r="S89" s="219"/>
      <c r="T89" s="220"/>
      <c r="U89" s="220"/>
      <c r="V89" s="219"/>
      <c r="W89" s="220"/>
      <c r="X89" s="220"/>
      <c r="Y89" s="220"/>
      <c r="Z89" s="1"/>
      <c r="AA89" s="1"/>
      <c r="AB89" s="1"/>
      <c r="AC89" s="1"/>
      <c r="AD89" s="1"/>
    </row>
    <row r="90" spans="2:36" ht="13.5" customHeight="1" x14ac:dyDescent="0.25">
      <c r="D90" s="1" t="s">
        <v>277</v>
      </c>
      <c r="E90" s="1">
        <f>E67+U412</f>
        <v>220.6876804108939</v>
      </c>
      <c r="F90" s="1">
        <f>F67+V412</f>
        <v>256.10311922065148</v>
      </c>
      <c r="G90" s="1">
        <f>G67+W412</f>
        <v>289.5467720128791</v>
      </c>
      <c r="H90" s="225"/>
      <c r="I90" s="1" t="s">
        <v>277</v>
      </c>
      <c r="J90" s="225">
        <f>E90*$K$11</f>
        <v>101.5163329890112</v>
      </c>
      <c r="K90" s="225">
        <f t="shared" ref="K90:L90" si="83">F90*$K$11</f>
        <v>117.80743484149968</v>
      </c>
      <c r="L90" s="225">
        <f t="shared" si="83"/>
        <v>133.19151512592438</v>
      </c>
      <c r="M90" s="225"/>
      <c r="N90" s="225"/>
      <c r="O90" s="225"/>
      <c r="P90" s="225"/>
      <c r="R90" s="225"/>
      <c r="S90" s="225"/>
      <c r="T90" s="225"/>
      <c r="U90" s="225"/>
      <c r="V90" s="225"/>
      <c r="W90" s="225"/>
      <c r="X90" s="225"/>
      <c r="Y90" s="225"/>
      <c r="Z90" s="225"/>
      <c r="AA90" s="225"/>
      <c r="AB90" s="225"/>
      <c r="AC90" s="225"/>
      <c r="AD90" s="225"/>
    </row>
    <row r="91" spans="2:36" ht="13.5" customHeight="1" x14ac:dyDescent="0.3">
      <c r="D91" s="1" t="s">
        <v>278</v>
      </c>
      <c r="E91" s="1">
        <f>X412+E68</f>
        <v>3.4175937807306558</v>
      </c>
      <c r="F91" s="1">
        <f>Y412+F68</f>
        <v>29.685074576049296</v>
      </c>
      <c r="G91" s="1">
        <f>Z412+G68</f>
        <v>78.745474835208242</v>
      </c>
      <c r="H91" s="220"/>
      <c r="I91" s="1" t="s">
        <v>278</v>
      </c>
      <c r="J91" s="225">
        <f>E91*$K$12</f>
        <v>1.5720931391361017</v>
      </c>
      <c r="K91" s="225">
        <f t="shared" ref="K91:L91" si="84">F91*$K$12</f>
        <v>13.655134304982676</v>
      </c>
      <c r="L91" s="225">
        <f t="shared" si="84"/>
        <v>36.22291842419579</v>
      </c>
      <c r="M91" s="220"/>
      <c r="N91" s="220"/>
      <c r="O91" s="220"/>
      <c r="P91" s="220"/>
      <c r="R91" s="1"/>
      <c r="S91" s="219"/>
      <c r="T91" s="220"/>
      <c r="U91" s="220"/>
      <c r="V91" s="219"/>
      <c r="W91" s="220"/>
      <c r="X91" s="220"/>
      <c r="Y91" s="220"/>
      <c r="Z91" s="1"/>
      <c r="AA91" s="1"/>
      <c r="AB91" s="1"/>
      <c r="AC91" s="1"/>
      <c r="AD91" s="1"/>
    </row>
    <row r="92" spans="2:36" ht="13.5" customHeight="1" thickBot="1" x14ac:dyDescent="0.35">
      <c r="D92" s="1" t="s">
        <v>279</v>
      </c>
      <c r="E92" s="1">
        <f>AA412+E69</f>
        <v>0</v>
      </c>
      <c r="F92" s="1">
        <f>AB412+F69</f>
        <v>0</v>
      </c>
      <c r="G92" s="1">
        <f>AC412+G69</f>
        <v>0</v>
      </c>
      <c r="H92" s="220"/>
      <c r="I92" s="1" t="s">
        <v>279</v>
      </c>
      <c r="J92" s="225">
        <f>E92*$K$13</f>
        <v>0</v>
      </c>
      <c r="K92" s="225">
        <f t="shared" ref="K92:L92" si="85">F92*$K$13</f>
        <v>0</v>
      </c>
      <c r="L92" s="225">
        <f t="shared" si="85"/>
        <v>0</v>
      </c>
      <c r="M92" s="220"/>
      <c r="N92" s="220"/>
      <c r="O92" s="220"/>
      <c r="P92" s="220"/>
      <c r="R92" s="1"/>
      <c r="S92" s="219"/>
      <c r="T92" s="220"/>
      <c r="U92" s="220"/>
      <c r="V92" s="219"/>
      <c r="W92" s="220"/>
      <c r="X92" s="220"/>
      <c r="Y92" s="220"/>
      <c r="Z92" s="1"/>
      <c r="AA92" s="1"/>
      <c r="AB92" s="1"/>
      <c r="AC92" s="1"/>
      <c r="AD92" s="1"/>
    </row>
    <row r="93" spans="2:36" ht="13.5" customHeight="1" thickTop="1" thickBot="1" x14ac:dyDescent="0.35">
      <c r="D93" s="102" t="s">
        <v>280</v>
      </c>
      <c r="E93" s="234">
        <f>SUM(E90:E92)</f>
        <v>224.10527419162457</v>
      </c>
      <c r="F93" s="234">
        <f t="shared" ref="F93:G93" si="86">SUM(F90:F92)</f>
        <v>285.7881937967008</v>
      </c>
      <c r="G93" s="234">
        <f t="shared" si="86"/>
        <v>368.29224684808736</v>
      </c>
      <c r="H93" s="220"/>
      <c r="I93" s="102" t="s">
        <v>280</v>
      </c>
      <c r="J93" s="234">
        <f>SUM(J90:J92)</f>
        <v>103.0884261281473</v>
      </c>
      <c r="K93" s="234">
        <f t="shared" ref="K93:L93" si="87">SUM(K90:K92)</f>
        <v>131.46256914648237</v>
      </c>
      <c r="L93" s="234">
        <f t="shared" si="87"/>
        <v>169.41443355012018</v>
      </c>
      <c r="M93" s="220"/>
      <c r="N93" s="220"/>
      <c r="O93" s="220"/>
      <c r="P93" s="220"/>
      <c r="R93" s="1"/>
      <c r="S93" s="219"/>
      <c r="T93" s="220"/>
      <c r="U93" s="220"/>
      <c r="V93" s="219"/>
      <c r="W93" s="220"/>
      <c r="X93" s="220"/>
      <c r="Y93" s="220"/>
      <c r="Z93" s="1"/>
      <c r="AA93" s="1"/>
      <c r="AB93" s="1"/>
      <c r="AC93" s="1"/>
      <c r="AD93" s="1"/>
    </row>
    <row r="94" spans="2:36" ht="13.5" customHeight="1" thickTop="1" x14ac:dyDescent="0.3">
      <c r="D94" s="219" t="s">
        <v>292</v>
      </c>
      <c r="E94" s="220">
        <f>E70/E93</f>
        <v>6.0999792049666608E-2</v>
      </c>
      <c r="F94" s="220">
        <f>F70/F93</f>
        <v>0.20774178374328622</v>
      </c>
      <c r="G94" s="220">
        <f>G70/G93</f>
        <v>0.28508329280755146</v>
      </c>
      <c r="H94" s="225"/>
      <c r="I94" s="219" t="s">
        <v>292</v>
      </c>
      <c r="J94" s="225"/>
      <c r="K94" s="225"/>
      <c r="L94" s="225"/>
      <c r="M94" s="225"/>
      <c r="N94" s="225"/>
      <c r="O94" s="225"/>
      <c r="P94" s="225"/>
      <c r="R94" s="225"/>
      <c r="S94" s="225"/>
      <c r="T94" s="225"/>
      <c r="U94" s="225"/>
      <c r="V94" s="225"/>
      <c r="W94" s="225"/>
      <c r="X94" s="225"/>
      <c r="Y94" s="225"/>
      <c r="Z94" s="225"/>
      <c r="AA94" s="225"/>
      <c r="AB94" s="225"/>
      <c r="AC94" s="225"/>
      <c r="AD94" s="225"/>
    </row>
    <row r="95" spans="2:36" ht="13.5" customHeight="1" x14ac:dyDescent="0.3">
      <c r="H95" s="220"/>
      <c r="I95" s="230"/>
      <c r="J95" s="230"/>
      <c r="K95" s="220"/>
      <c r="L95" s="220"/>
      <c r="M95" s="220"/>
      <c r="N95" s="220"/>
      <c r="O95" s="220"/>
      <c r="P95" s="220"/>
      <c r="R95" s="1"/>
      <c r="S95" s="219"/>
      <c r="T95" s="220"/>
      <c r="U95" s="220"/>
      <c r="V95" s="219"/>
      <c r="W95" s="220"/>
      <c r="X95" s="220"/>
      <c r="Y95" s="220"/>
      <c r="Z95" s="1"/>
      <c r="AA95" s="1"/>
      <c r="AB95" s="1"/>
      <c r="AC95" s="1"/>
      <c r="AD95" s="1"/>
    </row>
    <row r="96" spans="2:36" ht="13.5" customHeight="1" x14ac:dyDescent="0.3">
      <c r="D96" s="229" t="s">
        <v>291</v>
      </c>
      <c r="E96" s="35"/>
      <c r="F96" s="35"/>
      <c r="G96" s="35"/>
      <c r="H96" s="220"/>
      <c r="I96" s="229" t="s">
        <v>291</v>
      </c>
      <c r="J96" s="230"/>
      <c r="K96" s="220"/>
      <c r="L96" s="220"/>
      <c r="M96" s="220"/>
      <c r="N96" s="220"/>
      <c r="O96" s="220"/>
      <c r="P96" s="220"/>
      <c r="R96" s="1"/>
      <c r="S96" s="219"/>
      <c r="T96" s="220"/>
      <c r="U96" s="220"/>
      <c r="V96" s="219"/>
      <c r="W96" s="220"/>
      <c r="X96" s="220"/>
      <c r="Y96" s="220"/>
      <c r="Z96" s="1"/>
      <c r="AA96" s="1"/>
      <c r="AB96" s="1"/>
      <c r="AC96" s="1"/>
      <c r="AD96" s="1"/>
    </row>
    <row r="97" spans="2:46" ht="13.5" customHeight="1" x14ac:dyDescent="0.3">
      <c r="D97" s="231" t="s">
        <v>275</v>
      </c>
      <c r="E97" s="36"/>
      <c r="F97" s="36"/>
      <c r="G97" s="36"/>
      <c r="H97" s="220"/>
      <c r="I97" s="231" t="s">
        <v>317</v>
      </c>
      <c r="J97" s="230"/>
      <c r="K97" s="220"/>
      <c r="L97" s="220"/>
      <c r="M97" s="220"/>
      <c r="N97" s="220"/>
      <c r="O97" s="220"/>
      <c r="P97" s="220"/>
      <c r="R97" s="1"/>
      <c r="S97" s="219"/>
      <c r="T97" s="220"/>
      <c r="U97" s="220"/>
      <c r="V97" s="219"/>
      <c r="W97" s="220"/>
      <c r="X97" s="220"/>
      <c r="Y97" s="220"/>
      <c r="Z97" s="1"/>
      <c r="AA97" s="1"/>
      <c r="AB97" s="1"/>
      <c r="AC97" s="1"/>
      <c r="AD97" s="1"/>
    </row>
    <row r="98" spans="2:46" s="7" customFormat="1" ht="13.5" customHeight="1" x14ac:dyDescent="0.3">
      <c r="D98" s="36"/>
      <c r="E98" s="36"/>
      <c r="F98" s="36"/>
      <c r="G98" s="36"/>
      <c r="H98" s="224"/>
      <c r="I98" s="230"/>
      <c r="J98" s="230"/>
      <c r="K98" s="224"/>
      <c r="L98" s="224"/>
      <c r="M98" s="224"/>
      <c r="N98" s="224"/>
      <c r="O98" s="224"/>
      <c r="P98" s="224"/>
      <c r="R98" s="59"/>
      <c r="S98" s="223"/>
      <c r="T98" s="224"/>
      <c r="U98" s="224"/>
      <c r="V98" s="223"/>
      <c r="W98" s="224"/>
      <c r="X98" s="224"/>
      <c r="Y98" s="224"/>
      <c r="Z98" s="59"/>
      <c r="AA98" s="59"/>
      <c r="AB98" s="59"/>
      <c r="AC98" s="59"/>
      <c r="AD98" s="59"/>
    </row>
    <row r="99" spans="2:46" ht="13.5" customHeight="1" x14ac:dyDescent="0.3">
      <c r="D99" s="232" t="s">
        <v>282</v>
      </c>
      <c r="E99" s="233">
        <v>2023</v>
      </c>
      <c r="F99" s="233">
        <v>2024</v>
      </c>
      <c r="G99" s="233">
        <v>2025</v>
      </c>
      <c r="H99" s="220"/>
      <c r="I99" s="232" t="s">
        <v>282</v>
      </c>
      <c r="J99" s="233">
        <v>2023</v>
      </c>
      <c r="K99" s="233">
        <v>2024</v>
      </c>
      <c r="L99" s="233">
        <v>2025</v>
      </c>
      <c r="M99" s="220"/>
      <c r="N99" s="220"/>
      <c r="O99" s="220"/>
      <c r="P99" s="220"/>
      <c r="R99" s="1"/>
      <c r="S99" s="219"/>
      <c r="T99" s="220"/>
      <c r="U99" s="220"/>
      <c r="V99" s="219"/>
      <c r="W99" s="220"/>
      <c r="X99" s="220"/>
      <c r="Y99" s="220"/>
      <c r="Z99" s="1"/>
      <c r="AA99" s="1"/>
      <c r="AB99" s="1"/>
      <c r="AC99" s="1"/>
      <c r="AD99" s="1"/>
    </row>
    <row r="100" spans="2:46" ht="13.5" customHeight="1" x14ac:dyDescent="0.25">
      <c r="D100" s="1" t="s">
        <v>277</v>
      </c>
      <c r="E100" s="1">
        <f>E77+U450</f>
        <v>220.6876804108939</v>
      </c>
      <c r="F100" s="1">
        <f>F77+V450</f>
        <v>304.86879137014557</v>
      </c>
      <c r="G100" s="1">
        <f>G77+W450</f>
        <v>343.41030006394425</v>
      </c>
      <c r="H100" s="225"/>
      <c r="I100" s="1" t="s">
        <v>277</v>
      </c>
      <c r="J100" s="225">
        <f>E100*$K$11</f>
        <v>101.5163329890112</v>
      </c>
      <c r="K100" s="225">
        <f t="shared" ref="K100" si="88">F100*$K$11</f>
        <v>140.23964403026696</v>
      </c>
      <c r="L100" s="225">
        <f t="shared" ref="L100" si="89">G100*$K$11</f>
        <v>157.96873802941437</v>
      </c>
      <c r="M100" s="225"/>
      <c r="N100" s="225"/>
      <c r="O100" s="225"/>
      <c r="P100" s="225"/>
      <c r="R100" s="225"/>
      <c r="S100" s="225"/>
      <c r="T100" s="225"/>
      <c r="U100" s="225"/>
      <c r="V100" s="225"/>
      <c r="W100" s="225"/>
      <c r="X100" s="225"/>
      <c r="Y100" s="225"/>
      <c r="Z100" s="225"/>
      <c r="AA100" s="225"/>
      <c r="AB100" s="225"/>
      <c r="AC100" s="225"/>
      <c r="AD100" s="225"/>
    </row>
    <row r="101" spans="2:46" ht="13.5" customHeight="1" x14ac:dyDescent="0.3">
      <c r="D101" s="1" t="s">
        <v>278</v>
      </c>
      <c r="E101" s="1">
        <f>E78+X450</f>
        <v>3.4175937807306558</v>
      </c>
      <c r="F101" s="1">
        <f>F78+Y450</f>
        <v>36.731949603946518</v>
      </c>
      <c r="G101" s="1">
        <f>G78+Z450</f>
        <v>99.031348206125529</v>
      </c>
      <c r="H101" s="220"/>
      <c r="I101" s="1" t="s">
        <v>278</v>
      </c>
      <c r="J101" s="225">
        <f>E101*$K$12</f>
        <v>1.5720931391361017</v>
      </c>
      <c r="K101" s="225">
        <f t="shared" ref="K101" si="90">F101*$K$12</f>
        <v>16.8966968178154</v>
      </c>
      <c r="L101" s="225">
        <f t="shared" ref="L101" si="91">G101*$K$12</f>
        <v>45.554420174817743</v>
      </c>
      <c r="M101" s="220"/>
      <c r="N101" s="220"/>
      <c r="O101" s="220"/>
      <c r="P101" s="220"/>
      <c r="R101" s="1"/>
      <c r="S101" s="219"/>
      <c r="T101" s="220"/>
      <c r="U101" s="220"/>
      <c r="V101" s="219"/>
      <c r="W101" s="220"/>
      <c r="X101" s="220"/>
      <c r="Y101" s="220"/>
      <c r="Z101" s="1"/>
      <c r="AA101" s="1"/>
      <c r="AB101" s="1"/>
      <c r="AC101" s="1"/>
      <c r="AD101" s="1"/>
    </row>
    <row r="102" spans="2:46" ht="13.5" customHeight="1" thickBot="1" x14ac:dyDescent="0.35">
      <c r="D102" s="1" t="s">
        <v>279</v>
      </c>
      <c r="E102" s="1">
        <f>E79+AA450</f>
        <v>0</v>
      </c>
      <c r="F102" s="1">
        <f>F79+AB450</f>
        <v>0</v>
      </c>
      <c r="G102" s="1">
        <f>G79+AC450</f>
        <v>0</v>
      </c>
      <c r="H102" s="220"/>
      <c r="I102" s="1" t="s">
        <v>279</v>
      </c>
      <c r="J102" s="225">
        <f>E102*$K$13</f>
        <v>0</v>
      </c>
      <c r="K102" s="225">
        <f t="shared" ref="K102" si="92">F102*$K$13</f>
        <v>0</v>
      </c>
      <c r="L102" s="225">
        <f t="shared" ref="L102" si="93">G102*$K$13</f>
        <v>0</v>
      </c>
      <c r="M102" s="220"/>
      <c r="N102" s="220"/>
      <c r="O102" s="220"/>
      <c r="P102" s="220"/>
      <c r="R102" s="1"/>
      <c r="S102" s="219"/>
      <c r="T102" s="220"/>
      <c r="U102" s="220"/>
      <c r="V102" s="219"/>
      <c r="W102" s="220"/>
      <c r="X102" s="220"/>
      <c r="Y102" s="220"/>
      <c r="Z102" s="1"/>
      <c r="AA102" s="1"/>
      <c r="AB102" s="1"/>
      <c r="AC102" s="1"/>
      <c r="AD102" s="1"/>
    </row>
    <row r="103" spans="2:46" ht="13.5" customHeight="1" thickTop="1" thickBot="1" x14ac:dyDescent="0.35">
      <c r="D103" s="102" t="s">
        <v>280</v>
      </c>
      <c r="E103" s="234">
        <f>SUM(E100:E102)</f>
        <v>224.10527419162457</v>
      </c>
      <c r="F103" s="234">
        <f t="shared" ref="F103:G103" si="94">SUM(F100:F102)</f>
        <v>341.6007409740921</v>
      </c>
      <c r="G103" s="234">
        <f t="shared" si="94"/>
        <v>442.44164827006978</v>
      </c>
      <c r="H103" s="220"/>
      <c r="I103" s="102" t="s">
        <v>280</v>
      </c>
      <c r="J103" s="234">
        <f t="shared" ref="J103:K103" si="95">SUM(J100:J102)</f>
        <v>103.0884261281473</v>
      </c>
      <c r="K103" s="234">
        <f t="shared" si="95"/>
        <v>157.13634084808237</v>
      </c>
      <c r="L103" s="234">
        <f>SUM(L100:L102)</f>
        <v>203.52315820423212</v>
      </c>
      <c r="M103" s="220"/>
      <c r="N103" s="220"/>
      <c r="O103" s="220"/>
      <c r="P103" s="220"/>
      <c r="R103" s="1"/>
      <c r="S103" s="219"/>
      <c r="T103" s="220"/>
      <c r="U103" s="220"/>
      <c r="V103" s="219"/>
      <c r="W103" s="220"/>
      <c r="X103" s="220"/>
      <c r="Y103" s="220"/>
      <c r="Z103" s="1"/>
      <c r="AA103" s="1"/>
      <c r="AB103" s="1"/>
      <c r="AC103" s="1"/>
      <c r="AD103" s="1"/>
    </row>
    <row r="104" spans="2:46" ht="12.75" customHeight="1" thickTop="1" x14ac:dyDescent="0.3">
      <c r="D104" s="219" t="s">
        <v>292</v>
      </c>
      <c r="E104" s="220">
        <f>E80/E103</f>
        <v>6.0999792049666608E-2</v>
      </c>
      <c r="F104" s="220">
        <f>F80/F103</f>
        <v>0.21505778646266088</v>
      </c>
      <c r="G104" s="220">
        <f>G80/G103</f>
        <v>0.29843889725220452</v>
      </c>
      <c r="H104" s="225"/>
      <c r="I104" s="225"/>
      <c r="J104" s="225"/>
      <c r="K104" s="225"/>
      <c r="L104" s="225"/>
      <c r="M104" s="225"/>
      <c r="N104" s="225"/>
      <c r="O104" s="225"/>
      <c r="P104" s="225"/>
      <c r="R104" s="225"/>
      <c r="S104" s="225"/>
      <c r="T104" s="225"/>
      <c r="U104" s="225"/>
      <c r="V104" s="225"/>
      <c r="W104" s="225"/>
      <c r="X104" s="225"/>
      <c r="Y104" s="225"/>
      <c r="Z104" s="225"/>
      <c r="AA104" s="225"/>
      <c r="AB104" s="225"/>
      <c r="AC104" s="225"/>
      <c r="AD104" s="225"/>
    </row>
    <row r="105" spans="2:46" ht="13.5" customHeight="1" x14ac:dyDescent="0.25">
      <c r="N105" s="7"/>
    </row>
    <row r="106" spans="2:46" ht="13.5" customHeight="1" x14ac:dyDescent="0.25">
      <c r="N106" s="7"/>
    </row>
    <row r="107" spans="2:46" ht="13.5" customHeight="1" x14ac:dyDescent="0.35">
      <c r="B107" s="29">
        <v>0</v>
      </c>
      <c r="C107" s="29" t="s">
        <v>272</v>
      </c>
      <c r="D107" s="28" t="s">
        <v>293</v>
      </c>
      <c r="N107" s="7"/>
      <c r="O107" s="7"/>
    </row>
    <row r="108" spans="2:46" ht="13.5" customHeight="1" x14ac:dyDescent="0.3">
      <c r="N108" s="7"/>
      <c r="O108" s="7"/>
      <c r="Y108" s="32" t="s">
        <v>294</v>
      </c>
    </row>
    <row r="109" spans="2:46" ht="13.5" customHeight="1" x14ac:dyDescent="0.3">
      <c r="D109" s="32" t="s">
        <v>295</v>
      </c>
      <c r="H109" s="7"/>
      <c r="I109" s="7"/>
    </row>
    <row r="110" spans="2:46" ht="13.5" customHeight="1" x14ac:dyDescent="0.25">
      <c r="E110" s="235" t="s">
        <v>277</v>
      </c>
      <c r="F110" s="1"/>
      <c r="G110" s="235"/>
      <c r="H110" s="235" t="s">
        <v>313</v>
      </c>
      <c r="I110" s="235"/>
      <c r="J110" s="235"/>
      <c r="K110" s="235" t="s">
        <v>279</v>
      </c>
      <c r="L110" s="235"/>
      <c r="M110" s="235"/>
      <c r="N110" s="1" t="s">
        <v>312</v>
      </c>
      <c r="O110" s="235"/>
      <c r="P110" s="235"/>
      <c r="R110" s="1" t="s">
        <v>312</v>
      </c>
      <c r="V110" s="235" t="s">
        <v>277</v>
      </c>
      <c r="W110" s="235"/>
      <c r="X110" s="235"/>
      <c r="Y110" s="235" t="s">
        <v>296</v>
      </c>
      <c r="Z110" s="235"/>
      <c r="AA110" s="235"/>
      <c r="AB110" s="235" t="s">
        <v>279</v>
      </c>
      <c r="AC110" s="235"/>
      <c r="AD110" s="235"/>
      <c r="AR110" s="59"/>
    </row>
    <row r="111" spans="2:46" ht="13.5" customHeight="1" x14ac:dyDescent="0.3">
      <c r="E111" s="236">
        <v>2023</v>
      </c>
      <c r="F111" s="236">
        <v>2024</v>
      </c>
      <c r="G111" s="236">
        <v>2025</v>
      </c>
      <c r="H111" s="236">
        <v>2023</v>
      </c>
      <c r="I111" s="236">
        <v>2024</v>
      </c>
      <c r="J111" s="236">
        <v>2025</v>
      </c>
      <c r="K111" s="236">
        <v>2023</v>
      </c>
      <c r="L111" s="236">
        <v>2024</v>
      </c>
      <c r="M111" s="236">
        <v>2025</v>
      </c>
      <c r="N111" s="236">
        <v>2023</v>
      </c>
      <c r="O111" s="236">
        <v>2024</v>
      </c>
      <c r="P111" s="236">
        <v>2025</v>
      </c>
      <c r="Q111" s="39" t="s">
        <v>297</v>
      </c>
      <c r="R111" s="191">
        <v>2023</v>
      </c>
      <c r="S111" s="191">
        <v>2024</v>
      </c>
      <c r="T111" s="191">
        <v>2024</v>
      </c>
      <c r="V111" s="237">
        <v>2023</v>
      </c>
      <c r="W111" s="237">
        <v>2024</v>
      </c>
      <c r="X111" s="237">
        <v>2025</v>
      </c>
      <c r="Y111" s="237">
        <v>2023</v>
      </c>
      <c r="Z111" s="237">
        <v>2024</v>
      </c>
      <c r="AA111" s="237">
        <v>2025</v>
      </c>
      <c r="AB111" s="237">
        <v>2023</v>
      </c>
      <c r="AC111" s="237">
        <v>2024</v>
      </c>
      <c r="AD111" s="237">
        <v>2025</v>
      </c>
      <c r="AE111" s="39" t="s">
        <v>297</v>
      </c>
      <c r="AR111" s="238"/>
    </row>
    <row r="112" spans="2:46" ht="13.5" customHeight="1" x14ac:dyDescent="0.25">
      <c r="D112" s="2" t="str">
        <f>ProjectedP205_Consumption!D13</f>
        <v>Sorghum</v>
      </c>
      <c r="E112" s="264">
        <v>0.75</v>
      </c>
      <c r="F112" s="264">
        <v>0.5</v>
      </c>
      <c r="G112" s="264">
        <v>0.25</v>
      </c>
      <c r="H112" s="264">
        <v>0.25</v>
      </c>
      <c r="I112" s="264">
        <v>0.5</v>
      </c>
      <c r="J112" s="264">
        <v>0.75</v>
      </c>
      <c r="K112" s="264">
        <v>0</v>
      </c>
      <c r="L112" s="264">
        <v>0</v>
      </c>
      <c r="M112" s="264">
        <v>0</v>
      </c>
      <c r="N112" s="264">
        <f>E112+H112+K112</f>
        <v>1</v>
      </c>
      <c r="O112" s="264">
        <f>F112+I112+L112</f>
        <v>1</v>
      </c>
      <c r="P112" s="264">
        <f>G112+J112+M112</f>
        <v>1</v>
      </c>
      <c r="Q112" s="239" t="s">
        <v>310</v>
      </c>
      <c r="R112" s="239"/>
      <c r="S112" s="239"/>
      <c r="T112" s="239"/>
      <c r="V112" s="264">
        <v>1</v>
      </c>
      <c r="W112" s="264">
        <v>1</v>
      </c>
      <c r="X112" s="264">
        <v>1</v>
      </c>
      <c r="Y112" s="264">
        <v>0</v>
      </c>
      <c r="Z112" s="264">
        <v>0</v>
      </c>
      <c r="AA112" s="264">
        <v>0</v>
      </c>
      <c r="AB112" s="264">
        <v>0</v>
      </c>
      <c r="AC112" s="264">
        <v>0</v>
      </c>
      <c r="AD112" s="264">
        <v>0</v>
      </c>
      <c r="AE112" s="239" t="s">
        <v>311</v>
      </c>
      <c r="AR112" s="59"/>
      <c r="AT112" s="1"/>
    </row>
    <row r="113" spans="4:44" ht="13.5" customHeight="1" x14ac:dyDescent="0.25">
      <c r="D113" s="2" t="str">
        <f>ProjectedP205_Consumption!D14</f>
        <v>Sesame seed</v>
      </c>
      <c r="E113" s="264">
        <v>0.75</v>
      </c>
      <c r="F113" s="264">
        <v>0.5</v>
      </c>
      <c r="G113" s="264">
        <v>0.25</v>
      </c>
      <c r="H113" s="264">
        <v>0.25</v>
      </c>
      <c r="I113" s="264">
        <v>0.5</v>
      </c>
      <c r="J113" s="264">
        <v>0.75</v>
      </c>
      <c r="K113" s="264">
        <v>0</v>
      </c>
      <c r="L113" s="264">
        <v>0</v>
      </c>
      <c r="M113" s="264">
        <v>0</v>
      </c>
      <c r="N113" s="264">
        <f t="shared" ref="N113:N142" si="96">E113+H113+K113</f>
        <v>1</v>
      </c>
      <c r="O113" s="264">
        <f t="shared" ref="O113:O142" si="97">F113+I113+L113</f>
        <v>1</v>
      </c>
      <c r="P113" s="264">
        <f t="shared" ref="P113:P142" si="98">G113+J113+M113</f>
        <v>1</v>
      </c>
      <c r="Q113" s="239" t="s">
        <v>309</v>
      </c>
      <c r="R113" s="239"/>
      <c r="S113" s="239"/>
      <c r="T113" s="239"/>
      <c r="V113" s="264">
        <v>1</v>
      </c>
      <c r="W113" s="264">
        <v>1</v>
      </c>
      <c r="X113" s="264">
        <v>1</v>
      </c>
      <c r="Y113" s="264">
        <v>0</v>
      </c>
      <c r="Z113" s="264">
        <v>0</v>
      </c>
      <c r="AA113" s="264">
        <v>0</v>
      </c>
      <c r="AB113" s="264">
        <v>0</v>
      </c>
      <c r="AC113" s="264">
        <v>0</v>
      </c>
      <c r="AD113" s="264">
        <v>0</v>
      </c>
      <c r="AE113" s="239" t="s">
        <v>311</v>
      </c>
      <c r="AR113" s="59"/>
    </row>
    <row r="114" spans="4:44" ht="13.5" customHeight="1" x14ac:dyDescent="0.25">
      <c r="D114" s="2" t="str">
        <f>ProjectedP205_Consumption!D15</f>
        <v>Groundnuts, excluding shelled</v>
      </c>
      <c r="E114" s="264">
        <v>0.75</v>
      </c>
      <c r="F114" s="264">
        <v>0.5</v>
      </c>
      <c r="G114" s="264">
        <v>0.25</v>
      </c>
      <c r="H114" s="264">
        <v>0.25</v>
      </c>
      <c r="I114" s="264">
        <v>0.5</v>
      </c>
      <c r="J114" s="264">
        <v>0.75</v>
      </c>
      <c r="K114" s="264">
        <v>0</v>
      </c>
      <c r="L114" s="264">
        <v>0</v>
      </c>
      <c r="M114" s="264">
        <v>0</v>
      </c>
      <c r="N114" s="264">
        <f t="shared" si="96"/>
        <v>1</v>
      </c>
      <c r="O114" s="264">
        <f t="shared" si="97"/>
        <v>1</v>
      </c>
      <c r="P114" s="264">
        <f t="shared" si="98"/>
        <v>1</v>
      </c>
      <c r="Q114" s="239" t="s">
        <v>309</v>
      </c>
      <c r="R114" s="239"/>
      <c r="S114" s="239"/>
      <c r="T114" s="239"/>
      <c r="V114" s="264">
        <v>1</v>
      </c>
      <c r="W114" s="264">
        <v>1</v>
      </c>
      <c r="X114" s="264">
        <v>1</v>
      </c>
      <c r="Y114" s="264">
        <v>0</v>
      </c>
      <c r="Z114" s="264">
        <v>0</v>
      </c>
      <c r="AA114" s="264">
        <v>0</v>
      </c>
      <c r="AB114" s="264">
        <v>0</v>
      </c>
      <c r="AC114" s="264">
        <v>0</v>
      </c>
      <c r="AD114" s="264">
        <v>0</v>
      </c>
      <c r="AE114" s="239" t="s">
        <v>311</v>
      </c>
    </row>
    <row r="115" spans="4:44" ht="13.5" customHeight="1" x14ac:dyDescent="0.25">
      <c r="D115" s="2" t="str">
        <f>ProjectedP205_Consumption!D16</f>
        <v>Millet</v>
      </c>
      <c r="E115" s="264">
        <v>0.75</v>
      </c>
      <c r="F115" s="264">
        <v>0.5</v>
      </c>
      <c r="G115" s="264">
        <v>0.25</v>
      </c>
      <c r="H115" s="264">
        <v>0.25</v>
      </c>
      <c r="I115" s="264">
        <v>0.5</v>
      </c>
      <c r="J115" s="264">
        <v>0.75</v>
      </c>
      <c r="K115" s="264">
        <v>0</v>
      </c>
      <c r="L115" s="264">
        <v>0</v>
      </c>
      <c r="M115" s="264">
        <v>0</v>
      </c>
      <c r="N115" s="264">
        <f t="shared" si="96"/>
        <v>1</v>
      </c>
      <c r="O115" s="264">
        <f t="shared" si="97"/>
        <v>1</v>
      </c>
      <c r="P115" s="264">
        <f t="shared" si="98"/>
        <v>1</v>
      </c>
      <c r="Q115" s="239" t="s">
        <v>310</v>
      </c>
      <c r="R115" s="239"/>
      <c r="S115" s="239"/>
      <c r="T115" s="239"/>
      <c r="V115" s="264">
        <v>1</v>
      </c>
      <c r="W115" s="264">
        <v>1</v>
      </c>
      <c r="X115" s="264">
        <v>1</v>
      </c>
      <c r="Y115" s="264">
        <v>0</v>
      </c>
      <c r="Z115" s="264">
        <v>0</v>
      </c>
      <c r="AA115" s="264">
        <v>0</v>
      </c>
      <c r="AB115" s="264">
        <v>0</v>
      </c>
      <c r="AC115" s="264">
        <v>0</v>
      </c>
      <c r="AD115" s="264">
        <v>0</v>
      </c>
      <c r="AE115" s="239" t="s">
        <v>311</v>
      </c>
    </row>
    <row r="116" spans="4:44" ht="13.5" customHeight="1" x14ac:dyDescent="0.25">
      <c r="D116" s="2" t="str">
        <f>ProjectedP205_Consumption!D17</f>
        <v>Sugar cane</v>
      </c>
      <c r="E116" s="264">
        <v>0.75</v>
      </c>
      <c r="F116" s="264">
        <v>0.5</v>
      </c>
      <c r="G116" s="264">
        <v>0.25</v>
      </c>
      <c r="H116" s="264">
        <v>0.25</v>
      </c>
      <c r="I116" s="264">
        <v>0.5</v>
      </c>
      <c r="J116" s="264">
        <v>0.75</v>
      </c>
      <c r="K116" s="264">
        <v>0</v>
      </c>
      <c r="L116" s="264">
        <v>0</v>
      </c>
      <c r="M116" s="264">
        <v>0</v>
      </c>
      <c r="N116" s="264">
        <f t="shared" si="96"/>
        <v>1</v>
      </c>
      <c r="O116" s="264">
        <f t="shared" si="97"/>
        <v>1</v>
      </c>
      <c r="P116" s="264">
        <f t="shared" si="98"/>
        <v>1</v>
      </c>
      <c r="Q116" s="239" t="s">
        <v>310</v>
      </c>
      <c r="R116" s="239"/>
      <c r="S116" s="239"/>
      <c r="T116" s="239"/>
      <c r="V116" s="264">
        <v>1</v>
      </c>
      <c r="W116" s="264">
        <v>1</v>
      </c>
      <c r="X116" s="264">
        <v>1</v>
      </c>
      <c r="Y116" s="264">
        <v>0</v>
      </c>
      <c r="Z116" s="264">
        <v>0</v>
      </c>
      <c r="AA116" s="264">
        <v>0</v>
      </c>
      <c r="AB116" s="264">
        <v>0</v>
      </c>
      <c r="AC116" s="264">
        <v>0</v>
      </c>
      <c r="AD116" s="264">
        <v>0</v>
      </c>
      <c r="AE116" s="239" t="s">
        <v>311</v>
      </c>
    </row>
    <row r="117" spans="4:44" ht="13.5" customHeight="1" x14ac:dyDescent="0.25">
      <c r="D117" s="2" t="str">
        <f>ProjectedP205_Consumption!D18</f>
        <v>Melonseed</v>
      </c>
      <c r="E117" s="264">
        <v>0.75</v>
      </c>
      <c r="F117" s="264">
        <v>0.5</v>
      </c>
      <c r="G117" s="264">
        <v>0.25</v>
      </c>
      <c r="H117" s="264">
        <v>0.25</v>
      </c>
      <c r="I117" s="264">
        <v>0.5</v>
      </c>
      <c r="J117" s="264">
        <v>0.75</v>
      </c>
      <c r="K117" s="264">
        <v>0</v>
      </c>
      <c r="L117" s="264">
        <v>0</v>
      </c>
      <c r="M117" s="264">
        <v>0</v>
      </c>
      <c r="N117" s="264">
        <f t="shared" si="96"/>
        <v>1</v>
      </c>
      <c r="O117" s="264">
        <f t="shared" si="97"/>
        <v>1</v>
      </c>
      <c r="P117" s="264">
        <f t="shared" si="98"/>
        <v>1</v>
      </c>
      <c r="Q117" s="239" t="s">
        <v>309</v>
      </c>
      <c r="R117" s="239"/>
      <c r="S117" s="239"/>
      <c r="T117" s="239"/>
      <c r="V117" s="264">
        <v>1</v>
      </c>
      <c r="W117" s="264">
        <v>1</v>
      </c>
      <c r="X117" s="264">
        <v>1</v>
      </c>
      <c r="Y117" s="264">
        <v>0</v>
      </c>
      <c r="Z117" s="264">
        <v>0</v>
      </c>
      <c r="AA117" s="264">
        <v>0</v>
      </c>
      <c r="AB117" s="264">
        <v>0</v>
      </c>
      <c r="AC117" s="264">
        <v>0</v>
      </c>
      <c r="AD117" s="264">
        <v>0</v>
      </c>
      <c r="AE117" s="239" t="s">
        <v>311</v>
      </c>
    </row>
    <row r="118" spans="4:44" ht="13.5" customHeight="1" x14ac:dyDescent="0.25">
      <c r="D118" s="2" t="str">
        <f>ProjectedP205_Consumption!D19</f>
        <v>Cow peas, dry</v>
      </c>
      <c r="E118" s="264">
        <v>0.75</v>
      </c>
      <c r="F118" s="264">
        <v>0.5</v>
      </c>
      <c r="G118" s="264">
        <v>0.25</v>
      </c>
      <c r="H118" s="264">
        <v>0.25</v>
      </c>
      <c r="I118" s="264">
        <v>0.5</v>
      </c>
      <c r="J118" s="264">
        <v>0.75</v>
      </c>
      <c r="K118" s="264">
        <v>0</v>
      </c>
      <c r="L118" s="264">
        <v>0</v>
      </c>
      <c r="M118" s="264">
        <v>0</v>
      </c>
      <c r="N118" s="264">
        <f t="shared" si="96"/>
        <v>1</v>
      </c>
      <c r="O118" s="264">
        <f t="shared" si="97"/>
        <v>1</v>
      </c>
      <c r="P118" s="264">
        <f t="shared" si="98"/>
        <v>1</v>
      </c>
      <c r="Q118" s="239" t="s">
        <v>309</v>
      </c>
      <c r="R118" s="239"/>
      <c r="S118" s="239"/>
      <c r="T118" s="239"/>
      <c r="V118" s="264">
        <v>1</v>
      </c>
      <c r="W118" s="264">
        <v>1</v>
      </c>
      <c r="X118" s="264">
        <v>1</v>
      </c>
      <c r="Y118" s="264">
        <v>0</v>
      </c>
      <c r="Z118" s="264">
        <v>0</v>
      </c>
      <c r="AA118" s="264">
        <v>0</v>
      </c>
      <c r="AB118" s="264">
        <v>0</v>
      </c>
      <c r="AC118" s="264">
        <v>0</v>
      </c>
      <c r="AD118" s="264">
        <v>0</v>
      </c>
      <c r="AE118" s="239" t="s">
        <v>311</v>
      </c>
    </row>
    <row r="119" spans="4:44" ht="13.5" customHeight="1" x14ac:dyDescent="0.25">
      <c r="D119" s="2" t="str">
        <f>ProjectedP205_Consumption!D20</f>
        <v>Wheat</v>
      </c>
      <c r="E119" s="264">
        <v>0.75</v>
      </c>
      <c r="F119" s="264">
        <v>0.5</v>
      </c>
      <c r="G119" s="264">
        <v>0.25</v>
      </c>
      <c r="H119" s="264">
        <v>0.25</v>
      </c>
      <c r="I119" s="264">
        <v>0.5</v>
      </c>
      <c r="J119" s="264">
        <v>0.75</v>
      </c>
      <c r="K119" s="264">
        <v>0</v>
      </c>
      <c r="L119" s="264">
        <v>0</v>
      </c>
      <c r="M119" s="264">
        <v>0</v>
      </c>
      <c r="N119" s="264">
        <f t="shared" si="96"/>
        <v>1</v>
      </c>
      <c r="O119" s="264">
        <f t="shared" si="97"/>
        <v>1</v>
      </c>
      <c r="P119" s="264">
        <f t="shared" si="98"/>
        <v>1</v>
      </c>
      <c r="Q119" s="239" t="s">
        <v>310</v>
      </c>
      <c r="R119" s="239"/>
      <c r="S119" s="239"/>
      <c r="T119" s="239"/>
      <c r="V119" s="264">
        <v>1</v>
      </c>
      <c r="W119" s="264">
        <v>1</v>
      </c>
      <c r="X119" s="264">
        <v>1</v>
      </c>
      <c r="Y119" s="264">
        <v>0</v>
      </c>
      <c r="Z119" s="264">
        <v>0</v>
      </c>
      <c r="AA119" s="264">
        <v>0</v>
      </c>
      <c r="AB119" s="264">
        <v>0</v>
      </c>
      <c r="AC119" s="264">
        <v>0</v>
      </c>
      <c r="AD119" s="264">
        <v>0</v>
      </c>
      <c r="AE119" s="239" t="s">
        <v>311</v>
      </c>
    </row>
    <row r="120" spans="4:44" ht="13.5" customHeight="1" x14ac:dyDescent="0.25">
      <c r="D120" s="2" t="str">
        <f>ProjectedP205_Consumption!D21</f>
        <v>Onions and shallots, dry (excluding dehydrated)</v>
      </c>
      <c r="E120" s="264">
        <v>0.75</v>
      </c>
      <c r="F120" s="264">
        <v>0.5</v>
      </c>
      <c r="G120" s="264">
        <v>0.25</v>
      </c>
      <c r="H120" s="264">
        <v>0.25</v>
      </c>
      <c r="I120" s="264">
        <v>0.5</v>
      </c>
      <c r="J120" s="264">
        <v>0.75</v>
      </c>
      <c r="K120" s="264">
        <v>0</v>
      </c>
      <c r="L120" s="264">
        <v>0</v>
      </c>
      <c r="M120" s="264">
        <v>0</v>
      </c>
      <c r="N120" s="264">
        <f t="shared" si="96"/>
        <v>1</v>
      </c>
      <c r="O120" s="264">
        <f t="shared" si="97"/>
        <v>1</v>
      </c>
      <c r="P120" s="264">
        <f t="shared" si="98"/>
        <v>1</v>
      </c>
      <c r="Q120" s="239" t="s">
        <v>310</v>
      </c>
      <c r="R120" s="239"/>
      <c r="S120" s="239"/>
      <c r="T120" s="239"/>
      <c r="V120" s="264">
        <v>1</v>
      </c>
      <c r="W120" s="264">
        <v>1</v>
      </c>
      <c r="X120" s="264">
        <v>1</v>
      </c>
      <c r="Y120" s="264">
        <v>0</v>
      </c>
      <c r="Z120" s="264">
        <v>0</v>
      </c>
      <c r="AA120" s="264">
        <v>0</v>
      </c>
      <c r="AB120" s="264">
        <v>0</v>
      </c>
      <c r="AC120" s="264">
        <v>0</v>
      </c>
      <c r="AD120" s="264">
        <v>0</v>
      </c>
      <c r="AE120" s="239" t="s">
        <v>311</v>
      </c>
    </row>
    <row r="121" spans="4:44" ht="13.5" customHeight="1" x14ac:dyDescent="0.25">
      <c r="D121" s="2" t="str">
        <f>ProjectedP205_Consumption!D22</f>
        <v>Bananas</v>
      </c>
      <c r="E121" s="264">
        <v>0.75</v>
      </c>
      <c r="F121" s="264">
        <v>0.5</v>
      </c>
      <c r="G121" s="264">
        <v>0.25</v>
      </c>
      <c r="H121" s="264">
        <v>0.25</v>
      </c>
      <c r="I121" s="264">
        <v>0.5</v>
      </c>
      <c r="J121" s="264">
        <v>0.75</v>
      </c>
      <c r="K121" s="264">
        <v>0</v>
      </c>
      <c r="L121" s="264">
        <v>0</v>
      </c>
      <c r="M121" s="264">
        <v>0</v>
      </c>
      <c r="N121" s="264">
        <f t="shared" si="96"/>
        <v>1</v>
      </c>
      <c r="O121" s="264">
        <f t="shared" si="97"/>
        <v>1</v>
      </c>
      <c r="P121" s="264">
        <f t="shared" si="98"/>
        <v>1</v>
      </c>
      <c r="Q121" s="239" t="s">
        <v>310</v>
      </c>
      <c r="R121" s="239"/>
      <c r="S121" s="239"/>
      <c r="T121" s="239"/>
      <c r="V121" s="264">
        <v>1</v>
      </c>
      <c r="W121" s="264">
        <v>1</v>
      </c>
      <c r="X121" s="264">
        <v>1</v>
      </c>
      <c r="Y121" s="264">
        <v>0</v>
      </c>
      <c r="Z121" s="264">
        <v>0</v>
      </c>
      <c r="AA121" s="264">
        <v>0</v>
      </c>
      <c r="AB121" s="264">
        <v>0</v>
      </c>
      <c r="AC121" s="264">
        <v>0</v>
      </c>
      <c r="AD121" s="264">
        <v>0</v>
      </c>
      <c r="AE121" s="239" t="s">
        <v>311</v>
      </c>
    </row>
    <row r="122" spans="4:44" ht="13.5" customHeight="1" x14ac:dyDescent="0.25">
      <c r="D122" s="2" t="str">
        <f>ProjectedP205_Consumption!D23</f>
        <v>Mangoes, guavas and mangosteens</v>
      </c>
      <c r="E122" s="264">
        <v>0.75</v>
      </c>
      <c r="F122" s="264">
        <v>0.5</v>
      </c>
      <c r="G122" s="264">
        <v>0.25</v>
      </c>
      <c r="H122" s="264">
        <v>0.25</v>
      </c>
      <c r="I122" s="264">
        <v>0.5</v>
      </c>
      <c r="J122" s="264">
        <v>0.75</v>
      </c>
      <c r="K122" s="264">
        <v>0</v>
      </c>
      <c r="L122" s="264">
        <v>0</v>
      </c>
      <c r="M122" s="264">
        <v>0</v>
      </c>
      <c r="N122" s="264">
        <f t="shared" si="96"/>
        <v>1</v>
      </c>
      <c r="O122" s="264">
        <f t="shared" si="97"/>
        <v>1</v>
      </c>
      <c r="P122" s="264">
        <f t="shared" si="98"/>
        <v>1</v>
      </c>
      <c r="Q122" s="239" t="s">
        <v>310</v>
      </c>
      <c r="R122" s="239"/>
      <c r="S122" s="239"/>
      <c r="T122" s="239"/>
      <c r="V122" s="264">
        <v>1</v>
      </c>
      <c r="W122" s="264">
        <v>1</v>
      </c>
      <c r="X122" s="264">
        <v>1</v>
      </c>
      <c r="Y122" s="264">
        <v>0</v>
      </c>
      <c r="Z122" s="264">
        <v>0</v>
      </c>
      <c r="AA122" s="264">
        <v>0</v>
      </c>
      <c r="AB122" s="264">
        <v>0</v>
      </c>
      <c r="AC122" s="264">
        <v>0</v>
      </c>
      <c r="AD122" s="264">
        <v>0</v>
      </c>
      <c r="AE122" s="239" t="s">
        <v>311</v>
      </c>
    </row>
    <row r="123" spans="4:44" ht="13.5" customHeight="1" x14ac:dyDescent="0.25">
      <c r="D123" s="2" t="str">
        <f>ProjectedP205_Consumption!D24</f>
        <v>Cantaloupes and other melons</v>
      </c>
      <c r="E123" s="264">
        <v>0.75</v>
      </c>
      <c r="F123" s="264">
        <v>0.5</v>
      </c>
      <c r="G123" s="264">
        <v>0.25</v>
      </c>
      <c r="H123" s="264">
        <v>0.25</v>
      </c>
      <c r="I123" s="264">
        <v>0.5</v>
      </c>
      <c r="J123" s="264">
        <v>0.75</v>
      </c>
      <c r="K123" s="264">
        <v>0</v>
      </c>
      <c r="L123" s="264">
        <v>0</v>
      </c>
      <c r="M123" s="264">
        <v>0</v>
      </c>
      <c r="N123" s="264">
        <f t="shared" si="96"/>
        <v>1</v>
      </c>
      <c r="O123" s="264">
        <f t="shared" si="97"/>
        <v>1</v>
      </c>
      <c r="P123" s="264">
        <f t="shared" si="98"/>
        <v>1</v>
      </c>
      <c r="Q123" s="239" t="s">
        <v>310</v>
      </c>
      <c r="R123" s="239"/>
      <c r="S123" s="239"/>
      <c r="T123" s="239"/>
      <c r="V123" s="264">
        <v>1</v>
      </c>
      <c r="W123" s="264">
        <v>1</v>
      </c>
      <c r="X123" s="264">
        <v>1</v>
      </c>
      <c r="Y123" s="264">
        <v>0</v>
      </c>
      <c r="Z123" s="264">
        <v>0</v>
      </c>
      <c r="AA123" s="264">
        <v>0</v>
      </c>
      <c r="AB123" s="264">
        <v>0</v>
      </c>
      <c r="AC123" s="264">
        <v>0</v>
      </c>
      <c r="AD123" s="264">
        <v>0</v>
      </c>
      <c r="AE123" s="239" t="s">
        <v>311</v>
      </c>
    </row>
    <row r="124" spans="4:44" ht="13.5" customHeight="1" x14ac:dyDescent="0.25">
      <c r="D124" s="2" t="str">
        <f>ProjectedP205_Consumption!D25</f>
        <v>Sunflower seed</v>
      </c>
      <c r="E124" s="264">
        <v>0.75</v>
      </c>
      <c r="F124" s="264">
        <v>0.5</v>
      </c>
      <c r="G124" s="264">
        <v>0.25</v>
      </c>
      <c r="H124" s="264">
        <v>0.25</v>
      </c>
      <c r="I124" s="264">
        <v>0.5</v>
      </c>
      <c r="J124" s="264">
        <v>0.75</v>
      </c>
      <c r="K124" s="264">
        <v>0</v>
      </c>
      <c r="L124" s="264">
        <v>0</v>
      </c>
      <c r="M124" s="264">
        <v>0</v>
      </c>
      <c r="N124" s="264">
        <f t="shared" si="96"/>
        <v>1</v>
      </c>
      <c r="O124" s="264">
        <f t="shared" si="97"/>
        <v>1</v>
      </c>
      <c r="P124" s="264">
        <f t="shared" si="98"/>
        <v>1</v>
      </c>
      <c r="Q124" s="239" t="s">
        <v>310</v>
      </c>
      <c r="R124" s="239"/>
      <c r="S124" s="239"/>
      <c r="T124" s="239"/>
      <c r="V124" s="264">
        <v>1</v>
      </c>
      <c r="W124" s="264">
        <v>1</v>
      </c>
      <c r="X124" s="264">
        <v>1</v>
      </c>
      <c r="Y124" s="264">
        <v>0</v>
      </c>
      <c r="Z124" s="264">
        <v>0</v>
      </c>
      <c r="AA124" s="264">
        <v>0</v>
      </c>
      <c r="AB124" s="264">
        <v>0</v>
      </c>
      <c r="AC124" s="264">
        <v>0</v>
      </c>
      <c r="AD124" s="264">
        <v>0</v>
      </c>
      <c r="AE124" s="239" t="s">
        <v>311</v>
      </c>
    </row>
    <row r="125" spans="4:44" ht="13.5" customHeight="1" x14ac:dyDescent="0.25">
      <c r="D125" s="2" t="str">
        <f>ProjectedP205_Consumption!D26</f>
        <v>Cauliflowers and broccoli</v>
      </c>
      <c r="E125" s="264">
        <v>0.75</v>
      </c>
      <c r="F125" s="264">
        <v>0.5</v>
      </c>
      <c r="G125" s="264">
        <v>0.25</v>
      </c>
      <c r="H125" s="264">
        <v>0.25</v>
      </c>
      <c r="I125" s="264">
        <v>0.5</v>
      </c>
      <c r="J125" s="264">
        <v>0.75</v>
      </c>
      <c r="K125" s="264">
        <v>0</v>
      </c>
      <c r="L125" s="264">
        <v>0</v>
      </c>
      <c r="M125" s="264">
        <v>0</v>
      </c>
      <c r="N125" s="264">
        <f t="shared" si="96"/>
        <v>1</v>
      </c>
      <c r="O125" s="264">
        <f t="shared" si="97"/>
        <v>1</v>
      </c>
      <c r="P125" s="264">
        <f t="shared" si="98"/>
        <v>1</v>
      </c>
      <c r="Q125" s="239" t="s">
        <v>310</v>
      </c>
      <c r="R125" s="239"/>
      <c r="S125" s="239"/>
      <c r="T125" s="239"/>
      <c r="V125" s="264">
        <v>1</v>
      </c>
      <c r="W125" s="264">
        <v>1</v>
      </c>
      <c r="X125" s="264">
        <v>1</v>
      </c>
      <c r="Y125" s="264">
        <v>0</v>
      </c>
      <c r="Z125" s="264">
        <v>0</v>
      </c>
      <c r="AA125" s="264">
        <v>0</v>
      </c>
      <c r="AB125" s="264">
        <v>0</v>
      </c>
      <c r="AC125" s="264">
        <v>0</v>
      </c>
      <c r="AD125" s="264">
        <v>0</v>
      </c>
      <c r="AE125" s="239" t="s">
        <v>311</v>
      </c>
    </row>
    <row r="126" spans="4:44" ht="13.5" customHeight="1" x14ac:dyDescent="0.25">
      <c r="D126" s="2" t="str">
        <f>ProjectedP205_Consumption!D27</f>
        <v>Seed cotton, unginned</v>
      </c>
      <c r="E126" s="264">
        <v>0.75</v>
      </c>
      <c r="F126" s="264">
        <v>0.5</v>
      </c>
      <c r="G126" s="264">
        <v>0.25</v>
      </c>
      <c r="H126" s="264">
        <v>0.25</v>
      </c>
      <c r="I126" s="264">
        <v>0.5</v>
      </c>
      <c r="J126" s="264">
        <v>0.75</v>
      </c>
      <c r="K126" s="264">
        <v>0</v>
      </c>
      <c r="L126" s="264">
        <v>0</v>
      </c>
      <c r="M126" s="264">
        <v>0</v>
      </c>
      <c r="N126" s="264">
        <f t="shared" si="96"/>
        <v>1</v>
      </c>
      <c r="O126" s="264">
        <f t="shared" si="97"/>
        <v>1</v>
      </c>
      <c r="P126" s="264">
        <f t="shared" si="98"/>
        <v>1</v>
      </c>
      <c r="Q126" s="239" t="s">
        <v>310</v>
      </c>
      <c r="R126" s="239"/>
      <c r="S126" s="239"/>
      <c r="T126" s="239"/>
      <c r="V126" s="264">
        <v>1</v>
      </c>
      <c r="W126" s="264">
        <v>1</v>
      </c>
      <c r="X126" s="264">
        <v>1</v>
      </c>
      <c r="Y126" s="264">
        <v>0</v>
      </c>
      <c r="Z126" s="264">
        <v>0</v>
      </c>
      <c r="AA126" s="264">
        <v>0</v>
      </c>
      <c r="AB126" s="264">
        <v>0</v>
      </c>
      <c r="AC126" s="264">
        <v>0</v>
      </c>
      <c r="AD126" s="264">
        <v>0</v>
      </c>
      <c r="AE126" s="239" t="s">
        <v>311</v>
      </c>
    </row>
    <row r="127" spans="4:44" ht="13.5" customHeight="1" x14ac:dyDescent="0.25">
      <c r="D127" s="2" t="str">
        <f>ProjectedP205_Consumption!D28</f>
        <v>Cucumbers and gherkins</v>
      </c>
      <c r="E127" s="264">
        <v>0.75</v>
      </c>
      <c r="F127" s="264">
        <v>0.5</v>
      </c>
      <c r="G127" s="264">
        <v>0.25</v>
      </c>
      <c r="H127" s="264">
        <v>0.25</v>
      </c>
      <c r="I127" s="264">
        <v>0.5</v>
      </c>
      <c r="J127" s="264">
        <v>0.75</v>
      </c>
      <c r="K127" s="264">
        <v>0</v>
      </c>
      <c r="L127" s="264">
        <v>0</v>
      </c>
      <c r="M127" s="264">
        <v>0</v>
      </c>
      <c r="N127" s="264">
        <f t="shared" si="96"/>
        <v>1</v>
      </c>
      <c r="O127" s="264">
        <f t="shared" si="97"/>
        <v>1</v>
      </c>
      <c r="P127" s="264">
        <f t="shared" si="98"/>
        <v>1</v>
      </c>
      <c r="Q127" s="239" t="s">
        <v>310</v>
      </c>
      <c r="R127" s="239"/>
      <c r="S127" s="239"/>
      <c r="T127" s="239"/>
      <c r="V127" s="264">
        <v>1</v>
      </c>
      <c r="W127" s="264">
        <v>1</v>
      </c>
      <c r="X127" s="264">
        <v>1</v>
      </c>
      <c r="Y127" s="264">
        <v>0</v>
      </c>
      <c r="Z127" s="264">
        <v>0</v>
      </c>
      <c r="AA127" s="264">
        <v>0</v>
      </c>
      <c r="AB127" s="264">
        <v>0</v>
      </c>
      <c r="AC127" s="264">
        <v>0</v>
      </c>
      <c r="AD127" s="264">
        <v>0</v>
      </c>
      <c r="AE127" s="239" t="s">
        <v>311</v>
      </c>
    </row>
    <row r="128" spans="4:44" ht="13.5" customHeight="1" x14ac:dyDescent="0.25">
      <c r="D128" s="2" t="str">
        <f>ProjectedP205_Consumption!D29</f>
        <v>Tomatoes</v>
      </c>
      <c r="E128" s="264">
        <v>0.75</v>
      </c>
      <c r="F128" s="264">
        <v>0.5</v>
      </c>
      <c r="G128" s="264">
        <v>0.25</v>
      </c>
      <c r="H128" s="264">
        <v>0.25</v>
      </c>
      <c r="I128" s="264">
        <v>0.5</v>
      </c>
      <c r="J128" s="264">
        <v>0.75</v>
      </c>
      <c r="K128" s="264">
        <v>0</v>
      </c>
      <c r="L128" s="264">
        <v>0</v>
      </c>
      <c r="M128" s="264">
        <v>0</v>
      </c>
      <c r="N128" s="264">
        <f t="shared" si="96"/>
        <v>1</v>
      </c>
      <c r="O128" s="264">
        <f t="shared" si="97"/>
        <v>1</v>
      </c>
      <c r="P128" s="264">
        <f t="shared" si="98"/>
        <v>1</v>
      </c>
      <c r="Q128" s="239" t="s">
        <v>310</v>
      </c>
      <c r="R128" s="239"/>
      <c r="S128" s="239"/>
      <c r="T128" s="239"/>
      <c r="V128" s="264">
        <v>1</v>
      </c>
      <c r="W128" s="264">
        <v>1</v>
      </c>
      <c r="X128" s="264">
        <v>1</v>
      </c>
      <c r="Y128" s="264">
        <v>0</v>
      </c>
      <c r="Z128" s="264">
        <v>0</v>
      </c>
      <c r="AA128" s="264">
        <v>0</v>
      </c>
      <c r="AB128" s="264">
        <v>0</v>
      </c>
      <c r="AC128" s="264">
        <v>0</v>
      </c>
      <c r="AD128" s="264">
        <v>0</v>
      </c>
      <c r="AE128" s="239" t="s">
        <v>311</v>
      </c>
    </row>
    <row r="129" spans="2:31" ht="13.5" customHeight="1" x14ac:dyDescent="0.25">
      <c r="D129" s="2" t="str">
        <f>ProjectedP205_Consumption!D30</f>
        <v>Potatoes</v>
      </c>
      <c r="E129" s="264">
        <v>0.75</v>
      </c>
      <c r="F129" s="264">
        <v>0.5</v>
      </c>
      <c r="G129" s="264">
        <v>0.25</v>
      </c>
      <c r="H129" s="264">
        <v>0.25</v>
      </c>
      <c r="I129" s="264">
        <v>0.5</v>
      </c>
      <c r="J129" s="264">
        <v>0.75</v>
      </c>
      <c r="K129" s="264">
        <v>0</v>
      </c>
      <c r="L129" s="264">
        <v>0</v>
      </c>
      <c r="M129" s="264">
        <v>0</v>
      </c>
      <c r="N129" s="264">
        <f t="shared" si="96"/>
        <v>1</v>
      </c>
      <c r="O129" s="264">
        <f t="shared" si="97"/>
        <v>1</v>
      </c>
      <c r="P129" s="264">
        <f t="shared" si="98"/>
        <v>1</v>
      </c>
      <c r="Q129" s="239" t="s">
        <v>310</v>
      </c>
      <c r="R129" s="239"/>
      <c r="S129" s="239"/>
      <c r="T129" s="239"/>
      <c r="V129" s="264">
        <v>1</v>
      </c>
      <c r="W129" s="264">
        <v>1</v>
      </c>
      <c r="X129" s="264">
        <v>1</v>
      </c>
      <c r="Y129" s="264">
        <v>0</v>
      </c>
      <c r="Z129" s="264">
        <v>0</v>
      </c>
      <c r="AA129" s="264">
        <v>0</v>
      </c>
      <c r="AB129" s="264">
        <v>0</v>
      </c>
      <c r="AC129" s="264">
        <v>0</v>
      </c>
      <c r="AD129" s="264">
        <v>0</v>
      </c>
      <c r="AE129" s="239" t="s">
        <v>311</v>
      </c>
    </row>
    <row r="130" spans="2:31" ht="13.5" customHeight="1" x14ac:dyDescent="0.25">
      <c r="D130" s="2" t="str">
        <f>ProjectedP205_Consumption!D31</f>
        <v>Pumpkins, squash and gourds</v>
      </c>
      <c r="E130" s="264">
        <v>0.75</v>
      </c>
      <c r="F130" s="264">
        <v>0.5</v>
      </c>
      <c r="G130" s="264">
        <v>0.25</v>
      </c>
      <c r="H130" s="264">
        <v>0.25</v>
      </c>
      <c r="I130" s="264">
        <v>0.5</v>
      </c>
      <c r="J130" s="264">
        <v>0.75</v>
      </c>
      <c r="K130" s="264">
        <v>0</v>
      </c>
      <c r="L130" s="264">
        <v>0</v>
      </c>
      <c r="M130" s="264">
        <v>0</v>
      </c>
      <c r="N130" s="264">
        <f t="shared" si="96"/>
        <v>1</v>
      </c>
      <c r="O130" s="264">
        <f t="shared" si="97"/>
        <v>1</v>
      </c>
      <c r="P130" s="264">
        <f t="shared" si="98"/>
        <v>1</v>
      </c>
      <c r="Q130" s="239" t="s">
        <v>310</v>
      </c>
      <c r="R130" s="239"/>
      <c r="S130" s="239"/>
      <c r="T130" s="239"/>
      <c r="V130" s="264">
        <v>1</v>
      </c>
      <c r="W130" s="264">
        <v>1</v>
      </c>
      <c r="X130" s="264">
        <v>1</v>
      </c>
      <c r="Y130" s="264">
        <v>0</v>
      </c>
      <c r="Z130" s="264">
        <v>0</v>
      </c>
      <c r="AA130" s="264">
        <v>0</v>
      </c>
      <c r="AB130" s="264">
        <v>0</v>
      </c>
      <c r="AC130" s="264">
        <v>0</v>
      </c>
      <c r="AD130" s="264">
        <v>0</v>
      </c>
      <c r="AE130" s="239" t="s">
        <v>311</v>
      </c>
    </row>
    <row r="131" spans="2:31" ht="13.5" customHeight="1" x14ac:dyDescent="0.25">
      <c r="D131" s="2" t="str">
        <f>ProjectedP205_Consumption!D32</f>
        <v>Dates</v>
      </c>
      <c r="E131" s="264">
        <v>0.75</v>
      </c>
      <c r="F131" s="264">
        <v>0.5</v>
      </c>
      <c r="G131" s="264">
        <v>0.25</v>
      </c>
      <c r="H131" s="264">
        <v>0.25</v>
      </c>
      <c r="I131" s="264">
        <v>0.5</v>
      </c>
      <c r="J131" s="264">
        <v>0.75</v>
      </c>
      <c r="K131" s="264">
        <v>0</v>
      </c>
      <c r="L131" s="264">
        <v>0</v>
      </c>
      <c r="M131" s="264">
        <v>0</v>
      </c>
      <c r="N131" s="264">
        <f t="shared" si="96"/>
        <v>1</v>
      </c>
      <c r="O131" s="264">
        <f t="shared" si="97"/>
        <v>1</v>
      </c>
      <c r="P131" s="264">
        <f t="shared" si="98"/>
        <v>1</v>
      </c>
      <c r="Q131" s="239" t="s">
        <v>310</v>
      </c>
      <c r="R131" s="239"/>
      <c r="S131" s="239"/>
      <c r="T131" s="239"/>
      <c r="V131" s="264">
        <v>1</v>
      </c>
      <c r="W131" s="264">
        <v>1</v>
      </c>
      <c r="X131" s="264">
        <v>1</v>
      </c>
      <c r="Y131" s="264">
        <v>0</v>
      </c>
      <c r="Z131" s="264">
        <v>0</v>
      </c>
      <c r="AA131" s="264">
        <v>0</v>
      </c>
      <c r="AB131" s="264">
        <v>0</v>
      </c>
      <c r="AC131" s="264">
        <v>0</v>
      </c>
      <c r="AD131" s="264">
        <v>0</v>
      </c>
      <c r="AE131" s="239" t="s">
        <v>311</v>
      </c>
    </row>
    <row r="132" spans="2:31" ht="13.5" customHeight="1" x14ac:dyDescent="0.25">
      <c r="D132" s="2" t="str">
        <f>ProjectedP205_Consumption!D33</f>
        <v>Pomelos and grapefruits</v>
      </c>
      <c r="E132" s="264">
        <v>0.75</v>
      </c>
      <c r="F132" s="264">
        <v>0.5</v>
      </c>
      <c r="G132" s="264">
        <v>0.25</v>
      </c>
      <c r="H132" s="264">
        <v>0.25</v>
      </c>
      <c r="I132" s="264">
        <v>0.5</v>
      </c>
      <c r="J132" s="264">
        <v>0.75</v>
      </c>
      <c r="K132" s="264">
        <v>0</v>
      </c>
      <c r="L132" s="264">
        <v>0</v>
      </c>
      <c r="M132" s="264">
        <v>0</v>
      </c>
      <c r="N132" s="264">
        <f t="shared" si="96"/>
        <v>1</v>
      </c>
      <c r="O132" s="264">
        <f t="shared" si="97"/>
        <v>1</v>
      </c>
      <c r="P132" s="264">
        <f t="shared" si="98"/>
        <v>1</v>
      </c>
      <c r="Q132" s="239" t="s">
        <v>310</v>
      </c>
      <c r="R132" s="239"/>
      <c r="S132" s="239"/>
      <c r="T132" s="239"/>
      <c r="V132" s="264">
        <v>1</v>
      </c>
      <c r="W132" s="264">
        <v>1</v>
      </c>
      <c r="X132" s="264">
        <v>1</v>
      </c>
      <c r="Y132" s="264">
        <v>0</v>
      </c>
      <c r="Z132" s="264">
        <v>0</v>
      </c>
      <c r="AA132" s="264">
        <v>0</v>
      </c>
      <c r="AB132" s="264">
        <v>0</v>
      </c>
      <c r="AC132" s="264">
        <v>0</v>
      </c>
      <c r="AD132" s="264">
        <v>0</v>
      </c>
      <c r="AE132" s="239" t="s">
        <v>311</v>
      </c>
    </row>
    <row r="133" spans="2:31" ht="13.5" customHeight="1" x14ac:dyDescent="0.25">
      <c r="D133" s="2" t="str">
        <f>ProjectedP205_Consumption!D34</f>
        <v>Okra</v>
      </c>
      <c r="E133" s="264">
        <v>0.75</v>
      </c>
      <c r="F133" s="264">
        <v>0.5</v>
      </c>
      <c r="G133" s="264">
        <v>0.25</v>
      </c>
      <c r="H133" s="264">
        <v>0.25</v>
      </c>
      <c r="I133" s="264">
        <v>0.5</v>
      </c>
      <c r="J133" s="264">
        <v>0.75</v>
      </c>
      <c r="K133" s="264">
        <v>0</v>
      </c>
      <c r="L133" s="264">
        <v>0</v>
      </c>
      <c r="M133" s="264">
        <v>0</v>
      </c>
      <c r="N133" s="264">
        <f t="shared" si="96"/>
        <v>1</v>
      </c>
      <c r="O133" s="264">
        <f t="shared" si="97"/>
        <v>1</v>
      </c>
      <c r="P133" s="264">
        <f t="shared" si="98"/>
        <v>1</v>
      </c>
      <c r="Q133" s="239" t="s">
        <v>310</v>
      </c>
      <c r="R133" s="239"/>
      <c r="S133" s="239"/>
      <c r="T133" s="239"/>
      <c r="V133" s="264">
        <v>1</v>
      </c>
      <c r="W133" s="264">
        <v>1</v>
      </c>
      <c r="X133" s="264">
        <v>1</v>
      </c>
      <c r="Y133" s="264">
        <v>0</v>
      </c>
      <c r="Z133" s="264">
        <v>0</v>
      </c>
      <c r="AA133" s="264">
        <v>0</v>
      </c>
      <c r="AB133" s="264">
        <v>0</v>
      </c>
      <c r="AC133" s="264">
        <v>0</v>
      </c>
      <c r="AD133" s="264">
        <v>0</v>
      </c>
      <c r="AE133" s="239" t="s">
        <v>311</v>
      </c>
    </row>
    <row r="134" spans="2:31" ht="13.5" customHeight="1" x14ac:dyDescent="0.25">
      <c r="D134" s="2" t="str">
        <f>ProjectedP205_Consumption!D35</f>
        <v>Lemons and limes</v>
      </c>
      <c r="E134" s="264">
        <v>0.75</v>
      </c>
      <c r="F134" s="264">
        <v>0.5</v>
      </c>
      <c r="G134" s="264">
        <v>0.25</v>
      </c>
      <c r="H134" s="264">
        <v>0.25</v>
      </c>
      <c r="I134" s="264">
        <v>0.5</v>
      </c>
      <c r="J134" s="264">
        <v>0.75</v>
      </c>
      <c r="K134" s="264">
        <v>0</v>
      </c>
      <c r="L134" s="264">
        <v>0</v>
      </c>
      <c r="M134" s="264">
        <v>0</v>
      </c>
      <c r="N134" s="264">
        <f t="shared" si="96"/>
        <v>1</v>
      </c>
      <c r="O134" s="264">
        <f t="shared" si="97"/>
        <v>1</v>
      </c>
      <c r="P134" s="264">
        <f t="shared" si="98"/>
        <v>1</v>
      </c>
      <c r="Q134" s="239" t="s">
        <v>310</v>
      </c>
      <c r="R134" s="239"/>
      <c r="S134" s="239"/>
      <c r="T134" s="239"/>
      <c r="V134" s="264">
        <v>1</v>
      </c>
      <c r="W134" s="264">
        <v>1</v>
      </c>
      <c r="X134" s="264">
        <v>1</v>
      </c>
      <c r="Y134" s="264">
        <v>0</v>
      </c>
      <c r="Z134" s="264">
        <v>0</v>
      </c>
      <c r="AA134" s="264">
        <v>0</v>
      </c>
      <c r="AB134" s="264">
        <v>0</v>
      </c>
      <c r="AC134" s="264">
        <v>0</v>
      </c>
      <c r="AD134" s="264">
        <v>0</v>
      </c>
      <c r="AE134" s="239" t="s">
        <v>311</v>
      </c>
    </row>
    <row r="135" spans="2:31" ht="13.5" customHeight="1" x14ac:dyDescent="0.25">
      <c r="D135" s="2" t="str">
        <f>ProjectedP205_Consumption!D36</f>
        <v>Green garlic</v>
      </c>
      <c r="E135" s="264">
        <v>0.75</v>
      </c>
      <c r="F135" s="264">
        <v>0.5</v>
      </c>
      <c r="G135" s="264">
        <v>0.25</v>
      </c>
      <c r="H135" s="264">
        <v>0.25</v>
      </c>
      <c r="I135" s="264">
        <v>0.5</v>
      </c>
      <c r="J135" s="264">
        <v>0.75</v>
      </c>
      <c r="K135" s="264">
        <v>0</v>
      </c>
      <c r="L135" s="264">
        <v>0</v>
      </c>
      <c r="M135" s="264">
        <v>0</v>
      </c>
      <c r="N135" s="264">
        <f t="shared" si="96"/>
        <v>1</v>
      </c>
      <c r="O135" s="264">
        <f t="shared" si="97"/>
        <v>1</v>
      </c>
      <c r="P135" s="264">
        <f t="shared" si="98"/>
        <v>1</v>
      </c>
      <c r="Q135" s="239" t="s">
        <v>310</v>
      </c>
      <c r="R135" s="239"/>
      <c r="S135" s="239"/>
      <c r="T135" s="239"/>
      <c r="V135" s="264">
        <v>1</v>
      </c>
      <c r="W135" s="264">
        <v>1</v>
      </c>
      <c r="X135" s="264">
        <v>1</v>
      </c>
      <c r="Y135" s="264">
        <v>0</v>
      </c>
      <c r="Z135" s="264">
        <v>0</v>
      </c>
      <c r="AA135" s="264">
        <v>0</v>
      </c>
      <c r="AB135" s="264">
        <v>0</v>
      </c>
      <c r="AC135" s="264">
        <v>0</v>
      </c>
      <c r="AD135" s="264">
        <v>0</v>
      </c>
      <c r="AE135" s="239" t="s">
        <v>311</v>
      </c>
    </row>
    <row r="136" spans="2:31" ht="13.5" customHeight="1" x14ac:dyDescent="0.25">
      <c r="D136" s="2" t="str">
        <f>ProjectedP205_Consumption!D37</f>
        <v>Sweet potatoes</v>
      </c>
      <c r="E136" s="264">
        <v>0.75</v>
      </c>
      <c r="F136" s="264">
        <v>0.5</v>
      </c>
      <c r="G136" s="264">
        <v>0.25</v>
      </c>
      <c r="H136" s="264">
        <v>0.25</v>
      </c>
      <c r="I136" s="264">
        <v>0.5</v>
      </c>
      <c r="J136" s="264">
        <v>0.75</v>
      </c>
      <c r="K136" s="264">
        <v>0</v>
      </c>
      <c r="L136" s="264">
        <v>0</v>
      </c>
      <c r="M136" s="264">
        <v>0</v>
      </c>
      <c r="N136" s="264">
        <f t="shared" si="96"/>
        <v>1</v>
      </c>
      <c r="O136" s="264">
        <f t="shared" si="97"/>
        <v>1</v>
      </c>
      <c r="P136" s="264">
        <f t="shared" si="98"/>
        <v>1</v>
      </c>
      <c r="Q136" s="239" t="s">
        <v>310</v>
      </c>
      <c r="R136" s="239"/>
      <c r="S136" s="239"/>
      <c r="T136" s="239"/>
      <c r="V136" s="264">
        <v>1</v>
      </c>
      <c r="W136" s="264">
        <v>1</v>
      </c>
      <c r="X136" s="264">
        <v>1</v>
      </c>
      <c r="Y136" s="264">
        <v>0</v>
      </c>
      <c r="Z136" s="264">
        <v>0</v>
      </c>
      <c r="AA136" s="264">
        <v>0</v>
      </c>
      <c r="AB136" s="264">
        <v>0</v>
      </c>
      <c r="AC136" s="264">
        <v>0</v>
      </c>
      <c r="AD136" s="264">
        <v>0</v>
      </c>
      <c r="AE136" s="239" t="s">
        <v>311</v>
      </c>
    </row>
    <row r="137" spans="2:31" ht="13.5" customHeight="1" x14ac:dyDescent="0.25">
      <c r="D137" s="2" t="str">
        <f>ProjectedP205_Consumption!D38</f>
        <v>Other pulses n.e.c.</v>
      </c>
      <c r="E137" s="264">
        <v>0.75</v>
      </c>
      <c r="F137" s="264">
        <v>0.5</v>
      </c>
      <c r="G137" s="264">
        <v>0.25</v>
      </c>
      <c r="H137" s="264">
        <v>0.25</v>
      </c>
      <c r="I137" s="264">
        <v>0.5</v>
      </c>
      <c r="J137" s="264">
        <v>0.75</v>
      </c>
      <c r="K137" s="264">
        <v>0</v>
      </c>
      <c r="L137" s="264">
        <v>0</v>
      </c>
      <c r="M137" s="264">
        <v>0</v>
      </c>
      <c r="N137" s="264">
        <f t="shared" si="96"/>
        <v>1</v>
      </c>
      <c r="O137" s="264">
        <f t="shared" si="97"/>
        <v>1</v>
      </c>
      <c r="P137" s="264">
        <f t="shared" si="98"/>
        <v>1</v>
      </c>
      <c r="Q137" s="239" t="s">
        <v>309</v>
      </c>
      <c r="R137" s="239"/>
      <c r="S137" s="239"/>
      <c r="T137" s="239"/>
      <c r="V137" s="264">
        <v>1</v>
      </c>
      <c r="W137" s="264">
        <v>1</v>
      </c>
      <c r="X137" s="264">
        <v>1</v>
      </c>
      <c r="Y137" s="264">
        <v>0</v>
      </c>
      <c r="Z137" s="264">
        <v>0</v>
      </c>
      <c r="AA137" s="264">
        <v>0</v>
      </c>
      <c r="AB137" s="264">
        <v>0</v>
      </c>
      <c r="AC137" s="264">
        <v>0</v>
      </c>
      <c r="AD137" s="264">
        <v>0</v>
      </c>
      <c r="AE137" s="239" t="s">
        <v>311</v>
      </c>
    </row>
    <row r="138" spans="2:31" ht="13.5" customHeight="1" x14ac:dyDescent="0.25">
      <c r="D138" s="2" t="str">
        <f>ProjectedP205_Consumption!D39</f>
        <v>Other vegetables, fresh n.e.c.</v>
      </c>
      <c r="E138" s="264">
        <v>0.75</v>
      </c>
      <c r="F138" s="264">
        <v>0.5</v>
      </c>
      <c r="G138" s="264">
        <v>0.25</v>
      </c>
      <c r="H138" s="264">
        <v>0.25</v>
      </c>
      <c r="I138" s="264">
        <v>0.5</v>
      </c>
      <c r="J138" s="264">
        <v>0.75</v>
      </c>
      <c r="K138" s="264">
        <v>0</v>
      </c>
      <c r="L138" s="264">
        <v>0</v>
      </c>
      <c r="M138" s="264">
        <v>0</v>
      </c>
      <c r="N138" s="264">
        <f t="shared" si="96"/>
        <v>1</v>
      </c>
      <c r="O138" s="264">
        <f t="shared" si="97"/>
        <v>1</v>
      </c>
      <c r="P138" s="264">
        <f t="shared" si="98"/>
        <v>1</v>
      </c>
      <c r="Q138" s="239" t="s">
        <v>310</v>
      </c>
      <c r="R138" s="239"/>
      <c r="S138" s="239"/>
      <c r="T138" s="239"/>
      <c r="V138" s="264">
        <v>1</v>
      </c>
      <c r="W138" s="264">
        <v>1</v>
      </c>
      <c r="X138" s="264">
        <v>1</v>
      </c>
      <c r="Y138" s="264">
        <v>0</v>
      </c>
      <c r="Z138" s="264">
        <v>0</v>
      </c>
      <c r="AA138" s="264">
        <v>0</v>
      </c>
      <c r="AB138" s="264">
        <v>0</v>
      </c>
      <c r="AC138" s="264">
        <v>0</v>
      </c>
      <c r="AD138" s="264">
        <v>0</v>
      </c>
      <c r="AE138" s="239" t="s">
        <v>311</v>
      </c>
    </row>
    <row r="139" spans="2:31" ht="13.5" customHeight="1" x14ac:dyDescent="0.25">
      <c r="D139" s="2" t="str">
        <f>ProjectedP205_Consumption!D40</f>
        <v>Other fruits, n.e.c.</v>
      </c>
      <c r="E139" s="264">
        <v>0.75</v>
      </c>
      <c r="F139" s="264">
        <v>0.5</v>
      </c>
      <c r="G139" s="264">
        <v>0.25</v>
      </c>
      <c r="H139" s="264">
        <v>0.25</v>
      </c>
      <c r="I139" s="264">
        <v>0.5</v>
      </c>
      <c r="J139" s="264">
        <v>0.75</v>
      </c>
      <c r="K139" s="264">
        <v>0</v>
      </c>
      <c r="L139" s="264">
        <v>0</v>
      </c>
      <c r="M139" s="264">
        <v>0</v>
      </c>
      <c r="N139" s="264">
        <f t="shared" si="96"/>
        <v>1</v>
      </c>
      <c r="O139" s="264">
        <f t="shared" si="97"/>
        <v>1</v>
      </c>
      <c r="P139" s="264">
        <f t="shared" si="98"/>
        <v>1</v>
      </c>
      <c r="Q139" s="239" t="s">
        <v>310</v>
      </c>
      <c r="R139" s="239"/>
      <c r="S139" s="239"/>
      <c r="T139" s="239"/>
      <c r="V139" s="264">
        <v>1</v>
      </c>
      <c r="W139" s="264">
        <v>1</v>
      </c>
      <c r="X139" s="264">
        <v>1</v>
      </c>
      <c r="Y139" s="264">
        <v>0</v>
      </c>
      <c r="Z139" s="264">
        <v>0</v>
      </c>
      <c r="AA139" s="264">
        <v>0</v>
      </c>
      <c r="AB139" s="264">
        <v>0</v>
      </c>
      <c r="AC139" s="264">
        <v>0</v>
      </c>
      <c r="AD139" s="264">
        <v>0</v>
      </c>
      <c r="AE139" s="239" t="s">
        <v>311</v>
      </c>
    </row>
    <row r="140" spans="2:31" ht="13.5" customHeight="1" x14ac:dyDescent="0.25">
      <c r="D140" s="2" t="str">
        <f>ProjectedP205_Consumption!D41</f>
        <v>Broad beans and horse beans, dry</v>
      </c>
      <c r="E140" s="264">
        <v>0.75</v>
      </c>
      <c r="F140" s="264">
        <v>0.5</v>
      </c>
      <c r="G140" s="264">
        <v>0.25</v>
      </c>
      <c r="H140" s="264">
        <v>0.25</v>
      </c>
      <c r="I140" s="264">
        <v>0.5</v>
      </c>
      <c r="J140" s="264">
        <v>0.75</v>
      </c>
      <c r="K140" s="264">
        <v>0</v>
      </c>
      <c r="L140" s="264">
        <v>0</v>
      </c>
      <c r="M140" s="264">
        <v>0</v>
      </c>
      <c r="N140" s="264">
        <f t="shared" si="96"/>
        <v>1</v>
      </c>
      <c r="O140" s="264">
        <f t="shared" si="97"/>
        <v>1</v>
      </c>
      <c r="P140" s="264">
        <f t="shared" si="98"/>
        <v>1</v>
      </c>
      <c r="Q140" s="239" t="s">
        <v>309</v>
      </c>
      <c r="R140" s="239"/>
      <c r="S140" s="239"/>
      <c r="T140" s="239"/>
      <c r="V140" s="264">
        <v>1</v>
      </c>
      <c r="W140" s="264">
        <v>1</v>
      </c>
      <c r="X140" s="264">
        <v>1</v>
      </c>
      <c r="Y140" s="264">
        <v>0</v>
      </c>
      <c r="Z140" s="264">
        <v>0</v>
      </c>
      <c r="AA140" s="264">
        <v>0</v>
      </c>
      <c r="AB140" s="264">
        <v>0</v>
      </c>
      <c r="AC140" s="264">
        <v>0</v>
      </c>
      <c r="AD140" s="264">
        <v>0</v>
      </c>
      <c r="AE140" s="239" t="s">
        <v>311</v>
      </c>
    </row>
    <row r="141" spans="2:31" ht="13.5" customHeight="1" x14ac:dyDescent="0.25">
      <c r="D141" s="2" t="str">
        <f>ProjectedP205_Consumption!D42</f>
        <v>Chick peas, dry</v>
      </c>
      <c r="E141" s="264">
        <v>0.75</v>
      </c>
      <c r="F141" s="264">
        <v>0.5</v>
      </c>
      <c r="G141" s="264">
        <v>0.25</v>
      </c>
      <c r="H141" s="264">
        <v>0.25</v>
      </c>
      <c r="I141" s="264">
        <v>0.5</v>
      </c>
      <c r="J141" s="264">
        <v>0.75</v>
      </c>
      <c r="K141" s="264">
        <v>0</v>
      </c>
      <c r="L141" s="264">
        <v>0</v>
      </c>
      <c r="M141" s="264">
        <v>0</v>
      </c>
      <c r="N141" s="264">
        <f t="shared" si="96"/>
        <v>1</v>
      </c>
      <c r="O141" s="264">
        <f t="shared" si="97"/>
        <v>1</v>
      </c>
      <c r="P141" s="264">
        <f t="shared" si="98"/>
        <v>1</v>
      </c>
      <c r="Q141" s="239" t="s">
        <v>309</v>
      </c>
      <c r="R141" s="239"/>
      <c r="S141" s="239"/>
      <c r="T141" s="239"/>
      <c r="V141" s="264">
        <v>1</v>
      </c>
      <c r="W141" s="264">
        <v>1</v>
      </c>
      <c r="X141" s="264">
        <v>1</v>
      </c>
      <c r="Y141" s="264">
        <v>0</v>
      </c>
      <c r="Z141" s="264">
        <v>0</v>
      </c>
      <c r="AA141" s="264">
        <v>0</v>
      </c>
      <c r="AB141" s="264">
        <v>0</v>
      </c>
      <c r="AC141" s="264">
        <v>0</v>
      </c>
      <c r="AD141" s="264">
        <v>0</v>
      </c>
      <c r="AE141" s="239" t="s">
        <v>311</v>
      </c>
    </row>
    <row r="142" spans="2:31" ht="13.5" customHeight="1" x14ac:dyDescent="0.25">
      <c r="D142" s="2" t="str">
        <f>ProjectedP205_Consumption!D43</f>
        <v>Beans, dry</v>
      </c>
      <c r="E142" s="264">
        <v>0.75</v>
      </c>
      <c r="F142" s="264">
        <v>0.5</v>
      </c>
      <c r="G142" s="264">
        <v>0.25</v>
      </c>
      <c r="H142" s="264">
        <v>0.25</v>
      </c>
      <c r="I142" s="264">
        <v>0.5</v>
      </c>
      <c r="J142" s="264">
        <v>0.75</v>
      </c>
      <c r="K142" s="264">
        <v>0</v>
      </c>
      <c r="L142" s="264">
        <v>0</v>
      </c>
      <c r="M142" s="264">
        <v>0</v>
      </c>
      <c r="N142" s="264">
        <f t="shared" si="96"/>
        <v>1</v>
      </c>
      <c r="O142" s="264">
        <f t="shared" si="97"/>
        <v>1</v>
      </c>
      <c r="P142" s="264">
        <f t="shared" si="98"/>
        <v>1</v>
      </c>
      <c r="Q142" s="239" t="s">
        <v>309</v>
      </c>
      <c r="R142" s="239"/>
      <c r="S142" s="239"/>
      <c r="T142" s="239"/>
      <c r="V142" s="264">
        <v>1</v>
      </c>
      <c r="W142" s="264">
        <v>1</v>
      </c>
      <c r="X142" s="264">
        <v>1</v>
      </c>
      <c r="Y142" s="264">
        <v>0</v>
      </c>
      <c r="Z142" s="264">
        <v>0</v>
      </c>
      <c r="AA142" s="264">
        <v>0</v>
      </c>
      <c r="AB142" s="264">
        <v>0</v>
      </c>
      <c r="AC142" s="264">
        <v>0</v>
      </c>
      <c r="AD142" s="264">
        <v>0</v>
      </c>
      <c r="AE142" s="239" t="s">
        <v>311</v>
      </c>
    </row>
    <row r="143" spans="2:31" ht="13.5" customHeight="1" x14ac:dyDescent="0.25">
      <c r="E143" s="220"/>
      <c r="F143" s="220"/>
      <c r="G143" s="220"/>
      <c r="H143" s="220"/>
      <c r="I143" s="7"/>
      <c r="J143" s="240"/>
      <c r="K143" s="218"/>
      <c r="L143" s="218"/>
      <c r="M143" s="218"/>
    </row>
    <row r="144" spans="2:31" ht="13.5" customHeight="1" x14ac:dyDescent="0.35">
      <c r="B144" s="29">
        <v>1</v>
      </c>
      <c r="D144" s="28" t="s">
        <v>240</v>
      </c>
      <c r="I144" s="7"/>
      <c r="J144" s="240"/>
      <c r="K144" s="240"/>
      <c r="L144" s="240"/>
      <c r="M144" s="240"/>
    </row>
    <row r="145" spans="4:32" ht="13.5" customHeight="1" x14ac:dyDescent="0.25">
      <c r="I145" s="7"/>
      <c r="J145" s="240"/>
      <c r="K145" s="240"/>
      <c r="L145" s="240"/>
      <c r="M145" s="240"/>
    </row>
    <row r="146" spans="4:32" ht="13.5" customHeight="1" x14ac:dyDescent="0.3">
      <c r="D146" s="32" t="s">
        <v>76</v>
      </c>
      <c r="E146" s="240"/>
      <c r="F146" s="240"/>
      <c r="G146" s="240"/>
      <c r="I146" s="35"/>
      <c r="J146" s="241" t="s">
        <v>298</v>
      </c>
      <c r="K146" s="242"/>
      <c r="L146" s="7"/>
      <c r="M146" s="7"/>
      <c r="N146" s="7"/>
      <c r="O146" s="7"/>
      <c r="P146" s="7"/>
      <c r="Q146" s="7"/>
      <c r="R146" s="7"/>
      <c r="S146" s="7"/>
      <c r="T146" s="7"/>
      <c r="U146" s="241" t="s">
        <v>299</v>
      </c>
      <c r="V146" s="243"/>
      <c r="W146" s="7"/>
      <c r="X146" s="7"/>
      <c r="Y146" s="7"/>
      <c r="Z146" s="7"/>
      <c r="AA146" s="7"/>
      <c r="AB146" s="7"/>
      <c r="AC146" s="7"/>
      <c r="AD146" s="7"/>
    </row>
    <row r="147" spans="4:32" ht="13.5" customHeight="1" x14ac:dyDescent="0.3">
      <c r="D147" s="33" t="s">
        <v>77</v>
      </c>
      <c r="E147" s="240"/>
      <c r="F147" s="240"/>
      <c r="G147" s="240"/>
      <c r="I147" s="36"/>
      <c r="J147" s="33" t="s">
        <v>300</v>
      </c>
      <c r="K147" s="7"/>
      <c r="L147" s="7"/>
      <c r="M147" s="7"/>
      <c r="N147" s="7"/>
      <c r="O147" s="7"/>
      <c r="P147" s="7"/>
      <c r="Q147" s="7"/>
      <c r="R147" s="7"/>
      <c r="S147" s="7"/>
      <c r="T147" s="7"/>
      <c r="U147" s="33" t="s">
        <v>301</v>
      </c>
      <c r="V147" s="7"/>
      <c r="W147" s="7"/>
      <c r="X147" s="7"/>
      <c r="Y147" s="7"/>
      <c r="Z147" s="7"/>
      <c r="AA147" s="7"/>
      <c r="AB147" s="7"/>
      <c r="AC147" s="7"/>
      <c r="AD147" s="7"/>
    </row>
    <row r="148" spans="4:32" ht="13.5" customHeight="1" x14ac:dyDescent="0.25">
      <c r="E148" s="240"/>
      <c r="F148" s="240"/>
      <c r="G148" s="240"/>
      <c r="I148" s="7"/>
      <c r="J148" s="235" t="s">
        <v>277</v>
      </c>
      <c r="K148" s="235"/>
      <c r="L148" s="235"/>
      <c r="M148" s="235" t="s">
        <v>296</v>
      </c>
      <c r="N148" s="235"/>
      <c r="O148" s="235"/>
      <c r="P148" s="235" t="s">
        <v>279</v>
      </c>
      <c r="Q148" s="235"/>
      <c r="R148" s="235"/>
      <c r="S148" s="235"/>
      <c r="T148" s="59"/>
      <c r="U148" s="235" t="s">
        <v>277</v>
      </c>
      <c r="V148" s="235"/>
      <c r="W148" s="235"/>
      <c r="X148" s="235" t="s">
        <v>296</v>
      </c>
      <c r="Y148" s="235"/>
      <c r="Z148" s="235"/>
      <c r="AA148" s="235" t="s">
        <v>279</v>
      </c>
      <c r="AB148" s="235"/>
      <c r="AC148" s="235"/>
      <c r="AD148" s="7"/>
    </row>
    <row r="149" spans="4:32" ht="13.5" customHeight="1" x14ac:dyDescent="0.3">
      <c r="D149" s="30" t="s">
        <v>15</v>
      </c>
      <c r="E149" s="118">
        <v>2023</v>
      </c>
      <c r="F149" s="118">
        <v>2024</v>
      </c>
      <c r="G149" s="118">
        <v>2025</v>
      </c>
      <c r="I149" s="244"/>
      <c r="J149" s="236">
        <v>2023</v>
      </c>
      <c r="K149" s="236">
        <v>2024</v>
      </c>
      <c r="L149" s="236">
        <v>2025</v>
      </c>
      <c r="M149" s="236">
        <v>2023</v>
      </c>
      <c r="N149" s="236">
        <v>2024</v>
      </c>
      <c r="O149" s="236">
        <v>2025</v>
      </c>
      <c r="P149" s="236">
        <v>2023</v>
      </c>
      <c r="Q149" s="236">
        <v>2024</v>
      </c>
      <c r="R149" s="236">
        <v>2025</v>
      </c>
      <c r="S149" s="245"/>
      <c r="T149" s="246"/>
      <c r="U149" s="247">
        <v>2023</v>
      </c>
      <c r="V149" s="247">
        <v>2024</v>
      </c>
      <c r="W149" s="247">
        <v>2025</v>
      </c>
      <c r="X149" s="247">
        <v>2023</v>
      </c>
      <c r="Y149" s="247">
        <v>2024</v>
      </c>
      <c r="Z149" s="247">
        <v>2025</v>
      </c>
      <c r="AA149" s="247">
        <v>2023</v>
      </c>
      <c r="AB149" s="247">
        <v>2024</v>
      </c>
      <c r="AC149" s="247">
        <v>2025</v>
      </c>
      <c r="AD149" s="248"/>
    </row>
    <row r="150" spans="4:32" ht="13.5" customHeight="1" x14ac:dyDescent="0.25">
      <c r="D150" s="101" t="str">
        <f>D112</f>
        <v>Sorghum</v>
      </c>
      <c r="E150" s="270">
        <f>ProjectedP205_Consumption!K13*OCPMarketShares!N35</f>
        <v>0.51733647844113861</v>
      </c>
      <c r="F150" s="270">
        <f>ProjectedP205_Consumption!L13*OCPMarketShares!O35</f>
        <v>1.6251416617672598</v>
      </c>
      <c r="G150" s="270">
        <f>ProjectedP205_Consumption!M13*OCPMarketShares!P35</f>
        <v>2.836199918957846</v>
      </c>
      <c r="I150" s="157"/>
      <c r="J150" s="269">
        <f t="shared" ref="J150:J180" si="99">E112</f>
        <v>0.75</v>
      </c>
      <c r="K150" s="269">
        <f t="shared" ref="K150:K180" si="100">F112</f>
        <v>0.5</v>
      </c>
      <c r="L150" s="269">
        <f t="shared" ref="L150:L180" si="101">G112</f>
        <v>0.25</v>
      </c>
      <c r="M150" s="269">
        <f t="shared" ref="M150:M180" si="102">H112</f>
        <v>0.25</v>
      </c>
      <c r="N150" s="269">
        <f t="shared" ref="N150:N180" si="103">I112</f>
        <v>0.5</v>
      </c>
      <c r="O150" s="269">
        <f t="shared" ref="O150:O180" si="104">J112</f>
        <v>0.75</v>
      </c>
      <c r="P150" s="269">
        <f t="shared" ref="P150:P180" si="105">K112</f>
        <v>0</v>
      </c>
      <c r="Q150" s="269">
        <f t="shared" ref="Q150:Q180" si="106">L112</f>
        <v>0</v>
      </c>
      <c r="R150" s="269">
        <f t="shared" ref="R150:R180" si="107">M112</f>
        <v>0</v>
      </c>
      <c r="S150" s="249"/>
      <c r="T150" s="224"/>
      <c r="U150" s="271">
        <f>(E150*J150)/$K$11</f>
        <v>0.84348338876272599</v>
      </c>
      <c r="V150" s="271">
        <f>(F150*K150)/$K$11</f>
        <v>1.7664583280078909</v>
      </c>
      <c r="W150" s="271">
        <f>(G150*L150)/$K$11</f>
        <v>1.5414129994336119</v>
      </c>
      <c r="X150" s="271">
        <f>(E150*M150)/$K$12</f>
        <v>0.28116112958757533</v>
      </c>
      <c r="Y150" s="271">
        <f>(F150*N150)/$K$12</f>
        <v>1.7664583280078909</v>
      </c>
      <c r="Z150" s="271">
        <f>(G150*O150)/$K$12</f>
        <v>4.6242389983008358</v>
      </c>
      <c r="AA150" s="271">
        <f>(E150*P150)/$K$13</f>
        <v>0</v>
      </c>
      <c r="AB150" s="271">
        <f t="shared" ref="AB150:AB180" si="108">(F150*Q150)/$K$13</f>
        <v>0</v>
      </c>
      <c r="AC150" s="271">
        <f t="shared" ref="AC150:AC180" si="109">(G150*R150)/$K$13</f>
        <v>0</v>
      </c>
      <c r="AD150" s="7"/>
    </row>
    <row r="151" spans="4:32" ht="13.5" customHeight="1" x14ac:dyDescent="0.25">
      <c r="D151" s="101" t="str">
        <f t="shared" ref="D151:D180" si="110">D113</f>
        <v>Sesame seed</v>
      </c>
      <c r="E151" s="270">
        <f>ProjectedP205_Consumption!K14*OCPMarketShares!N36</f>
        <v>1.5130774278124237</v>
      </c>
      <c r="F151" s="270">
        <f>ProjectedP205_Consumption!L14*OCPMarketShares!O36</f>
        <v>5.9364892605649571</v>
      </c>
      <c r="G151" s="270">
        <f>ProjectedP205_Consumption!M14*OCPMarketShares!P36</f>
        <v>12.939744924633173</v>
      </c>
      <c r="I151" s="157"/>
      <c r="J151" s="269">
        <f t="shared" si="99"/>
        <v>0.75</v>
      </c>
      <c r="K151" s="269">
        <f t="shared" si="100"/>
        <v>0.5</v>
      </c>
      <c r="L151" s="269">
        <f t="shared" si="101"/>
        <v>0.25</v>
      </c>
      <c r="M151" s="269">
        <f t="shared" si="102"/>
        <v>0.25</v>
      </c>
      <c r="N151" s="269">
        <f t="shared" si="103"/>
        <v>0.5</v>
      </c>
      <c r="O151" s="269">
        <f t="shared" si="104"/>
        <v>0.75</v>
      </c>
      <c r="P151" s="269">
        <f t="shared" si="105"/>
        <v>0</v>
      </c>
      <c r="Q151" s="269">
        <f t="shared" si="106"/>
        <v>0</v>
      </c>
      <c r="R151" s="269">
        <f t="shared" si="107"/>
        <v>0</v>
      </c>
      <c r="S151" s="249"/>
      <c r="T151" s="224"/>
      <c r="U151" s="271">
        <f t="shared" ref="U151:U180" si="111">(E151*J151)/$K$11</f>
        <v>2.4669740670854732</v>
      </c>
      <c r="V151" s="271">
        <f t="shared" ref="V151:V180" si="112">(F151*K151)/$K$11</f>
        <v>6.4527057180053875</v>
      </c>
      <c r="W151" s="271">
        <f t="shared" ref="W151:W180" si="113">(G151*L151)/$K$11</f>
        <v>7.0324700677354199</v>
      </c>
      <c r="X151" s="271">
        <f t="shared" ref="X151:Z180" si="114">(E151*M151)/$K$12</f>
        <v>0.8223246890284911</v>
      </c>
      <c r="Y151" s="271">
        <f t="shared" si="114"/>
        <v>6.4527057180053875</v>
      </c>
      <c r="Z151" s="271">
        <f t="shared" si="114"/>
        <v>21.097410203206259</v>
      </c>
      <c r="AA151" s="271">
        <f t="shared" ref="AA151:AA180" si="115">(E151*P151)/$K$13</f>
        <v>0</v>
      </c>
      <c r="AB151" s="271">
        <f t="shared" si="108"/>
        <v>0</v>
      </c>
      <c r="AC151" s="271">
        <f t="shared" si="109"/>
        <v>0</v>
      </c>
      <c r="AD151" s="7"/>
    </row>
    <row r="152" spans="4:32" ht="13.5" customHeight="1" x14ac:dyDescent="0.25">
      <c r="D152" s="101" t="str">
        <f t="shared" si="110"/>
        <v>Groundnuts, excluding shelled</v>
      </c>
      <c r="E152" s="270">
        <f>ProjectedP205_Consumption!K15*OCPMarketShares!N37</f>
        <v>1.751264581575172</v>
      </c>
      <c r="F152" s="270">
        <f>ProjectedP205_Consumption!L15*OCPMarketShares!O37</f>
        <v>7.275711010405943</v>
      </c>
      <c r="G152" s="270">
        <f>ProjectedP205_Consumption!M15*OCPMarketShares!P37</f>
        <v>16.792935187735129</v>
      </c>
      <c r="I152" s="157"/>
      <c r="J152" s="269">
        <f t="shared" si="99"/>
        <v>0.75</v>
      </c>
      <c r="K152" s="269">
        <f t="shared" si="100"/>
        <v>0.5</v>
      </c>
      <c r="L152" s="269">
        <f t="shared" si="101"/>
        <v>0.25</v>
      </c>
      <c r="M152" s="269">
        <f t="shared" si="102"/>
        <v>0.25</v>
      </c>
      <c r="N152" s="269">
        <f t="shared" si="103"/>
        <v>0.5</v>
      </c>
      <c r="O152" s="269">
        <f t="shared" si="104"/>
        <v>0.75</v>
      </c>
      <c r="P152" s="269">
        <f t="shared" si="105"/>
        <v>0</v>
      </c>
      <c r="Q152" s="269">
        <f t="shared" si="106"/>
        <v>0</v>
      </c>
      <c r="R152" s="269">
        <f t="shared" si="107"/>
        <v>0</v>
      </c>
      <c r="S152" s="249"/>
      <c r="T152" s="224"/>
      <c r="U152" s="271">
        <f t="shared" si="111"/>
        <v>2.8553226873508235</v>
      </c>
      <c r="V152" s="271">
        <f t="shared" si="112"/>
        <v>7.9083815330499379</v>
      </c>
      <c r="W152" s="271">
        <f t="shared" si="113"/>
        <v>9.126595210725613</v>
      </c>
      <c r="X152" s="271">
        <f t="shared" si="114"/>
        <v>0.95177422911694121</v>
      </c>
      <c r="Y152" s="271">
        <f t="shared" si="114"/>
        <v>7.9083815330499379</v>
      </c>
      <c r="Z152" s="271">
        <f t="shared" si="114"/>
        <v>27.379785632176841</v>
      </c>
      <c r="AA152" s="271">
        <f t="shared" si="115"/>
        <v>0</v>
      </c>
      <c r="AB152" s="271">
        <f t="shared" si="108"/>
        <v>0</v>
      </c>
      <c r="AC152" s="271">
        <f t="shared" si="109"/>
        <v>0</v>
      </c>
      <c r="AD152" s="7"/>
      <c r="AE152" s="7"/>
      <c r="AF152" s="7"/>
    </row>
    <row r="153" spans="4:32" ht="13.5" customHeight="1" x14ac:dyDescent="0.25">
      <c r="D153" s="101" t="str">
        <f t="shared" si="110"/>
        <v>Millet</v>
      </c>
      <c r="E153" s="270">
        <f>ProjectedP205_Consumption!K16*OCPMarketShares!N38</f>
        <v>0.21413933753523812</v>
      </c>
      <c r="F153" s="270">
        <f>ProjectedP205_Consumption!L16*OCPMarketShares!O38</f>
        <v>0.67997859276033845</v>
      </c>
      <c r="G153" s="270">
        <f>ProjectedP205_Consumption!M16*OCPMarketShares!P38</f>
        <v>1.1995587440460704</v>
      </c>
      <c r="I153" s="157"/>
      <c r="J153" s="269">
        <f t="shared" si="99"/>
        <v>0.75</v>
      </c>
      <c r="K153" s="269">
        <f t="shared" si="100"/>
        <v>0.5</v>
      </c>
      <c r="L153" s="269">
        <f t="shared" si="101"/>
        <v>0.25</v>
      </c>
      <c r="M153" s="269">
        <f t="shared" si="102"/>
        <v>0.25</v>
      </c>
      <c r="N153" s="269">
        <f t="shared" si="103"/>
        <v>0.5</v>
      </c>
      <c r="O153" s="269">
        <f t="shared" si="104"/>
        <v>0.75</v>
      </c>
      <c r="P153" s="269">
        <f t="shared" si="105"/>
        <v>0</v>
      </c>
      <c r="Q153" s="269">
        <f t="shared" si="106"/>
        <v>0</v>
      </c>
      <c r="R153" s="269">
        <f t="shared" si="107"/>
        <v>0</v>
      </c>
      <c r="S153" s="249"/>
      <c r="T153" s="224"/>
      <c r="U153" s="271">
        <f t="shared" si="111"/>
        <v>0.34914022424223606</v>
      </c>
      <c r="V153" s="271">
        <f t="shared" si="112"/>
        <v>0.73910716604384608</v>
      </c>
      <c r="W153" s="271">
        <f t="shared" si="113"/>
        <v>0.65193410002503827</v>
      </c>
      <c r="X153" s="271">
        <f t="shared" si="114"/>
        <v>0.11638007474741202</v>
      </c>
      <c r="Y153" s="271">
        <f t="shared" si="114"/>
        <v>0.73910716604384608</v>
      </c>
      <c r="Z153" s="271">
        <f t="shared" si="114"/>
        <v>1.9558023000751146</v>
      </c>
      <c r="AA153" s="271">
        <f t="shared" si="115"/>
        <v>0</v>
      </c>
      <c r="AB153" s="271">
        <f t="shared" si="108"/>
        <v>0</v>
      </c>
      <c r="AC153" s="271">
        <f t="shared" si="109"/>
        <v>0</v>
      </c>
      <c r="AD153" s="7"/>
      <c r="AE153" s="7"/>
      <c r="AF153" s="7"/>
    </row>
    <row r="154" spans="4:32" ht="13.5" customHeight="1" x14ac:dyDescent="0.25">
      <c r="D154" s="101" t="str">
        <f t="shared" si="110"/>
        <v>Sugar cane</v>
      </c>
      <c r="E154" s="270">
        <f>ProjectedP205_Consumption!K17*OCPMarketShares!N39</f>
        <v>7.0516457054378368E-2</v>
      </c>
      <c r="F154" s="270">
        <f>ProjectedP205_Consumption!L17*OCPMarketShares!O39</f>
        <v>0.21965148812353011</v>
      </c>
      <c r="G154" s="270">
        <f>ProjectedP205_Consumption!M17*OCPMarketShares!P39</f>
        <v>0.3801065126437716</v>
      </c>
      <c r="I154" s="157"/>
      <c r="J154" s="269">
        <f t="shared" si="99"/>
        <v>0.75</v>
      </c>
      <c r="K154" s="269">
        <f t="shared" si="100"/>
        <v>0.5</v>
      </c>
      <c r="L154" s="269">
        <f t="shared" si="101"/>
        <v>0.25</v>
      </c>
      <c r="M154" s="269">
        <f t="shared" si="102"/>
        <v>0.25</v>
      </c>
      <c r="N154" s="269">
        <f t="shared" si="103"/>
        <v>0.5</v>
      </c>
      <c r="O154" s="269">
        <f t="shared" si="104"/>
        <v>0.75</v>
      </c>
      <c r="P154" s="269">
        <f t="shared" si="105"/>
        <v>0</v>
      </c>
      <c r="Q154" s="269">
        <f t="shared" si="106"/>
        <v>0</v>
      </c>
      <c r="R154" s="269">
        <f t="shared" si="107"/>
        <v>0</v>
      </c>
      <c r="S154" s="249"/>
      <c r="T154" s="224"/>
      <c r="U154" s="271">
        <f t="shared" si="111"/>
        <v>0.11497248432779081</v>
      </c>
      <c r="V154" s="271">
        <f t="shared" si="112"/>
        <v>0.23875161752557619</v>
      </c>
      <c r="W154" s="271">
        <f t="shared" si="113"/>
        <v>0.20657962643683239</v>
      </c>
      <c r="X154" s="271">
        <f t="shared" si="114"/>
        <v>3.8324161442596934E-2</v>
      </c>
      <c r="Y154" s="271">
        <f t="shared" si="114"/>
        <v>0.23875161752557619</v>
      </c>
      <c r="Z154" s="271">
        <f t="shared" si="114"/>
        <v>0.6197388793104972</v>
      </c>
      <c r="AA154" s="271">
        <f t="shared" si="115"/>
        <v>0</v>
      </c>
      <c r="AB154" s="271">
        <f t="shared" si="108"/>
        <v>0</v>
      </c>
      <c r="AC154" s="271">
        <f t="shared" si="109"/>
        <v>0</v>
      </c>
      <c r="AD154" s="7"/>
      <c r="AE154" s="7"/>
      <c r="AF154" s="7"/>
    </row>
    <row r="155" spans="4:32" ht="13.5" customHeight="1" x14ac:dyDescent="0.25">
      <c r="D155" s="101" t="str">
        <f t="shared" si="110"/>
        <v>Melonseed</v>
      </c>
      <c r="E155" s="270">
        <f>ProjectedP205_Consumption!K18*OCPMarketShares!N40</f>
        <v>4.0501999471633444E-2</v>
      </c>
      <c r="F155" s="270">
        <f>ProjectedP205_Consumption!L18*OCPMarketShares!O40</f>
        <v>0.12238444588419981</v>
      </c>
      <c r="G155" s="270">
        <f>ProjectedP205_Consumption!M18*OCPMarketShares!P40</f>
        <v>0.2054487403883577</v>
      </c>
      <c r="I155" s="157"/>
      <c r="J155" s="269">
        <f t="shared" si="99"/>
        <v>0.75</v>
      </c>
      <c r="K155" s="269">
        <f t="shared" si="100"/>
        <v>0.5</v>
      </c>
      <c r="L155" s="269">
        <f t="shared" si="101"/>
        <v>0.25</v>
      </c>
      <c r="M155" s="269">
        <f t="shared" si="102"/>
        <v>0.25</v>
      </c>
      <c r="N155" s="269">
        <f t="shared" si="103"/>
        <v>0.5</v>
      </c>
      <c r="O155" s="269">
        <f t="shared" si="104"/>
        <v>0.75</v>
      </c>
      <c r="P155" s="269">
        <f t="shared" si="105"/>
        <v>0</v>
      </c>
      <c r="Q155" s="269">
        <f t="shared" si="106"/>
        <v>0</v>
      </c>
      <c r="R155" s="269">
        <f t="shared" si="107"/>
        <v>0</v>
      </c>
      <c r="S155" s="249"/>
      <c r="T155" s="224"/>
      <c r="U155" s="271">
        <f t="shared" si="111"/>
        <v>6.6035868703750181E-2</v>
      </c>
      <c r="V155" s="271">
        <f t="shared" si="112"/>
        <v>0.13302657161326065</v>
      </c>
      <c r="W155" s="271">
        <f t="shared" si="113"/>
        <v>0.11165692412410744</v>
      </c>
      <c r="X155" s="271">
        <f t="shared" si="114"/>
        <v>2.2011956234583394E-2</v>
      </c>
      <c r="Y155" s="271">
        <f t="shared" si="114"/>
        <v>0.13302657161326065</v>
      </c>
      <c r="Z155" s="271">
        <f t="shared" si="114"/>
        <v>0.33497077237232231</v>
      </c>
      <c r="AA155" s="271">
        <f t="shared" si="115"/>
        <v>0</v>
      </c>
      <c r="AB155" s="271">
        <f t="shared" si="108"/>
        <v>0</v>
      </c>
      <c r="AC155" s="271">
        <f t="shared" si="109"/>
        <v>0</v>
      </c>
      <c r="AD155" s="7"/>
      <c r="AE155" s="7"/>
      <c r="AF155" s="7"/>
    </row>
    <row r="156" spans="4:32" ht="13.5" customHeight="1" x14ac:dyDescent="0.25">
      <c r="D156" s="101" t="str">
        <f t="shared" si="110"/>
        <v>Cow peas, dry</v>
      </c>
      <c r="E156" s="270">
        <f>ProjectedP205_Consumption!K19*OCPMarketShares!N41</f>
        <v>2.3973965287488713E-2</v>
      </c>
      <c r="F156" s="270">
        <f>ProjectedP205_Consumption!L19*OCPMarketShares!O41</f>
        <v>8.1421237615243391E-2</v>
      </c>
      <c r="G156" s="270">
        <f>ProjectedP205_Consumption!M19*OCPMarketShares!P41</f>
        <v>0.15362539820221882</v>
      </c>
      <c r="I156" s="157"/>
      <c r="J156" s="269">
        <f t="shared" si="99"/>
        <v>0.75</v>
      </c>
      <c r="K156" s="269">
        <f t="shared" si="100"/>
        <v>0.5</v>
      </c>
      <c r="L156" s="269">
        <f t="shared" si="101"/>
        <v>0.25</v>
      </c>
      <c r="M156" s="269">
        <f t="shared" si="102"/>
        <v>0.25</v>
      </c>
      <c r="N156" s="269">
        <f t="shared" si="103"/>
        <v>0.5</v>
      </c>
      <c r="O156" s="269">
        <f t="shared" si="104"/>
        <v>0.75</v>
      </c>
      <c r="P156" s="269">
        <f t="shared" si="105"/>
        <v>0</v>
      </c>
      <c r="Q156" s="269">
        <f t="shared" si="106"/>
        <v>0</v>
      </c>
      <c r="R156" s="269">
        <f t="shared" si="107"/>
        <v>0</v>
      </c>
      <c r="S156" s="249"/>
      <c r="T156" s="224"/>
      <c r="U156" s="271">
        <f t="shared" si="111"/>
        <v>3.9087986881775075E-2</v>
      </c>
      <c r="V156" s="271">
        <f t="shared" si="112"/>
        <v>8.8501345233960207E-2</v>
      </c>
      <c r="W156" s="271">
        <f t="shared" si="113"/>
        <v>8.3492064240336311E-2</v>
      </c>
      <c r="X156" s="271">
        <f t="shared" si="114"/>
        <v>1.3029328960591691E-2</v>
      </c>
      <c r="Y156" s="271">
        <f t="shared" si="114"/>
        <v>8.8501345233960207E-2</v>
      </c>
      <c r="Z156" s="271">
        <f t="shared" si="114"/>
        <v>0.25047619272100896</v>
      </c>
      <c r="AA156" s="271">
        <f t="shared" si="115"/>
        <v>0</v>
      </c>
      <c r="AB156" s="271">
        <f t="shared" si="108"/>
        <v>0</v>
      </c>
      <c r="AC156" s="271">
        <f t="shared" si="109"/>
        <v>0</v>
      </c>
      <c r="AD156" s="7"/>
      <c r="AE156" s="7"/>
      <c r="AF156" s="7"/>
    </row>
    <row r="157" spans="4:32" ht="13.5" customHeight="1" x14ac:dyDescent="0.25">
      <c r="D157" s="101" t="str">
        <f t="shared" si="110"/>
        <v>Wheat</v>
      </c>
      <c r="E157" s="270">
        <f>ProjectedP205_Consumption!K20*OCPMarketShares!N42</f>
        <v>0.15233554139543931</v>
      </c>
      <c r="F157" s="270">
        <f>ProjectedP205_Consumption!L20*OCPMarketShares!O42</f>
        <v>0.62671422063941185</v>
      </c>
      <c r="G157" s="270">
        <f>ProjectedP205_Consumption!M20*OCPMarketShares!P42</f>
        <v>1.4324034327036215</v>
      </c>
      <c r="I157" s="157"/>
      <c r="J157" s="269">
        <f t="shared" si="99"/>
        <v>0.75</v>
      </c>
      <c r="K157" s="269">
        <f t="shared" si="100"/>
        <v>0.5</v>
      </c>
      <c r="L157" s="269">
        <f t="shared" si="101"/>
        <v>0.25</v>
      </c>
      <c r="M157" s="269">
        <f t="shared" si="102"/>
        <v>0.25</v>
      </c>
      <c r="N157" s="269">
        <f t="shared" si="103"/>
        <v>0.5</v>
      </c>
      <c r="O157" s="269">
        <f t="shared" si="104"/>
        <v>0.75</v>
      </c>
      <c r="P157" s="269">
        <f t="shared" si="105"/>
        <v>0</v>
      </c>
      <c r="Q157" s="269">
        <f t="shared" si="106"/>
        <v>0</v>
      </c>
      <c r="R157" s="269">
        <f t="shared" si="107"/>
        <v>0</v>
      </c>
      <c r="S157" s="249"/>
      <c r="T157" s="224"/>
      <c r="U157" s="271">
        <f t="shared" si="111"/>
        <v>0.24837316531865103</v>
      </c>
      <c r="V157" s="271">
        <f t="shared" si="112"/>
        <v>0.68121110939066498</v>
      </c>
      <c r="W157" s="271">
        <f t="shared" si="113"/>
        <v>0.77848012646935949</v>
      </c>
      <c r="X157" s="271">
        <f t="shared" si="114"/>
        <v>8.279105510621701E-2</v>
      </c>
      <c r="Y157" s="271">
        <f t="shared" si="114"/>
        <v>0.68121110939066498</v>
      </c>
      <c r="Z157" s="271">
        <f t="shared" si="114"/>
        <v>2.3354403794080785</v>
      </c>
      <c r="AA157" s="271">
        <f t="shared" si="115"/>
        <v>0</v>
      </c>
      <c r="AB157" s="271">
        <f t="shared" si="108"/>
        <v>0</v>
      </c>
      <c r="AC157" s="271">
        <f t="shared" si="109"/>
        <v>0</v>
      </c>
      <c r="AD157" s="7"/>
      <c r="AE157" s="7"/>
      <c r="AF157" s="7"/>
    </row>
    <row r="158" spans="4:32" ht="13.5" customHeight="1" x14ac:dyDescent="0.25">
      <c r="D158" s="101" t="str">
        <f t="shared" si="110"/>
        <v>Onions and shallots, dry (excluding dehydrated)</v>
      </c>
      <c r="E158" s="270">
        <f>ProjectedP205_Consumption!K21*OCPMarketShares!N43</f>
        <v>2.3141714823071563E-2</v>
      </c>
      <c r="F158" s="270">
        <f>ProjectedP205_Consumption!L21*OCPMarketShares!O43</f>
        <v>7.4376435995380324E-2</v>
      </c>
      <c r="G158" s="270">
        <f>ProjectedP205_Consumption!M21*OCPMarketShares!P43</f>
        <v>0.13280140967340509</v>
      </c>
      <c r="I158" s="157"/>
      <c r="J158" s="269">
        <f t="shared" si="99"/>
        <v>0.75</v>
      </c>
      <c r="K158" s="269">
        <f t="shared" si="100"/>
        <v>0.5</v>
      </c>
      <c r="L158" s="269">
        <f t="shared" si="101"/>
        <v>0.25</v>
      </c>
      <c r="M158" s="269">
        <f t="shared" si="102"/>
        <v>0.25</v>
      </c>
      <c r="N158" s="269">
        <f t="shared" si="103"/>
        <v>0.5</v>
      </c>
      <c r="O158" s="269">
        <f t="shared" si="104"/>
        <v>0.75</v>
      </c>
      <c r="P158" s="269">
        <f t="shared" si="105"/>
        <v>0</v>
      </c>
      <c r="Q158" s="269">
        <f t="shared" si="106"/>
        <v>0</v>
      </c>
      <c r="R158" s="269">
        <f t="shared" si="107"/>
        <v>0</v>
      </c>
      <c r="S158" s="249"/>
      <c r="T158" s="224"/>
      <c r="U158" s="271">
        <f t="shared" si="111"/>
        <v>3.773105677674711E-2</v>
      </c>
      <c r="V158" s="271">
        <f t="shared" si="112"/>
        <v>8.0843952168891647E-2</v>
      </c>
      <c r="W158" s="271">
        <f t="shared" si="113"/>
        <v>7.2174679170328854E-2</v>
      </c>
      <c r="X158" s="271">
        <f t="shared" si="114"/>
        <v>1.257701892558237E-2</v>
      </c>
      <c r="Y158" s="271">
        <f t="shared" si="114"/>
        <v>8.0843952168891647E-2</v>
      </c>
      <c r="Z158" s="271">
        <f t="shared" si="114"/>
        <v>0.21652403751098656</v>
      </c>
      <c r="AA158" s="271">
        <f t="shared" si="115"/>
        <v>0</v>
      </c>
      <c r="AB158" s="271">
        <f t="shared" si="108"/>
        <v>0</v>
      </c>
      <c r="AC158" s="271">
        <f t="shared" si="109"/>
        <v>0</v>
      </c>
      <c r="AD158" s="7"/>
      <c r="AE158" s="7"/>
      <c r="AF158" s="7"/>
    </row>
    <row r="159" spans="4:32" ht="13.5" customHeight="1" x14ac:dyDescent="0.25">
      <c r="D159" s="101" t="str">
        <f t="shared" si="110"/>
        <v>Bananas</v>
      </c>
      <c r="E159" s="270">
        <f>ProjectedP205_Consumption!K22*OCPMarketShares!N44</f>
        <v>1.8148509883797976E-2</v>
      </c>
      <c r="F159" s="270">
        <f>ProjectedP205_Consumption!L22*OCPMarketShares!O44</f>
        <v>5.7054071925992947E-2</v>
      </c>
      <c r="G159" s="270">
        <f>ProjectedP205_Consumption!M22*OCPMarketShares!P44</f>
        <v>9.9645986982423718E-2</v>
      </c>
      <c r="I159" s="157"/>
      <c r="J159" s="269">
        <f t="shared" si="99"/>
        <v>0.75</v>
      </c>
      <c r="K159" s="269">
        <f t="shared" si="100"/>
        <v>0.5</v>
      </c>
      <c r="L159" s="269">
        <f t="shared" si="101"/>
        <v>0.25</v>
      </c>
      <c r="M159" s="269">
        <f t="shared" si="102"/>
        <v>0.25</v>
      </c>
      <c r="N159" s="269">
        <f t="shared" si="103"/>
        <v>0.5</v>
      </c>
      <c r="O159" s="269">
        <f t="shared" si="104"/>
        <v>0.75</v>
      </c>
      <c r="P159" s="269">
        <f t="shared" si="105"/>
        <v>0</v>
      </c>
      <c r="Q159" s="269">
        <f t="shared" si="106"/>
        <v>0</v>
      </c>
      <c r="R159" s="269">
        <f t="shared" si="107"/>
        <v>0</v>
      </c>
      <c r="S159" s="249"/>
      <c r="T159" s="224"/>
      <c r="U159" s="271">
        <f t="shared" si="111"/>
        <v>2.9589961767061919E-2</v>
      </c>
      <c r="V159" s="271">
        <f t="shared" si="112"/>
        <v>6.2015295571731459E-2</v>
      </c>
      <c r="W159" s="271">
        <f t="shared" si="113"/>
        <v>5.4155427707838974E-2</v>
      </c>
      <c r="X159" s="271">
        <f t="shared" si="114"/>
        <v>9.8633205890206379E-3</v>
      </c>
      <c r="Y159" s="271">
        <f t="shared" si="114"/>
        <v>6.2015295571731459E-2</v>
      </c>
      <c r="Z159" s="271">
        <f t="shared" si="114"/>
        <v>0.16246628312351694</v>
      </c>
      <c r="AA159" s="271">
        <f t="shared" si="115"/>
        <v>0</v>
      </c>
      <c r="AB159" s="271">
        <f t="shared" si="108"/>
        <v>0</v>
      </c>
      <c r="AC159" s="271">
        <f t="shared" si="109"/>
        <v>0</v>
      </c>
      <c r="AD159" s="7"/>
      <c r="AE159" s="7"/>
      <c r="AF159" s="7"/>
    </row>
    <row r="160" spans="4:32" ht="13.5" customHeight="1" x14ac:dyDescent="0.25">
      <c r="D160" s="101" t="str">
        <f t="shared" si="110"/>
        <v>Mangoes, guavas and mangosteens</v>
      </c>
      <c r="E160" s="270">
        <f>ProjectedP205_Consumption!K23*OCPMarketShares!N45</f>
        <v>1.8229438657970526E-2</v>
      </c>
      <c r="F160" s="270">
        <f>ProjectedP205_Consumption!L23*OCPMarketShares!O45</f>
        <v>5.7808621657632848E-2</v>
      </c>
      <c r="G160" s="270">
        <f>ProjectedP205_Consumption!M23*OCPMarketShares!P45</f>
        <v>0.10184493337204246</v>
      </c>
      <c r="I160" s="157"/>
      <c r="J160" s="269">
        <f t="shared" si="99"/>
        <v>0.75</v>
      </c>
      <c r="K160" s="269">
        <f t="shared" si="100"/>
        <v>0.5</v>
      </c>
      <c r="L160" s="269">
        <f t="shared" si="101"/>
        <v>0.25</v>
      </c>
      <c r="M160" s="269">
        <f t="shared" si="102"/>
        <v>0.25</v>
      </c>
      <c r="N160" s="269">
        <f t="shared" si="103"/>
        <v>0.5</v>
      </c>
      <c r="O160" s="269">
        <f t="shared" si="104"/>
        <v>0.75</v>
      </c>
      <c r="P160" s="269">
        <f t="shared" si="105"/>
        <v>0</v>
      </c>
      <c r="Q160" s="269">
        <f t="shared" si="106"/>
        <v>0</v>
      </c>
      <c r="R160" s="269">
        <f t="shared" si="107"/>
        <v>0</v>
      </c>
      <c r="S160" s="249"/>
      <c r="T160" s="224"/>
      <c r="U160" s="271">
        <f t="shared" si="111"/>
        <v>2.9721910855386724E-2</v>
      </c>
      <c r="V160" s="271">
        <f t="shared" si="112"/>
        <v>6.2835458323513962E-2</v>
      </c>
      <c r="W160" s="271">
        <f t="shared" si="113"/>
        <v>5.5350507267414382E-2</v>
      </c>
      <c r="X160" s="271">
        <f t="shared" si="114"/>
        <v>9.9073036184622425E-3</v>
      </c>
      <c r="Y160" s="271">
        <f t="shared" si="114"/>
        <v>6.2835458323513962E-2</v>
      </c>
      <c r="Z160" s="271">
        <f t="shared" si="114"/>
        <v>0.16605152180224314</v>
      </c>
      <c r="AA160" s="271">
        <f t="shared" si="115"/>
        <v>0</v>
      </c>
      <c r="AB160" s="271">
        <f t="shared" si="108"/>
        <v>0</v>
      </c>
      <c r="AC160" s="271">
        <f t="shared" si="109"/>
        <v>0</v>
      </c>
      <c r="AD160" s="7"/>
      <c r="AE160" s="7"/>
      <c r="AF160" s="7"/>
    </row>
    <row r="161" spans="4:32" ht="13.5" customHeight="1" x14ac:dyDescent="0.25">
      <c r="D161" s="101" t="str">
        <f t="shared" si="110"/>
        <v>Cantaloupes and other melons</v>
      </c>
      <c r="E161" s="270">
        <f>ProjectedP205_Consumption!K24*OCPMarketShares!N46</f>
        <v>1.7769412830942813E-2</v>
      </c>
      <c r="F161" s="270">
        <f>ProjectedP205_Consumption!L24*OCPMarketShares!O46</f>
        <v>5.6507537348312646E-2</v>
      </c>
      <c r="G161" s="270">
        <f>ProjectedP205_Consumption!M24*OCPMarketShares!P46</f>
        <v>9.9831404033372095E-2</v>
      </c>
      <c r="I161" s="157"/>
      <c r="J161" s="269">
        <f t="shared" si="99"/>
        <v>0.75</v>
      </c>
      <c r="K161" s="269">
        <f t="shared" si="100"/>
        <v>0.5</v>
      </c>
      <c r="L161" s="269">
        <f t="shared" si="101"/>
        <v>0.25</v>
      </c>
      <c r="M161" s="269">
        <f t="shared" si="102"/>
        <v>0.25</v>
      </c>
      <c r="N161" s="269">
        <f t="shared" si="103"/>
        <v>0.5</v>
      </c>
      <c r="O161" s="269">
        <f t="shared" si="104"/>
        <v>0.75</v>
      </c>
      <c r="P161" s="269">
        <f t="shared" si="105"/>
        <v>0</v>
      </c>
      <c r="Q161" s="269">
        <f t="shared" si="106"/>
        <v>0</v>
      </c>
      <c r="R161" s="269">
        <f t="shared" si="107"/>
        <v>0</v>
      </c>
      <c r="S161" s="249"/>
      <c r="T161" s="224"/>
      <c r="U161" s="271">
        <f t="shared" si="111"/>
        <v>2.897186874610241E-2</v>
      </c>
      <c r="V161" s="271">
        <f t="shared" si="112"/>
        <v>6.1421236248165915E-2</v>
      </c>
      <c r="W161" s="271">
        <f t="shared" si="113"/>
        <v>5.4256197844223961E-2</v>
      </c>
      <c r="X161" s="271">
        <f t="shared" si="114"/>
        <v>9.6572895820341374E-3</v>
      </c>
      <c r="Y161" s="271">
        <f t="shared" si="114"/>
        <v>6.1421236248165915E-2</v>
      </c>
      <c r="Z161" s="271">
        <f t="shared" si="114"/>
        <v>0.1627685935326719</v>
      </c>
      <c r="AA161" s="271">
        <f t="shared" si="115"/>
        <v>0</v>
      </c>
      <c r="AB161" s="271">
        <f t="shared" si="108"/>
        <v>0</v>
      </c>
      <c r="AC161" s="271">
        <f t="shared" si="109"/>
        <v>0</v>
      </c>
      <c r="AD161" s="7"/>
      <c r="AE161" s="7"/>
      <c r="AF161" s="7"/>
    </row>
    <row r="162" spans="4:32" ht="13.5" customHeight="1" x14ac:dyDescent="0.25">
      <c r="D162" s="101" t="str">
        <f t="shared" si="110"/>
        <v>Sunflower seed</v>
      </c>
      <c r="E162" s="270">
        <f>ProjectedP205_Consumption!K25*OCPMarketShares!N47</f>
        <v>2.2635495583152559E-2</v>
      </c>
      <c r="F162" s="270">
        <f>ProjectedP205_Consumption!L25*OCPMarketShares!O47</f>
        <v>7.3483609132584518E-2</v>
      </c>
      <c r="G162" s="270">
        <f>ProjectedP205_Consumption!M25*OCPMarketShares!P47</f>
        <v>0.13253129584593984</v>
      </c>
      <c r="I162" s="157"/>
      <c r="J162" s="269">
        <f t="shared" si="99"/>
        <v>0.75</v>
      </c>
      <c r="K162" s="269">
        <f t="shared" si="100"/>
        <v>0.5</v>
      </c>
      <c r="L162" s="269">
        <f t="shared" si="101"/>
        <v>0.25</v>
      </c>
      <c r="M162" s="269">
        <f t="shared" si="102"/>
        <v>0.25</v>
      </c>
      <c r="N162" s="269">
        <f t="shared" si="103"/>
        <v>0.5</v>
      </c>
      <c r="O162" s="269">
        <f t="shared" si="104"/>
        <v>0.75</v>
      </c>
      <c r="P162" s="269">
        <f t="shared" si="105"/>
        <v>0</v>
      </c>
      <c r="Q162" s="269">
        <f t="shared" si="106"/>
        <v>0</v>
      </c>
      <c r="R162" s="269">
        <f t="shared" si="107"/>
        <v>0</v>
      </c>
      <c r="S162" s="249"/>
      <c r="T162" s="224"/>
      <c r="U162" s="271">
        <f t="shared" si="111"/>
        <v>3.6905699320357435E-2</v>
      </c>
      <c r="V162" s="271">
        <f t="shared" si="112"/>
        <v>7.9873488187591865E-2</v>
      </c>
      <c r="W162" s="271">
        <f t="shared" si="113"/>
        <v>7.2027878177141208E-2</v>
      </c>
      <c r="X162" s="271">
        <f t="shared" si="114"/>
        <v>1.2301899773452477E-2</v>
      </c>
      <c r="Y162" s="271">
        <f t="shared" si="114"/>
        <v>7.9873488187591865E-2</v>
      </c>
      <c r="Z162" s="271">
        <f t="shared" si="114"/>
        <v>0.21608363453142365</v>
      </c>
      <c r="AA162" s="271">
        <f t="shared" si="115"/>
        <v>0</v>
      </c>
      <c r="AB162" s="271">
        <f t="shared" si="108"/>
        <v>0</v>
      </c>
      <c r="AC162" s="271">
        <f t="shared" si="109"/>
        <v>0</v>
      </c>
      <c r="AD162" s="7"/>
      <c r="AE162" s="7"/>
      <c r="AF162" s="7"/>
    </row>
    <row r="163" spans="4:32" ht="13.5" customHeight="1" x14ac:dyDescent="0.25">
      <c r="D163" s="101" t="str">
        <f t="shared" si="110"/>
        <v>Cauliflowers and broccoli</v>
      </c>
      <c r="E163" s="270">
        <f>ProjectedP205_Consumption!K26*OCPMarketShares!N48</f>
        <v>1.6071241672808052E-2</v>
      </c>
      <c r="F163" s="270">
        <f>ProjectedP205_Consumption!L26*OCPMarketShares!O48</f>
        <v>5.0828728756280445E-2</v>
      </c>
      <c r="G163" s="270">
        <f>ProjectedP205_Consumption!M26*OCPMarketShares!P48</f>
        <v>8.9309274001412878E-2</v>
      </c>
      <c r="I163" s="157"/>
      <c r="J163" s="269">
        <f t="shared" si="99"/>
        <v>0.75</v>
      </c>
      <c r="K163" s="269">
        <f t="shared" si="100"/>
        <v>0.5</v>
      </c>
      <c r="L163" s="269">
        <f t="shared" si="101"/>
        <v>0.25</v>
      </c>
      <c r="M163" s="269">
        <f t="shared" si="102"/>
        <v>0.25</v>
      </c>
      <c r="N163" s="269">
        <f t="shared" si="103"/>
        <v>0.5</v>
      </c>
      <c r="O163" s="269">
        <f t="shared" si="104"/>
        <v>0.75</v>
      </c>
      <c r="P163" s="269">
        <f t="shared" si="105"/>
        <v>0</v>
      </c>
      <c r="Q163" s="269">
        <f t="shared" si="106"/>
        <v>0</v>
      </c>
      <c r="R163" s="269">
        <f t="shared" si="107"/>
        <v>0</v>
      </c>
      <c r="S163" s="249"/>
      <c r="T163" s="224"/>
      <c r="U163" s="271">
        <f t="shared" si="111"/>
        <v>2.6203111423056605E-2</v>
      </c>
      <c r="V163" s="271">
        <f t="shared" si="112"/>
        <v>5.5248618213348304E-2</v>
      </c>
      <c r="W163" s="271">
        <f t="shared" si="113"/>
        <v>4.8537648913811342E-2</v>
      </c>
      <c r="X163" s="271">
        <f t="shared" si="114"/>
        <v>8.7343704743522016E-3</v>
      </c>
      <c r="Y163" s="271">
        <f t="shared" si="114"/>
        <v>5.5248618213348304E-2</v>
      </c>
      <c r="Z163" s="271">
        <f t="shared" si="114"/>
        <v>0.14561294674143405</v>
      </c>
      <c r="AA163" s="271">
        <f t="shared" si="115"/>
        <v>0</v>
      </c>
      <c r="AB163" s="271">
        <f t="shared" si="108"/>
        <v>0</v>
      </c>
      <c r="AC163" s="271">
        <f t="shared" si="109"/>
        <v>0</v>
      </c>
      <c r="AD163" s="7"/>
      <c r="AE163" s="7"/>
      <c r="AF163" s="7"/>
    </row>
    <row r="164" spans="4:32" ht="13.5" customHeight="1" x14ac:dyDescent="0.25">
      <c r="D164" s="101" t="str">
        <f t="shared" si="110"/>
        <v>Seed cotton, unginned</v>
      </c>
      <c r="E164" s="270">
        <f>ProjectedP205_Consumption!K27*OCPMarketShares!N49</f>
        <v>5.7136785671970607E-2</v>
      </c>
      <c r="F164" s="270">
        <f>ProjectedP205_Consumption!L27*OCPMarketShares!O49</f>
        <v>0.21012775053162297</v>
      </c>
      <c r="G164" s="270">
        <f>ProjectedP205_Consumption!M27*OCPMarketShares!P49</f>
        <v>0.42931742196672174</v>
      </c>
      <c r="I164" s="157"/>
      <c r="J164" s="269">
        <f t="shared" si="99"/>
        <v>0.75</v>
      </c>
      <c r="K164" s="269">
        <f t="shared" si="100"/>
        <v>0.5</v>
      </c>
      <c r="L164" s="269">
        <f t="shared" si="101"/>
        <v>0.25</v>
      </c>
      <c r="M164" s="269">
        <f t="shared" si="102"/>
        <v>0.25</v>
      </c>
      <c r="N164" s="269">
        <f t="shared" si="103"/>
        <v>0.5</v>
      </c>
      <c r="O164" s="269">
        <f t="shared" si="104"/>
        <v>0.75</v>
      </c>
      <c r="P164" s="269">
        <f t="shared" si="105"/>
        <v>0</v>
      </c>
      <c r="Q164" s="269">
        <f t="shared" si="106"/>
        <v>0</v>
      </c>
      <c r="R164" s="269">
        <f t="shared" si="107"/>
        <v>0</v>
      </c>
      <c r="S164" s="249"/>
      <c r="T164" s="224"/>
      <c r="U164" s="271">
        <f t="shared" si="111"/>
        <v>9.3157802726039018E-2</v>
      </c>
      <c r="V164" s="271">
        <f t="shared" si="112"/>
        <v>0.22839972883872062</v>
      </c>
      <c r="W164" s="271">
        <f t="shared" si="113"/>
        <v>0.2333246858514792</v>
      </c>
      <c r="X164" s="271">
        <f t="shared" si="114"/>
        <v>3.1052600908679676E-2</v>
      </c>
      <c r="Y164" s="271">
        <f t="shared" si="114"/>
        <v>0.22839972883872062</v>
      </c>
      <c r="Z164" s="271">
        <f t="shared" si="114"/>
        <v>0.69997405755443753</v>
      </c>
      <c r="AA164" s="271">
        <f t="shared" si="115"/>
        <v>0</v>
      </c>
      <c r="AB164" s="271">
        <f t="shared" si="108"/>
        <v>0</v>
      </c>
      <c r="AC164" s="271">
        <f t="shared" si="109"/>
        <v>0</v>
      </c>
      <c r="AD164" s="7"/>
      <c r="AE164" s="7"/>
      <c r="AF164" s="7"/>
    </row>
    <row r="165" spans="4:32" ht="13.5" customHeight="1" x14ac:dyDescent="0.25">
      <c r="D165" s="101" t="str">
        <f t="shared" si="110"/>
        <v>Cucumbers and gherkins</v>
      </c>
      <c r="E165" s="270">
        <f>ProjectedP205_Consumption!K28*OCPMarketShares!N50</f>
        <v>1.3974872119637322E-2</v>
      </c>
      <c r="F165" s="270">
        <f>ProjectedP205_Consumption!L28*OCPMarketShares!O50</f>
        <v>4.4953938552236228E-2</v>
      </c>
      <c r="G165" s="270">
        <f>ProjectedP205_Consumption!M28*OCPMarketShares!P50</f>
        <v>8.0336914477559071E-2</v>
      </c>
      <c r="I165" s="157"/>
      <c r="J165" s="269">
        <f t="shared" si="99"/>
        <v>0.75</v>
      </c>
      <c r="K165" s="269">
        <f t="shared" si="100"/>
        <v>0.5</v>
      </c>
      <c r="L165" s="269">
        <f t="shared" si="101"/>
        <v>0.25</v>
      </c>
      <c r="M165" s="269">
        <f t="shared" si="102"/>
        <v>0.25</v>
      </c>
      <c r="N165" s="269">
        <f t="shared" si="103"/>
        <v>0.5</v>
      </c>
      <c r="O165" s="269">
        <f t="shared" si="104"/>
        <v>0.75</v>
      </c>
      <c r="P165" s="269">
        <f t="shared" si="105"/>
        <v>0</v>
      </c>
      <c r="Q165" s="269">
        <f t="shared" si="106"/>
        <v>0</v>
      </c>
      <c r="R165" s="269">
        <f t="shared" si="107"/>
        <v>0</v>
      </c>
      <c r="S165" s="249"/>
      <c r="T165" s="224"/>
      <c r="U165" s="271">
        <f t="shared" si="111"/>
        <v>2.27851175863652E-2</v>
      </c>
      <c r="V165" s="271">
        <f t="shared" si="112"/>
        <v>4.8862976687213289E-2</v>
      </c>
      <c r="W165" s="271">
        <f t="shared" si="113"/>
        <v>4.3661366563890795E-2</v>
      </c>
      <c r="X165" s="271">
        <f t="shared" si="114"/>
        <v>7.5950391954550658E-3</v>
      </c>
      <c r="Y165" s="271">
        <f t="shared" si="114"/>
        <v>4.8862976687213289E-2</v>
      </c>
      <c r="Z165" s="271">
        <f t="shared" si="114"/>
        <v>0.13098409969167238</v>
      </c>
      <c r="AA165" s="271">
        <f t="shared" si="115"/>
        <v>0</v>
      </c>
      <c r="AB165" s="271">
        <f t="shared" si="108"/>
        <v>0</v>
      </c>
      <c r="AC165" s="271">
        <f t="shared" si="109"/>
        <v>0</v>
      </c>
      <c r="AD165" s="7"/>
      <c r="AE165" s="7"/>
      <c r="AF165" s="7"/>
    </row>
    <row r="166" spans="4:32" ht="13.5" customHeight="1" x14ac:dyDescent="0.25">
      <c r="D166" s="101" t="str">
        <f t="shared" si="110"/>
        <v>Tomatoes</v>
      </c>
      <c r="E166" s="270">
        <f>ProjectedP205_Consumption!K29*OCPMarketShares!N51</f>
        <v>1.3718830559132426E-2</v>
      </c>
      <c r="F166" s="270">
        <f>ProjectedP205_Consumption!L29*OCPMarketShares!O51</f>
        <v>4.3307192403190795E-2</v>
      </c>
      <c r="G166" s="270">
        <f>ProjectedP205_Consumption!M29*OCPMarketShares!P51</f>
        <v>7.5950469270157264E-2</v>
      </c>
      <c r="I166" s="157"/>
      <c r="J166" s="269">
        <f t="shared" si="99"/>
        <v>0.75</v>
      </c>
      <c r="K166" s="269">
        <f t="shared" si="100"/>
        <v>0.5</v>
      </c>
      <c r="L166" s="269">
        <f t="shared" si="101"/>
        <v>0.25</v>
      </c>
      <c r="M166" s="269">
        <f t="shared" si="102"/>
        <v>0.25</v>
      </c>
      <c r="N166" s="269">
        <f t="shared" si="103"/>
        <v>0.5</v>
      </c>
      <c r="O166" s="269">
        <f t="shared" si="104"/>
        <v>0.75</v>
      </c>
      <c r="P166" s="269">
        <f t="shared" si="105"/>
        <v>0</v>
      </c>
      <c r="Q166" s="269">
        <f t="shared" si="106"/>
        <v>0</v>
      </c>
      <c r="R166" s="269">
        <f t="shared" si="107"/>
        <v>0</v>
      </c>
      <c r="S166" s="249"/>
      <c r="T166" s="224"/>
      <c r="U166" s="271">
        <f t="shared" si="111"/>
        <v>2.2367658520324608E-2</v>
      </c>
      <c r="V166" s="271">
        <f t="shared" si="112"/>
        <v>4.7073035220859559E-2</v>
      </c>
      <c r="W166" s="271">
        <f t="shared" si="113"/>
        <v>4.1277428951172423E-2</v>
      </c>
      <c r="X166" s="271">
        <f t="shared" si="114"/>
        <v>7.4558861734415355E-3</v>
      </c>
      <c r="Y166" s="271">
        <f t="shared" si="114"/>
        <v>4.7073035220859559E-2</v>
      </c>
      <c r="Z166" s="271">
        <f t="shared" si="114"/>
        <v>0.12383228685351728</v>
      </c>
      <c r="AA166" s="271">
        <f t="shared" si="115"/>
        <v>0</v>
      </c>
      <c r="AB166" s="271">
        <f t="shared" si="108"/>
        <v>0</v>
      </c>
      <c r="AC166" s="271">
        <f t="shared" si="109"/>
        <v>0</v>
      </c>
      <c r="AD166" s="7"/>
      <c r="AE166" s="7"/>
      <c r="AF166" s="7"/>
    </row>
    <row r="167" spans="4:32" ht="13.5" customHeight="1" x14ac:dyDescent="0.25">
      <c r="D167" s="101" t="str">
        <f t="shared" si="110"/>
        <v>Potatoes</v>
      </c>
      <c r="E167" s="270">
        <f>ProjectedP205_Consumption!K30*OCPMarketShares!N52</f>
        <v>1.2745815563605762E-2</v>
      </c>
      <c r="F167" s="270">
        <f>ProjectedP205_Consumption!L30*OCPMarketShares!O52</f>
        <v>4.0149319025358149E-2</v>
      </c>
      <c r="G167" s="270">
        <f>ProjectedP205_Consumption!M30*OCPMarketShares!P52</f>
        <v>7.0261308294376754E-2</v>
      </c>
      <c r="I167" s="157"/>
      <c r="J167" s="269">
        <f t="shared" si="99"/>
        <v>0.75</v>
      </c>
      <c r="K167" s="269">
        <f t="shared" si="100"/>
        <v>0.5</v>
      </c>
      <c r="L167" s="269">
        <f t="shared" si="101"/>
        <v>0.25</v>
      </c>
      <c r="M167" s="269">
        <f t="shared" si="102"/>
        <v>0.25</v>
      </c>
      <c r="N167" s="269">
        <f t="shared" si="103"/>
        <v>0.5</v>
      </c>
      <c r="O167" s="269">
        <f t="shared" si="104"/>
        <v>0.75</v>
      </c>
      <c r="P167" s="269">
        <f t="shared" si="105"/>
        <v>0</v>
      </c>
      <c r="Q167" s="269">
        <f t="shared" si="106"/>
        <v>0</v>
      </c>
      <c r="R167" s="269">
        <f t="shared" si="107"/>
        <v>0</v>
      </c>
      <c r="S167" s="249"/>
      <c r="T167" s="224"/>
      <c r="U167" s="271">
        <f t="shared" si="111"/>
        <v>2.0781221027618091E-2</v>
      </c>
      <c r="V167" s="271">
        <f t="shared" si="112"/>
        <v>4.3640564157997989E-2</v>
      </c>
      <c r="W167" s="271">
        <f t="shared" si="113"/>
        <v>3.8185493638248233E-2</v>
      </c>
      <c r="X167" s="271">
        <f t="shared" si="114"/>
        <v>6.9270736758726961E-3</v>
      </c>
      <c r="Y167" s="271">
        <f t="shared" si="114"/>
        <v>4.3640564157997989E-2</v>
      </c>
      <c r="Z167" s="271">
        <f t="shared" si="114"/>
        <v>0.1145564809147447</v>
      </c>
      <c r="AA167" s="271">
        <f t="shared" si="115"/>
        <v>0</v>
      </c>
      <c r="AB167" s="271">
        <f t="shared" si="108"/>
        <v>0</v>
      </c>
      <c r="AC167" s="271">
        <f t="shared" si="109"/>
        <v>0</v>
      </c>
      <c r="AD167" s="7"/>
      <c r="AE167" s="7"/>
      <c r="AF167" s="7"/>
    </row>
    <row r="168" spans="4:32" ht="13.5" customHeight="1" x14ac:dyDescent="0.25">
      <c r="D168" s="101" t="str">
        <f t="shared" si="110"/>
        <v>Pumpkins, squash and gourds</v>
      </c>
      <c r="E168" s="270">
        <f>ProjectedP205_Consumption!K31*OCPMarketShares!N53</f>
        <v>1.2114204361753964E-2</v>
      </c>
      <c r="F168" s="270">
        <f>ProjectedP205_Consumption!L31*OCPMarketShares!O53</f>
        <v>3.8120586427888403E-2</v>
      </c>
      <c r="G168" s="270">
        <f>ProjectedP205_Consumption!M31*OCPMarketShares!P53</f>
        <v>6.664257127011694E-2</v>
      </c>
      <c r="I168" s="157"/>
      <c r="J168" s="269">
        <f t="shared" si="99"/>
        <v>0.75</v>
      </c>
      <c r="K168" s="269">
        <f t="shared" si="100"/>
        <v>0.5</v>
      </c>
      <c r="L168" s="269">
        <f t="shared" si="101"/>
        <v>0.25</v>
      </c>
      <c r="M168" s="269">
        <f t="shared" si="102"/>
        <v>0.25</v>
      </c>
      <c r="N168" s="269">
        <f t="shared" si="103"/>
        <v>0.5</v>
      </c>
      <c r="O168" s="269">
        <f t="shared" si="104"/>
        <v>0.75</v>
      </c>
      <c r="P168" s="269">
        <f t="shared" si="105"/>
        <v>0</v>
      </c>
      <c r="Q168" s="269">
        <f t="shared" si="106"/>
        <v>0</v>
      </c>
      <c r="R168" s="269">
        <f t="shared" si="107"/>
        <v>0</v>
      </c>
      <c r="S168" s="249"/>
      <c r="T168" s="221"/>
      <c r="U168" s="271">
        <f t="shared" si="111"/>
        <v>1.9751420155033634E-2</v>
      </c>
      <c r="V168" s="271">
        <f t="shared" si="112"/>
        <v>4.1435420030313481E-2</v>
      </c>
      <c r="W168" s="271">
        <f t="shared" si="113"/>
        <v>3.6218788733759208E-2</v>
      </c>
      <c r="X168" s="271">
        <f t="shared" si="114"/>
        <v>6.5838067183445455E-3</v>
      </c>
      <c r="Y168" s="271">
        <f t="shared" si="114"/>
        <v>4.1435420030313481E-2</v>
      </c>
      <c r="Z168" s="271">
        <f t="shared" si="114"/>
        <v>0.10865636620127761</v>
      </c>
      <c r="AA168" s="271">
        <f t="shared" si="115"/>
        <v>0</v>
      </c>
      <c r="AB168" s="271">
        <f t="shared" si="108"/>
        <v>0</v>
      </c>
      <c r="AC168" s="271">
        <f t="shared" si="109"/>
        <v>0</v>
      </c>
      <c r="AD168" s="7"/>
      <c r="AE168" s="7"/>
      <c r="AF168" s="7"/>
    </row>
    <row r="169" spans="4:32" ht="13.5" customHeight="1" x14ac:dyDescent="0.25">
      <c r="D169" s="101" t="str">
        <f t="shared" si="110"/>
        <v>Dates</v>
      </c>
      <c r="E169" s="270">
        <f>ProjectedP205_Consumption!K32*OCPMarketShares!N54</f>
        <v>1.2241397312707784E-2</v>
      </c>
      <c r="F169" s="270">
        <f>ProjectedP205_Consumption!L32*OCPMarketShares!O54</f>
        <v>3.8823198491561808E-2</v>
      </c>
      <c r="G169" s="270">
        <f>ProjectedP205_Consumption!M32*OCPMarketShares!P54</f>
        <v>6.8403626309634424E-2</v>
      </c>
      <c r="I169" s="157"/>
      <c r="J169" s="269">
        <f t="shared" si="99"/>
        <v>0.75</v>
      </c>
      <c r="K169" s="269">
        <f t="shared" si="100"/>
        <v>0.5</v>
      </c>
      <c r="L169" s="269">
        <f t="shared" si="101"/>
        <v>0.25</v>
      </c>
      <c r="M169" s="269">
        <f t="shared" si="102"/>
        <v>0.25</v>
      </c>
      <c r="N169" s="269">
        <f t="shared" si="103"/>
        <v>0.5</v>
      </c>
      <c r="O169" s="269">
        <f t="shared" si="104"/>
        <v>0.75</v>
      </c>
      <c r="P169" s="269">
        <f t="shared" si="105"/>
        <v>0</v>
      </c>
      <c r="Q169" s="269">
        <f t="shared" si="106"/>
        <v>0</v>
      </c>
      <c r="R169" s="269">
        <f t="shared" si="107"/>
        <v>0</v>
      </c>
      <c r="S169" s="249"/>
      <c r="T169" s="221"/>
      <c r="U169" s="271">
        <f t="shared" si="111"/>
        <v>1.9958799966371385E-2</v>
      </c>
      <c r="V169" s="271">
        <f t="shared" si="112"/>
        <v>4.2199128795175879E-2</v>
      </c>
      <c r="W169" s="271">
        <f t="shared" si="113"/>
        <v>3.7175883863931752E-2</v>
      </c>
      <c r="X169" s="271">
        <f t="shared" si="114"/>
        <v>6.6529333221237953E-3</v>
      </c>
      <c r="Y169" s="271">
        <f t="shared" si="114"/>
        <v>4.2199128795175879E-2</v>
      </c>
      <c r="Z169" s="271">
        <f t="shared" si="114"/>
        <v>0.11152765159179526</v>
      </c>
      <c r="AA169" s="271">
        <f t="shared" si="115"/>
        <v>0</v>
      </c>
      <c r="AB169" s="271">
        <f t="shared" si="108"/>
        <v>0</v>
      </c>
      <c r="AC169" s="271">
        <f t="shared" si="109"/>
        <v>0</v>
      </c>
      <c r="AD169" s="7"/>
      <c r="AE169" s="7"/>
      <c r="AF169" s="7"/>
    </row>
    <row r="170" spans="4:32" ht="13.5" customHeight="1" x14ac:dyDescent="0.25">
      <c r="D170" s="101" t="str">
        <f t="shared" si="110"/>
        <v>Pomelos and grapefruits</v>
      </c>
      <c r="E170" s="270">
        <f>ProjectedP205_Consumption!K33*OCPMarketShares!N55</f>
        <v>1.1583623138969251E-2</v>
      </c>
      <c r="F170" s="270">
        <f>ProjectedP205_Consumption!L33*OCPMarketShares!O55</f>
        <v>3.7834124348733796E-2</v>
      </c>
      <c r="G170" s="270">
        <f>ProjectedP205_Consumption!M33*OCPMarketShares!P55</f>
        <v>6.8651566097653077E-2</v>
      </c>
      <c r="I170" s="157"/>
      <c r="J170" s="269">
        <f t="shared" si="99"/>
        <v>0.75</v>
      </c>
      <c r="K170" s="269">
        <f t="shared" si="100"/>
        <v>0.5</v>
      </c>
      <c r="L170" s="269">
        <f t="shared" si="101"/>
        <v>0.25</v>
      </c>
      <c r="M170" s="269">
        <f t="shared" si="102"/>
        <v>0.25</v>
      </c>
      <c r="N170" s="269">
        <f t="shared" si="103"/>
        <v>0.5</v>
      </c>
      <c r="O170" s="269">
        <f t="shared" si="104"/>
        <v>0.75</v>
      </c>
      <c r="P170" s="269">
        <f t="shared" si="105"/>
        <v>0</v>
      </c>
      <c r="Q170" s="269">
        <f t="shared" si="106"/>
        <v>0</v>
      </c>
      <c r="R170" s="269">
        <f t="shared" si="107"/>
        <v>0</v>
      </c>
      <c r="S170" s="249"/>
      <c r="T170" s="221"/>
      <c r="U170" s="271">
        <f t="shared" si="111"/>
        <v>1.8886342074406384E-2</v>
      </c>
      <c r="V170" s="271">
        <f t="shared" si="112"/>
        <v>4.1124048205145425E-2</v>
      </c>
      <c r="W170" s="271">
        <f t="shared" si="113"/>
        <v>3.7310633748724495E-2</v>
      </c>
      <c r="X170" s="271">
        <f t="shared" si="114"/>
        <v>6.2954473581354623E-3</v>
      </c>
      <c r="Y170" s="271">
        <f t="shared" si="114"/>
        <v>4.1124048205145425E-2</v>
      </c>
      <c r="Z170" s="271">
        <f t="shared" si="114"/>
        <v>0.11193190124617348</v>
      </c>
      <c r="AA170" s="271">
        <f t="shared" si="115"/>
        <v>0</v>
      </c>
      <c r="AB170" s="271">
        <f t="shared" si="108"/>
        <v>0</v>
      </c>
      <c r="AC170" s="271">
        <f t="shared" si="109"/>
        <v>0</v>
      </c>
      <c r="AD170" s="7"/>
      <c r="AE170" s="7"/>
      <c r="AF170" s="7"/>
    </row>
    <row r="171" spans="4:32" ht="13.5" customHeight="1" x14ac:dyDescent="0.25">
      <c r="D171" s="101" t="str">
        <f t="shared" si="110"/>
        <v>Okra</v>
      </c>
      <c r="E171" s="270">
        <f>ProjectedP205_Consumption!K34*OCPMarketShares!N56</f>
        <v>1.0199912681546712E-2</v>
      </c>
      <c r="F171" s="270">
        <f>ProjectedP205_Consumption!L34*OCPMarketShares!O56</f>
        <v>3.2127122813385547E-2</v>
      </c>
      <c r="G171" s="270">
        <f>ProjectedP205_Consumption!M34*OCPMarketShares!P56</f>
        <v>5.6217911558622553E-2</v>
      </c>
      <c r="I171" s="157"/>
      <c r="J171" s="269">
        <f t="shared" si="99"/>
        <v>0.75</v>
      </c>
      <c r="K171" s="269">
        <f t="shared" si="100"/>
        <v>0.5</v>
      </c>
      <c r="L171" s="269">
        <f t="shared" si="101"/>
        <v>0.25</v>
      </c>
      <c r="M171" s="269">
        <f t="shared" si="102"/>
        <v>0.25</v>
      </c>
      <c r="N171" s="269">
        <f t="shared" si="103"/>
        <v>0.5</v>
      </c>
      <c r="O171" s="269">
        <f t="shared" si="104"/>
        <v>0.75</v>
      </c>
      <c r="P171" s="269">
        <f t="shared" si="105"/>
        <v>0</v>
      </c>
      <c r="Q171" s="269">
        <f t="shared" si="106"/>
        <v>0</v>
      </c>
      <c r="R171" s="269">
        <f t="shared" si="107"/>
        <v>0</v>
      </c>
      <c r="S171" s="249"/>
      <c r="T171" s="221"/>
      <c r="U171" s="271">
        <f t="shared" si="111"/>
        <v>1.6630292415565288E-2</v>
      </c>
      <c r="V171" s="271">
        <f t="shared" si="112"/>
        <v>3.4920785666723422E-2</v>
      </c>
      <c r="W171" s="271">
        <f t="shared" si="113"/>
        <v>3.0553212803599211E-2</v>
      </c>
      <c r="X171" s="271">
        <f t="shared" si="114"/>
        <v>5.5434308051884301E-3</v>
      </c>
      <c r="Y171" s="271">
        <f t="shared" si="114"/>
        <v>3.4920785666723422E-2</v>
      </c>
      <c r="Z171" s="271">
        <f t="shared" si="114"/>
        <v>9.1659638410797648E-2</v>
      </c>
      <c r="AA171" s="271">
        <f t="shared" si="115"/>
        <v>0</v>
      </c>
      <c r="AB171" s="271">
        <f t="shared" si="108"/>
        <v>0</v>
      </c>
      <c r="AC171" s="271">
        <f t="shared" si="109"/>
        <v>0</v>
      </c>
      <c r="AD171" s="7"/>
      <c r="AE171" s="7"/>
      <c r="AF171" s="7"/>
    </row>
    <row r="172" spans="4:32" ht="13.5" customHeight="1" x14ac:dyDescent="0.25">
      <c r="D172" s="101" t="str">
        <f t="shared" si="110"/>
        <v>Lemons and limes</v>
      </c>
      <c r="E172" s="270">
        <f>ProjectedP205_Consumption!K35*OCPMarketShares!N57</f>
        <v>1.1328719940522283E-2</v>
      </c>
      <c r="F172" s="270">
        <f>ProjectedP205_Consumption!L35*OCPMarketShares!O57</f>
        <v>3.6717188329874501E-2</v>
      </c>
      <c r="G172" s="270">
        <f>ProjectedP205_Consumption!M35*OCPMarketShares!P57</f>
        <v>6.6112790516762346E-2</v>
      </c>
      <c r="I172" s="157"/>
      <c r="J172" s="269">
        <f t="shared" si="99"/>
        <v>0.75</v>
      </c>
      <c r="K172" s="269">
        <f t="shared" si="100"/>
        <v>0.5</v>
      </c>
      <c r="L172" s="269">
        <f t="shared" si="101"/>
        <v>0.25</v>
      </c>
      <c r="M172" s="269">
        <f t="shared" si="102"/>
        <v>0.25</v>
      </c>
      <c r="N172" s="269">
        <f t="shared" si="103"/>
        <v>0.5</v>
      </c>
      <c r="O172" s="269">
        <f t="shared" si="104"/>
        <v>0.75</v>
      </c>
      <c r="P172" s="269">
        <f t="shared" si="105"/>
        <v>0</v>
      </c>
      <c r="Q172" s="269">
        <f t="shared" si="106"/>
        <v>0</v>
      </c>
      <c r="R172" s="269">
        <f t="shared" si="107"/>
        <v>0</v>
      </c>
      <c r="S172" s="249"/>
      <c r="T172" s="221"/>
      <c r="U172" s="271">
        <f t="shared" si="111"/>
        <v>1.8470739033460241E-2</v>
      </c>
      <c r="V172" s="271">
        <f t="shared" si="112"/>
        <v>3.9909987315080976E-2</v>
      </c>
      <c r="W172" s="271">
        <f t="shared" si="113"/>
        <v>3.5930864411283882E-2</v>
      </c>
      <c r="X172" s="271">
        <f t="shared" si="114"/>
        <v>6.1569130111534141E-3</v>
      </c>
      <c r="Y172" s="271">
        <f t="shared" si="114"/>
        <v>3.9909987315080976E-2</v>
      </c>
      <c r="Z172" s="271">
        <f t="shared" si="114"/>
        <v>0.10779259323385165</v>
      </c>
      <c r="AA172" s="271">
        <f t="shared" si="115"/>
        <v>0</v>
      </c>
      <c r="AB172" s="271">
        <f t="shared" si="108"/>
        <v>0</v>
      </c>
      <c r="AC172" s="271">
        <f t="shared" si="109"/>
        <v>0</v>
      </c>
      <c r="AD172" s="7"/>
      <c r="AE172" s="7"/>
      <c r="AF172" s="7"/>
    </row>
    <row r="173" spans="4:32" ht="13.5" customHeight="1" x14ac:dyDescent="0.25">
      <c r="D173" s="101" t="str">
        <f t="shared" si="110"/>
        <v>Green garlic</v>
      </c>
      <c r="E173" s="270">
        <f>ProjectedP205_Consumption!K36*OCPMarketShares!N58</f>
        <v>1.2488357160844048E-2</v>
      </c>
      <c r="F173" s="270">
        <f>ProjectedP205_Consumption!L36*OCPMarketShares!O58</f>
        <v>4.2312596355234683E-2</v>
      </c>
      <c r="G173" s="270">
        <f>ProjectedP205_Consumption!M36*OCPMarketShares!P58</f>
        <v>7.9645553376997261E-2</v>
      </c>
      <c r="I173" s="157"/>
      <c r="J173" s="269">
        <f t="shared" si="99"/>
        <v>0.75</v>
      </c>
      <c r="K173" s="269">
        <f t="shared" si="100"/>
        <v>0.5</v>
      </c>
      <c r="L173" s="269">
        <f t="shared" si="101"/>
        <v>0.25</v>
      </c>
      <c r="M173" s="269">
        <f t="shared" si="102"/>
        <v>0.25</v>
      </c>
      <c r="N173" s="269">
        <f t="shared" si="103"/>
        <v>0.5</v>
      </c>
      <c r="O173" s="269">
        <f t="shared" si="104"/>
        <v>0.75</v>
      </c>
      <c r="P173" s="269">
        <f t="shared" si="105"/>
        <v>0</v>
      </c>
      <c r="Q173" s="269">
        <f t="shared" si="106"/>
        <v>0</v>
      </c>
      <c r="R173" s="269">
        <f t="shared" si="107"/>
        <v>0</v>
      </c>
      <c r="S173" s="249"/>
      <c r="T173" s="221"/>
      <c r="U173" s="271">
        <f t="shared" si="111"/>
        <v>2.0361451892680512E-2</v>
      </c>
      <c r="V173" s="271">
        <f t="shared" si="112"/>
        <v>4.5991952560037699E-2</v>
      </c>
      <c r="W173" s="271">
        <f t="shared" si="113"/>
        <v>4.3285626835324595E-2</v>
      </c>
      <c r="X173" s="271">
        <f t="shared" si="114"/>
        <v>6.7871506308935046E-3</v>
      </c>
      <c r="Y173" s="271">
        <f t="shared" si="114"/>
        <v>4.5991952560037699E-2</v>
      </c>
      <c r="Z173" s="271">
        <f t="shared" si="114"/>
        <v>0.1298568805059738</v>
      </c>
      <c r="AA173" s="271">
        <f t="shared" si="115"/>
        <v>0</v>
      </c>
      <c r="AB173" s="271">
        <f t="shared" si="108"/>
        <v>0</v>
      </c>
      <c r="AC173" s="271">
        <f t="shared" si="109"/>
        <v>0</v>
      </c>
      <c r="AD173" s="7"/>
      <c r="AE173" s="7"/>
      <c r="AF173" s="7"/>
    </row>
    <row r="174" spans="4:32" ht="13.5" customHeight="1" x14ac:dyDescent="0.25">
      <c r="D174" s="101" t="str">
        <f t="shared" si="110"/>
        <v>Sweet potatoes</v>
      </c>
      <c r="E174" s="270">
        <f>ProjectedP205_Consumption!K37*OCPMarketShares!N59</f>
        <v>9.6092721465429812E-3</v>
      </c>
      <c r="F174" s="270">
        <f>ProjectedP205_Consumption!L37*OCPMarketShares!O59</f>
        <v>3.0337576987526527E-2</v>
      </c>
      <c r="G174" s="270">
        <f>ProjectedP205_Consumption!M37*OCPMarketShares!P59</f>
        <v>5.321067699788791E-2</v>
      </c>
      <c r="I174" s="157"/>
      <c r="J174" s="269">
        <f t="shared" si="99"/>
        <v>0.75</v>
      </c>
      <c r="K174" s="269">
        <f t="shared" si="100"/>
        <v>0.5</v>
      </c>
      <c r="L174" s="269">
        <f t="shared" si="101"/>
        <v>0.25</v>
      </c>
      <c r="M174" s="269">
        <f t="shared" si="102"/>
        <v>0.25</v>
      </c>
      <c r="N174" s="269">
        <f t="shared" si="103"/>
        <v>0.5</v>
      </c>
      <c r="O174" s="269">
        <f t="shared" si="104"/>
        <v>0.75</v>
      </c>
      <c r="P174" s="269">
        <f t="shared" si="105"/>
        <v>0</v>
      </c>
      <c r="Q174" s="269">
        <f t="shared" si="106"/>
        <v>0</v>
      </c>
      <c r="R174" s="269">
        <f t="shared" si="107"/>
        <v>0</v>
      </c>
      <c r="S174" s="249"/>
      <c r="T174" s="221"/>
      <c r="U174" s="271">
        <f t="shared" si="111"/>
        <v>1.5667291543276601E-2</v>
      </c>
      <c r="V174" s="271">
        <f t="shared" si="112"/>
        <v>3.2975627160354917E-2</v>
      </c>
      <c r="W174" s="271">
        <f t="shared" si="113"/>
        <v>2.8918846194504296E-2</v>
      </c>
      <c r="X174" s="271">
        <f t="shared" si="114"/>
        <v>5.2224305144255327E-3</v>
      </c>
      <c r="Y174" s="271">
        <f t="shared" si="114"/>
        <v>3.2975627160354917E-2</v>
      </c>
      <c r="Z174" s="271">
        <f t="shared" si="114"/>
        <v>8.6756538583512899E-2</v>
      </c>
      <c r="AA174" s="271">
        <f t="shared" si="115"/>
        <v>0</v>
      </c>
      <c r="AB174" s="271">
        <f t="shared" si="108"/>
        <v>0</v>
      </c>
      <c r="AC174" s="271">
        <f t="shared" si="109"/>
        <v>0</v>
      </c>
      <c r="AD174" s="7"/>
      <c r="AE174" s="7"/>
      <c r="AF174" s="7"/>
    </row>
    <row r="175" spans="4:32" ht="13.5" customHeight="1" x14ac:dyDescent="0.25">
      <c r="D175" s="101" t="str">
        <f t="shared" si="110"/>
        <v>Other pulses n.e.c.</v>
      </c>
      <c r="E175" s="270">
        <f>ProjectedP205_Consumption!K38*OCPMarketShares!N60</f>
        <v>7.9254630833437603E-2</v>
      </c>
      <c r="F175" s="270">
        <f>ProjectedP205_Consumption!L38*OCPMarketShares!O60</f>
        <v>0.29980053379974453</v>
      </c>
      <c r="G175" s="270">
        <f>ProjectedP205_Consumption!M38*OCPMarketShares!P60</f>
        <v>0.63003931562410231</v>
      </c>
      <c r="I175" s="157"/>
      <c r="J175" s="269">
        <f t="shared" si="99"/>
        <v>0.75</v>
      </c>
      <c r="K175" s="269">
        <f t="shared" si="100"/>
        <v>0.5</v>
      </c>
      <c r="L175" s="269">
        <f t="shared" si="101"/>
        <v>0.25</v>
      </c>
      <c r="M175" s="269">
        <f t="shared" si="102"/>
        <v>0.25</v>
      </c>
      <c r="N175" s="269">
        <f t="shared" si="103"/>
        <v>0.5</v>
      </c>
      <c r="O175" s="269">
        <f t="shared" si="104"/>
        <v>0.75</v>
      </c>
      <c r="P175" s="269">
        <f t="shared" si="105"/>
        <v>0</v>
      </c>
      <c r="Q175" s="269">
        <f t="shared" si="106"/>
        <v>0</v>
      </c>
      <c r="R175" s="269">
        <f t="shared" si="107"/>
        <v>0</v>
      </c>
      <c r="S175" s="249"/>
      <c r="T175" s="221"/>
      <c r="U175" s="271">
        <f t="shared" si="111"/>
        <v>0.12921950679364827</v>
      </c>
      <c r="V175" s="271">
        <f t="shared" si="112"/>
        <v>0.32587014543450493</v>
      </c>
      <c r="W175" s="271">
        <f t="shared" si="113"/>
        <v>0.34241267153483818</v>
      </c>
      <c r="X175" s="271">
        <f t="shared" si="114"/>
        <v>4.3073168931216085E-2</v>
      </c>
      <c r="Y175" s="271">
        <f t="shared" si="114"/>
        <v>0.32587014543450493</v>
      </c>
      <c r="Z175" s="271">
        <f t="shared" si="114"/>
        <v>1.0272380146045146</v>
      </c>
      <c r="AA175" s="271">
        <f t="shared" si="115"/>
        <v>0</v>
      </c>
      <c r="AB175" s="271">
        <f t="shared" si="108"/>
        <v>0</v>
      </c>
      <c r="AC175" s="271">
        <f t="shared" si="109"/>
        <v>0</v>
      </c>
      <c r="AD175" s="7"/>
      <c r="AE175" s="7"/>
      <c r="AF175" s="7"/>
    </row>
    <row r="176" spans="4:32" ht="13.5" customHeight="1" x14ac:dyDescent="0.25">
      <c r="D176" s="101" t="str">
        <f t="shared" si="110"/>
        <v>Other vegetables, fresh n.e.c.</v>
      </c>
      <c r="E176" s="270">
        <f>ProjectedP205_Consumption!K39*OCPMarketShares!N61</f>
        <v>8.3942794673418607E-3</v>
      </c>
      <c r="F176" s="270">
        <f>ProjectedP205_Consumption!L39*OCPMarketShares!O61</f>
        <v>2.6432998109171598E-2</v>
      </c>
      <c r="G176" s="270">
        <f>ProjectedP205_Consumption!M39*OCPMarketShares!P61</f>
        <v>4.6242033158003668E-2</v>
      </c>
      <c r="I176" s="157"/>
      <c r="J176" s="269">
        <f t="shared" si="99"/>
        <v>0.75</v>
      </c>
      <c r="K176" s="269">
        <f t="shared" si="100"/>
        <v>0.5</v>
      </c>
      <c r="L176" s="269">
        <f t="shared" si="101"/>
        <v>0.25</v>
      </c>
      <c r="M176" s="269">
        <f t="shared" si="102"/>
        <v>0.25</v>
      </c>
      <c r="N176" s="269">
        <f t="shared" si="103"/>
        <v>0.5</v>
      </c>
      <c r="O176" s="269">
        <f t="shared" si="104"/>
        <v>0.75</v>
      </c>
      <c r="P176" s="269">
        <f t="shared" si="105"/>
        <v>0</v>
      </c>
      <c r="Q176" s="269">
        <f t="shared" si="106"/>
        <v>0</v>
      </c>
      <c r="R176" s="269">
        <f t="shared" si="107"/>
        <v>0</v>
      </c>
      <c r="S176" s="249"/>
      <c r="T176" s="221"/>
      <c r="U176" s="271">
        <f t="shared" si="111"/>
        <v>1.3686325218492163E-2</v>
      </c>
      <c r="V176" s="271">
        <f t="shared" si="112"/>
        <v>2.873151968388217E-2</v>
      </c>
      <c r="W176" s="271">
        <f t="shared" si="113"/>
        <v>2.5131539759784601E-2</v>
      </c>
      <c r="X176" s="271">
        <f t="shared" si="114"/>
        <v>4.5621084061640543E-3</v>
      </c>
      <c r="Y176" s="271">
        <f t="shared" si="114"/>
        <v>2.873151968388217E-2</v>
      </c>
      <c r="Z176" s="271">
        <f t="shared" si="114"/>
        <v>7.53946192793538E-2</v>
      </c>
      <c r="AA176" s="271">
        <f t="shared" si="115"/>
        <v>0</v>
      </c>
      <c r="AB176" s="271">
        <f t="shared" si="108"/>
        <v>0</v>
      </c>
      <c r="AC176" s="271">
        <f t="shared" si="109"/>
        <v>0</v>
      </c>
      <c r="AD176" s="7"/>
      <c r="AE176" s="7"/>
      <c r="AF176" s="7"/>
    </row>
    <row r="177" spans="4:32" ht="13.5" customHeight="1" x14ac:dyDescent="0.25">
      <c r="D177" s="101" t="str">
        <f t="shared" si="110"/>
        <v>Other fruits, n.e.c.</v>
      </c>
      <c r="E177" s="270">
        <f>ProjectedP205_Consumption!K40*OCPMarketShares!N62</f>
        <v>8.3645433808291151E-3</v>
      </c>
      <c r="F177" s="270">
        <f>ProjectedP205_Consumption!L40*OCPMarketShares!O62</f>
        <v>2.6321988597580902E-2</v>
      </c>
      <c r="G177" s="270">
        <f>ProjectedP205_Consumption!M40*OCPMarketShares!P62</f>
        <v>4.6017460725891739E-2</v>
      </c>
      <c r="I177" s="157"/>
      <c r="J177" s="269">
        <f t="shared" si="99"/>
        <v>0.75</v>
      </c>
      <c r="K177" s="269">
        <f t="shared" si="100"/>
        <v>0.5</v>
      </c>
      <c r="L177" s="269">
        <f t="shared" si="101"/>
        <v>0.25</v>
      </c>
      <c r="M177" s="269">
        <f t="shared" si="102"/>
        <v>0.25</v>
      </c>
      <c r="N177" s="269">
        <f t="shared" si="103"/>
        <v>0.5</v>
      </c>
      <c r="O177" s="269">
        <f t="shared" si="104"/>
        <v>0.75</v>
      </c>
      <c r="P177" s="269">
        <f t="shared" si="105"/>
        <v>0</v>
      </c>
      <c r="Q177" s="269">
        <f t="shared" si="106"/>
        <v>0</v>
      </c>
      <c r="R177" s="269">
        <f t="shared" si="107"/>
        <v>0</v>
      </c>
      <c r="S177" s="249"/>
      <c r="T177" s="221"/>
      <c r="U177" s="271">
        <f t="shared" si="111"/>
        <v>1.3637842468743123E-2</v>
      </c>
      <c r="V177" s="271">
        <f t="shared" si="112"/>
        <v>2.8610857171283588E-2</v>
      </c>
      <c r="W177" s="271">
        <f t="shared" si="113"/>
        <v>2.5009489524941163E-2</v>
      </c>
      <c r="X177" s="271">
        <f t="shared" si="114"/>
        <v>4.5459474895810405E-3</v>
      </c>
      <c r="Y177" s="271">
        <f t="shared" si="114"/>
        <v>2.8610857171283588E-2</v>
      </c>
      <c r="Z177" s="271">
        <f t="shared" si="114"/>
        <v>7.5028468574823481E-2</v>
      </c>
      <c r="AA177" s="271">
        <f t="shared" si="115"/>
        <v>0</v>
      </c>
      <c r="AB177" s="271">
        <f t="shared" si="108"/>
        <v>0</v>
      </c>
      <c r="AC177" s="271">
        <f t="shared" si="109"/>
        <v>0</v>
      </c>
      <c r="AD177" s="7"/>
      <c r="AE177" s="7"/>
      <c r="AF177" s="7"/>
    </row>
    <row r="178" spans="4:32" ht="13.5" customHeight="1" x14ac:dyDescent="0.25">
      <c r="D178" s="101" t="str">
        <f t="shared" si="110"/>
        <v>Broad beans and horse beans, dry</v>
      </c>
      <c r="E178" s="270">
        <f>ProjectedP205_Consumption!K41*OCPMarketShares!N63</f>
        <v>6.7153550999894335E-3</v>
      </c>
      <c r="F178" s="270">
        <f>ProjectedP205_Consumption!L41*OCPMarketShares!O63</f>
        <v>2.1581008822688215E-2</v>
      </c>
      <c r="G178" s="270">
        <f>ProjectedP205_Consumption!M41*OCPMarketShares!P63</f>
        <v>3.8530265080735114E-2</v>
      </c>
      <c r="I178" s="157"/>
      <c r="J178" s="269">
        <f t="shared" si="99"/>
        <v>0.75</v>
      </c>
      <c r="K178" s="269">
        <f t="shared" si="100"/>
        <v>0.5</v>
      </c>
      <c r="L178" s="269">
        <f t="shared" si="101"/>
        <v>0.25</v>
      </c>
      <c r="M178" s="269">
        <f t="shared" si="102"/>
        <v>0.25</v>
      </c>
      <c r="N178" s="269">
        <f t="shared" si="103"/>
        <v>0.5</v>
      </c>
      <c r="O178" s="269">
        <f t="shared" si="104"/>
        <v>0.75</v>
      </c>
      <c r="P178" s="269">
        <f t="shared" si="105"/>
        <v>0</v>
      </c>
      <c r="Q178" s="269">
        <f t="shared" si="106"/>
        <v>0</v>
      </c>
      <c r="R178" s="269">
        <f t="shared" si="107"/>
        <v>0</v>
      </c>
      <c r="S178" s="249"/>
      <c r="T178" s="221"/>
      <c r="U178" s="271">
        <f t="shared" si="111"/>
        <v>1.0948948532591467E-2</v>
      </c>
      <c r="V178" s="271">
        <f t="shared" si="112"/>
        <v>2.3457618285530668E-2</v>
      </c>
      <c r="W178" s="271">
        <f t="shared" si="113"/>
        <v>2.0940361456921255E-2</v>
      </c>
      <c r="X178" s="271">
        <f t="shared" si="114"/>
        <v>3.6496495108638222E-3</v>
      </c>
      <c r="Y178" s="271">
        <f t="shared" si="114"/>
        <v>2.3457618285530668E-2</v>
      </c>
      <c r="Z178" s="271">
        <f t="shared" si="114"/>
        <v>6.2821084370763766E-2</v>
      </c>
      <c r="AA178" s="271">
        <f t="shared" si="115"/>
        <v>0</v>
      </c>
      <c r="AB178" s="271">
        <f t="shared" si="108"/>
        <v>0</v>
      </c>
      <c r="AC178" s="271">
        <f t="shared" si="109"/>
        <v>0</v>
      </c>
      <c r="AD178" s="7"/>
      <c r="AE178" s="7"/>
      <c r="AF178" s="7"/>
    </row>
    <row r="179" spans="4:32" ht="13.5" customHeight="1" x14ac:dyDescent="0.25">
      <c r="D179" s="101" t="str">
        <f t="shared" si="110"/>
        <v>Chick peas, dry</v>
      </c>
      <c r="E179" s="270">
        <f>ProjectedP205_Consumption!K42*OCPMarketShares!N64</f>
        <v>5.4028663379429159E-3</v>
      </c>
      <c r="F179" s="270">
        <f>ProjectedP205_Consumption!L42*OCPMarketShares!O64</f>
        <v>1.7807714832923319E-2</v>
      </c>
      <c r="G179" s="270">
        <f>ProjectedP205_Consumption!M42*OCPMarketShares!P64</f>
        <v>3.2607661659526478E-2</v>
      </c>
      <c r="I179" s="157"/>
      <c r="J179" s="269">
        <f t="shared" si="99"/>
        <v>0.75</v>
      </c>
      <c r="K179" s="269">
        <f t="shared" si="100"/>
        <v>0.5</v>
      </c>
      <c r="L179" s="269">
        <f t="shared" si="101"/>
        <v>0.25</v>
      </c>
      <c r="M179" s="269">
        <f t="shared" si="102"/>
        <v>0.25</v>
      </c>
      <c r="N179" s="269">
        <f t="shared" si="103"/>
        <v>0.5</v>
      </c>
      <c r="O179" s="269">
        <f t="shared" si="104"/>
        <v>0.75</v>
      </c>
      <c r="P179" s="269">
        <f t="shared" si="105"/>
        <v>0</v>
      </c>
      <c r="Q179" s="269">
        <f t="shared" si="106"/>
        <v>0</v>
      </c>
      <c r="R179" s="269">
        <f t="shared" si="107"/>
        <v>0</v>
      </c>
      <c r="S179" s="249"/>
      <c r="T179" s="221"/>
      <c r="U179" s="271">
        <f t="shared" si="111"/>
        <v>8.809021203167797E-3</v>
      </c>
      <c r="V179" s="271">
        <f t="shared" si="112"/>
        <v>1.935621177491665E-2</v>
      </c>
      <c r="W179" s="271">
        <f t="shared" si="113"/>
        <v>1.772155524974265E-2</v>
      </c>
      <c r="X179" s="271">
        <f t="shared" si="114"/>
        <v>2.9363404010559323E-3</v>
      </c>
      <c r="Y179" s="271">
        <f t="shared" si="114"/>
        <v>1.935621177491665E-2</v>
      </c>
      <c r="Z179" s="271">
        <f t="shared" si="114"/>
        <v>5.3164665749227957E-2</v>
      </c>
      <c r="AA179" s="271">
        <f t="shared" si="115"/>
        <v>0</v>
      </c>
      <c r="AB179" s="271">
        <f t="shared" si="108"/>
        <v>0</v>
      </c>
      <c r="AC179" s="271">
        <f t="shared" si="109"/>
        <v>0</v>
      </c>
      <c r="AD179" s="7"/>
      <c r="AE179" s="7"/>
      <c r="AF179" s="7"/>
    </row>
    <row r="180" spans="4:32" ht="13.5" customHeight="1" thickBot="1" x14ac:dyDescent="0.3">
      <c r="D180" s="101" t="str">
        <f t="shared" si="110"/>
        <v>Beans, dry</v>
      </c>
      <c r="E180" s="270">
        <f>ProjectedP205_Consumption!K43*OCPMarketShares!N65</f>
        <v>6.1083210292734759E-3</v>
      </c>
      <c r="F180" s="270">
        <f>ProjectedP205_Consumption!L43*OCPMarketShares!O65</f>
        <v>2.0334927489057904E-2</v>
      </c>
      <c r="G180" s="270">
        <f>ProjectedP205_Consumption!M43*OCPMarketShares!P65</f>
        <v>3.7608923048807225E-2</v>
      </c>
      <c r="I180" s="157"/>
      <c r="J180" s="269">
        <f t="shared" si="99"/>
        <v>0.75</v>
      </c>
      <c r="K180" s="269">
        <f t="shared" si="100"/>
        <v>0.5</v>
      </c>
      <c r="L180" s="269">
        <f t="shared" si="101"/>
        <v>0.25</v>
      </c>
      <c r="M180" s="269">
        <f t="shared" si="102"/>
        <v>0.25</v>
      </c>
      <c r="N180" s="269">
        <f t="shared" si="103"/>
        <v>0.5</v>
      </c>
      <c r="O180" s="269">
        <f t="shared" si="104"/>
        <v>0.75</v>
      </c>
      <c r="P180" s="269">
        <f t="shared" si="105"/>
        <v>0</v>
      </c>
      <c r="Q180" s="269">
        <f t="shared" si="106"/>
        <v>0</v>
      </c>
      <c r="R180" s="269">
        <f t="shared" si="107"/>
        <v>0</v>
      </c>
      <c r="S180" s="249"/>
      <c r="T180" s="221"/>
      <c r="U180" s="271">
        <f t="shared" si="111"/>
        <v>9.9592190694676227E-3</v>
      </c>
      <c r="V180" s="271">
        <f t="shared" si="112"/>
        <v>2.210318205332381E-2</v>
      </c>
      <c r="W180" s="271">
        <f t="shared" si="113"/>
        <v>2.0439632091743057E-2</v>
      </c>
      <c r="X180" s="271">
        <f t="shared" si="114"/>
        <v>3.319739689822541E-3</v>
      </c>
      <c r="Y180" s="271">
        <f t="shared" si="114"/>
        <v>2.210318205332381E-2</v>
      </c>
      <c r="Z180" s="271">
        <f t="shared" si="114"/>
        <v>6.1318896275229171E-2</v>
      </c>
      <c r="AA180" s="271">
        <f t="shared" si="115"/>
        <v>0</v>
      </c>
      <c r="AB180" s="271">
        <f t="shared" si="108"/>
        <v>0</v>
      </c>
      <c r="AC180" s="271">
        <f t="shared" si="109"/>
        <v>0</v>
      </c>
      <c r="AD180" s="7"/>
      <c r="AE180" s="7"/>
      <c r="AF180" s="7"/>
    </row>
    <row r="181" spans="4:32" ht="13.5" customHeight="1" thickTop="1" thickBot="1" x14ac:dyDescent="0.3">
      <c r="D181" s="102" t="s">
        <v>13</v>
      </c>
      <c r="E181" s="126">
        <f t="shared" ref="E181" si="116">SUM(E150:E180)</f>
        <v>4.6905233888307043</v>
      </c>
      <c r="F181" s="126">
        <f t="shared" ref="F181:G181" si="117">SUM(F150:F180)</f>
        <v>17.94464068849484</v>
      </c>
      <c r="G181" s="126">
        <f t="shared" si="117"/>
        <v>38.541783632652326</v>
      </c>
      <c r="I181" s="157"/>
      <c r="J181" s="157"/>
      <c r="K181" s="7"/>
      <c r="L181" s="7"/>
      <c r="M181" s="7"/>
      <c r="N181" s="7"/>
      <c r="O181" s="7"/>
      <c r="P181" s="7"/>
      <c r="Q181" s="7"/>
      <c r="R181" s="7"/>
      <c r="S181" s="7"/>
      <c r="T181" s="7"/>
      <c r="U181" s="7"/>
      <c r="V181" s="7"/>
      <c r="W181" s="7"/>
      <c r="X181" s="7"/>
      <c r="Y181" s="7"/>
      <c r="Z181" s="7"/>
      <c r="AA181" s="7"/>
      <c r="AB181" s="7"/>
      <c r="AC181" s="7"/>
      <c r="AD181" s="7"/>
      <c r="AE181" s="7"/>
      <c r="AF181" s="7"/>
    </row>
    <row r="182" spans="4:32" ht="13.5" customHeight="1" thickTop="1" thickBot="1" x14ac:dyDescent="0.3">
      <c r="D182" s="100" t="s">
        <v>302</v>
      </c>
      <c r="E182" s="126">
        <f t="shared" ref="E182:G182" si="118">E181/46%</f>
        <v>10.196789975718922</v>
      </c>
      <c r="F182" s="126">
        <f t="shared" si="118"/>
        <v>39.010088453249651</v>
      </c>
      <c r="G182" s="126">
        <f t="shared" si="118"/>
        <v>83.786486157939834</v>
      </c>
      <c r="I182" s="31"/>
      <c r="J182" s="31"/>
      <c r="T182" s="1" t="s">
        <v>303</v>
      </c>
      <c r="U182" s="251">
        <f t="shared" ref="U182:AC182" si="119">SUM(U150:U180)</f>
        <v>7.6475924817891867</v>
      </c>
      <c r="V182" s="251">
        <f t="shared" si="119"/>
        <v>19.505044226624829</v>
      </c>
      <c r="W182" s="251">
        <f t="shared" si="119"/>
        <v>20.946621539484966</v>
      </c>
      <c r="X182" s="251">
        <f t="shared" si="119"/>
        <v>2.5491974939297313</v>
      </c>
      <c r="Y182" s="251">
        <f t="shared" si="119"/>
        <v>19.505044226624829</v>
      </c>
      <c r="Z182" s="251">
        <f t="shared" si="119"/>
        <v>62.839864618454904</v>
      </c>
      <c r="AA182" s="251">
        <f t="shared" si="119"/>
        <v>0</v>
      </c>
      <c r="AB182" s="251">
        <f t="shared" si="119"/>
        <v>0</v>
      </c>
      <c r="AC182" s="251">
        <f t="shared" si="119"/>
        <v>0</v>
      </c>
    </row>
    <row r="183" spans="4:32" ht="13.5" customHeight="1" thickTop="1" x14ac:dyDescent="0.25">
      <c r="O183" s="31"/>
      <c r="P183" s="31"/>
    </row>
    <row r="184" spans="4:32" ht="13.5" customHeight="1" x14ac:dyDescent="0.3">
      <c r="D184" s="30" t="s">
        <v>285</v>
      </c>
      <c r="E184" s="118">
        <v>2023</v>
      </c>
      <c r="F184" s="118">
        <v>2024</v>
      </c>
      <c r="G184" s="118">
        <v>2025</v>
      </c>
      <c r="I184" s="31"/>
      <c r="J184" s="236">
        <v>2023</v>
      </c>
      <c r="K184" s="236">
        <v>2024</v>
      </c>
      <c r="L184" s="236">
        <v>2025</v>
      </c>
      <c r="M184" s="236">
        <v>2023</v>
      </c>
      <c r="N184" s="236">
        <v>2024</v>
      </c>
      <c r="O184" s="236">
        <v>2025</v>
      </c>
      <c r="P184" s="236">
        <v>2023</v>
      </c>
      <c r="Q184" s="236">
        <v>2024</v>
      </c>
      <c r="R184" s="236">
        <v>2025</v>
      </c>
      <c r="S184" s="245"/>
      <c r="T184" s="246"/>
      <c r="U184" s="247">
        <v>2023</v>
      </c>
      <c r="V184" s="247">
        <v>2024</v>
      </c>
      <c r="W184" s="247">
        <v>2025</v>
      </c>
      <c r="X184" s="247">
        <v>2023</v>
      </c>
      <c r="Y184" s="247">
        <v>2024</v>
      </c>
      <c r="Z184" s="247">
        <v>2025</v>
      </c>
      <c r="AA184" s="247">
        <v>2023</v>
      </c>
      <c r="AB184" s="247">
        <v>2024</v>
      </c>
      <c r="AC184" s="247">
        <v>2025</v>
      </c>
    </row>
    <row r="185" spans="4:32" ht="13.5" customHeight="1" x14ac:dyDescent="0.25">
      <c r="D185" s="101" t="str">
        <f>D150</f>
        <v>Sorghum</v>
      </c>
      <c r="E185" s="270">
        <f>(ProjectedP205_Consumption!K51*OCPMarketShares!N70)</f>
        <v>0.51733647844113861</v>
      </c>
      <c r="F185" s="270">
        <f>(ProjectedP205_Consumption!L51*OCPMarketShares!O70)</f>
        <v>1.729732152837437</v>
      </c>
      <c r="G185" s="270">
        <f>(ProjectedP205_Consumption!M51*OCPMarketShares!P70)</f>
        <v>3.1024183744642051</v>
      </c>
      <c r="I185" s="31"/>
      <c r="J185" s="269">
        <f t="shared" ref="J185:J215" si="120">E112</f>
        <v>0.75</v>
      </c>
      <c r="K185" s="269">
        <f t="shared" ref="K185:K215" si="121">F112</f>
        <v>0.5</v>
      </c>
      <c r="L185" s="269">
        <f t="shared" ref="L185:L215" si="122">G112</f>
        <v>0.25</v>
      </c>
      <c r="M185" s="269">
        <f t="shared" ref="M185:M215" si="123">H112</f>
        <v>0.25</v>
      </c>
      <c r="N185" s="269">
        <f t="shared" ref="N185:N215" si="124">I112</f>
        <v>0.5</v>
      </c>
      <c r="O185" s="269">
        <f t="shared" ref="O185:O215" si="125">J112</f>
        <v>0.75</v>
      </c>
      <c r="P185" s="269">
        <f t="shared" ref="P185:P215" si="126">K112</f>
        <v>0</v>
      </c>
      <c r="Q185" s="269">
        <f t="shared" ref="Q185:Q215" si="127">L112</f>
        <v>0</v>
      </c>
      <c r="R185" s="269">
        <f t="shared" ref="R185:R215" si="128">M112</f>
        <v>0</v>
      </c>
      <c r="S185" s="249"/>
      <c r="T185" s="224"/>
      <c r="U185" s="271">
        <f>(E185*J185)/$K$11</f>
        <v>0.84348338876272599</v>
      </c>
      <c r="V185" s="271">
        <f>(F185*K185)/$K$11</f>
        <v>1.8801436443885184</v>
      </c>
      <c r="W185" s="271">
        <f>(G185*L185)/$K$11</f>
        <v>1.6860969426435897</v>
      </c>
      <c r="X185" s="271">
        <f>(E185*M185)/$K$12</f>
        <v>0.28116112958757533</v>
      </c>
      <c r="Y185" s="271">
        <f>(F185*N185)/$K$12</f>
        <v>1.8801436443885184</v>
      </c>
      <c r="Z185" s="271">
        <f>(G185*O185)/$K$12</f>
        <v>5.0582908279307688</v>
      </c>
      <c r="AA185" s="271">
        <f>(E185*P185)/$K$13</f>
        <v>0</v>
      </c>
      <c r="AB185" s="271">
        <f t="shared" ref="AB185" si="129">(F185*Q185)/$K$13</f>
        <v>0</v>
      </c>
      <c r="AC185" s="271">
        <f t="shared" ref="AC185" si="130">(G185*R185)/$K$13</f>
        <v>0</v>
      </c>
    </row>
    <row r="186" spans="4:32" ht="13.5" customHeight="1" x14ac:dyDescent="0.25">
      <c r="D186" s="101" t="str">
        <f t="shared" ref="D186:D215" si="131">D151</f>
        <v>Sesame seed</v>
      </c>
      <c r="E186" s="270">
        <f>(ProjectedP205_Consumption!K52*OCPMarketShares!N71)</f>
        <v>1.5130774278124237</v>
      </c>
      <c r="F186" s="270">
        <f>(ProjectedP205_Consumption!L52*OCPMarketShares!O71)</f>
        <v>6.4757790270003435</v>
      </c>
      <c r="G186" s="270">
        <f>(ProjectedP205_Consumption!M52*OCPMarketShares!P71)</f>
        <v>13.613867553273538</v>
      </c>
      <c r="I186" s="31"/>
      <c r="J186" s="269">
        <f t="shared" si="120"/>
        <v>0.75</v>
      </c>
      <c r="K186" s="269">
        <f t="shared" si="121"/>
        <v>0.5</v>
      </c>
      <c r="L186" s="269">
        <f t="shared" si="122"/>
        <v>0.25</v>
      </c>
      <c r="M186" s="269">
        <f t="shared" si="123"/>
        <v>0.25</v>
      </c>
      <c r="N186" s="269">
        <f t="shared" si="124"/>
        <v>0.5</v>
      </c>
      <c r="O186" s="269">
        <f t="shared" si="125"/>
        <v>0.75</v>
      </c>
      <c r="P186" s="269">
        <f t="shared" si="126"/>
        <v>0</v>
      </c>
      <c r="Q186" s="269">
        <f t="shared" si="127"/>
        <v>0</v>
      </c>
      <c r="R186" s="269">
        <f t="shared" si="128"/>
        <v>0</v>
      </c>
      <c r="S186" s="249"/>
      <c r="T186" s="224"/>
      <c r="U186" s="271">
        <f t="shared" ref="U186:U215" si="132">(E186*J186)/$K$11</f>
        <v>2.4669740670854732</v>
      </c>
      <c r="V186" s="271">
        <f t="shared" ref="V186:V215" si="133">(F186*K186)/$K$11</f>
        <v>7.0388902467395038</v>
      </c>
      <c r="W186" s="271">
        <f t="shared" ref="W186:W215" si="134">(G186*L186)/$K$11</f>
        <v>7.3988410615617051</v>
      </c>
      <c r="X186" s="271">
        <f t="shared" ref="X186:X215" si="135">(E186*M186)/$K$12</f>
        <v>0.8223246890284911</v>
      </c>
      <c r="Y186" s="271">
        <f t="shared" ref="Y186:Y215" si="136">(F186*N186)/$K$12</f>
        <v>7.0388902467395038</v>
      </c>
      <c r="Z186" s="271">
        <f t="shared" ref="Z186:Z215" si="137">(G186*O186)/$K$12</f>
        <v>22.196523184685116</v>
      </c>
      <c r="AA186" s="271">
        <f t="shared" ref="AA186:AA215" si="138">(E186*P186)/$K$13</f>
        <v>0</v>
      </c>
      <c r="AB186" s="271">
        <f t="shared" ref="AB186:AB215" si="139">(F186*Q186)/$K$13</f>
        <v>0</v>
      </c>
      <c r="AC186" s="271">
        <f t="shared" ref="AC186:AC215" si="140">(G186*R186)/$K$13</f>
        <v>0</v>
      </c>
    </row>
    <row r="187" spans="4:32" ht="13.5" customHeight="1" x14ac:dyDescent="0.25">
      <c r="D187" s="101" t="str">
        <f t="shared" si="131"/>
        <v>Groundnuts, excluding shelled</v>
      </c>
      <c r="E187" s="270">
        <f>(ProjectedP205_Consumption!K53*OCPMarketShares!N72)</f>
        <v>1.751264581575172</v>
      </c>
      <c r="F187" s="270">
        <f>(ProjectedP205_Consumption!L53*OCPMarketShares!O72)</f>
        <v>7.936659985335913</v>
      </c>
      <c r="G187" s="270">
        <f>(ProjectedP205_Consumption!M53*OCPMarketShares!P72)</f>
        <v>17.66779768906564</v>
      </c>
      <c r="I187" s="31"/>
      <c r="J187" s="269">
        <f t="shared" si="120"/>
        <v>0.75</v>
      </c>
      <c r="K187" s="269">
        <f t="shared" si="121"/>
        <v>0.5</v>
      </c>
      <c r="L187" s="269">
        <f t="shared" si="122"/>
        <v>0.25</v>
      </c>
      <c r="M187" s="269">
        <f t="shared" si="123"/>
        <v>0.25</v>
      </c>
      <c r="N187" s="269">
        <f t="shared" si="124"/>
        <v>0.5</v>
      </c>
      <c r="O187" s="269">
        <f t="shared" si="125"/>
        <v>0.75</v>
      </c>
      <c r="P187" s="269">
        <f t="shared" si="126"/>
        <v>0</v>
      </c>
      <c r="Q187" s="269">
        <f t="shared" si="127"/>
        <v>0</v>
      </c>
      <c r="R187" s="269">
        <f t="shared" si="128"/>
        <v>0</v>
      </c>
      <c r="S187" s="249"/>
      <c r="T187" s="224"/>
      <c r="U187" s="271">
        <f t="shared" si="132"/>
        <v>2.8553226873508235</v>
      </c>
      <c r="V187" s="271">
        <f t="shared" si="133"/>
        <v>8.626804331886861</v>
      </c>
      <c r="W187" s="271">
        <f t="shared" si="134"/>
        <v>9.6020639614487173</v>
      </c>
      <c r="X187" s="271">
        <f t="shared" si="135"/>
        <v>0.95177422911694121</v>
      </c>
      <c r="Y187" s="271">
        <f t="shared" si="136"/>
        <v>8.626804331886861</v>
      </c>
      <c r="Z187" s="271">
        <f t="shared" si="137"/>
        <v>28.806191884346152</v>
      </c>
      <c r="AA187" s="271">
        <f t="shared" si="138"/>
        <v>0</v>
      </c>
      <c r="AB187" s="271">
        <f t="shared" si="139"/>
        <v>0</v>
      </c>
      <c r="AC187" s="271">
        <f t="shared" si="140"/>
        <v>0</v>
      </c>
    </row>
    <row r="188" spans="4:32" ht="13.5" customHeight="1" x14ac:dyDescent="0.25">
      <c r="D188" s="101" t="str">
        <f t="shared" si="131"/>
        <v>Millet</v>
      </c>
      <c r="E188" s="270">
        <f>(ProjectedP205_Consumption!K54*OCPMarketShares!N73)</f>
        <v>0.21413933753523812</v>
      </c>
      <c r="F188" s="270">
        <f>(ProjectedP205_Consumption!L54*OCPMarketShares!O73)</f>
        <v>0.69880644024384775</v>
      </c>
      <c r="G188" s="270">
        <f>(ProjectedP205_Consumption!M54*OCPMarketShares!P73)</f>
        <v>1.24097917385754</v>
      </c>
      <c r="I188" s="31"/>
      <c r="J188" s="269">
        <f t="shared" si="120"/>
        <v>0.75</v>
      </c>
      <c r="K188" s="269">
        <f t="shared" si="121"/>
        <v>0.5</v>
      </c>
      <c r="L188" s="269">
        <f t="shared" si="122"/>
        <v>0.25</v>
      </c>
      <c r="M188" s="269">
        <f t="shared" si="123"/>
        <v>0.25</v>
      </c>
      <c r="N188" s="269">
        <f t="shared" si="124"/>
        <v>0.5</v>
      </c>
      <c r="O188" s="269">
        <f t="shared" si="125"/>
        <v>0.75</v>
      </c>
      <c r="P188" s="269">
        <f t="shared" si="126"/>
        <v>0</v>
      </c>
      <c r="Q188" s="269">
        <f t="shared" si="127"/>
        <v>0</v>
      </c>
      <c r="R188" s="269">
        <f t="shared" si="128"/>
        <v>0</v>
      </c>
      <c r="S188" s="249"/>
      <c r="T188" s="224"/>
      <c r="U188" s="271">
        <f t="shared" si="132"/>
        <v>0.34914022424223606</v>
      </c>
      <c r="V188" s="271">
        <f t="shared" si="133"/>
        <v>0.75957221765635619</v>
      </c>
      <c r="W188" s="271">
        <f t="shared" si="134"/>
        <v>0.67444520318344559</v>
      </c>
      <c r="X188" s="271">
        <f t="shared" si="135"/>
        <v>0.11638007474741202</v>
      </c>
      <c r="Y188" s="271">
        <f t="shared" si="136"/>
        <v>0.75957221765635619</v>
      </c>
      <c r="Z188" s="271">
        <f t="shared" si="137"/>
        <v>2.0233356095503368</v>
      </c>
      <c r="AA188" s="271">
        <f t="shared" si="138"/>
        <v>0</v>
      </c>
      <c r="AB188" s="271">
        <f t="shared" si="139"/>
        <v>0</v>
      </c>
      <c r="AC188" s="271">
        <f t="shared" si="140"/>
        <v>0</v>
      </c>
    </row>
    <row r="189" spans="4:32" ht="13.5" customHeight="1" x14ac:dyDescent="0.25">
      <c r="D189" s="101" t="str">
        <f t="shared" si="131"/>
        <v>Sugar cane</v>
      </c>
      <c r="E189" s="270">
        <f>(ProjectedP205_Consumption!K55*OCPMarketShares!N74)</f>
        <v>7.0516457054378368E-2</v>
      </c>
      <c r="F189" s="270">
        <f>(ProjectedP205_Consumption!L55*OCPMarketShares!O74)</f>
        <v>0.33195755508789104</v>
      </c>
      <c r="G189" s="270">
        <f>(ProjectedP205_Consumption!M55*OCPMarketShares!P74)</f>
        <v>0.68198330534151796</v>
      </c>
      <c r="I189" s="31"/>
      <c r="J189" s="269">
        <f t="shared" si="120"/>
        <v>0.75</v>
      </c>
      <c r="K189" s="269">
        <f t="shared" si="121"/>
        <v>0.5</v>
      </c>
      <c r="L189" s="269">
        <f t="shared" si="122"/>
        <v>0.25</v>
      </c>
      <c r="M189" s="269">
        <f t="shared" si="123"/>
        <v>0.25</v>
      </c>
      <c r="N189" s="269">
        <f t="shared" si="124"/>
        <v>0.5</v>
      </c>
      <c r="O189" s="269">
        <f t="shared" si="125"/>
        <v>0.75</v>
      </c>
      <c r="P189" s="269">
        <f t="shared" si="126"/>
        <v>0</v>
      </c>
      <c r="Q189" s="269">
        <f t="shared" si="127"/>
        <v>0</v>
      </c>
      <c r="R189" s="269">
        <f t="shared" si="128"/>
        <v>0</v>
      </c>
      <c r="S189" s="249"/>
      <c r="T189" s="224"/>
      <c r="U189" s="271">
        <f t="shared" si="132"/>
        <v>0.11497248432779081</v>
      </c>
      <c r="V189" s="271">
        <f t="shared" si="133"/>
        <v>0.36082342944335982</v>
      </c>
      <c r="W189" s="271">
        <f t="shared" si="134"/>
        <v>0.37064310072908585</v>
      </c>
      <c r="X189" s="271">
        <f t="shared" si="135"/>
        <v>3.8324161442596934E-2</v>
      </c>
      <c r="Y189" s="271">
        <f t="shared" si="136"/>
        <v>0.36082342944335982</v>
      </c>
      <c r="Z189" s="271">
        <f t="shared" si="137"/>
        <v>1.1119293021872574</v>
      </c>
      <c r="AA189" s="271">
        <f t="shared" si="138"/>
        <v>0</v>
      </c>
      <c r="AB189" s="271">
        <f t="shared" si="139"/>
        <v>0</v>
      </c>
      <c r="AC189" s="271">
        <f t="shared" si="140"/>
        <v>0</v>
      </c>
    </row>
    <row r="190" spans="4:32" ht="13.5" customHeight="1" x14ac:dyDescent="0.25">
      <c r="D190" s="101" t="str">
        <f t="shared" si="131"/>
        <v>Melonseed</v>
      </c>
      <c r="E190" s="270">
        <f>(ProjectedP205_Consumption!K56*OCPMarketShares!N75)</f>
        <v>4.0501999471633444E-2</v>
      </c>
      <c r="F190" s="270">
        <f>(ProjectedP205_Consumption!L56*OCPMarketShares!O75)</f>
        <v>0.18495864418481564</v>
      </c>
      <c r="G190" s="270">
        <f>(ProjectedP205_Consumption!M56*OCPMarketShares!P75)</f>
        <v>0.36861407628554471</v>
      </c>
      <c r="I190" s="31"/>
      <c r="J190" s="269">
        <f t="shared" si="120"/>
        <v>0.75</v>
      </c>
      <c r="K190" s="269">
        <f t="shared" si="121"/>
        <v>0.5</v>
      </c>
      <c r="L190" s="269">
        <f t="shared" si="122"/>
        <v>0.25</v>
      </c>
      <c r="M190" s="269">
        <f t="shared" si="123"/>
        <v>0.25</v>
      </c>
      <c r="N190" s="269">
        <f t="shared" si="124"/>
        <v>0.5</v>
      </c>
      <c r="O190" s="269">
        <f t="shared" si="125"/>
        <v>0.75</v>
      </c>
      <c r="P190" s="269">
        <f t="shared" si="126"/>
        <v>0</v>
      </c>
      <c r="Q190" s="269">
        <f t="shared" si="127"/>
        <v>0</v>
      </c>
      <c r="R190" s="269">
        <f t="shared" si="128"/>
        <v>0</v>
      </c>
      <c r="S190" s="249"/>
      <c r="T190" s="224"/>
      <c r="U190" s="271">
        <f t="shared" si="132"/>
        <v>6.6035868703750181E-2</v>
      </c>
      <c r="V190" s="271">
        <f t="shared" si="133"/>
        <v>0.20104200454871266</v>
      </c>
      <c r="W190" s="271">
        <f t="shared" si="134"/>
        <v>0.20033373711170907</v>
      </c>
      <c r="X190" s="271">
        <f t="shared" si="135"/>
        <v>2.2011956234583394E-2</v>
      </c>
      <c r="Y190" s="271">
        <f t="shared" si="136"/>
        <v>0.20104200454871266</v>
      </c>
      <c r="Z190" s="271">
        <f t="shared" si="137"/>
        <v>0.60100121133512718</v>
      </c>
      <c r="AA190" s="271">
        <f t="shared" si="138"/>
        <v>0</v>
      </c>
      <c r="AB190" s="271">
        <f t="shared" si="139"/>
        <v>0</v>
      </c>
      <c r="AC190" s="271">
        <f t="shared" si="140"/>
        <v>0</v>
      </c>
    </row>
    <row r="191" spans="4:32" ht="13.5" customHeight="1" x14ac:dyDescent="0.25">
      <c r="D191" s="101" t="str">
        <f t="shared" si="131"/>
        <v>Cow peas, dry</v>
      </c>
      <c r="E191" s="270">
        <f>(ProjectedP205_Consumption!K57*OCPMarketShares!N76)</f>
        <v>2.3973965287488713E-2</v>
      </c>
      <c r="F191" s="270">
        <f>(ProjectedP205_Consumption!L57*OCPMarketShares!O76)</f>
        <v>0.13677188236573956</v>
      </c>
      <c r="G191" s="270">
        <f>(ProjectedP205_Consumption!M57*OCPMarketShares!P76)</f>
        <v>0.31672524181339995</v>
      </c>
      <c r="I191" s="31"/>
      <c r="J191" s="269">
        <f t="shared" si="120"/>
        <v>0.75</v>
      </c>
      <c r="K191" s="269">
        <f t="shared" si="121"/>
        <v>0.5</v>
      </c>
      <c r="L191" s="269">
        <f t="shared" si="122"/>
        <v>0.25</v>
      </c>
      <c r="M191" s="269">
        <f t="shared" si="123"/>
        <v>0.25</v>
      </c>
      <c r="N191" s="269">
        <f t="shared" si="124"/>
        <v>0.5</v>
      </c>
      <c r="O191" s="269">
        <f t="shared" si="125"/>
        <v>0.75</v>
      </c>
      <c r="P191" s="269">
        <f t="shared" si="126"/>
        <v>0</v>
      </c>
      <c r="Q191" s="269">
        <f t="shared" si="127"/>
        <v>0</v>
      </c>
      <c r="R191" s="269">
        <f t="shared" si="128"/>
        <v>0</v>
      </c>
      <c r="S191" s="249"/>
      <c r="T191" s="224"/>
      <c r="U191" s="271">
        <f t="shared" si="132"/>
        <v>3.9087986881775075E-2</v>
      </c>
      <c r="V191" s="271">
        <f t="shared" si="133"/>
        <v>0.14866508952797777</v>
      </c>
      <c r="W191" s="271">
        <f t="shared" si="134"/>
        <v>0.1721332835942391</v>
      </c>
      <c r="X191" s="271">
        <f t="shared" si="135"/>
        <v>1.3029328960591691E-2</v>
      </c>
      <c r="Y191" s="271">
        <f t="shared" si="136"/>
        <v>0.14866508952797777</v>
      </c>
      <c r="Z191" s="271">
        <f t="shared" si="137"/>
        <v>0.51639985078271733</v>
      </c>
      <c r="AA191" s="271">
        <f t="shared" si="138"/>
        <v>0</v>
      </c>
      <c r="AB191" s="271">
        <f t="shared" si="139"/>
        <v>0</v>
      </c>
      <c r="AC191" s="271">
        <f t="shared" si="140"/>
        <v>0</v>
      </c>
    </row>
    <row r="192" spans="4:32" ht="13.5" customHeight="1" x14ac:dyDescent="0.25">
      <c r="D192" s="101" t="str">
        <f t="shared" si="131"/>
        <v>Wheat</v>
      </c>
      <c r="E192" s="270">
        <f>(ProjectedP205_Consumption!K58*OCPMarketShares!N77)</f>
        <v>0.15233554139543931</v>
      </c>
      <c r="F192" s="270">
        <f>(ProjectedP205_Consumption!L58*OCPMarketShares!O77)</f>
        <v>0.77235038218748742</v>
      </c>
      <c r="G192" s="270">
        <f>(ProjectedP205_Consumption!M58*OCPMarketShares!P77)</f>
        <v>1.7372618528645507</v>
      </c>
      <c r="I192" s="31"/>
      <c r="J192" s="269">
        <f t="shared" si="120"/>
        <v>0.75</v>
      </c>
      <c r="K192" s="269">
        <f t="shared" si="121"/>
        <v>0.5</v>
      </c>
      <c r="L192" s="269">
        <f t="shared" si="122"/>
        <v>0.25</v>
      </c>
      <c r="M192" s="269">
        <f t="shared" si="123"/>
        <v>0.25</v>
      </c>
      <c r="N192" s="269">
        <f t="shared" si="124"/>
        <v>0.5</v>
      </c>
      <c r="O192" s="269">
        <f t="shared" si="125"/>
        <v>0.75</v>
      </c>
      <c r="P192" s="269">
        <f t="shared" si="126"/>
        <v>0</v>
      </c>
      <c r="Q192" s="269">
        <f t="shared" si="127"/>
        <v>0</v>
      </c>
      <c r="R192" s="269">
        <f t="shared" si="128"/>
        <v>0</v>
      </c>
      <c r="S192" s="249"/>
      <c r="T192" s="224"/>
      <c r="U192" s="271">
        <f t="shared" si="132"/>
        <v>0.24837316531865103</v>
      </c>
      <c r="V192" s="271">
        <f t="shared" si="133"/>
        <v>0.83951128498639938</v>
      </c>
      <c r="W192" s="271">
        <f t="shared" si="134"/>
        <v>0.94416405046986451</v>
      </c>
      <c r="X192" s="271">
        <f t="shared" si="135"/>
        <v>8.279105510621701E-2</v>
      </c>
      <c r="Y192" s="271">
        <f t="shared" si="136"/>
        <v>0.83951128498639938</v>
      </c>
      <c r="Z192" s="271">
        <f t="shared" si="137"/>
        <v>2.8324921514095935</v>
      </c>
      <c r="AA192" s="271">
        <f t="shared" si="138"/>
        <v>0</v>
      </c>
      <c r="AB192" s="271">
        <f t="shared" si="139"/>
        <v>0</v>
      </c>
      <c r="AC192" s="271">
        <f t="shared" si="140"/>
        <v>0</v>
      </c>
    </row>
    <row r="193" spans="4:29" ht="13.5" customHeight="1" x14ac:dyDescent="0.25">
      <c r="D193" s="101" t="str">
        <f t="shared" si="131"/>
        <v>Onions and shallots, dry (excluding dehydrated)</v>
      </c>
      <c r="E193" s="270">
        <f>(ProjectedP205_Consumption!K59*OCPMarketShares!N78)</f>
        <v>2.3141714823071563E-2</v>
      </c>
      <c r="F193" s="270">
        <f>(ProjectedP205_Consumption!L59*OCPMarketShares!O78)</f>
        <v>0.23169533638093132</v>
      </c>
      <c r="G193" s="270">
        <f>(ProjectedP205_Consumption!M59*OCPMarketShares!P78)</f>
        <v>0.57636209915818337</v>
      </c>
      <c r="I193" s="31"/>
      <c r="J193" s="269">
        <f t="shared" si="120"/>
        <v>0.75</v>
      </c>
      <c r="K193" s="269">
        <f t="shared" si="121"/>
        <v>0.5</v>
      </c>
      <c r="L193" s="269">
        <f t="shared" si="122"/>
        <v>0.25</v>
      </c>
      <c r="M193" s="269">
        <f t="shared" si="123"/>
        <v>0.25</v>
      </c>
      <c r="N193" s="269">
        <f t="shared" si="124"/>
        <v>0.5</v>
      </c>
      <c r="O193" s="269">
        <f t="shared" si="125"/>
        <v>0.75</v>
      </c>
      <c r="P193" s="269">
        <f t="shared" si="126"/>
        <v>0</v>
      </c>
      <c r="Q193" s="269">
        <f t="shared" si="127"/>
        <v>0</v>
      </c>
      <c r="R193" s="269">
        <f t="shared" si="128"/>
        <v>0</v>
      </c>
      <c r="S193" s="249"/>
      <c r="T193" s="224"/>
      <c r="U193" s="271">
        <f t="shared" si="132"/>
        <v>3.773105677674711E-2</v>
      </c>
      <c r="V193" s="271">
        <f t="shared" si="133"/>
        <v>0.25184275693579489</v>
      </c>
      <c r="W193" s="271">
        <f t="shared" si="134"/>
        <v>0.31324027128162141</v>
      </c>
      <c r="X193" s="271">
        <f t="shared" si="135"/>
        <v>1.257701892558237E-2</v>
      </c>
      <c r="Y193" s="271">
        <f t="shared" si="136"/>
        <v>0.25184275693579489</v>
      </c>
      <c r="Z193" s="271">
        <f t="shared" si="137"/>
        <v>0.93972081384486406</v>
      </c>
      <c r="AA193" s="271">
        <f t="shared" si="138"/>
        <v>0</v>
      </c>
      <c r="AB193" s="271">
        <f t="shared" si="139"/>
        <v>0</v>
      </c>
      <c r="AC193" s="271">
        <f t="shared" si="140"/>
        <v>0</v>
      </c>
    </row>
    <row r="194" spans="4:29" ht="13.5" customHeight="1" x14ac:dyDescent="0.25">
      <c r="D194" s="101" t="str">
        <f t="shared" si="131"/>
        <v>Bananas</v>
      </c>
      <c r="E194" s="270">
        <f>(ProjectedP205_Consumption!K60*OCPMarketShares!N79)</f>
        <v>1.8148509883797976E-2</v>
      </c>
      <c r="F194" s="270">
        <f>(ProjectedP205_Consumption!L60*OCPMarketShares!O79)</f>
        <v>0.17773320554934699</v>
      </c>
      <c r="G194" s="270">
        <f>(ProjectedP205_Consumption!M60*OCPMarketShares!P79)</f>
        <v>0.43246657073234474</v>
      </c>
      <c r="I194" s="31"/>
      <c r="J194" s="269">
        <f t="shared" si="120"/>
        <v>0.75</v>
      </c>
      <c r="K194" s="269">
        <f t="shared" si="121"/>
        <v>0.5</v>
      </c>
      <c r="L194" s="269">
        <f t="shared" si="122"/>
        <v>0.25</v>
      </c>
      <c r="M194" s="269">
        <f t="shared" si="123"/>
        <v>0.25</v>
      </c>
      <c r="N194" s="269">
        <f t="shared" si="124"/>
        <v>0.5</v>
      </c>
      <c r="O194" s="269">
        <f t="shared" si="125"/>
        <v>0.75</v>
      </c>
      <c r="P194" s="269">
        <f t="shared" si="126"/>
        <v>0</v>
      </c>
      <c r="Q194" s="269">
        <f t="shared" si="127"/>
        <v>0</v>
      </c>
      <c r="R194" s="269">
        <f t="shared" si="128"/>
        <v>0</v>
      </c>
      <c r="S194" s="249"/>
      <c r="T194" s="224"/>
      <c r="U194" s="271">
        <f t="shared" si="132"/>
        <v>2.9589961767061919E-2</v>
      </c>
      <c r="V194" s="271">
        <f t="shared" si="133"/>
        <v>0.19318826690146412</v>
      </c>
      <c r="W194" s="271">
        <f t="shared" si="134"/>
        <v>0.23503617974583951</v>
      </c>
      <c r="X194" s="271">
        <f t="shared" si="135"/>
        <v>9.8633205890206379E-3</v>
      </c>
      <c r="Y194" s="271">
        <f t="shared" si="136"/>
        <v>0.19318826690146412</v>
      </c>
      <c r="Z194" s="271">
        <f t="shared" si="137"/>
        <v>0.70510853923751859</v>
      </c>
      <c r="AA194" s="271">
        <f t="shared" si="138"/>
        <v>0</v>
      </c>
      <c r="AB194" s="271">
        <f t="shared" si="139"/>
        <v>0</v>
      </c>
      <c r="AC194" s="271">
        <f t="shared" si="140"/>
        <v>0</v>
      </c>
    </row>
    <row r="195" spans="4:29" ht="13.5" customHeight="1" x14ac:dyDescent="0.25">
      <c r="D195" s="101" t="str">
        <f t="shared" si="131"/>
        <v>Mangoes, guavas and mangosteens</v>
      </c>
      <c r="E195" s="270">
        <f>(ProjectedP205_Consumption!K61*OCPMarketShares!N80)</f>
        <v>1.8229438657970526E-2</v>
      </c>
      <c r="F195" s="270">
        <f>(ProjectedP205_Consumption!L61*OCPMarketShares!O80)</f>
        <v>0.1800837571931406</v>
      </c>
      <c r="G195" s="270">
        <f>(ProjectedP205_Consumption!M61*OCPMarketShares!P80)</f>
        <v>0.44201006398421483</v>
      </c>
      <c r="I195" s="31"/>
      <c r="J195" s="269">
        <f t="shared" si="120"/>
        <v>0.75</v>
      </c>
      <c r="K195" s="269">
        <f t="shared" si="121"/>
        <v>0.5</v>
      </c>
      <c r="L195" s="269">
        <f t="shared" si="122"/>
        <v>0.25</v>
      </c>
      <c r="M195" s="269">
        <f t="shared" si="123"/>
        <v>0.25</v>
      </c>
      <c r="N195" s="269">
        <f t="shared" si="124"/>
        <v>0.5</v>
      </c>
      <c r="O195" s="269">
        <f t="shared" si="125"/>
        <v>0.75</v>
      </c>
      <c r="P195" s="269">
        <f t="shared" si="126"/>
        <v>0</v>
      </c>
      <c r="Q195" s="269">
        <f t="shared" si="127"/>
        <v>0</v>
      </c>
      <c r="R195" s="269">
        <f t="shared" si="128"/>
        <v>0</v>
      </c>
      <c r="S195" s="249"/>
      <c r="T195" s="224"/>
      <c r="U195" s="271">
        <f t="shared" si="132"/>
        <v>2.9721910855386724E-2</v>
      </c>
      <c r="V195" s="271">
        <f t="shared" si="133"/>
        <v>0.1957432143403702</v>
      </c>
      <c r="W195" s="271">
        <f t="shared" si="134"/>
        <v>0.24022286086098632</v>
      </c>
      <c r="X195" s="271">
        <f t="shared" si="135"/>
        <v>9.9073036184622425E-3</v>
      </c>
      <c r="Y195" s="271">
        <f t="shared" si="136"/>
        <v>0.1957432143403702</v>
      </c>
      <c r="Z195" s="271">
        <f t="shared" si="137"/>
        <v>0.72066858258295896</v>
      </c>
      <c r="AA195" s="271">
        <f t="shared" si="138"/>
        <v>0</v>
      </c>
      <c r="AB195" s="271">
        <f t="shared" si="139"/>
        <v>0</v>
      </c>
      <c r="AC195" s="271">
        <f t="shared" si="140"/>
        <v>0</v>
      </c>
    </row>
    <row r="196" spans="4:29" ht="13.5" customHeight="1" x14ac:dyDescent="0.25">
      <c r="D196" s="101" t="str">
        <f t="shared" si="131"/>
        <v>Cantaloupes and other melons</v>
      </c>
      <c r="E196" s="270">
        <f>(ProjectedP205_Consumption!K62*OCPMarketShares!N81)</f>
        <v>1.7769412830942813E-2</v>
      </c>
      <c r="F196" s="270">
        <f>(ProjectedP205_Consumption!L62*OCPMarketShares!O81)</f>
        <v>0.17603065673634241</v>
      </c>
      <c r="G196" s="270">
        <f>(ProjectedP205_Consumption!M62*OCPMarketShares!P81)</f>
        <v>0.43327128629196981</v>
      </c>
      <c r="I196" s="31"/>
      <c r="J196" s="269">
        <f t="shared" si="120"/>
        <v>0.75</v>
      </c>
      <c r="K196" s="269">
        <f t="shared" si="121"/>
        <v>0.5</v>
      </c>
      <c r="L196" s="269">
        <f t="shared" si="122"/>
        <v>0.25</v>
      </c>
      <c r="M196" s="269">
        <f t="shared" si="123"/>
        <v>0.25</v>
      </c>
      <c r="N196" s="269">
        <f t="shared" si="124"/>
        <v>0.5</v>
      </c>
      <c r="O196" s="269">
        <f t="shared" si="125"/>
        <v>0.75</v>
      </c>
      <c r="P196" s="269">
        <f t="shared" si="126"/>
        <v>0</v>
      </c>
      <c r="Q196" s="269">
        <f t="shared" si="127"/>
        <v>0</v>
      </c>
      <c r="R196" s="269">
        <f t="shared" si="128"/>
        <v>0</v>
      </c>
      <c r="S196" s="249"/>
      <c r="T196" s="224"/>
      <c r="U196" s="271">
        <f t="shared" si="132"/>
        <v>2.897186874610241E-2</v>
      </c>
      <c r="V196" s="271">
        <f t="shared" si="133"/>
        <v>0.19133767036558957</v>
      </c>
      <c r="W196" s="271">
        <f t="shared" si="134"/>
        <v>0.23547352515867923</v>
      </c>
      <c r="X196" s="271">
        <f t="shared" si="135"/>
        <v>9.6572895820341374E-3</v>
      </c>
      <c r="Y196" s="271">
        <f t="shared" si="136"/>
        <v>0.19133767036558957</v>
      </c>
      <c r="Z196" s="271">
        <f t="shared" si="137"/>
        <v>0.70642057547603765</v>
      </c>
      <c r="AA196" s="271">
        <f t="shared" si="138"/>
        <v>0</v>
      </c>
      <c r="AB196" s="271">
        <f t="shared" si="139"/>
        <v>0</v>
      </c>
      <c r="AC196" s="271">
        <f t="shared" si="140"/>
        <v>0</v>
      </c>
    </row>
    <row r="197" spans="4:29" ht="13.5" customHeight="1" x14ac:dyDescent="0.25">
      <c r="D197" s="101" t="str">
        <f t="shared" si="131"/>
        <v>Sunflower seed</v>
      </c>
      <c r="E197" s="270">
        <f>(ProjectedP205_Consumption!K63*OCPMarketShares!N82)</f>
        <v>2.2635495583152559E-2</v>
      </c>
      <c r="F197" s="270">
        <f>(ProjectedP205_Consumption!L63*OCPMarketShares!O82)</f>
        <v>0.12343820652279325</v>
      </c>
      <c r="G197" s="270">
        <f>(ProjectedP205_Consumption!M63*OCPMarketShares!P82)</f>
        <v>0.27323611340225828</v>
      </c>
      <c r="I197" s="31"/>
      <c r="J197" s="269">
        <f t="shared" si="120"/>
        <v>0.75</v>
      </c>
      <c r="K197" s="269">
        <f t="shared" si="121"/>
        <v>0.5</v>
      </c>
      <c r="L197" s="269">
        <f t="shared" si="122"/>
        <v>0.25</v>
      </c>
      <c r="M197" s="269">
        <f t="shared" si="123"/>
        <v>0.25</v>
      </c>
      <c r="N197" s="269">
        <f t="shared" si="124"/>
        <v>0.5</v>
      </c>
      <c r="O197" s="269">
        <f t="shared" si="125"/>
        <v>0.75</v>
      </c>
      <c r="P197" s="269">
        <f t="shared" si="126"/>
        <v>0</v>
      </c>
      <c r="Q197" s="269">
        <f t="shared" si="127"/>
        <v>0</v>
      </c>
      <c r="R197" s="269">
        <f t="shared" si="128"/>
        <v>0</v>
      </c>
      <c r="S197" s="249"/>
      <c r="T197" s="224"/>
      <c r="U197" s="271">
        <f t="shared" si="132"/>
        <v>3.6905699320357435E-2</v>
      </c>
      <c r="V197" s="271">
        <f t="shared" si="133"/>
        <v>0.13417196361173178</v>
      </c>
      <c r="W197" s="271">
        <f t="shared" si="134"/>
        <v>0.14849788771861863</v>
      </c>
      <c r="X197" s="271">
        <f t="shared" si="135"/>
        <v>1.2301899773452477E-2</v>
      </c>
      <c r="Y197" s="271">
        <f t="shared" si="136"/>
        <v>0.13417196361173178</v>
      </c>
      <c r="Z197" s="271">
        <f t="shared" si="137"/>
        <v>0.44549366315585587</v>
      </c>
      <c r="AA197" s="271">
        <f t="shared" si="138"/>
        <v>0</v>
      </c>
      <c r="AB197" s="271">
        <f t="shared" si="139"/>
        <v>0</v>
      </c>
      <c r="AC197" s="271">
        <f t="shared" si="140"/>
        <v>0</v>
      </c>
    </row>
    <row r="198" spans="4:29" ht="13.5" customHeight="1" x14ac:dyDescent="0.25">
      <c r="D198" s="101" t="str">
        <f t="shared" si="131"/>
        <v>Cauliflowers and broccoli</v>
      </c>
      <c r="E198" s="270">
        <f>(ProjectedP205_Consumption!K64*OCPMarketShares!N83)</f>
        <v>1.6071241672808052E-2</v>
      </c>
      <c r="F198" s="270">
        <f>(ProjectedP205_Consumption!L64*OCPMarketShares!O83)</f>
        <v>0.15834019537764607</v>
      </c>
      <c r="G198" s="270">
        <f>(ProjectedP205_Consumption!M64*OCPMarketShares!P83)</f>
        <v>0.38760492651649919</v>
      </c>
      <c r="I198" s="31"/>
      <c r="J198" s="269">
        <f t="shared" si="120"/>
        <v>0.75</v>
      </c>
      <c r="K198" s="269">
        <f t="shared" si="121"/>
        <v>0.5</v>
      </c>
      <c r="L198" s="269">
        <f t="shared" si="122"/>
        <v>0.25</v>
      </c>
      <c r="M198" s="269">
        <f t="shared" si="123"/>
        <v>0.25</v>
      </c>
      <c r="N198" s="269">
        <f t="shared" si="124"/>
        <v>0.5</v>
      </c>
      <c r="O198" s="269">
        <f t="shared" si="125"/>
        <v>0.75</v>
      </c>
      <c r="P198" s="269">
        <f t="shared" si="126"/>
        <v>0</v>
      </c>
      <c r="Q198" s="269">
        <f t="shared" si="127"/>
        <v>0</v>
      </c>
      <c r="R198" s="269">
        <f t="shared" si="128"/>
        <v>0</v>
      </c>
      <c r="S198" s="249"/>
      <c r="T198" s="224"/>
      <c r="U198" s="271">
        <f t="shared" si="132"/>
        <v>2.6203111423056605E-2</v>
      </c>
      <c r="V198" s="271">
        <f t="shared" si="133"/>
        <v>0.1721089080191805</v>
      </c>
      <c r="W198" s="271">
        <f t="shared" si="134"/>
        <v>0.2106548513676626</v>
      </c>
      <c r="X198" s="271">
        <f t="shared" si="135"/>
        <v>8.7343704743522016E-3</v>
      </c>
      <c r="Y198" s="271">
        <f t="shared" si="136"/>
        <v>0.1721089080191805</v>
      </c>
      <c r="Z198" s="271">
        <f t="shared" si="137"/>
        <v>0.6319645541029878</v>
      </c>
      <c r="AA198" s="271">
        <f t="shared" si="138"/>
        <v>0</v>
      </c>
      <c r="AB198" s="271">
        <f t="shared" si="139"/>
        <v>0</v>
      </c>
      <c r="AC198" s="271">
        <f t="shared" si="140"/>
        <v>0</v>
      </c>
    </row>
    <row r="199" spans="4:29" ht="13.5" customHeight="1" x14ac:dyDescent="0.25">
      <c r="D199" s="101" t="str">
        <f t="shared" si="131"/>
        <v>Seed cotton, unginned</v>
      </c>
      <c r="E199" s="270">
        <f>(ProjectedP205_Consumption!K65*OCPMarketShares!N84)</f>
        <v>5.7136785671970607E-2</v>
      </c>
      <c r="F199" s="270">
        <f>(ProjectedP205_Consumption!L65*OCPMarketShares!O84)</f>
        <v>0.26303857776449013</v>
      </c>
      <c r="G199" s="270">
        <f>(ProjectedP205_Consumption!M65*OCPMarketShares!P84)</f>
        <v>0.55002930587028442</v>
      </c>
      <c r="I199" s="31"/>
      <c r="J199" s="269">
        <f t="shared" si="120"/>
        <v>0.75</v>
      </c>
      <c r="K199" s="269">
        <f t="shared" si="121"/>
        <v>0.5</v>
      </c>
      <c r="L199" s="269">
        <f t="shared" si="122"/>
        <v>0.25</v>
      </c>
      <c r="M199" s="269">
        <f t="shared" si="123"/>
        <v>0.25</v>
      </c>
      <c r="N199" s="269">
        <f t="shared" si="124"/>
        <v>0.5</v>
      </c>
      <c r="O199" s="269">
        <f t="shared" si="125"/>
        <v>0.75</v>
      </c>
      <c r="P199" s="269">
        <f t="shared" si="126"/>
        <v>0</v>
      </c>
      <c r="Q199" s="269">
        <f t="shared" si="127"/>
        <v>0</v>
      </c>
      <c r="R199" s="269">
        <f t="shared" si="128"/>
        <v>0</v>
      </c>
      <c r="S199" s="249"/>
      <c r="T199" s="224"/>
      <c r="U199" s="271">
        <f t="shared" si="132"/>
        <v>9.3157802726039018E-2</v>
      </c>
      <c r="V199" s="271">
        <f t="shared" si="133"/>
        <v>0.28591149757009798</v>
      </c>
      <c r="W199" s="271">
        <f t="shared" si="134"/>
        <v>0.29892897058167628</v>
      </c>
      <c r="X199" s="271">
        <f t="shared" si="135"/>
        <v>3.1052600908679676E-2</v>
      </c>
      <c r="Y199" s="271">
        <f t="shared" si="136"/>
        <v>0.28591149757009798</v>
      </c>
      <c r="Z199" s="271">
        <f t="shared" si="137"/>
        <v>0.89678691174502889</v>
      </c>
      <c r="AA199" s="271">
        <f t="shared" si="138"/>
        <v>0</v>
      </c>
      <c r="AB199" s="271">
        <f t="shared" si="139"/>
        <v>0</v>
      </c>
      <c r="AC199" s="271">
        <f t="shared" si="140"/>
        <v>0</v>
      </c>
    </row>
    <row r="200" spans="4:29" ht="13.5" customHeight="1" x14ac:dyDescent="0.25">
      <c r="D200" s="101" t="str">
        <f t="shared" si="131"/>
        <v>Cucumbers and gherkins</v>
      </c>
      <c r="E200" s="270">
        <f>(ProjectedP205_Consumption!K66*OCPMarketShares!N85)</f>
        <v>1.3974872119637322E-2</v>
      </c>
      <c r="F200" s="270">
        <f>(ProjectedP205_Consumption!L66*OCPMarketShares!O85)</f>
        <v>0.25153625225679188</v>
      </c>
      <c r="G200" s="270">
        <f>(ProjectedP205_Consumption!M66*OCPMarketShares!P85)</f>
        <v>0.66494347901639783</v>
      </c>
      <c r="I200" s="31"/>
      <c r="J200" s="269">
        <f t="shared" si="120"/>
        <v>0.75</v>
      </c>
      <c r="K200" s="269">
        <f t="shared" si="121"/>
        <v>0.5</v>
      </c>
      <c r="L200" s="269">
        <f t="shared" si="122"/>
        <v>0.25</v>
      </c>
      <c r="M200" s="269">
        <f t="shared" si="123"/>
        <v>0.25</v>
      </c>
      <c r="N200" s="269">
        <f t="shared" si="124"/>
        <v>0.5</v>
      </c>
      <c r="O200" s="269">
        <f t="shared" si="125"/>
        <v>0.75</v>
      </c>
      <c r="P200" s="269">
        <f t="shared" si="126"/>
        <v>0</v>
      </c>
      <c r="Q200" s="269">
        <f t="shared" si="127"/>
        <v>0</v>
      </c>
      <c r="R200" s="269">
        <f t="shared" si="128"/>
        <v>0</v>
      </c>
      <c r="S200" s="249"/>
      <c r="T200" s="224"/>
      <c r="U200" s="271">
        <f t="shared" si="132"/>
        <v>2.27851175863652E-2</v>
      </c>
      <c r="V200" s="271">
        <f t="shared" si="133"/>
        <v>0.27340896984433899</v>
      </c>
      <c r="W200" s="271">
        <f t="shared" si="134"/>
        <v>0.36138232555239014</v>
      </c>
      <c r="X200" s="271">
        <f t="shared" si="135"/>
        <v>7.5950391954550658E-3</v>
      </c>
      <c r="Y200" s="271">
        <f t="shared" si="136"/>
        <v>0.27340896984433899</v>
      </c>
      <c r="Z200" s="271">
        <f t="shared" si="137"/>
        <v>1.0841469766571703</v>
      </c>
      <c r="AA200" s="271">
        <f t="shared" si="138"/>
        <v>0</v>
      </c>
      <c r="AB200" s="271">
        <f t="shared" si="139"/>
        <v>0</v>
      </c>
      <c r="AC200" s="271">
        <f t="shared" si="140"/>
        <v>0</v>
      </c>
    </row>
    <row r="201" spans="4:29" ht="13.5" customHeight="1" x14ac:dyDescent="0.25">
      <c r="D201" s="101" t="str">
        <f t="shared" si="131"/>
        <v>Tomatoes</v>
      </c>
      <c r="E201" s="270">
        <f>(ProjectedP205_Consumption!K67*OCPMarketShares!N86)</f>
        <v>1.3718830559132426E-2</v>
      </c>
      <c r="F201" s="270">
        <f>(ProjectedP205_Consumption!L67*OCPMarketShares!O86)</f>
        <v>0.13490932144414985</v>
      </c>
      <c r="G201" s="270">
        <f>(ProjectedP205_Consumption!M67*OCPMarketShares!P86)</f>
        <v>0.32962731350707447</v>
      </c>
      <c r="I201" s="31"/>
      <c r="J201" s="269">
        <f t="shared" si="120"/>
        <v>0.75</v>
      </c>
      <c r="K201" s="269">
        <f t="shared" si="121"/>
        <v>0.5</v>
      </c>
      <c r="L201" s="269">
        <f t="shared" si="122"/>
        <v>0.25</v>
      </c>
      <c r="M201" s="269">
        <f t="shared" si="123"/>
        <v>0.25</v>
      </c>
      <c r="N201" s="269">
        <f t="shared" si="124"/>
        <v>0.5</v>
      </c>
      <c r="O201" s="269">
        <f t="shared" si="125"/>
        <v>0.75</v>
      </c>
      <c r="P201" s="269">
        <f t="shared" si="126"/>
        <v>0</v>
      </c>
      <c r="Q201" s="269">
        <f t="shared" si="127"/>
        <v>0</v>
      </c>
      <c r="R201" s="269">
        <f t="shared" si="128"/>
        <v>0</v>
      </c>
      <c r="S201" s="249"/>
      <c r="T201" s="224"/>
      <c r="U201" s="271">
        <f t="shared" si="132"/>
        <v>2.2367658520324608E-2</v>
      </c>
      <c r="V201" s="271">
        <f t="shared" si="133"/>
        <v>0.1466405667871194</v>
      </c>
      <c r="W201" s="271">
        <f t="shared" si="134"/>
        <v>0.17914527907993177</v>
      </c>
      <c r="X201" s="271">
        <f t="shared" si="135"/>
        <v>7.4558861734415355E-3</v>
      </c>
      <c r="Y201" s="271">
        <f t="shared" si="136"/>
        <v>0.1466405667871194</v>
      </c>
      <c r="Z201" s="271">
        <f t="shared" si="137"/>
        <v>0.53743583723979538</v>
      </c>
      <c r="AA201" s="271">
        <f t="shared" si="138"/>
        <v>0</v>
      </c>
      <c r="AB201" s="271">
        <f t="shared" si="139"/>
        <v>0</v>
      </c>
      <c r="AC201" s="271">
        <f t="shared" si="140"/>
        <v>0</v>
      </c>
    </row>
    <row r="202" spans="4:29" ht="13.5" customHeight="1" x14ac:dyDescent="0.25">
      <c r="D202" s="101" t="str">
        <f t="shared" si="131"/>
        <v>Potatoes</v>
      </c>
      <c r="E202" s="270">
        <f>(ProjectedP205_Consumption!K68*OCPMarketShares!N87)</f>
        <v>1.2745815563605762E-2</v>
      </c>
      <c r="F202" s="270">
        <f>(ProjectedP205_Consumption!L68*OCPMarketShares!O87)</f>
        <v>0.14001123251658651</v>
      </c>
      <c r="G202" s="270">
        <f>(ProjectedP205_Consumption!M68*OCPMarketShares!P87)</f>
        <v>0.34643403844516552</v>
      </c>
      <c r="I202" s="31"/>
      <c r="J202" s="269">
        <f t="shared" si="120"/>
        <v>0.75</v>
      </c>
      <c r="K202" s="269">
        <f t="shared" si="121"/>
        <v>0.5</v>
      </c>
      <c r="L202" s="269">
        <f t="shared" si="122"/>
        <v>0.25</v>
      </c>
      <c r="M202" s="269">
        <f t="shared" si="123"/>
        <v>0.25</v>
      </c>
      <c r="N202" s="269">
        <f t="shared" si="124"/>
        <v>0.5</v>
      </c>
      <c r="O202" s="269">
        <f t="shared" si="125"/>
        <v>0.75</v>
      </c>
      <c r="P202" s="269">
        <f t="shared" si="126"/>
        <v>0</v>
      </c>
      <c r="Q202" s="269">
        <f t="shared" si="127"/>
        <v>0</v>
      </c>
      <c r="R202" s="269">
        <f t="shared" si="128"/>
        <v>0</v>
      </c>
      <c r="S202" s="249"/>
      <c r="T202" s="224"/>
      <c r="U202" s="271">
        <f t="shared" si="132"/>
        <v>2.0781221027618091E-2</v>
      </c>
      <c r="V202" s="271">
        <f t="shared" si="133"/>
        <v>0.15218612230063749</v>
      </c>
      <c r="W202" s="271">
        <f t="shared" si="134"/>
        <v>0.18827936872019865</v>
      </c>
      <c r="X202" s="271">
        <f t="shared" si="135"/>
        <v>6.9270736758726961E-3</v>
      </c>
      <c r="Y202" s="271">
        <f t="shared" si="136"/>
        <v>0.15218612230063749</v>
      </c>
      <c r="Z202" s="271">
        <f t="shared" si="137"/>
        <v>0.56483810616059582</v>
      </c>
      <c r="AA202" s="271">
        <f t="shared" si="138"/>
        <v>0</v>
      </c>
      <c r="AB202" s="271">
        <f t="shared" si="139"/>
        <v>0</v>
      </c>
      <c r="AC202" s="271">
        <f t="shared" si="140"/>
        <v>0</v>
      </c>
    </row>
    <row r="203" spans="4:29" ht="13.5" customHeight="1" x14ac:dyDescent="0.25">
      <c r="D203" s="101" t="str">
        <f t="shared" si="131"/>
        <v>Pumpkins, squash and gourds</v>
      </c>
      <c r="E203" s="270">
        <f>(ProjectedP205_Consumption!K69*OCPMarketShares!N88)</f>
        <v>1.2114204361753964E-2</v>
      </c>
      <c r="F203" s="270">
        <f>(ProjectedP205_Consumption!L69*OCPMarketShares!O88)</f>
        <v>6.4292899187758545E-2</v>
      </c>
      <c r="G203" s="270">
        <f>(ProjectedP205_Consumption!M69*OCPMarketShares!P88)</f>
        <v>0.13811027542114201</v>
      </c>
      <c r="I203" s="31"/>
      <c r="J203" s="269">
        <f t="shared" si="120"/>
        <v>0.75</v>
      </c>
      <c r="K203" s="269">
        <f t="shared" si="121"/>
        <v>0.5</v>
      </c>
      <c r="L203" s="269">
        <f t="shared" si="122"/>
        <v>0.25</v>
      </c>
      <c r="M203" s="269">
        <f t="shared" si="123"/>
        <v>0.25</v>
      </c>
      <c r="N203" s="269">
        <f t="shared" si="124"/>
        <v>0.5</v>
      </c>
      <c r="O203" s="269">
        <f t="shared" si="125"/>
        <v>0.75</v>
      </c>
      <c r="P203" s="269">
        <f t="shared" si="126"/>
        <v>0</v>
      </c>
      <c r="Q203" s="269">
        <f t="shared" si="127"/>
        <v>0</v>
      </c>
      <c r="R203" s="269">
        <f t="shared" si="128"/>
        <v>0</v>
      </c>
      <c r="S203" s="249"/>
      <c r="T203" s="221"/>
      <c r="U203" s="271">
        <f t="shared" si="132"/>
        <v>1.9751420155033634E-2</v>
      </c>
      <c r="V203" s="271">
        <f t="shared" si="133"/>
        <v>6.9883586073650583E-2</v>
      </c>
      <c r="W203" s="271">
        <f t="shared" si="134"/>
        <v>7.5059932294098922E-2</v>
      </c>
      <c r="X203" s="271">
        <f t="shared" si="135"/>
        <v>6.5838067183445455E-3</v>
      </c>
      <c r="Y203" s="271">
        <f t="shared" si="136"/>
        <v>6.9883586073650583E-2</v>
      </c>
      <c r="Z203" s="271">
        <f t="shared" si="137"/>
        <v>0.22517979688229675</v>
      </c>
      <c r="AA203" s="271">
        <f t="shared" si="138"/>
        <v>0</v>
      </c>
      <c r="AB203" s="271">
        <f t="shared" si="139"/>
        <v>0</v>
      </c>
      <c r="AC203" s="271">
        <f t="shared" si="140"/>
        <v>0</v>
      </c>
    </row>
    <row r="204" spans="4:29" ht="13.5" customHeight="1" x14ac:dyDescent="0.25">
      <c r="D204" s="101" t="str">
        <f t="shared" si="131"/>
        <v>Dates</v>
      </c>
      <c r="E204" s="270">
        <f>(ProjectedP205_Consumption!K70*OCPMarketShares!N89)</f>
        <v>1.2241397312707784E-2</v>
      </c>
      <c r="F204" s="270">
        <f>(ProjectedP205_Consumption!L70*OCPMarketShares!O89)</f>
        <v>0.12094091244765727</v>
      </c>
      <c r="G204" s="270">
        <f>(ProjectedP205_Consumption!M70*OCPMarketShares!P89)</f>
        <v>0.29687378881602461</v>
      </c>
      <c r="I204" s="31"/>
      <c r="J204" s="269">
        <f t="shared" si="120"/>
        <v>0.75</v>
      </c>
      <c r="K204" s="269">
        <f t="shared" si="121"/>
        <v>0.5</v>
      </c>
      <c r="L204" s="269">
        <f t="shared" si="122"/>
        <v>0.25</v>
      </c>
      <c r="M204" s="269">
        <f t="shared" si="123"/>
        <v>0.25</v>
      </c>
      <c r="N204" s="269">
        <f t="shared" si="124"/>
        <v>0.5</v>
      </c>
      <c r="O204" s="269">
        <f t="shared" si="125"/>
        <v>0.75</v>
      </c>
      <c r="P204" s="269">
        <f t="shared" si="126"/>
        <v>0</v>
      </c>
      <c r="Q204" s="269">
        <f t="shared" si="127"/>
        <v>0</v>
      </c>
      <c r="R204" s="269">
        <f t="shared" si="128"/>
        <v>0</v>
      </c>
      <c r="S204" s="249"/>
      <c r="T204" s="221"/>
      <c r="U204" s="271">
        <f t="shared" si="132"/>
        <v>1.9958799966371385E-2</v>
      </c>
      <c r="V204" s="271">
        <f t="shared" si="133"/>
        <v>0.13145751353006224</v>
      </c>
      <c r="W204" s="271">
        <f t="shared" si="134"/>
        <v>0.16134445044349163</v>
      </c>
      <c r="X204" s="271">
        <f t="shared" si="135"/>
        <v>6.6529333221237953E-3</v>
      </c>
      <c r="Y204" s="271">
        <f t="shared" si="136"/>
        <v>0.13145751353006224</v>
      </c>
      <c r="Z204" s="271">
        <f t="shared" si="137"/>
        <v>0.48403335133047487</v>
      </c>
      <c r="AA204" s="271">
        <f t="shared" si="138"/>
        <v>0</v>
      </c>
      <c r="AB204" s="271">
        <f t="shared" si="139"/>
        <v>0</v>
      </c>
      <c r="AC204" s="271">
        <f t="shared" si="140"/>
        <v>0</v>
      </c>
    </row>
    <row r="205" spans="4:29" ht="13.5" customHeight="1" x14ac:dyDescent="0.25">
      <c r="D205" s="101" t="str">
        <f t="shared" si="131"/>
        <v>Pomelos and grapefruits</v>
      </c>
      <c r="E205" s="270">
        <f>(ProjectedP205_Consumption!K71*OCPMarketShares!N90)</f>
        <v>1.1583623138969251E-2</v>
      </c>
      <c r="F205" s="270">
        <f>(ProjectedP205_Consumption!L71*OCPMarketShares!O90)</f>
        <v>0.1178597770966376</v>
      </c>
      <c r="G205" s="270">
        <f>(ProjectedP205_Consumption!M71*OCPMarketShares!P90)</f>
        <v>0.29794985492886716</v>
      </c>
      <c r="I205" s="31"/>
      <c r="J205" s="269">
        <f t="shared" si="120"/>
        <v>0.75</v>
      </c>
      <c r="K205" s="269">
        <f t="shared" si="121"/>
        <v>0.5</v>
      </c>
      <c r="L205" s="269">
        <f t="shared" si="122"/>
        <v>0.25</v>
      </c>
      <c r="M205" s="269">
        <f t="shared" si="123"/>
        <v>0.25</v>
      </c>
      <c r="N205" s="269">
        <f t="shared" si="124"/>
        <v>0.5</v>
      </c>
      <c r="O205" s="269">
        <f t="shared" si="125"/>
        <v>0.75</v>
      </c>
      <c r="P205" s="269">
        <f t="shared" si="126"/>
        <v>0</v>
      </c>
      <c r="Q205" s="269">
        <f t="shared" si="127"/>
        <v>0</v>
      </c>
      <c r="R205" s="269">
        <f t="shared" si="128"/>
        <v>0</v>
      </c>
      <c r="S205" s="249"/>
      <c r="T205" s="221"/>
      <c r="U205" s="271">
        <f t="shared" si="132"/>
        <v>1.8886342074406384E-2</v>
      </c>
      <c r="V205" s="271">
        <f t="shared" si="133"/>
        <v>0.12810845336591042</v>
      </c>
      <c r="W205" s="271">
        <f t="shared" si="134"/>
        <v>0.16192926898307997</v>
      </c>
      <c r="X205" s="271">
        <f t="shared" si="135"/>
        <v>6.2954473581354623E-3</v>
      </c>
      <c r="Y205" s="271">
        <f t="shared" si="136"/>
        <v>0.12810845336591042</v>
      </c>
      <c r="Z205" s="271">
        <f t="shared" si="137"/>
        <v>0.4857878069492399</v>
      </c>
      <c r="AA205" s="271">
        <f t="shared" si="138"/>
        <v>0</v>
      </c>
      <c r="AB205" s="271">
        <f t="shared" si="139"/>
        <v>0</v>
      </c>
      <c r="AC205" s="271">
        <f t="shared" si="140"/>
        <v>0</v>
      </c>
    </row>
    <row r="206" spans="4:29" ht="13.5" customHeight="1" x14ac:dyDescent="0.25">
      <c r="D206" s="101" t="str">
        <f t="shared" si="131"/>
        <v>Okra</v>
      </c>
      <c r="E206" s="270">
        <f>(ProjectedP205_Consumption!K72*OCPMarketShares!N91)</f>
        <v>1.0199912681546712E-2</v>
      </c>
      <c r="F206" s="270">
        <f>(ProjectedP205_Consumption!L72*OCPMarketShares!O91)</f>
        <v>0.10008148989098105</v>
      </c>
      <c r="G206" s="270">
        <f>(ProjectedP205_Consumption!M72*OCPMarketShares!P91)</f>
        <v>0.24398742148823452</v>
      </c>
      <c r="I206" s="31"/>
      <c r="J206" s="269">
        <f t="shared" si="120"/>
        <v>0.75</v>
      </c>
      <c r="K206" s="269">
        <f t="shared" si="121"/>
        <v>0.5</v>
      </c>
      <c r="L206" s="269">
        <f t="shared" si="122"/>
        <v>0.25</v>
      </c>
      <c r="M206" s="269">
        <f t="shared" si="123"/>
        <v>0.25</v>
      </c>
      <c r="N206" s="269">
        <f t="shared" si="124"/>
        <v>0.5</v>
      </c>
      <c r="O206" s="269">
        <f t="shared" si="125"/>
        <v>0.75</v>
      </c>
      <c r="P206" s="269">
        <f t="shared" si="126"/>
        <v>0</v>
      </c>
      <c r="Q206" s="269">
        <f t="shared" si="127"/>
        <v>0</v>
      </c>
      <c r="R206" s="269">
        <f t="shared" si="128"/>
        <v>0</v>
      </c>
      <c r="S206" s="249"/>
      <c r="T206" s="221"/>
      <c r="U206" s="271">
        <f t="shared" si="132"/>
        <v>1.6630292415565288E-2</v>
      </c>
      <c r="V206" s="271">
        <f t="shared" si="133"/>
        <v>0.1087842281423707</v>
      </c>
      <c r="W206" s="271">
        <f t="shared" si="134"/>
        <v>0.13260185950447528</v>
      </c>
      <c r="X206" s="271">
        <f t="shared" si="135"/>
        <v>5.5434308051884301E-3</v>
      </c>
      <c r="Y206" s="271">
        <f t="shared" si="136"/>
        <v>0.1087842281423707</v>
      </c>
      <c r="Z206" s="271">
        <f t="shared" si="137"/>
        <v>0.39780557851342585</v>
      </c>
      <c r="AA206" s="271">
        <f t="shared" si="138"/>
        <v>0</v>
      </c>
      <c r="AB206" s="271">
        <f t="shared" si="139"/>
        <v>0</v>
      </c>
      <c r="AC206" s="271">
        <f t="shared" si="140"/>
        <v>0</v>
      </c>
    </row>
    <row r="207" spans="4:29" ht="13.5" customHeight="1" x14ac:dyDescent="0.25">
      <c r="D207" s="101" t="str">
        <f t="shared" si="131"/>
        <v>Lemons and limes</v>
      </c>
      <c r="E207" s="270">
        <f>(ProjectedP205_Consumption!K73*OCPMarketShares!N92)</f>
        <v>1.1328719940522283E-2</v>
      </c>
      <c r="F207" s="270">
        <f>(ProjectedP205_Consumption!L73*OCPMarketShares!O92)</f>
        <v>0.11438033010321544</v>
      </c>
      <c r="G207" s="270">
        <f>(ProjectedP205_Consumption!M73*OCPMarketShares!P92)</f>
        <v>0.2869314927993365</v>
      </c>
      <c r="I207" s="31"/>
      <c r="J207" s="269">
        <f t="shared" si="120"/>
        <v>0.75</v>
      </c>
      <c r="K207" s="269">
        <f t="shared" si="121"/>
        <v>0.5</v>
      </c>
      <c r="L207" s="269">
        <f t="shared" si="122"/>
        <v>0.25</v>
      </c>
      <c r="M207" s="269">
        <f t="shared" si="123"/>
        <v>0.25</v>
      </c>
      <c r="N207" s="269">
        <f t="shared" si="124"/>
        <v>0.5</v>
      </c>
      <c r="O207" s="269">
        <f t="shared" si="125"/>
        <v>0.75</v>
      </c>
      <c r="P207" s="269">
        <f t="shared" si="126"/>
        <v>0</v>
      </c>
      <c r="Q207" s="269">
        <f t="shared" si="127"/>
        <v>0</v>
      </c>
      <c r="R207" s="269">
        <f t="shared" si="128"/>
        <v>0</v>
      </c>
      <c r="S207" s="249"/>
      <c r="T207" s="221"/>
      <c r="U207" s="271">
        <f t="shared" si="132"/>
        <v>1.8470739033460241E-2</v>
      </c>
      <c r="V207" s="271">
        <f t="shared" si="133"/>
        <v>0.12432644576436461</v>
      </c>
      <c r="W207" s="271">
        <f t="shared" si="134"/>
        <v>0.15594102869529156</v>
      </c>
      <c r="X207" s="271">
        <f t="shared" si="135"/>
        <v>6.1569130111534141E-3</v>
      </c>
      <c r="Y207" s="271">
        <f t="shared" si="136"/>
        <v>0.12432644576436461</v>
      </c>
      <c r="Z207" s="271">
        <f t="shared" si="137"/>
        <v>0.4678230860858747</v>
      </c>
      <c r="AA207" s="271">
        <f t="shared" si="138"/>
        <v>0</v>
      </c>
      <c r="AB207" s="271">
        <f t="shared" si="139"/>
        <v>0</v>
      </c>
      <c r="AC207" s="271">
        <f t="shared" si="140"/>
        <v>0</v>
      </c>
    </row>
    <row r="208" spans="4:29" ht="13.5" customHeight="1" x14ac:dyDescent="0.25">
      <c r="D208" s="101" t="str">
        <f t="shared" si="131"/>
        <v>Green garlic</v>
      </c>
      <c r="E208" s="270">
        <f>(ProjectedP205_Consumption!K74*OCPMarketShares!N93)</f>
        <v>1.2488357160844048E-2</v>
      </c>
      <c r="F208" s="270">
        <f>(ProjectedP205_Consumption!L74*OCPMarketShares!O93)</f>
        <v>0.13181098441293404</v>
      </c>
      <c r="G208" s="270">
        <f>(ProjectedP205_Consumption!M74*OCPMarketShares!P93)</f>
        <v>0.34566408930352027</v>
      </c>
      <c r="I208" s="31"/>
      <c r="J208" s="269">
        <f t="shared" si="120"/>
        <v>0.75</v>
      </c>
      <c r="K208" s="269">
        <f t="shared" si="121"/>
        <v>0.5</v>
      </c>
      <c r="L208" s="269">
        <f t="shared" si="122"/>
        <v>0.25</v>
      </c>
      <c r="M208" s="269">
        <f t="shared" si="123"/>
        <v>0.25</v>
      </c>
      <c r="N208" s="269">
        <f t="shared" si="124"/>
        <v>0.5</v>
      </c>
      <c r="O208" s="269">
        <f t="shared" si="125"/>
        <v>0.75</v>
      </c>
      <c r="P208" s="269">
        <f t="shared" si="126"/>
        <v>0</v>
      </c>
      <c r="Q208" s="269">
        <f t="shared" si="127"/>
        <v>0</v>
      </c>
      <c r="R208" s="269">
        <f t="shared" si="128"/>
        <v>0</v>
      </c>
      <c r="S208" s="249"/>
      <c r="T208" s="221"/>
      <c r="U208" s="271">
        <f t="shared" si="132"/>
        <v>2.0361451892680512E-2</v>
      </c>
      <c r="V208" s="271">
        <f t="shared" si="133"/>
        <v>0.14327280914449353</v>
      </c>
      <c r="W208" s="271">
        <f t="shared" si="134"/>
        <v>0.18786091809973926</v>
      </c>
      <c r="X208" s="271">
        <f t="shared" si="135"/>
        <v>6.7871506308935046E-3</v>
      </c>
      <c r="Y208" s="271">
        <f t="shared" si="136"/>
        <v>0.14327280914449353</v>
      </c>
      <c r="Z208" s="271">
        <f t="shared" si="137"/>
        <v>0.56358275429921778</v>
      </c>
      <c r="AA208" s="271">
        <f t="shared" si="138"/>
        <v>0</v>
      </c>
      <c r="AB208" s="271">
        <f t="shared" si="139"/>
        <v>0</v>
      </c>
      <c r="AC208" s="271">
        <f t="shared" si="140"/>
        <v>0</v>
      </c>
    </row>
    <row r="209" spans="2:29" ht="13.5" customHeight="1" x14ac:dyDescent="0.25">
      <c r="D209" s="101" t="str">
        <f t="shared" si="131"/>
        <v>Sweet potatoes</v>
      </c>
      <c r="E209" s="270">
        <f>(ProjectedP205_Consumption!K75*OCPMarketShares!N94)</f>
        <v>9.6092721465429812E-3</v>
      </c>
      <c r="F209" s="270">
        <f>(ProjectedP205_Consumption!L75*OCPMarketShares!O94)</f>
        <v>0.10579510807910972</v>
      </c>
      <c r="G209" s="270">
        <f>(ProjectedP205_Consumption!M75*OCPMarketShares!P94)</f>
        <v>0.26236331443681526</v>
      </c>
      <c r="I209" s="31"/>
      <c r="J209" s="269">
        <f t="shared" si="120"/>
        <v>0.75</v>
      </c>
      <c r="K209" s="269">
        <f t="shared" si="121"/>
        <v>0.5</v>
      </c>
      <c r="L209" s="269">
        <f t="shared" si="122"/>
        <v>0.25</v>
      </c>
      <c r="M209" s="269">
        <f t="shared" si="123"/>
        <v>0.25</v>
      </c>
      <c r="N209" s="269">
        <f t="shared" si="124"/>
        <v>0.5</v>
      </c>
      <c r="O209" s="269">
        <f t="shared" si="125"/>
        <v>0.75</v>
      </c>
      <c r="P209" s="269">
        <f t="shared" si="126"/>
        <v>0</v>
      </c>
      <c r="Q209" s="269">
        <f t="shared" si="127"/>
        <v>0</v>
      </c>
      <c r="R209" s="269">
        <f t="shared" si="128"/>
        <v>0</v>
      </c>
      <c r="S209" s="249"/>
      <c r="T209" s="221"/>
      <c r="U209" s="271">
        <f t="shared" si="132"/>
        <v>1.5667291543276601E-2</v>
      </c>
      <c r="V209" s="271">
        <f t="shared" si="133"/>
        <v>0.11499468269468448</v>
      </c>
      <c r="W209" s="271">
        <f t="shared" si="134"/>
        <v>0.14258875784609526</v>
      </c>
      <c r="X209" s="271">
        <f t="shared" si="135"/>
        <v>5.2224305144255327E-3</v>
      </c>
      <c r="Y209" s="271">
        <f t="shared" si="136"/>
        <v>0.11499468269468448</v>
      </c>
      <c r="Z209" s="271">
        <f t="shared" si="137"/>
        <v>0.42776627353828572</v>
      </c>
      <c r="AA209" s="271">
        <f t="shared" si="138"/>
        <v>0</v>
      </c>
      <c r="AB209" s="271">
        <f t="shared" si="139"/>
        <v>0</v>
      </c>
      <c r="AC209" s="271">
        <f t="shared" si="140"/>
        <v>0</v>
      </c>
    </row>
    <row r="210" spans="2:29" ht="13.5" customHeight="1" x14ac:dyDescent="0.25">
      <c r="D210" s="101" t="str">
        <f t="shared" si="131"/>
        <v>Other pulses n.e.c.</v>
      </c>
      <c r="E210" s="270">
        <f>(ProjectedP205_Consumption!K76*OCPMarketShares!N95)</f>
        <v>7.9254630833437603E-2</v>
      </c>
      <c r="F210" s="270">
        <f>(ProjectedP205_Consumption!L76*OCPMarketShares!O95)</f>
        <v>0.32262780813891212</v>
      </c>
      <c r="G210" s="270">
        <f>(ProjectedP205_Consumption!M76*OCPMarketShares!P95)</f>
        <v>0.63349120657659796</v>
      </c>
      <c r="I210" s="31"/>
      <c r="J210" s="269">
        <f t="shared" si="120"/>
        <v>0.75</v>
      </c>
      <c r="K210" s="269">
        <f t="shared" si="121"/>
        <v>0.5</v>
      </c>
      <c r="L210" s="269">
        <f t="shared" si="122"/>
        <v>0.25</v>
      </c>
      <c r="M210" s="269">
        <f t="shared" si="123"/>
        <v>0.25</v>
      </c>
      <c r="N210" s="269">
        <f t="shared" si="124"/>
        <v>0.5</v>
      </c>
      <c r="O210" s="269">
        <f t="shared" si="125"/>
        <v>0.75</v>
      </c>
      <c r="P210" s="269">
        <f t="shared" si="126"/>
        <v>0</v>
      </c>
      <c r="Q210" s="269">
        <f t="shared" si="127"/>
        <v>0</v>
      </c>
      <c r="R210" s="269">
        <f t="shared" si="128"/>
        <v>0</v>
      </c>
      <c r="S210" s="249"/>
      <c r="T210" s="221"/>
      <c r="U210" s="271">
        <f t="shared" si="132"/>
        <v>0.12921950679364827</v>
      </c>
      <c r="V210" s="271">
        <f t="shared" si="133"/>
        <v>0.35068240015099145</v>
      </c>
      <c r="W210" s="271">
        <f t="shared" si="134"/>
        <v>0.34428869922641192</v>
      </c>
      <c r="X210" s="271">
        <f t="shared" si="135"/>
        <v>4.3073168931216085E-2</v>
      </c>
      <c r="Y210" s="271">
        <f t="shared" si="136"/>
        <v>0.35068240015099145</v>
      </c>
      <c r="Z210" s="271">
        <f t="shared" si="137"/>
        <v>1.0328660976792359</v>
      </c>
      <c r="AA210" s="271">
        <f t="shared" si="138"/>
        <v>0</v>
      </c>
      <c r="AB210" s="271">
        <f t="shared" si="139"/>
        <v>0</v>
      </c>
      <c r="AC210" s="271">
        <f t="shared" si="140"/>
        <v>0</v>
      </c>
    </row>
    <row r="211" spans="2:29" ht="13.5" customHeight="1" x14ac:dyDescent="0.25">
      <c r="D211" s="101" t="str">
        <f t="shared" si="131"/>
        <v>Other vegetables, fresh n.e.c.</v>
      </c>
      <c r="E211" s="270">
        <f>(ProjectedP205_Consumption!K77*OCPMarketShares!N96)</f>
        <v>8.3942794673418607E-3</v>
      </c>
      <c r="F211" s="270">
        <f>(ProjectedP205_Consumption!L77*OCPMarketShares!O96)</f>
        <v>8.2343316219688614E-2</v>
      </c>
      <c r="G211" s="270">
        <f>(ProjectedP205_Consumption!M77*OCPMarketShares!P96)</f>
        <v>0.20069181016853838</v>
      </c>
      <c r="I211" s="31"/>
      <c r="J211" s="269">
        <f t="shared" si="120"/>
        <v>0.75</v>
      </c>
      <c r="K211" s="269">
        <f t="shared" si="121"/>
        <v>0.5</v>
      </c>
      <c r="L211" s="269">
        <f t="shared" si="122"/>
        <v>0.25</v>
      </c>
      <c r="M211" s="269">
        <f t="shared" si="123"/>
        <v>0.25</v>
      </c>
      <c r="N211" s="269">
        <f t="shared" si="124"/>
        <v>0.5</v>
      </c>
      <c r="O211" s="269">
        <f t="shared" si="125"/>
        <v>0.75</v>
      </c>
      <c r="P211" s="269">
        <f t="shared" si="126"/>
        <v>0</v>
      </c>
      <c r="Q211" s="269">
        <f t="shared" si="127"/>
        <v>0</v>
      </c>
      <c r="R211" s="269">
        <f t="shared" si="128"/>
        <v>0</v>
      </c>
      <c r="S211" s="249"/>
      <c r="T211" s="221"/>
      <c r="U211" s="271">
        <f t="shared" si="132"/>
        <v>1.3686325218492163E-2</v>
      </c>
      <c r="V211" s="271">
        <f t="shared" si="133"/>
        <v>8.950360458661806E-2</v>
      </c>
      <c r="W211" s="271">
        <f t="shared" si="134"/>
        <v>0.10907163596116215</v>
      </c>
      <c r="X211" s="271">
        <f t="shared" si="135"/>
        <v>4.5621084061640543E-3</v>
      </c>
      <c r="Y211" s="271">
        <f t="shared" si="136"/>
        <v>8.950360458661806E-2</v>
      </c>
      <c r="Z211" s="271">
        <f t="shared" si="137"/>
        <v>0.32721490788348645</v>
      </c>
      <c r="AA211" s="271">
        <f t="shared" si="138"/>
        <v>0</v>
      </c>
      <c r="AB211" s="271">
        <f t="shared" si="139"/>
        <v>0</v>
      </c>
      <c r="AC211" s="271">
        <f t="shared" si="140"/>
        <v>0</v>
      </c>
    </row>
    <row r="212" spans="2:29" ht="13.5" customHeight="1" x14ac:dyDescent="0.25">
      <c r="D212" s="101" t="str">
        <f t="shared" si="131"/>
        <v>Other fruits, n.e.c.</v>
      </c>
      <c r="E212" s="270">
        <f>(ProjectedP205_Consumption!K78*OCPMarketShares!N97)</f>
        <v>8.3645433808291151E-3</v>
      </c>
      <c r="F212" s="270">
        <f>(ProjectedP205_Consumption!L78*OCPMarketShares!O97)</f>
        <v>8.1997502578778386E-2</v>
      </c>
      <c r="G212" s="270">
        <f>(ProjectedP205_Consumption!M78*OCPMarketShares!P97)</f>
        <v>0.19971715908084731</v>
      </c>
      <c r="I212" s="31"/>
      <c r="J212" s="269">
        <f t="shared" si="120"/>
        <v>0.75</v>
      </c>
      <c r="K212" s="269">
        <f t="shared" si="121"/>
        <v>0.5</v>
      </c>
      <c r="L212" s="269">
        <f t="shared" si="122"/>
        <v>0.25</v>
      </c>
      <c r="M212" s="269">
        <f t="shared" si="123"/>
        <v>0.25</v>
      </c>
      <c r="N212" s="269">
        <f t="shared" si="124"/>
        <v>0.5</v>
      </c>
      <c r="O212" s="269">
        <f t="shared" si="125"/>
        <v>0.75</v>
      </c>
      <c r="P212" s="269">
        <f t="shared" si="126"/>
        <v>0</v>
      </c>
      <c r="Q212" s="269">
        <f t="shared" si="127"/>
        <v>0</v>
      </c>
      <c r="R212" s="269">
        <f t="shared" si="128"/>
        <v>0</v>
      </c>
      <c r="S212" s="249"/>
      <c r="T212" s="221"/>
      <c r="U212" s="271">
        <f t="shared" si="132"/>
        <v>1.3637842468743123E-2</v>
      </c>
      <c r="V212" s="271">
        <f t="shared" si="133"/>
        <v>8.9127720194324328E-2</v>
      </c>
      <c r="W212" s="271">
        <f t="shared" si="134"/>
        <v>0.10854193428306919</v>
      </c>
      <c r="X212" s="271">
        <f t="shared" si="135"/>
        <v>4.5459474895810405E-3</v>
      </c>
      <c r="Y212" s="271">
        <f t="shared" si="136"/>
        <v>8.9127720194324328E-2</v>
      </c>
      <c r="Z212" s="271">
        <f t="shared" si="137"/>
        <v>0.32562580284920756</v>
      </c>
      <c r="AA212" s="271">
        <f t="shared" si="138"/>
        <v>0</v>
      </c>
      <c r="AB212" s="271">
        <f t="shared" si="139"/>
        <v>0</v>
      </c>
      <c r="AC212" s="271">
        <f t="shared" si="140"/>
        <v>0</v>
      </c>
    </row>
    <row r="213" spans="2:29" ht="13.5" customHeight="1" x14ac:dyDescent="0.25">
      <c r="D213" s="101" t="str">
        <f t="shared" si="131"/>
        <v>Broad beans and horse beans, dry</v>
      </c>
      <c r="E213" s="270">
        <f>(ProjectedP205_Consumption!K79*OCPMarketShares!N98)</f>
        <v>6.7153550999894335E-3</v>
      </c>
      <c r="F213" s="270">
        <f>(ProjectedP205_Consumption!L79*OCPMarketShares!O98)</f>
        <v>4.0761843810556704E-2</v>
      </c>
      <c r="G213" s="270">
        <f>(ProjectedP205_Consumption!M79*OCPMarketShares!P98)</f>
        <v>9.2217643861919135E-2</v>
      </c>
      <c r="I213" s="31"/>
      <c r="J213" s="269">
        <f t="shared" si="120"/>
        <v>0.75</v>
      </c>
      <c r="K213" s="269">
        <f t="shared" si="121"/>
        <v>0.5</v>
      </c>
      <c r="L213" s="269">
        <f t="shared" si="122"/>
        <v>0.25</v>
      </c>
      <c r="M213" s="269">
        <f t="shared" si="123"/>
        <v>0.25</v>
      </c>
      <c r="N213" s="269">
        <f t="shared" si="124"/>
        <v>0.5</v>
      </c>
      <c r="O213" s="269">
        <f t="shared" si="125"/>
        <v>0.75</v>
      </c>
      <c r="P213" s="269">
        <f t="shared" si="126"/>
        <v>0</v>
      </c>
      <c r="Q213" s="269">
        <f t="shared" si="127"/>
        <v>0</v>
      </c>
      <c r="R213" s="269">
        <f t="shared" si="128"/>
        <v>0</v>
      </c>
      <c r="S213" s="249"/>
      <c r="T213" s="221"/>
      <c r="U213" s="271">
        <f t="shared" si="132"/>
        <v>1.0948948532591467E-2</v>
      </c>
      <c r="V213" s="271">
        <f t="shared" si="133"/>
        <v>4.4306351967996413E-2</v>
      </c>
      <c r="W213" s="271">
        <f t="shared" si="134"/>
        <v>5.0118284707564742E-2</v>
      </c>
      <c r="X213" s="271">
        <f t="shared" si="135"/>
        <v>3.6496495108638222E-3</v>
      </c>
      <c r="Y213" s="271">
        <f t="shared" si="136"/>
        <v>4.4306351967996413E-2</v>
      </c>
      <c r="Z213" s="271">
        <f t="shared" si="137"/>
        <v>0.15035485412269425</v>
      </c>
      <c r="AA213" s="271">
        <f t="shared" si="138"/>
        <v>0</v>
      </c>
      <c r="AB213" s="271">
        <f t="shared" si="139"/>
        <v>0</v>
      </c>
      <c r="AC213" s="271">
        <f t="shared" si="140"/>
        <v>0</v>
      </c>
    </row>
    <row r="214" spans="2:29" ht="13.5" customHeight="1" x14ac:dyDescent="0.25">
      <c r="D214" s="101" t="str">
        <f t="shared" si="131"/>
        <v>Chick peas, dry</v>
      </c>
      <c r="E214" s="270">
        <f>(ProjectedP205_Consumption!K80*OCPMarketShares!N99)</f>
        <v>5.4028663379429159E-3</v>
      </c>
      <c r="F214" s="270">
        <f>(ProjectedP205_Consumption!L80*OCPMarketShares!O99)</f>
        <v>3.3634910054781045E-2</v>
      </c>
      <c r="G214" s="270">
        <f>(ProjectedP205_Consumption!M80*OCPMarketShares!P99)</f>
        <v>7.8042591292517491E-2</v>
      </c>
      <c r="I214" s="31"/>
      <c r="J214" s="269">
        <f t="shared" si="120"/>
        <v>0.75</v>
      </c>
      <c r="K214" s="269">
        <f t="shared" si="121"/>
        <v>0.5</v>
      </c>
      <c r="L214" s="269">
        <f t="shared" si="122"/>
        <v>0.25</v>
      </c>
      <c r="M214" s="269">
        <f t="shared" si="123"/>
        <v>0.25</v>
      </c>
      <c r="N214" s="269">
        <f t="shared" si="124"/>
        <v>0.5</v>
      </c>
      <c r="O214" s="269">
        <f t="shared" si="125"/>
        <v>0.75</v>
      </c>
      <c r="P214" s="269">
        <f t="shared" si="126"/>
        <v>0</v>
      </c>
      <c r="Q214" s="269">
        <f t="shared" si="127"/>
        <v>0</v>
      </c>
      <c r="R214" s="269">
        <f t="shared" si="128"/>
        <v>0</v>
      </c>
      <c r="S214" s="249"/>
      <c r="T214" s="221"/>
      <c r="U214" s="271">
        <f t="shared" si="132"/>
        <v>8.809021203167797E-3</v>
      </c>
      <c r="V214" s="271">
        <f t="shared" si="133"/>
        <v>3.6559684842153307E-2</v>
      </c>
      <c r="W214" s="271">
        <f t="shared" si="134"/>
        <v>4.2414451789411681E-2</v>
      </c>
      <c r="X214" s="271">
        <f t="shared" si="135"/>
        <v>2.9363404010559323E-3</v>
      </c>
      <c r="Y214" s="271">
        <f t="shared" si="136"/>
        <v>3.6559684842153307E-2</v>
      </c>
      <c r="Z214" s="271">
        <f t="shared" si="137"/>
        <v>0.12724335536823503</v>
      </c>
      <c r="AA214" s="271">
        <f t="shared" si="138"/>
        <v>0</v>
      </c>
      <c r="AB214" s="271">
        <f t="shared" si="139"/>
        <v>0</v>
      </c>
      <c r="AC214" s="271">
        <f t="shared" si="140"/>
        <v>0</v>
      </c>
    </row>
    <row r="215" spans="2:29" ht="13.5" customHeight="1" thickBot="1" x14ac:dyDescent="0.3">
      <c r="D215" s="101" t="str">
        <f t="shared" si="131"/>
        <v>Beans, dry</v>
      </c>
      <c r="E215" s="270">
        <f>(ProjectedP205_Consumption!K81*OCPMarketShares!N100)</f>
        <v>6.1083210292734759E-3</v>
      </c>
      <c r="F215" s="270">
        <f>(ProjectedP205_Consumption!L81*OCPMarketShares!O100)</f>
        <v>2.8750832756535793E-2</v>
      </c>
      <c r="G215" s="270">
        <f>(ProjectedP205_Consumption!M81*OCPMarketShares!P100)</f>
        <v>5.984537939811066E-2</v>
      </c>
      <c r="I215" s="31"/>
      <c r="J215" s="269">
        <f t="shared" si="120"/>
        <v>0.75</v>
      </c>
      <c r="K215" s="269">
        <f t="shared" si="121"/>
        <v>0.5</v>
      </c>
      <c r="L215" s="269">
        <f t="shared" si="122"/>
        <v>0.25</v>
      </c>
      <c r="M215" s="269">
        <f t="shared" si="123"/>
        <v>0.25</v>
      </c>
      <c r="N215" s="269">
        <f t="shared" si="124"/>
        <v>0.5</v>
      </c>
      <c r="O215" s="269">
        <f t="shared" si="125"/>
        <v>0.75</v>
      </c>
      <c r="P215" s="269">
        <f t="shared" si="126"/>
        <v>0</v>
      </c>
      <c r="Q215" s="269">
        <f t="shared" si="127"/>
        <v>0</v>
      </c>
      <c r="R215" s="269">
        <f t="shared" si="128"/>
        <v>0</v>
      </c>
      <c r="S215" s="249"/>
      <c r="T215" s="221"/>
      <c r="U215" s="271">
        <f t="shared" si="132"/>
        <v>9.9592190694676227E-3</v>
      </c>
      <c r="V215" s="271">
        <f t="shared" si="133"/>
        <v>3.12509051701476E-2</v>
      </c>
      <c r="W215" s="271">
        <f t="shared" si="134"/>
        <v>3.2524662716364484E-2</v>
      </c>
      <c r="X215" s="271">
        <f t="shared" si="135"/>
        <v>3.319739689822541E-3</v>
      </c>
      <c r="Y215" s="271">
        <f t="shared" si="136"/>
        <v>3.12509051701476E-2</v>
      </c>
      <c r="Z215" s="271">
        <f t="shared" si="137"/>
        <v>9.757398814909346E-2</v>
      </c>
      <c r="AA215" s="271">
        <f t="shared" si="138"/>
        <v>0</v>
      </c>
      <c r="AB215" s="271">
        <f t="shared" si="139"/>
        <v>0</v>
      </c>
      <c r="AC215" s="271">
        <f t="shared" si="140"/>
        <v>0</v>
      </c>
    </row>
    <row r="216" spans="2:29" ht="13.5" customHeight="1" thickTop="1" thickBot="1" x14ac:dyDescent="0.3">
      <c r="D216" s="102" t="s">
        <v>13</v>
      </c>
      <c r="E216" s="126">
        <f t="shared" ref="E216" si="141">SUM(E185:E215)</f>
        <v>4.6905233888307043</v>
      </c>
      <c r="F216" s="126">
        <f t="shared" ref="F216:G216" si="142">SUM(F185:F215)</f>
        <v>21.449110525763235</v>
      </c>
      <c r="G216" s="126">
        <f t="shared" si="142"/>
        <v>46.301518491462801</v>
      </c>
      <c r="I216" s="31"/>
      <c r="J216" s="249"/>
      <c r="K216" s="249"/>
      <c r="L216" s="249"/>
      <c r="M216" s="249"/>
      <c r="N216" s="249"/>
      <c r="O216" s="249"/>
      <c r="P216" s="249"/>
      <c r="Q216" s="249"/>
      <c r="R216" s="249"/>
      <c r="S216" s="7"/>
      <c r="T216" s="7"/>
      <c r="U216" s="7"/>
      <c r="V216" s="7"/>
      <c r="W216" s="7"/>
      <c r="X216" s="7"/>
      <c r="Y216" s="7"/>
      <c r="Z216" s="7"/>
      <c r="AA216" s="7"/>
      <c r="AB216" s="7"/>
      <c r="AC216" s="7"/>
    </row>
    <row r="217" spans="2:29" ht="13.5" customHeight="1" thickTop="1" thickBot="1" x14ac:dyDescent="0.3">
      <c r="D217" s="100" t="s">
        <v>302</v>
      </c>
      <c r="E217" s="252">
        <f t="shared" ref="E217:G217" si="143">E216/46%</f>
        <v>10.196789975718922</v>
      </c>
      <c r="F217" s="252">
        <f t="shared" si="143"/>
        <v>46.62850114296355</v>
      </c>
      <c r="G217" s="252">
        <f t="shared" si="143"/>
        <v>100.65547498144086</v>
      </c>
      <c r="I217" s="31"/>
      <c r="J217" s="31"/>
      <c r="T217" s="1" t="s">
        <v>303</v>
      </c>
      <c r="U217" s="251">
        <f t="shared" ref="U217:AC217" si="144">SUM(U185:U215)</f>
        <v>7.6475924817891867</v>
      </c>
      <c r="V217" s="251">
        <f t="shared" si="144"/>
        <v>23.314250571481779</v>
      </c>
      <c r="W217" s="251">
        <f t="shared" si="144"/>
        <v>25.163868745360222</v>
      </c>
      <c r="X217" s="251">
        <f t="shared" si="144"/>
        <v>2.5491974939297313</v>
      </c>
      <c r="Y217" s="251">
        <f t="shared" si="144"/>
        <v>23.314250571481779</v>
      </c>
      <c r="Z217" s="251">
        <f t="shared" si="144"/>
        <v>75.491606236080628</v>
      </c>
      <c r="AA217" s="251">
        <f t="shared" si="144"/>
        <v>0</v>
      </c>
      <c r="AB217" s="251">
        <f t="shared" si="144"/>
        <v>0</v>
      </c>
      <c r="AC217" s="251">
        <f t="shared" si="144"/>
        <v>0</v>
      </c>
    </row>
    <row r="218" spans="2:29" ht="13.5" customHeight="1" thickTop="1" x14ac:dyDescent="0.25">
      <c r="O218" s="183"/>
      <c r="P218" s="31"/>
    </row>
    <row r="219" spans="2:29" ht="13.5" customHeight="1" x14ac:dyDescent="0.25">
      <c r="D219" s="1"/>
      <c r="E219" s="255"/>
      <c r="F219" s="253"/>
      <c r="G219" s="253"/>
      <c r="H219" s="253"/>
      <c r="I219" s="253"/>
      <c r="J219" s="253"/>
      <c r="K219" s="253"/>
      <c r="L219" s="253"/>
      <c r="M219" s="253"/>
      <c r="O219" s="254"/>
      <c r="P219" s="254"/>
    </row>
    <row r="220" spans="2:29" ht="13.5" customHeight="1" x14ac:dyDescent="0.25">
      <c r="D220" s="1"/>
      <c r="E220" s="255"/>
      <c r="F220" s="253"/>
      <c r="G220" s="253"/>
      <c r="H220" s="253"/>
      <c r="I220" s="253"/>
      <c r="J220" s="253"/>
      <c r="K220" s="253"/>
      <c r="L220" s="253"/>
      <c r="M220" s="253"/>
      <c r="O220" s="254"/>
      <c r="P220" s="254"/>
    </row>
    <row r="221" spans="2:29" ht="13.5" customHeight="1" x14ac:dyDescent="0.25">
      <c r="D221" s="7"/>
      <c r="E221" s="253"/>
      <c r="F221" s="253"/>
      <c r="G221" s="253"/>
      <c r="H221" s="253"/>
      <c r="I221" s="253"/>
      <c r="J221" s="253"/>
      <c r="K221" s="253"/>
      <c r="L221" s="253"/>
      <c r="M221" s="253"/>
      <c r="O221" s="254"/>
      <c r="P221" s="254"/>
    </row>
    <row r="222" spans="2:29" ht="13.5" customHeight="1" x14ac:dyDescent="0.35">
      <c r="B222" s="29">
        <v>2</v>
      </c>
      <c r="D222" s="28" t="s">
        <v>251</v>
      </c>
    </row>
    <row r="224" spans="2:29" ht="13.5" customHeight="1" x14ac:dyDescent="0.3">
      <c r="D224" s="32" t="s">
        <v>76</v>
      </c>
      <c r="J224" s="241" t="s">
        <v>298</v>
      </c>
      <c r="K224" s="242"/>
      <c r="L224" s="7"/>
      <c r="M224" s="7"/>
      <c r="N224" s="7"/>
      <c r="O224" s="7"/>
      <c r="P224" s="7"/>
      <c r="Q224" s="7"/>
      <c r="R224" s="7"/>
      <c r="S224" s="7"/>
      <c r="T224" s="7"/>
      <c r="U224" s="241" t="s">
        <v>299</v>
      </c>
      <c r="V224" s="243"/>
      <c r="W224" s="7"/>
      <c r="X224" s="7"/>
      <c r="Y224" s="7"/>
      <c r="Z224" s="7"/>
      <c r="AA224" s="7"/>
      <c r="AB224" s="7"/>
      <c r="AC224" s="7"/>
    </row>
    <row r="225" spans="4:29" ht="13.5" customHeight="1" x14ac:dyDescent="0.3">
      <c r="D225" s="33" t="s">
        <v>77</v>
      </c>
      <c r="J225" s="33" t="s">
        <v>300</v>
      </c>
      <c r="K225" s="7"/>
      <c r="L225" s="7"/>
      <c r="M225" s="7"/>
      <c r="N225" s="7"/>
      <c r="O225" s="7"/>
      <c r="P225" s="7"/>
      <c r="Q225" s="7"/>
      <c r="R225" s="7"/>
      <c r="S225" s="7"/>
      <c r="T225" s="7"/>
      <c r="U225" s="33" t="s">
        <v>301</v>
      </c>
      <c r="V225" s="7"/>
      <c r="W225" s="7"/>
      <c r="X225" s="7"/>
      <c r="Y225" s="7"/>
      <c r="Z225" s="7"/>
      <c r="AA225" s="7"/>
      <c r="AB225" s="7"/>
      <c r="AC225" s="7"/>
    </row>
    <row r="226" spans="4:29" ht="13.5" customHeight="1" x14ac:dyDescent="0.25">
      <c r="J226" s="235" t="s">
        <v>277</v>
      </c>
      <c r="K226" s="235"/>
      <c r="L226" s="235"/>
      <c r="M226" s="235" t="s">
        <v>296</v>
      </c>
      <c r="N226" s="235"/>
      <c r="O226" s="235"/>
      <c r="P226" s="235" t="s">
        <v>279</v>
      </c>
      <c r="Q226" s="235"/>
      <c r="R226" s="235"/>
      <c r="S226" s="235"/>
      <c r="T226" s="59"/>
      <c r="U226" s="235" t="s">
        <v>277</v>
      </c>
      <c r="V226" s="235"/>
      <c r="W226" s="235"/>
      <c r="X226" s="235" t="s">
        <v>296</v>
      </c>
      <c r="Y226" s="235"/>
      <c r="Z226" s="235"/>
      <c r="AA226" s="235" t="s">
        <v>279</v>
      </c>
      <c r="AB226" s="235"/>
      <c r="AC226" s="235"/>
    </row>
    <row r="227" spans="4:29" ht="13.5" customHeight="1" x14ac:dyDescent="0.3">
      <c r="D227" s="30" t="s">
        <v>15</v>
      </c>
      <c r="E227" s="34">
        <v>2023</v>
      </c>
      <c r="F227" s="34">
        <v>2024</v>
      </c>
      <c r="G227" s="34">
        <v>2025</v>
      </c>
      <c r="J227" s="236">
        <v>2023</v>
      </c>
      <c r="K227" s="236">
        <v>2024</v>
      </c>
      <c r="L227" s="236">
        <v>2025</v>
      </c>
      <c r="M227" s="236">
        <v>2023</v>
      </c>
      <c r="N227" s="236">
        <v>2024</v>
      </c>
      <c r="O227" s="236">
        <v>2025</v>
      </c>
      <c r="P227" s="236">
        <v>2023</v>
      </c>
      <c r="Q227" s="236">
        <v>2024</v>
      </c>
      <c r="R227" s="236">
        <v>2025</v>
      </c>
      <c r="S227" s="245"/>
      <c r="T227" s="246"/>
      <c r="U227" s="247">
        <v>2023</v>
      </c>
      <c r="V227" s="247">
        <v>2024</v>
      </c>
      <c r="W227" s="247">
        <v>2025</v>
      </c>
      <c r="X227" s="247">
        <v>2023</v>
      </c>
      <c r="Y227" s="247">
        <v>2024</v>
      </c>
      <c r="Z227" s="247">
        <v>2025</v>
      </c>
      <c r="AA227" s="247">
        <v>2023</v>
      </c>
      <c r="AB227" s="247">
        <v>2024</v>
      </c>
      <c r="AC227" s="247">
        <v>2025</v>
      </c>
    </row>
    <row r="228" spans="4:29" ht="13.5" customHeight="1" x14ac:dyDescent="0.25">
      <c r="D228" s="2" t="str">
        <f>D150</f>
        <v>Sorghum</v>
      </c>
      <c r="E228" s="270">
        <f>ProjectedP205_Consumption!K13*OCPMarketShares!N110</f>
        <v>0</v>
      </c>
      <c r="F228" s="270">
        <f>ProjectedP205_Consumption!L13*OCPMarketShares!O110</f>
        <v>0</v>
      </c>
      <c r="G228" s="270">
        <f>ProjectedP205_Consumption!M13*OCPMarketShares!P110</f>
        <v>0</v>
      </c>
      <c r="I228" s="31"/>
      <c r="J228" s="269">
        <f t="shared" ref="J228:J258" si="145">E112</f>
        <v>0.75</v>
      </c>
      <c r="K228" s="269">
        <f t="shared" ref="K228:K258" si="146">F112</f>
        <v>0.5</v>
      </c>
      <c r="L228" s="269">
        <f t="shared" ref="L228:L258" si="147">G112</f>
        <v>0.25</v>
      </c>
      <c r="M228" s="269">
        <f t="shared" ref="M228:M258" si="148">H112</f>
        <v>0.25</v>
      </c>
      <c r="N228" s="269">
        <f t="shared" ref="N228:N258" si="149">I112</f>
        <v>0.5</v>
      </c>
      <c r="O228" s="269">
        <f t="shared" ref="O228:O258" si="150">J112</f>
        <v>0.75</v>
      </c>
      <c r="P228" s="269">
        <f t="shared" ref="P228:P258" si="151">K112</f>
        <v>0</v>
      </c>
      <c r="Q228" s="269">
        <f t="shared" ref="Q228:Q258" si="152">L112</f>
        <v>0</v>
      </c>
      <c r="R228" s="269">
        <f t="shared" ref="R228:R258" si="153">M112</f>
        <v>0</v>
      </c>
      <c r="S228" s="249"/>
      <c r="T228" s="224"/>
      <c r="U228" s="271">
        <f>(E228*J228)/$K$11</f>
        <v>0</v>
      </c>
      <c r="V228" s="271">
        <f>(F228*K228)/$K$11</f>
        <v>0</v>
      </c>
      <c r="W228" s="271">
        <f>(G228*L228)/$K$11</f>
        <v>0</v>
      </c>
      <c r="X228" s="271">
        <f>(E228*M228)/$K$12</f>
        <v>0</v>
      </c>
      <c r="Y228" s="271">
        <f>(F228*N228)/$K$12</f>
        <v>0</v>
      </c>
      <c r="Z228" s="271">
        <f>(G228*O228)/$K$12</f>
        <v>0</v>
      </c>
      <c r="AA228" s="271">
        <f>(E228*P228)/$K$13</f>
        <v>0</v>
      </c>
      <c r="AB228" s="271">
        <f t="shared" ref="AB228" si="154">(F228*Q228)/$K$13</f>
        <v>0</v>
      </c>
      <c r="AC228" s="271">
        <f t="shared" ref="AC228" si="155">(G228*R228)/$K$13</f>
        <v>0</v>
      </c>
    </row>
    <row r="229" spans="4:29" ht="13.5" customHeight="1" x14ac:dyDescent="0.25">
      <c r="D229" s="2" t="str">
        <f t="shared" ref="D229:D258" si="156">D151</f>
        <v>Sesame seed</v>
      </c>
      <c r="E229" s="270">
        <f>ProjectedP205_Consumption!K14*OCPMarketShares!N111</f>
        <v>0</v>
      </c>
      <c r="F229" s="270">
        <f>ProjectedP205_Consumption!L14*OCPMarketShares!O111</f>
        <v>0</v>
      </c>
      <c r="G229" s="270">
        <f>ProjectedP205_Consumption!M14*OCPMarketShares!P111</f>
        <v>0</v>
      </c>
      <c r="I229" s="31"/>
      <c r="J229" s="269">
        <f t="shared" si="145"/>
        <v>0.75</v>
      </c>
      <c r="K229" s="269">
        <f t="shared" si="146"/>
        <v>0.5</v>
      </c>
      <c r="L229" s="269">
        <f t="shared" si="147"/>
        <v>0.25</v>
      </c>
      <c r="M229" s="269">
        <f t="shared" si="148"/>
        <v>0.25</v>
      </c>
      <c r="N229" s="269">
        <f t="shared" si="149"/>
        <v>0.5</v>
      </c>
      <c r="O229" s="269">
        <f t="shared" si="150"/>
        <v>0.75</v>
      </c>
      <c r="P229" s="269">
        <f t="shared" si="151"/>
        <v>0</v>
      </c>
      <c r="Q229" s="269">
        <f t="shared" si="152"/>
        <v>0</v>
      </c>
      <c r="R229" s="269">
        <f t="shared" si="153"/>
        <v>0</v>
      </c>
      <c r="S229" s="249"/>
      <c r="T229" s="224"/>
      <c r="U229" s="271">
        <f t="shared" ref="U229:U258" si="157">(E229*J229)/$K$11</f>
        <v>0</v>
      </c>
      <c r="V229" s="271">
        <f t="shared" ref="V229:V258" si="158">(F229*K229)/$K$11</f>
        <v>0</v>
      </c>
      <c r="W229" s="271">
        <f t="shared" ref="W229:W258" si="159">(G229*L229)/$K$11</f>
        <v>0</v>
      </c>
      <c r="X229" s="271">
        <f t="shared" ref="X229:X258" si="160">(E229*M229)/$K$12</f>
        <v>0</v>
      </c>
      <c r="Y229" s="271">
        <f t="shared" ref="Y229:Y258" si="161">(F229*N229)/$K$12</f>
        <v>0</v>
      </c>
      <c r="Z229" s="271">
        <f t="shared" ref="Z229:Z258" si="162">(G229*O229)/$K$12</f>
        <v>0</v>
      </c>
      <c r="AA229" s="271">
        <f t="shared" ref="AA229:AA258" si="163">(E229*P229)/$K$13</f>
        <v>0</v>
      </c>
      <c r="AB229" s="271">
        <f t="shared" ref="AB229:AB258" si="164">(F229*Q229)/$K$13</f>
        <v>0</v>
      </c>
      <c r="AC229" s="271">
        <f t="shared" ref="AC229:AC258" si="165">(G229*R229)/$K$13</f>
        <v>0</v>
      </c>
    </row>
    <row r="230" spans="4:29" ht="13.5" customHeight="1" x14ac:dyDescent="0.25">
      <c r="D230" s="2" t="str">
        <f t="shared" si="156"/>
        <v>Groundnuts, excluding shelled</v>
      </c>
      <c r="E230" s="270">
        <f>ProjectedP205_Consumption!K15*OCPMarketShares!N112</f>
        <v>0</v>
      </c>
      <c r="F230" s="270">
        <f>ProjectedP205_Consumption!L15*OCPMarketShares!O112</f>
        <v>0</v>
      </c>
      <c r="G230" s="270">
        <f>ProjectedP205_Consumption!M15*OCPMarketShares!P112</f>
        <v>0</v>
      </c>
      <c r="I230" s="31"/>
      <c r="J230" s="269">
        <f t="shared" si="145"/>
        <v>0.75</v>
      </c>
      <c r="K230" s="269">
        <f t="shared" si="146"/>
        <v>0.5</v>
      </c>
      <c r="L230" s="269">
        <f t="shared" si="147"/>
        <v>0.25</v>
      </c>
      <c r="M230" s="269">
        <f t="shared" si="148"/>
        <v>0.25</v>
      </c>
      <c r="N230" s="269">
        <f t="shared" si="149"/>
        <v>0.5</v>
      </c>
      <c r="O230" s="269">
        <f t="shared" si="150"/>
        <v>0.75</v>
      </c>
      <c r="P230" s="269">
        <f t="shared" si="151"/>
        <v>0</v>
      </c>
      <c r="Q230" s="269">
        <f t="shared" si="152"/>
        <v>0</v>
      </c>
      <c r="R230" s="269">
        <f t="shared" si="153"/>
        <v>0</v>
      </c>
      <c r="S230" s="249"/>
      <c r="T230" s="224"/>
      <c r="U230" s="271">
        <f t="shared" si="157"/>
        <v>0</v>
      </c>
      <c r="V230" s="271">
        <f t="shared" si="158"/>
        <v>0</v>
      </c>
      <c r="W230" s="271">
        <f t="shared" si="159"/>
        <v>0</v>
      </c>
      <c r="X230" s="271">
        <f t="shared" si="160"/>
        <v>0</v>
      </c>
      <c r="Y230" s="271">
        <f t="shared" si="161"/>
        <v>0</v>
      </c>
      <c r="Z230" s="271">
        <f t="shared" si="162"/>
        <v>0</v>
      </c>
      <c r="AA230" s="271">
        <f t="shared" si="163"/>
        <v>0</v>
      </c>
      <c r="AB230" s="271">
        <f t="shared" si="164"/>
        <v>0</v>
      </c>
      <c r="AC230" s="271">
        <f t="shared" si="165"/>
        <v>0</v>
      </c>
    </row>
    <row r="231" spans="4:29" ht="13.5" customHeight="1" x14ac:dyDescent="0.25">
      <c r="D231" s="2" t="str">
        <f t="shared" si="156"/>
        <v>Millet</v>
      </c>
      <c r="E231" s="270">
        <f>ProjectedP205_Consumption!K16*OCPMarketShares!N113</f>
        <v>0</v>
      </c>
      <c r="F231" s="270">
        <f>ProjectedP205_Consumption!L16*OCPMarketShares!O113</f>
        <v>0</v>
      </c>
      <c r="G231" s="270">
        <f>ProjectedP205_Consumption!M16*OCPMarketShares!P113</f>
        <v>0</v>
      </c>
      <c r="I231" s="31"/>
      <c r="J231" s="269">
        <f t="shared" si="145"/>
        <v>0.75</v>
      </c>
      <c r="K231" s="269">
        <f t="shared" si="146"/>
        <v>0.5</v>
      </c>
      <c r="L231" s="269">
        <f t="shared" si="147"/>
        <v>0.25</v>
      </c>
      <c r="M231" s="269">
        <f t="shared" si="148"/>
        <v>0.25</v>
      </c>
      <c r="N231" s="269">
        <f t="shared" si="149"/>
        <v>0.5</v>
      </c>
      <c r="O231" s="269">
        <f t="shared" si="150"/>
        <v>0.75</v>
      </c>
      <c r="P231" s="269">
        <f t="shared" si="151"/>
        <v>0</v>
      </c>
      <c r="Q231" s="269">
        <f t="shared" si="152"/>
        <v>0</v>
      </c>
      <c r="R231" s="269">
        <f t="shared" si="153"/>
        <v>0</v>
      </c>
      <c r="S231" s="249"/>
      <c r="T231" s="224"/>
      <c r="U231" s="271">
        <f t="shared" si="157"/>
        <v>0</v>
      </c>
      <c r="V231" s="271">
        <f t="shared" si="158"/>
        <v>0</v>
      </c>
      <c r="W231" s="271">
        <f t="shared" si="159"/>
        <v>0</v>
      </c>
      <c r="X231" s="271">
        <f t="shared" si="160"/>
        <v>0</v>
      </c>
      <c r="Y231" s="271">
        <f t="shared" si="161"/>
        <v>0</v>
      </c>
      <c r="Z231" s="271">
        <f t="shared" si="162"/>
        <v>0</v>
      </c>
      <c r="AA231" s="271">
        <f t="shared" si="163"/>
        <v>0</v>
      </c>
      <c r="AB231" s="271">
        <f t="shared" si="164"/>
        <v>0</v>
      </c>
      <c r="AC231" s="271">
        <f t="shared" si="165"/>
        <v>0</v>
      </c>
    </row>
    <row r="232" spans="4:29" ht="13.5" customHeight="1" x14ac:dyDescent="0.25">
      <c r="D232" s="2" t="str">
        <f t="shared" si="156"/>
        <v>Sugar cane</v>
      </c>
      <c r="E232" s="270">
        <f>ProjectedP205_Consumption!K17*OCPMarketShares!N114</f>
        <v>0</v>
      </c>
      <c r="F232" s="270">
        <f>ProjectedP205_Consumption!L17*OCPMarketShares!O114</f>
        <v>0</v>
      </c>
      <c r="G232" s="270">
        <f>ProjectedP205_Consumption!M17*OCPMarketShares!P114</f>
        <v>0</v>
      </c>
      <c r="I232" s="31"/>
      <c r="J232" s="269">
        <f t="shared" si="145"/>
        <v>0.75</v>
      </c>
      <c r="K232" s="269">
        <f t="shared" si="146"/>
        <v>0.5</v>
      </c>
      <c r="L232" s="269">
        <f t="shared" si="147"/>
        <v>0.25</v>
      </c>
      <c r="M232" s="269">
        <f t="shared" si="148"/>
        <v>0.25</v>
      </c>
      <c r="N232" s="269">
        <f t="shared" si="149"/>
        <v>0.5</v>
      </c>
      <c r="O232" s="269">
        <f t="shared" si="150"/>
        <v>0.75</v>
      </c>
      <c r="P232" s="269">
        <f t="shared" si="151"/>
        <v>0</v>
      </c>
      <c r="Q232" s="269">
        <f t="shared" si="152"/>
        <v>0</v>
      </c>
      <c r="R232" s="269">
        <f t="shared" si="153"/>
        <v>0</v>
      </c>
      <c r="S232" s="249"/>
      <c r="T232" s="224"/>
      <c r="U232" s="271">
        <f t="shared" si="157"/>
        <v>0</v>
      </c>
      <c r="V232" s="271">
        <f t="shared" si="158"/>
        <v>0</v>
      </c>
      <c r="W232" s="271">
        <f t="shared" si="159"/>
        <v>0</v>
      </c>
      <c r="X232" s="271">
        <f t="shared" si="160"/>
        <v>0</v>
      </c>
      <c r="Y232" s="271">
        <f t="shared" si="161"/>
        <v>0</v>
      </c>
      <c r="Z232" s="271">
        <f t="shared" si="162"/>
        <v>0</v>
      </c>
      <c r="AA232" s="271">
        <f t="shared" si="163"/>
        <v>0</v>
      </c>
      <c r="AB232" s="271">
        <f t="shared" si="164"/>
        <v>0</v>
      </c>
      <c r="AC232" s="271">
        <f t="shared" si="165"/>
        <v>0</v>
      </c>
    </row>
    <row r="233" spans="4:29" ht="13.5" customHeight="1" x14ac:dyDescent="0.25">
      <c r="D233" s="2" t="str">
        <f t="shared" si="156"/>
        <v>Melonseed</v>
      </c>
      <c r="E233" s="270">
        <f>ProjectedP205_Consumption!K18*OCPMarketShares!N115</f>
        <v>0</v>
      </c>
      <c r="F233" s="270">
        <f>ProjectedP205_Consumption!L18*OCPMarketShares!O115</f>
        <v>0</v>
      </c>
      <c r="G233" s="270">
        <f>ProjectedP205_Consumption!M18*OCPMarketShares!P115</f>
        <v>0</v>
      </c>
      <c r="I233" s="31"/>
      <c r="J233" s="269">
        <f t="shared" si="145"/>
        <v>0.75</v>
      </c>
      <c r="K233" s="269">
        <f t="shared" si="146"/>
        <v>0.5</v>
      </c>
      <c r="L233" s="269">
        <f t="shared" si="147"/>
        <v>0.25</v>
      </c>
      <c r="M233" s="269">
        <f t="shared" si="148"/>
        <v>0.25</v>
      </c>
      <c r="N233" s="269">
        <f t="shared" si="149"/>
        <v>0.5</v>
      </c>
      <c r="O233" s="269">
        <f t="shared" si="150"/>
        <v>0.75</v>
      </c>
      <c r="P233" s="269">
        <f t="shared" si="151"/>
        <v>0</v>
      </c>
      <c r="Q233" s="269">
        <f t="shared" si="152"/>
        <v>0</v>
      </c>
      <c r="R233" s="269">
        <f t="shared" si="153"/>
        <v>0</v>
      </c>
      <c r="S233" s="249"/>
      <c r="T233" s="224"/>
      <c r="U233" s="271">
        <f t="shared" si="157"/>
        <v>0</v>
      </c>
      <c r="V233" s="271">
        <f t="shared" si="158"/>
        <v>0</v>
      </c>
      <c r="W233" s="271">
        <f t="shared" si="159"/>
        <v>0</v>
      </c>
      <c r="X233" s="271">
        <f t="shared" si="160"/>
        <v>0</v>
      </c>
      <c r="Y233" s="271">
        <f t="shared" si="161"/>
        <v>0</v>
      </c>
      <c r="Z233" s="271">
        <f t="shared" si="162"/>
        <v>0</v>
      </c>
      <c r="AA233" s="271">
        <f t="shared" si="163"/>
        <v>0</v>
      </c>
      <c r="AB233" s="271">
        <f t="shared" si="164"/>
        <v>0</v>
      </c>
      <c r="AC233" s="271">
        <f t="shared" si="165"/>
        <v>0</v>
      </c>
    </row>
    <row r="234" spans="4:29" ht="13.5" customHeight="1" x14ac:dyDescent="0.25">
      <c r="D234" s="2" t="str">
        <f t="shared" si="156"/>
        <v>Cow peas, dry</v>
      </c>
      <c r="E234" s="270">
        <f>ProjectedP205_Consumption!K19*OCPMarketShares!N116</f>
        <v>0</v>
      </c>
      <c r="F234" s="270">
        <f>ProjectedP205_Consumption!L19*OCPMarketShares!O116</f>
        <v>0</v>
      </c>
      <c r="G234" s="270">
        <f>ProjectedP205_Consumption!M19*OCPMarketShares!P116</f>
        <v>0</v>
      </c>
      <c r="I234" s="31"/>
      <c r="J234" s="269">
        <f t="shared" si="145"/>
        <v>0.75</v>
      </c>
      <c r="K234" s="269">
        <f t="shared" si="146"/>
        <v>0.5</v>
      </c>
      <c r="L234" s="269">
        <f t="shared" si="147"/>
        <v>0.25</v>
      </c>
      <c r="M234" s="269">
        <f t="shared" si="148"/>
        <v>0.25</v>
      </c>
      <c r="N234" s="269">
        <f t="shared" si="149"/>
        <v>0.5</v>
      </c>
      <c r="O234" s="269">
        <f t="shared" si="150"/>
        <v>0.75</v>
      </c>
      <c r="P234" s="269">
        <f t="shared" si="151"/>
        <v>0</v>
      </c>
      <c r="Q234" s="269">
        <f t="shared" si="152"/>
        <v>0</v>
      </c>
      <c r="R234" s="269">
        <f t="shared" si="153"/>
        <v>0</v>
      </c>
      <c r="S234" s="249"/>
      <c r="T234" s="224"/>
      <c r="U234" s="271">
        <f t="shared" si="157"/>
        <v>0</v>
      </c>
      <c r="V234" s="271">
        <f t="shared" si="158"/>
        <v>0</v>
      </c>
      <c r="W234" s="271">
        <f t="shared" si="159"/>
        <v>0</v>
      </c>
      <c r="X234" s="271">
        <f t="shared" si="160"/>
        <v>0</v>
      </c>
      <c r="Y234" s="271">
        <f t="shared" si="161"/>
        <v>0</v>
      </c>
      <c r="Z234" s="271">
        <f t="shared" si="162"/>
        <v>0</v>
      </c>
      <c r="AA234" s="271">
        <f t="shared" si="163"/>
        <v>0</v>
      </c>
      <c r="AB234" s="271">
        <f t="shared" si="164"/>
        <v>0</v>
      </c>
      <c r="AC234" s="271">
        <f t="shared" si="165"/>
        <v>0</v>
      </c>
    </row>
    <row r="235" spans="4:29" ht="13.5" customHeight="1" x14ac:dyDescent="0.25">
      <c r="D235" s="2" t="str">
        <f t="shared" si="156"/>
        <v>Wheat</v>
      </c>
      <c r="E235" s="270">
        <f>ProjectedP205_Consumption!K20*OCPMarketShares!N117</f>
        <v>1.5978491677137012</v>
      </c>
      <c r="F235" s="270">
        <f>ProjectedP205_Consumption!L20*OCPMarketShares!O117</f>
        <v>1.9822993755389458</v>
      </c>
      <c r="G235" s="270">
        <f>ProjectedP205_Consumption!M20*OCPMarketShares!P117</f>
        <v>2.4319376961836214</v>
      </c>
      <c r="I235" s="31"/>
      <c r="J235" s="269">
        <f t="shared" si="145"/>
        <v>0.75</v>
      </c>
      <c r="K235" s="269">
        <f t="shared" si="146"/>
        <v>0.5</v>
      </c>
      <c r="L235" s="269">
        <f t="shared" si="147"/>
        <v>0.25</v>
      </c>
      <c r="M235" s="269">
        <f t="shared" si="148"/>
        <v>0.25</v>
      </c>
      <c r="N235" s="269">
        <f t="shared" si="149"/>
        <v>0.5</v>
      </c>
      <c r="O235" s="269">
        <f t="shared" si="150"/>
        <v>0.75</v>
      </c>
      <c r="P235" s="269">
        <f t="shared" si="151"/>
        <v>0</v>
      </c>
      <c r="Q235" s="269">
        <f t="shared" si="152"/>
        <v>0</v>
      </c>
      <c r="R235" s="269">
        <f t="shared" si="153"/>
        <v>0</v>
      </c>
      <c r="S235" s="249"/>
      <c r="T235" s="224"/>
      <c r="U235" s="271">
        <f t="shared" si="157"/>
        <v>2.605188860402774</v>
      </c>
      <c r="V235" s="271">
        <f t="shared" si="158"/>
        <v>2.1546732342814625</v>
      </c>
      <c r="W235" s="271">
        <f t="shared" si="159"/>
        <v>1.3217052696650116</v>
      </c>
      <c r="X235" s="271">
        <f t="shared" si="160"/>
        <v>0.86839628680092451</v>
      </c>
      <c r="Y235" s="271">
        <f t="shared" si="161"/>
        <v>2.1546732342814625</v>
      </c>
      <c r="Z235" s="271">
        <f t="shared" si="162"/>
        <v>3.9651158089950349</v>
      </c>
      <c r="AA235" s="271">
        <f t="shared" si="163"/>
        <v>0</v>
      </c>
      <c r="AB235" s="271">
        <f t="shared" si="164"/>
        <v>0</v>
      </c>
      <c r="AC235" s="271">
        <f t="shared" si="165"/>
        <v>0</v>
      </c>
    </row>
    <row r="236" spans="4:29" ht="13.5" customHeight="1" x14ac:dyDescent="0.25">
      <c r="D236" s="2" t="str">
        <f t="shared" si="156"/>
        <v>Onions and shallots, dry (excluding dehydrated)</v>
      </c>
      <c r="E236" s="270">
        <f>ProjectedP205_Consumption!K21*OCPMarketShares!N118</f>
        <v>0</v>
      </c>
      <c r="F236" s="270">
        <f>ProjectedP205_Consumption!L21*OCPMarketShares!O118</f>
        <v>0</v>
      </c>
      <c r="G236" s="270">
        <f>ProjectedP205_Consumption!M21*OCPMarketShares!P118</f>
        <v>0</v>
      </c>
      <c r="I236" s="31"/>
      <c r="J236" s="269">
        <f t="shared" si="145"/>
        <v>0.75</v>
      </c>
      <c r="K236" s="269">
        <f t="shared" si="146"/>
        <v>0.5</v>
      </c>
      <c r="L236" s="269">
        <f t="shared" si="147"/>
        <v>0.25</v>
      </c>
      <c r="M236" s="269">
        <f t="shared" si="148"/>
        <v>0.25</v>
      </c>
      <c r="N236" s="269">
        <f t="shared" si="149"/>
        <v>0.5</v>
      </c>
      <c r="O236" s="269">
        <f t="shared" si="150"/>
        <v>0.75</v>
      </c>
      <c r="P236" s="269">
        <f t="shared" si="151"/>
        <v>0</v>
      </c>
      <c r="Q236" s="269">
        <f t="shared" si="152"/>
        <v>0</v>
      </c>
      <c r="R236" s="269">
        <f t="shared" si="153"/>
        <v>0</v>
      </c>
      <c r="S236" s="249"/>
      <c r="T236" s="224"/>
      <c r="U236" s="271">
        <f t="shared" si="157"/>
        <v>0</v>
      </c>
      <c r="V236" s="271">
        <f t="shared" si="158"/>
        <v>0</v>
      </c>
      <c r="W236" s="271">
        <f t="shared" si="159"/>
        <v>0</v>
      </c>
      <c r="X236" s="271">
        <f t="shared" si="160"/>
        <v>0</v>
      </c>
      <c r="Y236" s="271">
        <f t="shared" si="161"/>
        <v>0</v>
      </c>
      <c r="Z236" s="271">
        <f t="shared" si="162"/>
        <v>0</v>
      </c>
      <c r="AA236" s="271">
        <f t="shared" si="163"/>
        <v>0</v>
      </c>
      <c r="AB236" s="271">
        <f t="shared" si="164"/>
        <v>0</v>
      </c>
      <c r="AC236" s="271">
        <f t="shared" si="165"/>
        <v>0</v>
      </c>
    </row>
    <row r="237" spans="4:29" ht="13.5" customHeight="1" x14ac:dyDescent="0.25">
      <c r="D237" s="2" t="str">
        <f t="shared" si="156"/>
        <v>Bananas</v>
      </c>
      <c r="E237" s="270">
        <f>ProjectedP205_Consumption!K22*OCPMarketShares!N119</f>
        <v>0</v>
      </c>
      <c r="F237" s="270">
        <f>ProjectedP205_Consumption!L22*OCPMarketShares!O119</f>
        <v>0</v>
      </c>
      <c r="G237" s="270">
        <f>ProjectedP205_Consumption!M22*OCPMarketShares!P119</f>
        <v>0</v>
      </c>
      <c r="I237" s="31"/>
      <c r="J237" s="269">
        <f t="shared" si="145"/>
        <v>0.75</v>
      </c>
      <c r="K237" s="269">
        <f t="shared" si="146"/>
        <v>0.5</v>
      </c>
      <c r="L237" s="269">
        <f t="shared" si="147"/>
        <v>0.25</v>
      </c>
      <c r="M237" s="269">
        <f t="shared" si="148"/>
        <v>0.25</v>
      </c>
      <c r="N237" s="269">
        <f t="shared" si="149"/>
        <v>0.5</v>
      </c>
      <c r="O237" s="269">
        <f t="shared" si="150"/>
        <v>0.75</v>
      </c>
      <c r="P237" s="269">
        <f t="shared" si="151"/>
        <v>0</v>
      </c>
      <c r="Q237" s="269">
        <f t="shared" si="152"/>
        <v>0</v>
      </c>
      <c r="R237" s="269">
        <f t="shared" si="153"/>
        <v>0</v>
      </c>
      <c r="S237" s="249"/>
      <c r="T237" s="224"/>
      <c r="U237" s="271">
        <f t="shared" si="157"/>
        <v>0</v>
      </c>
      <c r="V237" s="271">
        <f t="shared" si="158"/>
        <v>0</v>
      </c>
      <c r="W237" s="271">
        <f t="shared" si="159"/>
        <v>0</v>
      </c>
      <c r="X237" s="271">
        <f t="shared" si="160"/>
        <v>0</v>
      </c>
      <c r="Y237" s="271">
        <f t="shared" si="161"/>
        <v>0</v>
      </c>
      <c r="Z237" s="271">
        <f t="shared" si="162"/>
        <v>0</v>
      </c>
      <c r="AA237" s="271">
        <f t="shared" si="163"/>
        <v>0</v>
      </c>
      <c r="AB237" s="271">
        <f t="shared" si="164"/>
        <v>0</v>
      </c>
      <c r="AC237" s="271">
        <f t="shared" si="165"/>
        <v>0</v>
      </c>
    </row>
    <row r="238" spans="4:29" ht="13.5" customHeight="1" x14ac:dyDescent="0.25">
      <c r="D238" s="2" t="str">
        <f t="shared" si="156"/>
        <v>Mangoes, guavas and mangosteens</v>
      </c>
      <c r="E238" s="270">
        <f>ProjectedP205_Consumption!K23*OCPMarketShares!N120</f>
        <v>0</v>
      </c>
      <c r="F238" s="270">
        <f>ProjectedP205_Consumption!L23*OCPMarketShares!O120</f>
        <v>0</v>
      </c>
      <c r="G238" s="270">
        <f>ProjectedP205_Consumption!M23*OCPMarketShares!P120</f>
        <v>0</v>
      </c>
      <c r="I238" s="31"/>
      <c r="J238" s="269">
        <f t="shared" si="145"/>
        <v>0.75</v>
      </c>
      <c r="K238" s="269">
        <f t="shared" si="146"/>
        <v>0.5</v>
      </c>
      <c r="L238" s="269">
        <f t="shared" si="147"/>
        <v>0.25</v>
      </c>
      <c r="M238" s="269">
        <f t="shared" si="148"/>
        <v>0.25</v>
      </c>
      <c r="N238" s="269">
        <f t="shared" si="149"/>
        <v>0.5</v>
      </c>
      <c r="O238" s="269">
        <f t="shared" si="150"/>
        <v>0.75</v>
      </c>
      <c r="P238" s="269">
        <f t="shared" si="151"/>
        <v>0</v>
      </c>
      <c r="Q238" s="269">
        <f t="shared" si="152"/>
        <v>0</v>
      </c>
      <c r="R238" s="269">
        <f t="shared" si="153"/>
        <v>0</v>
      </c>
      <c r="S238" s="249"/>
      <c r="T238" s="224"/>
      <c r="U238" s="271">
        <f t="shared" si="157"/>
        <v>0</v>
      </c>
      <c r="V238" s="271">
        <f t="shared" si="158"/>
        <v>0</v>
      </c>
      <c r="W238" s="271">
        <f t="shared" si="159"/>
        <v>0</v>
      </c>
      <c r="X238" s="271">
        <f t="shared" si="160"/>
        <v>0</v>
      </c>
      <c r="Y238" s="271">
        <f t="shared" si="161"/>
        <v>0</v>
      </c>
      <c r="Z238" s="271">
        <f t="shared" si="162"/>
        <v>0</v>
      </c>
      <c r="AA238" s="271">
        <f t="shared" si="163"/>
        <v>0</v>
      </c>
      <c r="AB238" s="271">
        <f t="shared" si="164"/>
        <v>0</v>
      </c>
      <c r="AC238" s="271">
        <f t="shared" si="165"/>
        <v>0</v>
      </c>
    </row>
    <row r="239" spans="4:29" ht="13.5" customHeight="1" x14ac:dyDescent="0.25">
      <c r="D239" s="2" t="str">
        <f t="shared" si="156"/>
        <v>Cantaloupes and other melons</v>
      </c>
      <c r="E239" s="270">
        <f>ProjectedP205_Consumption!K24*OCPMarketShares!N121</f>
        <v>0</v>
      </c>
      <c r="F239" s="270">
        <f>ProjectedP205_Consumption!L24*OCPMarketShares!O121</f>
        <v>0</v>
      </c>
      <c r="G239" s="270">
        <f>ProjectedP205_Consumption!M24*OCPMarketShares!P121</f>
        <v>0</v>
      </c>
      <c r="I239" s="31"/>
      <c r="J239" s="269">
        <f t="shared" si="145"/>
        <v>0.75</v>
      </c>
      <c r="K239" s="269">
        <f t="shared" si="146"/>
        <v>0.5</v>
      </c>
      <c r="L239" s="269">
        <f t="shared" si="147"/>
        <v>0.25</v>
      </c>
      <c r="M239" s="269">
        <f t="shared" si="148"/>
        <v>0.25</v>
      </c>
      <c r="N239" s="269">
        <f t="shared" si="149"/>
        <v>0.5</v>
      </c>
      <c r="O239" s="269">
        <f t="shared" si="150"/>
        <v>0.75</v>
      </c>
      <c r="P239" s="269">
        <f t="shared" si="151"/>
        <v>0</v>
      </c>
      <c r="Q239" s="269">
        <f t="shared" si="152"/>
        <v>0</v>
      </c>
      <c r="R239" s="269">
        <f t="shared" si="153"/>
        <v>0</v>
      </c>
      <c r="S239" s="249"/>
      <c r="T239" s="224"/>
      <c r="U239" s="271">
        <f t="shared" si="157"/>
        <v>0</v>
      </c>
      <c r="V239" s="271">
        <f t="shared" si="158"/>
        <v>0</v>
      </c>
      <c r="W239" s="271">
        <f t="shared" si="159"/>
        <v>0</v>
      </c>
      <c r="X239" s="271">
        <f t="shared" si="160"/>
        <v>0</v>
      </c>
      <c r="Y239" s="271">
        <f t="shared" si="161"/>
        <v>0</v>
      </c>
      <c r="Z239" s="271">
        <f t="shared" si="162"/>
        <v>0</v>
      </c>
      <c r="AA239" s="271">
        <f t="shared" si="163"/>
        <v>0</v>
      </c>
      <c r="AB239" s="271">
        <f t="shared" si="164"/>
        <v>0</v>
      </c>
      <c r="AC239" s="271">
        <f t="shared" si="165"/>
        <v>0</v>
      </c>
    </row>
    <row r="240" spans="4:29" ht="13.5" customHeight="1" x14ac:dyDescent="0.25">
      <c r="D240" s="2" t="str">
        <f t="shared" si="156"/>
        <v>Sunflower seed</v>
      </c>
      <c r="E240" s="270">
        <f>ProjectedP205_Consumption!K25*OCPMarketShares!N122</f>
        <v>0</v>
      </c>
      <c r="F240" s="270">
        <f>ProjectedP205_Consumption!L25*OCPMarketShares!O122</f>
        <v>0</v>
      </c>
      <c r="G240" s="270">
        <f>ProjectedP205_Consumption!M25*OCPMarketShares!P122</f>
        <v>0</v>
      </c>
      <c r="I240" s="31"/>
      <c r="J240" s="269">
        <f t="shared" si="145"/>
        <v>0.75</v>
      </c>
      <c r="K240" s="269">
        <f t="shared" si="146"/>
        <v>0.5</v>
      </c>
      <c r="L240" s="269">
        <f t="shared" si="147"/>
        <v>0.25</v>
      </c>
      <c r="M240" s="269">
        <f t="shared" si="148"/>
        <v>0.25</v>
      </c>
      <c r="N240" s="269">
        <f t="shared" si="149"/>
        <v>0.5</v>
      </c>
      <c r="O240" s="269">
        <f t="shared" si="150"/>
        <v>0.75</v>
      </c>
      <c r="P240" s="269">
        <f t="shared" si="151"/>
        <v>0</v>
      </c>
      <c r="Q240" s="269">
        <f t="shared" si="152"/>
        <v>0</v>
      </c>
      <c r="R240" s="269">
        <f t="shared" si="153"/>
        <v>0</v>
      </c>
      <c r="S240" s="249"/>
      <c r="T240" s="224"/>
      <c r="U240" s="271">
        <f t="shared" si="157"/>
        <v>0</v>
      </c>
      <c r="V240" s="271">
        <f t="shared" si="158"/>
        <v>0</v>
      </c>
      <c r="W240" s="271">
        <f t="shared" si="159"/>
        <v>0</v>
      </c>
      <c r="X240" s="271">
        <f t="shared" si="160"/>
        <v>0</v>
      </c>
      <c r="Y240" s="271">
        <f t="shared" si="161"/>
        <v>0</v>
      </c>
      <c r="Z240" s="271">
        <f t="shared" si="162"/>
        <v>0</v>
      </c>
      <c r="AA240" s="271">
        <f t="shared" si="163"/>
        <v>0</v>
      </c>
      <c r="AB240" s="271">
        <f t="shared" si="164"/>
        <v>0</v>
      </c>
      <c r="AC240" s="271">
        <f t="shared" si="165"/>
        <v>0</v>
      </c>
    </row>
    <row r="241" spans="4:29" ht="13.5" customHeight="1" x14ac:dyDescent="0.25">
      <c r="D241" s="2" t="str">
        <f t="shared" si="156"/>
        <v>Cauliflowers and broccoli</v>
      </c>
      <c r="E241" s="270">
        <f>ProjectedP205_Consumption!K26*OCPMarketShares!N123</f>
        <v>0</v>
      </c>
      <c r="F241" s="270">
        <f>ProjectedP205_Consumption!L26*OCPMarketShares!O123</f>
        <v>0</v>
      </c>
      <c r="G241" s="270">
        <f>ProjectedP205_Consumption!M26*OCPMarketShares!P123</f>
        <v>0</v>
      </c>
      <c r="I241" s="31"/>
      <c r="J241" s="269">
        <f t="shared" si="145"/>
        <v>0.75</v>
      </c>
      <c r="K241" s="269">
        <f t="shared" si="146"/>
        <v>0.5</v>
      </c>
      <c r="L241" s="269">
        <f t="shared" si="147"/>
        <v>0.25</v>
      </c>
      <c r="M241" s="269">
        <f t="shared" si="148"/>
        <v>0.25</v>
      </c>
      <c r="N241" s="269">
        <f t="shared" si="149"/>
        <v>0.5</v>
      </c>
      <c r="O241" s="269">
        <f t="shared" si="150"/>
        <v>0.75</v>
      </c>
      <c r="P241" s="269">
        <f t="shared" si="151"/>
        <v>0</v>
      </c>
      <c r="Q241" s="269">
        <f t="shared" si="152"/>
        <v>0</v>
      </c>
      <c r="R241" s="269">
        <f t="shared" si="153"/>
        <v>0</v>
      </c>
      <c r="S241" s="249"/>
      <c r="T241" s="224"/>
      <c r="U241" s="271">
        <f t="shared" si="157"/>
        <v>0</v>
      </c>
      <c r="V241" s="271">
        <f t="shared" si="158"/>
        <v>0</v>
      </c>
      <c r="W241" s="271">
        <f t="shared" si="159"/>
        <v>0</v>
      </c>
      <c r="X241" s="271">
        <f t="shared" si="160"/>
        <v>0</v>
      </c>
      <c r="Y241" s="271">
        <f t="shared" si="161"/>
        <v>0</v>
      </c>
      <c r="Z241" s="271">
        <f t="shared" si="162"/>
        <v>0</v>
      </c>
      <c r="AA241" s="271">
        <f t="shared" si="163"/>
        <v>0</v>
      </c>
      <c r="AB241" s="271">
        <f t="shared" si="164"/>
        <v>0</v>
      </c>
      <c r="AC241" s="271">
        <f t="shared" si="165"/>
        <v>0</v>
      </c>
    </row>
    <row r="242" spans="4:29" ht="13.5" customHeight="1" x14ac:dyDescent="0.25">
      <c r="D242" s="2" t="str">
        <f t="shared" si="156"/>
        <v>Seed cotton, unginned</v>
      </c>
      <c r="E242" s="270">
        <f>ProjectedP205_Consumption!K27*OCPMarketShares!N124</f>
        <v>0</v>
      </c>
      <c r="F242" s="270">
        <f>ProjectedP205_Consumption!L27*OCPMarketShares!O124</f>
        <v>0</v>
      </c>
      <c r="G242" s="270">
        <f>ProjectedP205_Consumption!M27*OCPMarketShares!P124</f>
        <v>0</v>
      </c>
      <c r="I242" s="31"/>
      <c r="J242" s="269">
        <f t="shared" si="145"/>
        <v>0.75</v>
      </c>
      <c r="K242" s="269">
        <f t="shared" si="146"/>
        <v>0.5</v>
      </c>
      <c r="L242" s="269">
        <f t="shared" si="147"/>
        <v>0.25</v>
      </c>
      <c r="M242" s="269">
        <f t="shared" si="148"/>
        <v>0.25</v>
      </c>
      <c r="N242" s="269">
        <f t="shared" si="149"/>
        <v>0.5</v>
      </c>
      <c r="O242" s="269">
        <f t="shared" si="150"/>
        <v>0.75</v>
      </c>
      <c r="P242" s="269">
        <f t="shared" si="151"/>
        <v>0</v>
      </c>
      <c r="Q242" s="269">
        <f t="shared" si="152"/>
        <v>0</v>
      </c>
      <c r="R242" s="269">
        <f t="shared" si="153"/>
        <v>0</v>
      </c>
      <c r="S242" s="249"/>
      <c r="T242" s="224"/>
      <c r="U242" s="271">
        <f t="shared" si="157"/>
        <v>0</v>
      </c>
      <c r="V242" s="271">
        <f t="shared" si="158"/>
        <v>0</v>
      </c>
      <c r="W242" s="271">
        <f t="shared" si="159"/>
        <v>0</v>
      </c>
      <c r="X242" s="271">
        <f t="shared" si="160"/>
        <v>0</v>
      </c>
      <c r="Y242" s="271">
        <f t="shared" si="161"/>
        <v>0</v>
      </c>
      <c r="Z242" s="271">
        <f t="shared" si="162"/>
        <v>0</v>
      </c>
      <c r="AA242" s="271">
        <f t="shared" si="163"/>
        <v>0</v>
      </c>
      <c r="AB242" s="271">
        <f t="shared" si="164"/>
        <v>0</v>
      </c>
      <c r="AC242" s="271">
        <f t="shared" si="165"/>
        <v>0</v>
      </c>
    </row>
    <row r="243" spans="4:29" ht="13.5" customHeight="1" x14ac:dyDescent="0.25">
      <c r="D243" s="2" t="str">
        <f t="shared" si="156"/>
        <v>Cucumbers and gherkins</v>
      </c>
      <c r="E243" s="270">
        <f>ProjectedP205_Consumption!K28*OCPMarketShares!N125</f>
        <v>0</v>
      </c>
      <c r="F243" s="270">
        <f>ProjectedP205_Consumption!L28*OCPMarketShares!O125</f>
        <v>0</v>
      </c>
      <c r="G243" s="270">
        <f>ProjectedP205_Consumption!M28*OCPMarketShares!P125</f>
        <v>0</v>
      </c>
      <c r="I243" s="31"/>
      <c r="J243" s="269">
        <f t="shared" si="145"/>
        <v>0.75</v>
      </c>
      <c r="K243" s="269">
        <f t="shared" si="146"/>
        <v>0.5</v>
      </c>
      <c r="L243" s="269">
        <f t="shared" si="147"/>
        <v>0.25</v>
      </c>
      <c r="M243" s="269">
        <f t="shared" si="148"/>
        <v>0.25</v>
      </c>
      <c r="N243" s="269">
        <f t="shared" si="149"/>
        <v>0.5</v>
      </c>
      <c r="O243" s="269">
        <f t="shared" si="150"/>
        <v>0.75</v>
      </c>
      <c r="P243" s="269">
        <f t="shared" si="151"/>
        <v>0</v>
      </c>
      <c r="Q243" s="269">
        <f t="shared" si="152"/>
        <v>0</v>
      </c>
      <c r="R243" s="269">
        <f t="shared" si="153"/>
        <v>0</v>
      </c>
      <c r="S243" s="249"/>
      <c r="T243" s="224"/>
      <c r="U243" s="271">
        <f t="shared" si="157"/>
        <v>0</v>
      </c>
      <c r="V243" s="271">
        <f t="shared" si="158"/>
        <v>0</v>
      </c>
      <c r="W243" s="271">
        <f t="shared" si="159"/>
        <v>0</v>
      </c>
      <c r="X243" s="271">
        <f t="shared" si="160"/>
        <v>0</v>
      </c>
      <c r="Y243" s="271">
        <f t="shared" si="161"/>
        <v>0</v>
      </c>
      <c r="Z243" s="271">
        <f t="shared" si="162"/>
        <v>0</v>
      </c>
      <c r="AA243" s="271">
        <f t="shared" si="163"/>
        <v>0</v>
      </c>
      <c r="AB243" s="271">
        <f t="shared" si="164"/>
        <v>0</v>
      </c>
      <c r="AC243" s="271">
        <f t="shared" si="165"/>
        <v>0</v>
      </c>
    </row>
    <row r="244" spans="4:29" ht="13.5" customHeight="1" x14ac:dyDescent="0.25">
      <c r="D244" s="2" t="str">
        <f t="shared" si="156"/>
        <v>Tomatoes</v>
      </c>
      <c r="E244" s="270">
        <f>ProjectedP205_Consumption!K29*OCPMarketShares!N126</f>
        <v>0</v>
      </c>
      <c r="F244" s="270">
        <f>ProjectedP205_Consumption!L29*OCPMarketShares!O126</f>
        <v>0</v>
      </c>
      <c r="G244" s="270">
        <f>ProjectedP205_Consumption!M29*OCPMarketShares!P126</f>
        <v>0</v>
      </c>
      <c r="I244" s="31"/>
      <c r="J244" s="269">
        <f t="shared" si="145"/>
        <v>0.75</v>
      </c>
      <c r="K244" s="269">
        <f t="shared" si="146"/>
        <v>0.5</v>
      </c>
      <c r="L244" s="269">
        <f t="shared" si="147"/>
        <v>0.25</v>
      </c>
      <c r="M244" s="269">
        <f t="shared" si="148"/>
        <v>0.25</v>
      </c>
      <c r="N244" s="269">
        <f t="shared" si="149"/>
        <v>0.5</v>
      </c>
      <c r="O244" s="269">
        <f t="shared" si="150"/>
        <v>0.75</v>
      </c>
      <c r="P244" s="269">
        <f t="shared" si="151"/>
        <v>0</v>
      </c>
      <c r="Q244" s="269">
        <f t="shared" si="152"/>
        <v>0</v>
      </c>
      <c r="R244" s="269">
        <f t="shared" si="153"/>
        <v>0</v>
      </c>
      <c r="S244" s="249"/>
      <c r="T244" s="224"/>
      <c r="U244" s="271">
        <f t="shared" si="157"/>
        <v>0</v>
      </c>
      <c r="V244" s="271">
        <f t="shared" si="158"/>
        <v>0</v>
      </c>
      <c r="W244" s="271">
        <f t="shared" si="159"/>
        <v>0</v>
      </c>
      <c r="X244" s="271">
        <f t="shared" si="160"/>
        <v>0</v>
      </c>
      <c r="Y244" s="271">
        <f t="shared" si="161"/>
        <v>0</v>
      </c>
      <c r="Z244" s="271">
        <f t="shared" si="162"/>
        <v>0</v>
      </c>
      <c r="AA244" s="271">
        <f t="shared" si="163"/>
        <v>0</v>
      </c>
      <c r="AB244" s="271">
        <f t="shared" si="164"/>
        <v>0</v>
      </c>
      <c r="AC244" s="271">
        <f t="shared" si="165"/>
        <v>0</v>
      </c>
    </row>
    <row r="245" spans="4:29" ht="13.5" customHeight="1" x14ac:dyDescent="0.25">
      <c r="D245" s="2" t="str">
        <f t="shared" si="156"/>
        <v>Potatoes</v>
      </c>
      <c r="E245" s="270">
        <f>ProjectedP205_Consumption!K30*OCPMarketShares!N127</f>
        <v>0</v>
      </c>
      <c r="F245" s="270">
        <f>ProjectedP205_Consumption!L30*OCPMarketShares!O127</f>
        <v>0</v>
      </c>
      <c r="G245" s="270">
        <f>ProjectedP205_Consumption!M30*OCPMarketShares!P127</f>
        <v>0</v>
      </c>
      <c r="I245" s="31"/>
      <c r="J245" s="269">
        <f t="shared" si="145"/>
        <v>0.75</v>
      </c>
      <c r="K245" s="269">
        <f t="shared" si="146"/>
        <v>0.5</v>
      </c>
      <c r="L245" s="269">
        <f t="shared" si="147"/>
        <v>0.25</v>
      </c>
      <c r="M245" s="269">
        <f t="shared" si="148"/>
        <v>0.25</v>
      </c>
      <c r="N245" s="269">
        <f t="shared" si="149"/>
        <v>0.5</v>
      </c>
      <c r="O245" s="269">
        <f t="shared" si="150"/>
        <v>0.75</v>
      </c>
      <c r="P245" s="269">
        <f t="shared" si="151"/>
        <v>0</v>
      </c>
      <c r="Q245" s="269">
        <f t="shared" si="152"/>
        <v>0</v>
      </c>
      <c r="R245" s="269">
        <f t="shared" si="153"/>
        <v>0</v>
      </c>
      <c r="S245" s="249"/>
      <c r="T245" s="224"/>
      <c r="U245" s="271">
        <f t="shared" si="157"/>
        <v>0</v>
      </c>
      <c r="V245" s="271">
        <f t="shared" si="158"/>
        <v>0</v>
      </c>
      <c r="W245" s="271">
        <f t="shared" si="159"/>
        <v>0</v>
      </c>
      <c r="X245" s="271">
        <f t="shared" si="160"/>
        <v>0</v>
      </c>
      <c r="Y245" s="271">
        <f t="shared" si="161"/>
        <v>0</v>
      </c>
      <c r="Z245" s="271">
        <f t="shared" si="162"/>
        <v>0</v>
      </c>
      <c r="AA245" s="271">
        <f t="shared" si="163"/>
        <v>0</v>
      </c>
      <c r="AB245" s="271">
        <f t="shared" si="164"/>
        <v>0</v>
      </c>
      <c r="AC245" s="271">
        <f t="shared" si="165"/>
        <v>0</v>
      </c>
    </row>
    <row r="246" spans="4:29" ht="13.5" customHeight="1" x14ac:dyDescent="0.25">
      <c r="D246" s="2" t="str">
        <f t="shared" si="156"/>
        <v>Pumpkins, squash and gourds</v>
      </c>
      <c r="E246" s="270">
        <f>ProjectedP205_Consumption!K31*OCPMarketShares!N128</f>
        <v>0</v>
      </c>
      <c r="F246" s="270">
        <f>ProjectedP205_Consumption!L31*OCPMarketShares!O128</f>
        <v>0</v>
      </c>
      <c r="G246" s="270">
        <f>ProjectedP205_Consumption!M31*OCPMarketShares!P128</f>
        <v>0</v>
      </c>
      <c r="I246" s="31"/>
      <c r="J246" s="269">
        <f t="shared" si="145"/>
        <v>0.75</v>
      </c>
      <c r="K246" s="269">
        <f t="shared" si="146"/>
        <v>0.5</v>
      </c>
      <c r="L246" s="269">
        <f t="shared" si="147"/>
        <v>0.25</v>
      </c>
      <c r="M246" s="269">
        <f t="shared" si="148"/>
        <v>0.25</v>
      </c>
      <c r="N246" s="269">
        <f t="shared" si="149"/>
        <v>0.5</v>
      </c>
      <c r="O246" s="269">
        <f t="shared" si="150"/>
        <v>0.75</v>
      </c>
      <c r="P246" s="269">
        <f t="shared" si="151"/>
        <v>0</v>
      </c>
      <c r="Q246" s="269">
        <f t="shared" si="152"/>
        <v>0</v>
      </c>
      <c r="R246" s="269">
        <f t="shared" si="153"/>
        <v>0</v>
      </c>
      <c r="S246" s="249"/>
      <c r="T246" s="221"/>
      <c r="U246" s="271">
        <f t="shared" si="157"/>
        <v>0</v>
      </c>
      <c r="V246" s="271">
        <f t="shared" si="158"/>
        <v>0</v>
      </c>
      <c r="W246" s="271">
        <f t="shared" si="159"/>
        <v>0</v>
      </c>
      <c r="X246" s="271">
        <f t="shared" si="160"/>
        <v>0</v>
      </c>
      <c r="Y246" s="271">
        <f t="shared" si="161"/>
        <v>0</v>
      </c>
      <c r="Z246" s="271">
        <f t="shared" si="162"/>
        <v>0</v>
      </c>
      <c r="AA246" s="271">
        <f t="shared" si="163"/>
        <v>0</v>
      </c>
      <c r="AB246" s="271">
        <f t="shared" si="164"/>
        <v>0</v>
      </c>
      <c r="AC246" s="271">
        <f t="shared" si="165"/>
        <v>0</v>
      </c>
    </row>
    <row r="247" spans="4:29" ht="13.5" customHeight="1" x14ac:dyDescent="0.25">
      <c r="D247" s="2" t="str">
        <f t="shared" si="156"/>
        <v>Dates</v>
      </c>
      <c r="E247" s="270">
        <f>ProjectedP205_Consumption!K32*OCPMarketShares!N129</f>
        <v>0</v>
      </c>
      <c r="F247" s="270">
        <f>ProjectedP205_Consumption!L32*OCPMarketShares!O129</f>
        <v>0</v>
      </c>
      <c r="G247" s="270">
        <f>ProjectedP205_Consumption!M32*OCPMarketShares!P129</f>
        <v>0</v>
      </c>
      <c r="I247" s="31"/>
      <c r="J247" s="269">
        <f t="shared" si="145"/>
        <v>0.75</v>
      </c>
      <c r="K247" s="269">
        <f t="shared" si="146"/>
        <v>0.5</v>
      </c>
      <c r="L247" s="269">
        <f t="shared" si="147"/>
        <v>0.25</v>
      </c>
      <c r="M247" s="269">
        <f t="shared" si="148"/>
        <v>0.25</v>
      </c>
      <c r="N247" s="269">
        <f t="shared" si="149"/>
        <v>0.5</v>
      </c>
      <c r="O247" s="269">
        <f t="shared" si="150"/>
        <v>0.75</v>
      </c>
      <c r="P247" s="269">
        <f t="shared" si="151"/>
        <v>0</v>
      </c>
      <c r="Q247" s="269">
        <f t="shared" si="152"/>
        <v>0</v>
      </c>
      <c r="R247" s="269">
        <f t="shared" si="153"/>
        <v>0</v>
      </c>
      <c r="S247" s="249"/>
      <c r="T247" s="221"/>
      <c r="U247" s="271">
        <f t="shared" si="157"/>
        <v>0</v>
      </c>
      <c r="V247" s="271">
        <f t="shared" si="158"/>
        <v>0</v>
      </c>
      <c r="W247" s="271">
        <f t="shared" si="159"/>
        <v>0</v>
      </c>
      <c r="X247" s="271">
        <f t="shared" si="160"/>
        <v>0</v>
      </c>
      <c r="Y247" s="271">
        <f t="shared" si="161"/>
        <v>0</v>
      </c>
      <c r="Z247" s="271">
        <f t="shared" si="162"/>
        <v>0</v>
      </c>
      <c r="AA247" s="271">
        <f t="shared" si="163"/>
        <v>0</v>
      </c>
      <c r="AB247" s="271">
        <f t="shared" si="164"/>
        <v>0</v>
      </c>
      <c r="AC247" s="271">
        <f t="shared" si="165"/>
        <v>0</v>
      </c>
    </row>
    <row r="248" spans="4:29" ht="13.5" customHeight="1" x14ac:dyDescent="0.25">
      <c r="D248" s="2" t="str">
        <f t="shared" si="156"/>
        <v>Pomelos and grapefruits</v>
      </c>
      <c r="E248" s="270">
        <f>ProjectedP205_Consumption!K33*OCPMarketShares!N130</f>
        <v>0</v>
      </c>
      <c r="F248" s="270">
        <f>ProjectedP205_Consumption!L33*OCPMarketShares!O130</f>
        <v>0</v>
      </c>
      <c r="G248" s="270">
        <f>ProjectedP205_Consumption!M33*OCPMarketShares!P130</f>
        <v>0</v>
      </c>
      <c r="I248" s="31"/>
      <c r="J248" s="269">
        <f t="shared" si="145"/>
        <v>0.75</v>
      </c>
      <c r="K248" s="269">
        <f t="shared" si="146"/>
        <v>0.5</v>
      </c>
      <c r="L248" s="269">
        <f t="shared" si="147"/>
        <v>0.25</v>
      </c>
      <c r="M248" s="269">
        <f t="shared" si="148"/>
        <v>0.25</v>
      </c>
      <c r="N248" s="269">
        <f t="shared" si="149"/>
        <v>0.5</v>
      </c>
      <c r="O248" s="269">
        <f t="shared" si="150"/>
        <v>0.75</v>
      </c>
      <c r="P248" s="269">
        <f t="shared" si="151"/>
        <v>0</v>
      </c>
      <c r="Q248" s="269">
        <f t="shared" si="152"/>
        <v>0</v>
      </c>
      <c r="R248" s="269">
        <f t="shared" si="153"/>
        <v>0</v>
      </c>
      <c r="S248" s="249"/>
      <c r="T248" s="221"/>
      <c r="U248" s="271">
        <f t="shared" si="157"/>
        <v>0</v>
      </c>
      <c r="V248" s="271">
        <f t="shared" si="158"/>
        <v>0</v>
      </c>
      <c r="W248" s="271">
        <f t="shared" si="159"/>
        <v>0</v>
      </c>
      <c r="X248" s="271">
        <f t="shared" si="160"/>
        <v>0</v>
      </c>
      <c r="Y248" s="271">
        <f t="shared" si="161"/>
        <v>0</v>
      </c>
      <c r="Z248" s="271">
        <f t="shared" si="162"/>
        <v>0</v>
      </c>
      <c r="AA248" s="271">
        <f t="shared" si="163"/>
        <v>0</v>
      </c>
      <c r="AB248" s="271">
        <f t="shared" si="164"/>
        <v>0</v>
      </c>
      <c r="AC248" s="271">
        <f t="shared" si="165"/>
        <v>0</v>
      </c>
    </row>
    <row r="249" spans="4:29" ht="13.5" customHeight="1" x14ac:dyDescent="0.25">
      <c r="D249" s="2" t="str">
        <f t="shared" si="156"/>
        <v>Okra</v>
      </c>
      <c r="E249" s="270">
        <f>ProjectedP205_Consumption!K34*OCPMarketShares!N131</f>
        <v>0</v>
      </c>
      <c r="F249" s="270">
        <f>ProjectedP205_Consumption!L34*OCPMarketShares!O131</f>
        <v>0</v>
      </c>
      <c r="G249" s="270">
        <f>ProjectedP205_Consumption!M34*OCPMarketShares!P131</f>
        <v>0</v>
      </c>
      <c r="I249" s="31"/>
      <c r="J249" s="269">
        <f t="shared" si="145"/>
        <v>0.75</v>
      </c>
      <c r="K249" s="269">
        <f t="shared" si="146"/>
        <v>0.5</v>
      </c>
      <c r="L249" s="269">
        <f t="shared" si="147"/>
        <v>0.25</v>
      </c>
      <c r="M249" s="269">
        <f t="shared" si="148"/>
        <v>0.25</v>
      </c>
      <c r="N249" s="269">
        <f t="shared" si="149"/>
        <v>0.5</v>
      </c>
      <c r="O249" s="269">
        <f t="shared" si="150"/>
        <v>0.75</v>
      </c>
      <c r="P249" s="269">
        <f t="shared" si="151"/>
        <v>0</v>
      </c>
      <c r="Q249" s="269">
        <f t="shared" si="152"/>
        <v>0</v>
      </c>
      <c r="R249" s="269">
        <f t="shared" si="153"/>
        <v>0</v>
      </c>
      <c r="S249" s="249"/>
      <c r="T249" s="221"/>
      <c r="U249" s="271">
        <f t="shared" si="157"/>
        <v>0</v>
      </c>
      <c r="V249" s="271">
        <f t="shared" si="158"/>
        <v>0</v>
      </c>
      <c r="W249" s="271">
        <f t="shared" si="159"/>
        <v>0</v>
      </c>
      <c r="X249" s="271">
        <f t="shared" si="160"/>
        <v>0</v>
      </c>
      <c r="Y249" s="271">
        <f t="shared" si="161"/>
        <v>0</v>
      </c>
      <c r="Z249" s="271">
        <f t="shared" si="162"/>
        <v>0</v>
      </c>
      <c r="AA249" s="271">
        <f t="shared" si="163"/>
        <v>0</v>
      </c>
      <c r="AB249" s="271">
        <f t="shared" si="164"/>
        <v>0</v>
      </c>
      <c r="AC249" s="271">
        <f t="shared" si="165"/>
        <v>0</v>
      </c>
    </row>
    <row r="250" spans="4:29" ht="13.5" customHeight="1" x14ac:dyDescent="0.25">
      <c r="D250" s="2" t="str">
        <f t="shared" si="156"/>
        <v>Lemons and limes</v>
      </c>
      <c r="E250" s="270">
        <f>ProjectedP205_Consumption!K35*OCPMarketShares!N132</f>
        <v>0</v>
      </c>
      <c r="F250" s="270">
        <f>ProjectedP205_Consumption!L35*OCPMarketShares!O132</f>
        <v>0</v>
      </c>
      <c r="G250" s="270">
        <f>ProjectedP205_Consumption!M35*OCPMarketShares!P132</f>
        <v>0</v>
      </c>
      <c r="I250" s="31"/>
      <c r="J250" s="269">
        <f t="shared" si="145"/>
        <v>0.75</v>
      </c>
      <c r="K250" s="269">
        <f t="shared" si="146"/>
        <v>0.5</v>
      </c>
      <c r="L250" s="269">
        <f t="shared" si="147"/>
        <v>0.25</v>
      </c>
      <c r="M250" s="269">
        <f t="shared" si="148"/>
        <v>0.25</v>
      </c>
      <c r="N250" s="269">
        <f t="shared" si="149"/>
        <v>0.5</v>
      </c>
      <c r="O250" s="269">
        <f t="shared" si="150"/>
        <v>0.75</v>
      </c>
      <c r="P250" s="269">
        <f t="shared" si="151"/>
        <v>0</v>
      </c>
      <c r="Q250" s="269">
        <f t="shared" si="152"/>
        <v>0</v>
      </c>
      <c r="R250" s="269">
        <f t="shared" si="153"/>
        <v>0</v>
      </c>
      <c r="S250" s="249"/>
      <c r="T250" s="221"/>
      <c r="U250" s="271">
        <f t="shared" si="157"/>
        <v>0</v>
      </c>
      <c r="V250" s="271">
        <f t="shared" si="158"/>
        <v>0</v>
      </c>
      <c r="W250" s="271">
        <f t="shared" si="159"/>
        <v>0</v>
      </c>
      <c r="X250" s="271">
        <f t="shared" si="160"/>
        <v>0</v>
      </c>
      <c r="Y250" s="271">
        <f t="shared" si="161"/>
        <v>0</v>
      </c>
      <c r="Z250" s="271">
        <f t="shared" si="162"/>
        <v>0</v>
      </c>
      <c r="AA250" s="271">
        <f t="shared" si="163"/>
        <v>0</v>
      </c>
      <c r="AB250" s="271">
        <f t="shared" si="164"/>
        <v>0</v>
      </c>
      <c r="AC250" s="271">
        <f t="shared" si="165"/>
        <v>0</v>
      </c>
    </row>
    <row r="251" spans="4:29" ht="13.5" customHeight="1" x14ac:dyDescent="0.25">
      <c r="D251" s="2" t="str">
        <f t="shared" si="156"/>
        <v>Green garlic</v>
      </c>
      <c r="E251" s="270">
        <f>ProjectedP205_Consumption!K36*OCPMarketShares!N133</f>
        <v>0</v>
      </c>
      <c r="F251" s="270">
        <f>ProjectedP205_Consumption!L36*OCPMarketShares!O133</f>
        <v>0</v>
      </c>
      <c r="G251" s="270">
        <f>ProjectedP205_Consumption!M36*OCPMarketShares!P133</f>
        <v>0</v>
      </c>
      <c r="I251" s="31"/>
      <c r="J251" s="269">
        <f t="shared" si="145"/>
        <v>0.75</v>
      </c>
      <c r="K251" s="269">
        <f t="shared" si="146"/>
        <v>0.5</v>
      </c>
      <c r="L251" s="269">
        <f t="shared" si="147"/>
        <v>0.25</v>
      </c>
      <c r="M251" s="269">
        <f t="shared" si="148"/>
        <v>0.25</v>
      </c>
      <c r="N251" s="269">
        <f t="shared" si="149"/>
        <v>0.5</v>
      </c>
      <c r="O251" s="269">
        <f t="shared" si="150"/>
        <v>0.75</v>
      </c>
      <c r="P251" s="269">
        <f t="shared" si="151"/>
        <v>0</v>
      </c>
      <c r="Q251" s="269">
        <f t="shared" si="152"/>
        <v>0</v>
      </c>
      <c r="R251" s="269">
        <f t="shared" si="153"/>
        <v>0</v>
      </c>
      <c r="S251" s="249"/>
      <c r="T251" s="221"/>
      <c r="U251" s="271">
        <f t="shared" si="157"/>
        <v>0</v>
      </c>
      <c r="V251" s="271">
        <f t="shared" si="158"/>
        <v>0</v>
      </c>
      <c r="W251" s="271">
        <f t="shared" si="159"/>
        <v>0</v>
      </c>
      <c r="X251" s="271">
        <f t="shared" si="160"/>
        <v>0</v>
      </c>
      <c r="Y251" s="271">
        <f t="shared" si="161"/>
        <v>0</v>
      </c>
      <c r="Z251" s="271">
        <f t="shared" si="162"/>
        <v>0</v>
      </c>
      <c r="AA251" s="271">
        <f t="shared" si="163"/>
        <v>0</v>
      </c>
      <c r="AB251" s="271">
        <f t="shared" si="164"/>
        <v>0</v>
      </c>
      <c r="AC251" s="271">
        <f t="shared" si="165"/>
        <v>0</v>
      </c>
    </row>
    <row r="252" spans="4:29" ht="13.5" customHeight="1" x14ac:dyDescent="0.25">
      <c r="D252" s="2" t="str">
        <f t="shared" si="156"/>
        <v>Sweet potatoes</v>
      </c>
      <c r="E252" s="270">
        <f>ProjectedP205_Consumption!K37*OCPMarketShares!N134</f>
        <v>0</v>
      </c>
      <c r="F252" s="270">
        <f>ProjectedP205_Consumption!L37*OCPMarketShares!O134</f>
        <v>0</v>
      </c>
      <c r="G252" s="270">
        <f>ProjectedP205_Consumption!M37*OCPMarketShares!P134</f>
        <v>0</v>
      </c>
      <c r="I252" s="31"/>
      <c r="J252" s="269">
        <f t="shared" si="145"/>
        <v>0.75</v>
      </c>
      <c r="K252" s="269">
        <f t="shared" si="146"/>
        <v>0.5</v>
      </c>
      <c r="L252" s="269">
        <f t="shared" si="147"/>
        <v>0.25</v>
      </c>
      <c r="M252" s="269">
        <f t="shared" si="148"/>
        <v>0.25</v>
      </c>
      <c r="N252" s="269">
        <f t="shared" si="149"/>
        <v>0.5</v>
      </c>
      <c r="O252" s="269">
        <f t="shared" si="150"/>
        <v>0.75</v>
      </c>
      <c r="P252" s="269">
        <f t="shared" si="151"/>
        <v>0</v>
      </c>
      <c r="Q252" s="269">
        <f t="shared" si="152"/>
        <v>0</v>
      </c>
      <c r="R252" s="269">
        <f t="shared" si="153"/>
        <v>0</v>
      </c>
      <c r="S252" s="249"/>
      <c r="T252" s="221"/>
      <c r="U252" s="271">
        <f t="shared" si="157"/>
        <v>0</v>
      </c>
      <c r="V252" s="271">
        <f t="shared" si="158"/>
        <v>0</v>
      </c>
      <c r="W252" s="271">
        <f t="shared" si="159"/>
        <v>0</v>
      </c>
      <c r="X252" s="271">
        <f t="shared" si="160"/>
        <v>0</v>
      </c>
      <c r="Y252" s="271">
        <f t="shared" si="161"/>
        <v>0</v>
      </c>
      <c r="Z252" s="271">
        <f t="shared" si="162"/>
        <v>0</v>
      </c>
      <c r="AA252" s="271">
        <f t="shared" si="163"/>
        <v>0</v>
      </c>
      <c r="AB252" s="271">
        <f t="shared" si="164"/>
        <v>0</v>
      </c>
      <c r="AC252" s="271">
        <f t="shared" si="165"/>
        <v>0</v>
      </c>
    </row>
    <row r="253" spans="4:29" ht="13.5" customHeight="1" x14ac:dyDescent="0.25">
      <c r="D253" s="2" t="str">
        <f t="shared" si="156"/>
        <v>Other pulses n.e.c.</v>
      </c>
      <c r="E253" s="270">
        <f>ProjectedP205_Consumption!K38*OCPMarketShares!N135</f>
        <v>0</v>
      </c>
      <c r="F253" s="270">
        <f>ProjectedP205_Consumption!L38*OCPMarketShares!O135</f>
        <v>0</v>
      </c>
      <c r="G253" s="270">
        <f>ProjectedP205_Consumption!M38*OCPMarketShares!P135</f>
        <v>0</v>
      </c>
      <c r="I253" s="31"/>
      <c r="J253" s="269">
        <f t="shared" si="145"/>
        <v>0.75</v>
      </c>
      <c r="K253" s="269">
        <f t="shared" si="146"/>
        <v>0.5</v>
      </c>
      <c r="L253" s="269">
        <f t="shared" si="147"/>
        <v>0.25</v>
      </c>
      <c r="M253" s="269">
        <f t="shared" si="148"/>
        <v>0.25</v>
      </c>
      <c r="N253" s="269">
        <f t="shared" si="149"/>
        <v>0.5</v>
      </c>
      <c r="O253" s="269">
        <f t="shared" si="150"/>
        <v>0.75</v>
      </c>
      <c r="P253" s="269">
        <f t="shared" si="151"/>
        <v>0</v>
      </c>
      <c r="Q253" s="269">
        <f t="shared" si="152"/>
        <v>0</v>
      </c>
      <c r="R253" s="269">
        <f t="shared" si="153"/>
        <v>0</v>
      </c>
      <c r="S253" s="249"/>
      <c r="T253" s="221"/>
      <c r="U253" s="271">
        <f t="shared" si="157"/>
        <v>0</v>
      </c>
      <c r="V253" s="271">
        <f t="shared" si="158"/>
        <v>0</v>
      </c>
      <c r="W253" s="271">
        <f t="shared" si="159"/>
        <v>0</v>
      </c>
      <c r="X253" s="271">
        <f t="shared" si="160"/>
        <v>0</v>
      </c>
      <c r="Y253" s="271">
        <f t="shared" si="161"/>
        <v>0</v>
      </c>
      <c r="Z253" s="271">
        <f t="shared" si="162"/>
        <v>0</v>
      </c>
      <c r="AA253" s="271">
        <f t="shared" si="163"/>
        <v>0</v>
      </c>
      <c r="AB253" s="271">
        <f t="shared" si="164"/>
        <v>0</v>
      </c>
      <c r="AC253" s="271">
        <f t="shared" si="165"/>
        <v>0</v>
      </c>
    </row>
    <row r="254" spans="4:29" ht="13.5" customHeight="1" x14ac:dyDescent="0.25">
      <c r="D254" s="2" t="str">
        <f t="shared" si="156"/>
        <v>Other vegetables, fresh n.e.c.</v>
      </c>
      <c r="E254" s="270">
        <f>ProjectedP205_Consumption!K39*OCPMarketShares!N136</f>
        <v>0</v>
      </c>
      <c r="F254" s="270">
        <f>ProjectedP205_Consumption!L39*OCPMarketShares!O136</f>
        <v>0</v>
      </c>
      <c r="G254" s="270">
        <f>ProjectedP205_Consumption!M39*OCPMarketShares!P136</f>
        <v>0</v>
      </c>
      <c r="I254" s="31"/>
      <c r="J254" s="269">
        <f t="shared" si="145"/>
        <v>0.75</v>
      </c>
      <c r="K254" s="269">
        <f t="shared" si="146"/>
        <v>0.5</v>
      </c>
      <c r="L254" s="269">
        <f t="shared" si="147"/>
        <v>0.25</v>
      </c>
      <c r="M254" s="269">
        <f t="shared" si="148"/>
        <v>0.25</v>
      </c>
      <c r="N254" s="269">
        <f t="shared" si="149"/>
        <v>0.5</v>
      </c>
      <c r="O254" s="269">
        <f t="shared" si="150"/>
        <v>0.75</v>
      </c>
      <c r="P254" s="269">
        <f t="shared" si="151"/>
        <v>0</v>
      </c>
      <c r="Q254" s="269">
        <f t="shared" si="152"/>
        <v>0</v>
      </c>
      <c r="R254" s="269">
        <f t="shared" si="153"/>
        <v>0</v>
      </c>
      <c r="S254" s="249"/>
      <c r="T254" s="221"/>
      <c r="U254" s="271">
        <f t="shared" si="157"/>
        <v>0</v>
      </c>
      <c r="V254" s="271">
        <f t="shared" si="158"/>
        <v>0</v>
      </c>
      <c r="W254" s="271">
        <f t="shared" si="159"/>
        <v>0</v>
      </c>
      <c r="X254" s="271">
        <f t="shared" si="160"/>
        <v>0</v>
      </c>
      <c r="Y254" s="271">
        <f t="shared" si="161"/>
        <v>0</v>
      </c>
      <c r="Z254" s="271">
        <f t="shared" si="162"/>
        <v>0</v>
      </c>
      <c r="AA254" s="271">
        <f t="shared" si="163"/>
        <v>0</v>
      </c>
      <c r="AB254" s="271">
        <f t="shared" si="164"/>
        <v>0</v>
      </c>
      <c r="AC254" s="271">
        <f t="shared" si="165"/>
        <v>0</v>
      </c>
    </row>
    <row r="255" spans="4:29" ht="13.5" customHeight="1" x14ac:dyDescent="0.25">
      <c r="D255" s="2" t="str">
        <f t="shared" si="156"/>
        <v>Other fruits, n.e.c.</v>
      </c>
      <c r="E255" s="270">
        <f>ProjectedP205_Consumption!K40*OCPMarketShares!N137</f>
        <v>0</v>
      </c>
      <c r="F255" s="270">
        <f>ProjectedP205_Consumption!L40*OCPMarketShares!O137</f>
        <v>0</v>
      </c>
      <c r="G255" s="270">
        <f>ProjectedP205_Consumption!M40*OCPMarketShares!P137</f>
        <v>0</v>
      </c>
      <c r="I255" s="31"/>
      <c r="J255" s="269">
        <f t="shared" si="145"/>
        <v>0.75</v>
      </c>
      <c r="K255" s="269">
        <f t="shared" si="146"/>
        <v>0.5</v>
      </c>
      <c r="L255" s="269">
        <f t="shared" si="147"/>
        <v>0.25</v>
      </c>
      <c r="M255" s="269">
        <f t="shared" si="148"/>
        <v>0.25</v>
      </c>
      <c r="N255" s="269">
        <f t="shared" si="149"/>
        <v>0.5</v>
      </c>
      <c r="O255" s="269">
        <f t="shared" si="150"/>
        <v>0.75</v>
      </c>
      <c r="P255" s="269">
        <f t="shared" si="151"/>
        <v>0</v>
      </c>
      <c r="Q255" s="269">
        <f t="shared" si="152"/>
        <v>0</v>
      </c>
      <c r="R255" s="269">
        <f t="shared" si="153"/>
        <v>0</v>
      </c>
      <c r="S255" s="249"/>
      <c r="T255" s="221"/>
      <c r="U255" s="271">
        <f t="shared" si="157"/>
        <v>0</v>
      </c>
      <c r="V255" s="271">
        <f t="shared" si="158"/>
        <v>0</v>
      </c>
      <c r="W255" s="271">
        <f t="shared" si="159"/>
        <v>0</v>
      </c>
      <c r="X255" s="271">
        <f t="shared" si="160"/>
        <v>0</v>
      </c>
      <c r="Y255" s="271">
        <f t="shared" si="161"/>
        <v>0</v>
      </c>
      <c r="Z255" s="271">
        <f t="shared" si="162"/>
        <v>0</v>
      </c>
      <c r="AA255" s="271">
        <f t="shared" si="163"/>
        <v>0</v>
      </c>
      <c r="AB255" s="271">
        <f t="shared" si="164"/>
        <v>0</v>
      </c>
      <c r="AC255" s="271">
        <f t="shared" si="165"/>
        <v>0</v>
      </c>
    </row>
    <row r="256" spans="4:29" ht="13.5" customHeight="1" x14ac:dyDescent="0.25">
      <c r="D256" s="2" t="str">
        <f t="shared" si="156"/>
        <v>Broad beans and horse beans, dry</v>
      </c>
      <c r="E256" s="270">
        <f>ProjectedP205_Consumption!K41*OCPMarketShares!N138</f>
        <v>0</v>
      </c>
      <c r="F256" s="270">
        <f>ProjectedP205_Consumption!L41*OCPMarketShares!O138</f>
        <v>0</v>
      </c>
      <c r="G256" s="270">
        <f>ProjectedP205_Consumption!M41*OCPMarketShares!P138</f>
        <v>0</v>
      </c>
      <c r="I256" s="31"/>
      <c r="J256" s="269">
        <f t="shared" si="145"/>
        <v>0.75</v>
      </c>
      <c r="K256" s="269">
        <f t="shared" si="146"/>
        <v>0.5</v>
      </c>
      <c r="L256" s="269">
        <f t="shared" si="147"/>
        <v>0.25</v>
      </c>
      <c r="M256" s="269">
        <f t="shared" si="148"/>
        <v>0.25</v>
      </c>
      <c r="N256" s="269">
        <f t="shared" si="149"/>
        <v>0.5</v>
      </c>
      <c r="O256" s="269">
        <f t="shared" si="150"/>
        <v>0.75</v>
      </c>
      <c r="P256" s="269">
        <f t="shared" si="151"/>
        <v>0</v>
      </c>
      <c r="Q256" s="269">
        <f t="shared" si="152"/>
        <v>0</v>
      </c>
      <c r="R256" s="269">
        <f t="shared" si="153"/>
        <v>0</v>
      </c>
      <c r="S256" s="249"/>
      <c r="T256" s="221"/>
      <c r="U256" s="271">
        <f t="shared" si="157"/>
        <v>0</v>
      </c>
      <c r="V256" s="271">
        <f t="shared" si="158"/>
        <v>0</v>
      </c>
      <c r="W256" s="271">
        <f t="shared" si="159"/>
        <v>0</v>
      </c>
      <c r="X256" s="271">
        <f t="shared" si="160"/>
        <v>0</v>
      </c>
      <c r="Y256" s="271">
        <f t="shared" si="161"/>
        <v>0</v>
      </c>
      <c r="Z256" s="271">
        <f t="shared" si="162"/>
        <v>0</v>
      </c>
      <c r="AA256" s="271">
        <f t="shared" si="163"/>
        <v>0</v>
      </c>
      <c r="AB256" s="271">
        <f t="shared" si="164"/>
        <v>0</v>
      </c>
      <c r="AC256" s="271">
        <f t="shared" si="165"/>
        <v>0</v>
      </c>
    </row>
    <row r="257" spans="4:29" ht="13.5" customHeight="1" x14ac:dyDescent="0.25">
      <c r="D257" s="2" t="str">
        <f t="shared" si="156"/>
        <v>Chick peas, dry</v>
      </c>
      <c r="E257" s="270">
        <f>ProjectedP205_Consumption!K42*OCPMarketShares!N139</f>
        <v>0</v>
      </c>
      <c r="F257" s="270">
        <f>ProjectedP205_Consumption!L42*OCPMarketShares!O139</f>
        <v>0</v>
      </c>
      <c r="G257" s="270">
        <f>ProjectedP205_Consumption!M42*OCPMarketShares!P139</f>
        <v>0</v>
      </c>
      <c r="I257" s="31"/>
      <c r="J257" s="269">
        <f t="shared" si="145"/>
        <v>0.75</v>
      </c>
      <c r="K257" s="269">
        <f t="shared" si="146"/>
        <v>0.5</v>
      </c>
      <c r="L257" s="269">
        <f t="shared" si="147"/>
        <v>0.25</v>
      </c>
      <c r="M257" s="269">
        <f t="shared" si="148"/>
        <v>0.25</v>
      </c>
      <c r="N257" s="269">
        <f t="shared" si="149"/>
        <v>0.5</v>
      </c>
      <c r="O257" s="269">
        <f t="shared" si="150"/>
        <v>0.75</v>
      </c>
      <c r="P257" s="269">
        <f t="shared" si="151"/>
        <v>0</v>
      </c>
      <c r="Q257" s="269">
        <f t="shared" si="152"/>
        <v>0</v>
      </c>
      <c r="R257" s="269">
        <f t="shared" si="153"/>
        <v>0</v>
      </c>
      <c r="S257" s="249"/>
      <c r="T257" s="221"/>
      <c r="U257" s="271">
        <f t="shared" si="157"/>
        <v>0</v>
      </c>
      <c r="V257" s="271">
        <f t="shared" si="158"/>
        <v>0</v>
      </c>
      <c r="W257" s="271">
        <f t="shared" si="159"/>
        <v>0</v>
      </c>
      <c r="X257" s="271">
        <f t="shared" si="160"/>
        <v>0</v>
      </c>
      <c r="Y257" s="271">
        <f t="shared" si="161"/>
        <v>0</v>
      </c>
      <c r="Z257" s="271">
        <f t="shared" si="162"/>
        <v>0</v>
      </c>
      <c r="AA257" s="271">
        <f t="shared" si="163"/>
        <v>0</v>
      </c>
      <c r="AB257" s="271">
        <f t="shared" si="164"/>
        <v>0</v>
      </c>
      <c r="AC257" s="271">
        <f t="shared" si="165"/>
        <v>0</v>
      </c>
    </row>
    <row r="258" spans="4:29" ht="13.5" customHeight="1" thickBot="1" x14ac:dyDescent="0.3">
      <c r="D258" s="2" t="str">
        <f t="shared" si="156"/>
        <v>Beans, dry</v>
      </c>
      <c r="E258" s="270">
        <f>ProjectedP205_Consumption!K43*OCPMarketShares!N140</f>
        <v>0</v>
      </c>
      <c r="F258" s="270">
        <f>ProjectedP205_Consumption!L43*OCPMarketShares!O140</f>
        <v>0</v>
      </c>
      <c r="G258" s="270">
        <f>ProjectedP205_Consumption!M43*OCPMarketShares!P140</f>
        <v>0</v>
      </c>
      <c r="I258" s="31"/>
      <c r="J258" s="269">
        <f t="shared" si="145"/>
        <v>0.75</v>
      </c>
      <c r="K258" s="269">
        <f t="shared" si="146"/>
        <v>0.5</v>
      </c>
      <c r="L258" s="269">
        <f t="shared" si="147"/>
        <v>0.25</v>
      </c>
      <c r="M258" s="269">
        <f t="shared" si="148"/>
        <v>0.25</v>
      </c>
      <c r="N258" s="269">
        <f t="shared" si="149"/>
        <v>0.5</v>
      </c>
      <c r="O258" s="269">
        <f t="shared" si="150"/>
        <v>0.75</v>
      </c>
      <c r="P258" s="269">
        <f t="shared" si="151"/>
        <v>0</v>
      </c>
      <c r="Q258" s="269">
        <f t="shared" si="152"/>
        <v>0</v>
      </c>
      <c r="R258" s="269">
        <f t="shared" si="153"/>
        <v>0</v>
      </c>
      <c r="S258" s="249"/>
      <c r="T258" s="221"/>
      <c r="U258" s="271">
        <f t="shared" si="157"/>
        <v>0</v>
      </c>
      <c r="V258" s="271">
        <f t="shared" si="158"/>
        <v>0</v>
      </c>
      <c r="W258" s="271">
        <f t="shared" si="159"/>
        <v>0</v>
      </c>
      <c r="X258" s="271">
        <f t="shared" si="160"/>
        <v>0</v>
      </c>
      <c r="Y258" s="271">
        <f t="shared" si="161"/>
        <v>0</v>
      </c>
      <c r="Z258" s="271">
        <f t="shared" si="162"/>
        <v>0</v>
      </c>
      <c r="AA258" s="271">
        <f t="shared" si="163"/>
        <v>0</v>
      </c>
      <c r="AB258" s="271">
        <f t="shared" si="164"/>
        <v>0</v>
      </c>
      <c r="AC258" s="271">
        <f t="shared" si="165"/>
        <v>0</v>
      </c>
    </row>
    <row r="259" spans="4:29" ht="13.5" customHeight="1" thickTop="1" thickBot="1" x14ac:dyDescent="0.3">
      <c r="D259" s="102" t="s">
        <v>13</v>
      </c>
      <c r="E259" s="126">
        <f>SUM(E228:E258)</f>
        <v>1.5978491677137012</v>
      </c>
      <c r="F259" s="126">
        <f t="shared" ref="F259:G259" si="166">SUM(F228:F258)</f>
        <v>1.9822993755389458</v>
      </c>
      <c r="G259" s="126">
        <f t="shared" si="166"/>
        <v>2.4319376961836214</v>
      </c>
      <c r="I259" s="31"/>
      <c r="J259" s="157"/>
      <c r="K259" s="7"/>
      <c r="L259" s="7"/>
      <c r="M259" s="7"/>
      <c r="N259" s="7"/>
      <c r="O259" s="7"/>
      <c r="P259" s="7"/>
      <c r="Q259" s="7"/>
      <c r="R259" s="7"/>
      <c r="S259" s="7"/>
      <c r="T259" s="7"/>
      <c r="U259" s="7"/>
      <c r="V259" s="7"/>
      <c r="W259" s="7"/>
      <c r="X259" s="7"/>
      <c r="Y259" s="7"/>
      <c r="Z259" s="7"/>
      <c r="AA259" s="7"/>
      <c r="AB259" s="7"/>
      <c r="AC259" s="7"/>
    </row>
    <row r="260" spans="4:29" ht="13.5" customHeight="1" thickTop="1" thickBot="1" x14ac:dyDescent="0.3">
      <c r="D260" s="100" t="s">
        <v>302</v>
      </c>
      <c r="E260" s="252">
        <f t="shared" ref="E260:G260" si="167">E259/46%</f>
        <v>3.473585147203698</v>
      </c>
      <c r="F260" s="252">
        <f t="shared" si="167"/>
        <v>4.309346468562925</v>
      </c>
      <c r="G260" s="252">
        <f t="shared" si="167"/>
        <v>5.2868210786600462</v>
      </c>
      <c r="I260" s="31"/>
      <c r="J260" s="31"/>
      <c r="T260" s="1" t="s">
        <v>303</v>
      </c>
      <c r="U260" s="251">
        <f>SUM(U228:U258)</f>
        <v>2.605188860402774</v>
      </c>
      <c r="V260" s="251">
        <f t="shared" ref="V260:AC260" si="168">SUM(V228:V258)</f>
        <v>2.1546732342814625</v>
      </c>
      <c r="W260" s="251">
        <f t="shared" si="168"/>
        <v>1.3217052696650116</v>
      </c>
      <c r="X260" s="251">
        <f t="shared" si="168"/>
        <v>0.86839628680092451</v>
      </c>
      <c r="Y260" s="251">
        <f t="shared" si="168"/>
        <v>2.1546732342814625</v>
      </c>
      <c r="Z260" s="251">
        <f t="shared" si="168"/>
        <v>3.9651158089950349</v>
      </c>
      <c r="AA260" s="251">
        <f t="shared" si="168"/>
        <v>0</v>
      </c>
      <c r="AB260" s="251">
        <f t="shared" si="168"/>
        <v>0</v>
      </c>
      <c r="AC260" s="251">
        <f t="shared" si="168"/>
        <v>0</v>
      </c>
    </row>
    <row r="261" spans="4:29" ht="13.5" customHeight="1" thickTop="1" x14ac:dyDescent="0.25">
      <c r="I261" s="31"/>
      <c r="J261" s="31"/>
    </row>
    <row r="262" spans="4:29" ht="13.5" customHeight="1" x14ac:dyDescent="0.3">
      <c r="D262" s="30" t="s">
        <v>285</v>
      </c>
      <c r="E262" s="34">
        <v>2023</v>
      </c>
      <c r="F262" s="34">
        <v>2024</v>
      </c>
      <c r="G262" s="34">
        <v>2025</v>
      </c>
      <c r="I262" s="31"/>
      <c r="J262" s="236">
        <v>2023</v>
      </c>
      <c r="K262" s="236">
        <v>2024</v>
      </c>
      <c r="L262" s="236">
        <v>2025</v>
      </c>
      <c r="M262" s="236">
        <v>2023</v>
      </c>
      <c r="N262" s="236">
        <v>2024</v>
      </c>
      <c r="O262" s="236">
        <v>2025</v>
      </c>
      <c r="P262" s="236">
        <v>2023</v>
      </c>
      <c r="Q262" s="236">
        <v>2024</v>
      </c>
      <c r="R262" s="236">
        <v>2025</v>
      </c>
      <c r="S262" s="245"/>
      <c r="T262" s="246"/>
      <c r="U262" s="247">
        <v>2023</v>
      </c>
      <c r="V262" s="247">
        <v>2024</v>
      </c>
      <c r="W262" s="247">
        <v>2025</v>
      </c>
      <c r="X262" s="247">
        <v>2023</v>
      </c>
      <c r="Y262" s="247">
        <v>2024</v>
      </c>
      <c r="Z262" s="247">
        <v>2025</v>
      </c>
      <c r="AA262" s="247">
        <v>2023</v>
      </c>
      <c r="AB262" s="247">
        <v>2024</v>
      </c>
      <c r="AC262" s="247">
        <v>2025</v>
      </c>
    </row>
    <row r="263" spans="4:29" ht="13.5" customHeight="1" x14ac:dyDescent="0.25">
      <c r="D263" s="2" t="str">
        <f>+D228</f>
        <v>Sorghum</v>
      </c>
      <c r="E263" s="270">
        <f>ProjectedP205_Consumption!K51*OCPMarketShares!N146</f>
        <v>0</v>
      </c>
      <c r="F263" s="270">
        <f>ProjectedP205_Consumption!L51*OCPMarketShares!O146</f>
        <v>0</v>
      </c>
      <c r="G263" s="270">
        <f>ProjectedP205_Consumption!M51*OCPMarketShares!P146</f>
        <v>0</v>
      </c>
      <c r="I263" s="31"/>
      <c r="J263" s="269">
        <f t="shared" ref="J263:J293" si="169">E112</f>
        <v>0.75</v>
      </c>
      <c r="K263" s="269">
        <f t="shared" ref="K263:K293" si="170">F112</f>
        <v>0.5</v>
      </c>
      <c r="L263" s="269">
        <f t="shared" ref="L263:L293" si="171">G112</f>
        <v>0.25</v>
      </c>
      <c r="M263" s="269">
        <f t="shared" ref="M263:M293" si="172">H112</f>
        <v>0.25</v>
      </c>
      <c r="N263" s="269">
        <f t="shared" ref="N263:N293" si="173">I112</f>
        <v>0.5</v>
      </c>
      <c r="O263" s="269">
        <f t="shared" ref="O263:O293" si="174">J112</f>
        <v>0.75</v>
      </c>
      <c r="P263" s="269">
        <f t="shared" ref="P263:P293" si="175">K112</f>
        <v>0</v>
      </c>
      <c r="Q263" s="269">
        <f t="shared" ref="Q263:Q293" si="176">L112</f>
        <v>0</v>
      </c>
      <c r="R263" s="269">
        <f t="shared" ref="R263:R293" si="177">M112</f>
        <v>0</v>
      </c>
      <c r="S263" s="249"/>
      <c r="T263" s="224"/>
      <c r="U263" s="271">
        <f t="shared" ref="U263:U293" si="178">(E263*J263)/$K$11</f>
        <v>0</v>
      </c>
      <c r="V263" s="271">
        <f t="shared" ref="V263:V293" si="179">(F263*K263)/$K$11</f>
        <v>0</v>
      </c>
      <c r="W263" s="271">
        <f t="shared" ref="W263:W293" si="180">(G263*L263)/$K$11</f>
        <v>0</v>
      </c>
      <c r="X263" s="271">
        <f t="shared" ref="X263:X293" si="181">(E263*M263)/$K$12</f>
        <v>0</v>
      </c>
      <c r="Y263" s="271">
        <f t="shared" ref="Y263:Y293" si="182">(F263*N263)/$K$12</f>
        <v>0</v>
      </c>
      <c r="Z263" s="271">
        <f t="shared" ref="Z263:Z293" si="183">(G263*O263)/$K$12</f>
        <v>0</v>
      </c>
      <c r="AA263" s="271">
        <f t="shared" ref="AA263:AA293" si="184">(E263*P263)/$K$13</f>
        <v>0</v>
      </c>
      <c r="AB263" s="271">
        <f t="shared" ref="AB263:AB293" si="185">(F263*Q263)/$K$13</f>
        <v>0</v>
      </c>
      <c r="AC263" s="271">
        <f t="shared" ref="AC263:AC293" si="186">(G263*R263)/$K$13</f>
        <v>0</v>
      </c>
    </row>
    <row r="264" spans="4:29" ht="13.5" customHeight="1" x14ac:dyDescent="0.25">
      <c r="D264" s="2" t="str">
        <f t="shared" ref="D264:D293" si="187">+D229</f>
        <v>Sesame seed</v>
      </c>
      <c r="E264" s="270">
        <f>ProjectedP205_Consumption!K52*OCPMarketShares!N147</f>
        <v>0</v>
      </c>
      <c r="F264" s="270">
        <f>ProjectedP205_Consumption!L52*OCPMarketShares!O147</f>
        <v>0</v>
      </c>
      <c r="G264" s="270">
        <f>ProjectedP205_Consumption!M52*OCPMarketShares!P147</f>
        <v>0</v>
      </c>
      <c r="I264" s="31"/>
      <c r="J264" s="269">
        <f t="shared" si="169"/>
        <v>0.75</v>
      </c>
      <c r="K264" s="269">
        <f t="shared" si="170"/>
        <v>0.5</v>
      </c>
      <c r="L264" s="269">
        <f t="shared" si="171"/>
        <v>0.25</v>
      </c>
      <c r="M264" s="269">
        <f t="shared" si="172"/>
        <v>0.25</v>
      </c>
      <c r="N264" s="269">
        <f t="shared" si="173"/>
        <v>0.5</v>
      </c>
      <c r="O264" s="269">
        <f t="shared" si="174"/>
        <v>0.75</v>
      </c>
      <c r="P264" s="269">
        <f t="shared" si="175"/>
        <v>0</v>
      </c>
      <c r="Q264" s="269">
        <f t="shared" si="176"/>
        <v>0</v>
      </c>
      <c r="R264" s="269">
        <f t="shared" si="177"/>
        <v>0</v>
      </c>
      <c r="S264" s="249"/>
      <c r="T264" s="224"/>
      <c r="U264" s="271">
        <f t="shared" si="178"/>
        <v>0</v>
      </c>
      <c r="V264" s="271">
        <f t="shared" si="179"/>
        <v>0</v>
      </c>
      <c r="W264" s="271">
        <f t="shared" si="180"/>
        <v>0</v>
      </c>
      <c r="X264" s="271">
        <f t="shared" si="181"/>
        <v>0</v>
      </c>
      <c r="Y264" s="271">
        <f t="shared" si="182"/>
        <v>0</v>
      </c>
      <c r="Z264" s="271">
        <f t="shared" si="183"/>
        <v>0</v>
      </c>
      <c r="AA264" s="271">
        <f t="shared" si="184"/>
        <v>0</v>
      </c>
      <c r="AB264" s="271">
        <f t="shared" si="185"/>
        <v>0</v>
      </c>
      <c r="AC264" s="271">
        <f t="shared" si="186"/>
        <v>0</v>
      </c>
    </row>
    <row r="265" spans="4:29" ht="13.5" customHeight="1" x14ac:dyDescent="0.25">
      <c r="D265" s="2" t="str">
        <f t="shared" si="187"/>
        <v>Groundnuts, excluding shelled</v>
      </c>
      <c r="E265" s="270">
        <f>ProjectedP205_Consumption!K53*OCPMarketShares!N148</f>
        <v>0</v>
      </c>
      <c r="F265" s="270">
        <f>ProjectedP205_Consumption!L53*OCPMarketShares!O148</f>
        <v>0</v>
      </c>
      <c r="G265" s="270">
        <f>ProjectedP205_Consumption!M53*OCPMarketShares!P148</f>
        <v>0</v>
      </c>
      <c r="I265" s="31"/>
      <c r="J265" s="269">
        <f t="shared" si="169"/>
        <v>0.75</v>
      </c>
      <c r="K265" s="269">
        <f t="shared" si="170"/>
        <v>0.5</v>
      </c>
      <c r="L265" s="269">
        <f t="shared" si="171"/>
        <v>0.25</v>
      </c>
      <c r="M265" s="269">
        <f t="shared" si="172"/>
        <v>0.25</v>
      </c>
      <c r="N265" s="269">
        <f t="shared" si="173"/>
        <v>0.5</v>
      </c>
      <c r="O265" s="269">
        <f t="shared" si="174"/>
        <v>0.75</v>
      </c>
      <c r="P265" s="269">
        <f t="shared" si="175"/>
        <v>0</v>
      </c>
      <c r="Q265" s="269">
        <f t="shared" si="176"/>
        <v>0</v>
      </c>
      <c r="R265" s="269">
        <f t="shared" si="177"/>
        <v>0</v>
      </c>
      <c r="S265" s="249"/>
      <c r="T265" s="224"/>
      <c r="U265" s="271">
        <f t="shared" si="178"/>
        <v>0</v>
      </c>
      <c r="V265" s="271">
        <f t="shared" si="179"/>
        <v>0</v>
      </c>
      <c r="W265" s="271">
        <f t="shared" si="180"/>
        <v>0</v>
      </c>
      <c r="X265" s="271">
        <f t="shared" si="181"/>
        <v>0</v>
      </c>
      <c r="Y265" s="271">
        <f t="shared" si="182"/>
        <v>0</v>
      </c>
      <c r="Z265" s="271">
        <f t="shared" si="183"/>
        <v>0</v>
      </c>
      <c r="AA265" s="271">
        <f t="shared" si="184"/>
        <v>0</v>
      </c>
      <c r="AB265" s="271">
        <f t="shared" si="185"/>
        <v>0</v>
      </c>
      <c r="AC265" s="271">
        <f t="shared" si="186"/>
        <v>0</v>
      </c>
    </row>
    <row r="266" spans="4:29" ht="13.5" customHeight="1" x14ac:dyDescent="0.25">
      <c r="D266" s="2" t="str">
        <f t="shared" si="187"/>
        <v>Millet</v>
      </c>
      <c r="E266" s="270">
        <f>ProjectedP205_Consumption!K54*OCPMarketShares!N149</f>
        <v>0</v>
      </c>
      <c r="F266" s="270">
        <f>ProjectedP205_Consumption!L54*OCPMarketShares!O149</f>
        <v>0</v>
      </c>
      <c r="G266" s="270">
        <f>ProjectedP205_Consumption!M54*OCPMarketShares!P149</f>
        <v>0</v>
      </c>
      <c r="I266" s="31"/>
      <c r="J266" s="269">
        <f t="shared" si="169"/>
        <v>0.75</v>
      </c>
      <c r="K266" s="269">
        <f t="shared" si="170"/>
        <v>0.5</v>
      </c>
      <c r="L266" s="269">
        <f t="shared" si="171"/>
        <v>0.25</v>
      </c>
      <c r="M266" s="269">
        <f t="shared" si="172"/>
        <v>0.25</v>
      </c>
      <c r="N266" s="269">
        <f t="shared" si="173"/>
        <v>0.5</v>
      </c>
      <c r="O266" s="269">
        <f t="shared" si="174"/>
        <v>0.75</v>
      </c>
      <c r="P266" s="269">
        <f t="shared" si="175"/>
        <v>0</v>
      </c>
      <c r="Q266" s="269">
        <f t="shared" si="176"/>
        <v>0</v>
      </c>
      <c r="R266" s="269">
        <f t="shared" si="177"/>
        <v>0</v>
      </c>
      <c r="S266" s="249"/>
      <c r="T266" s="224"/>
      <c r="U266" s="271">
        <f t="shared" si="178"/>
        <v>0</v>
      </c>
      <c r="V266" s="271">
        <f t="shared" si="179"/>
        <v>0</v>
      </c>
      <c r="W266" s="271">
        <f t="shared" si="180"/>
        <v>0</v>
      </c>
      <c r="X266" s="271">
        <f t="shared" si="181"/>
        <v>0</v>
      </c>
      <c r="Y266" s="271">
        <f t="shared" si="182"/>
        <v>0</v>
      </c>
      <c r="Z266" s="271">
        <f t="shared" si="183"/>
        <v>0</v>
      </c>
      <c r="AA266" s="271">
        <f t="shared" si="184"/>
        <v>0</v>
      </c>
      <c r="AB266" s="271">
        <f t="shared" si="185"/>
        <v>0</v>
      </c>
      <c r="AC266" s="271">
        <f t="shared" si="186"/>
        <v>0</v>
      </c>
    </row>
    <row r="267" spans="4:29" ht="13.5" customHeight="1" x14ac:dyDescent="0.25">
      <c r="D267" s="2" t="str">
        <f t="shared" si="187"/>
        <v>Sugar cane</v>
      </c>
      <c r="E267" s="270">
        <f>ProjectedP205_Consumption!K55*OCPMarketShares!N150</f>
        <v>0</v>
      </c>
      <c r="F267" s="270">
        <f>ProjectedP205_Consumption!L55*OCPMarketShares!O150</f>
        <v>0</v>
      </c>
      <c r="G267" s="270">
        <f>ProjectedP205_Consumption!M55*OCPMarketShares!P150</f>
        <v>0</v>
      </c>
      <c r="I267" s="31"/>
      <c r="J267" s="269">
        <f t="shared" si="169"/>
        <v>0.75</v>
      </c>
      <c r="K267" s="269">
        <f t="shared" si="170"/>
        <v>0.5</v>
      </c>
      <c r="L267" s="269">
        <f t="shared" si="171"/>
        <v>0.25</v>
      </c>
      <c r="M267" s="269">
        <f t="shared" si="172"/>
        <v>0.25</v>
      </c>
      <c r="N267" s="269">
        <f t="shared" si="173"/>
        <v>0.5</v>
      </c>
      <c r="O267" s="269">
        <f t="shared" si="174"/>
        <v>0.75</v>
      </c>
      <c r="P267" s="269">
        <f t="shared" si="175"/>
        <v>0</v>
      </c>
      <c r="Q267" s="269">
        <f t="shared" si="176"/>
        <v>0</v>
      </c>
      <c r="R267" s="269">
        <f t="shared" si="177"/>
        <v>0</v>
      </c>
      <c r="S267" s="249"/>
      <c r="T267" s="224"/>
      <c r="U267" s="271">
        <f t="shared" si="178"/>
        <v>0</v>
      </c>
      <c r="V267" s="271">
        <f t="shared" si="179"/>
        <v>0</v>
      </c>
      <c r="W267" s="271">
        <f t="shared" si="180"/>
        <v>0</v>
      </c>
      <c r="X267" s="271">
        <f t="shared" si="181"/>
        <v>0</v>
      </c>
      <c r="Y267" s="271">
        <f t="shared" si="182"/>
        <v>0</v>
      </c>
      <c r="Z267" s="271">
        <f t="shared" si="183"/>
        <v>0</v>
      </c>
      <c r="AA267" s="271">
        <f t="shared" si="184"/>
        <v>0</v>
      </c>
      <c r="AB267" s="271">
        <f t="shared" si="185"/>
        <v>0</v>
      </c>
      <c r="AC267" s="271">
        <f t="shared" si="186"/>
        <v>0</v>
      </c>
    </row>
    <row r="268" spans="4:29" ht="13.5" customHeight="1" x14ac:dyDescent="0.25">
      <c r="D268" s="2" t="str">
        <f t="shared" si="187"/>
        <v>Melonseed</v>
      </c>
      <c r="E268" s="270">
        <f>ProjectedP205_Consumption!K56*OCPMarketShares!N151</f>
        <v>0</v>
      </c>
      <c r="F268" s="270">
        <f>ProjectedP205_Consumption!L56*OCPMarketShares!O151</f>
        <v>0</v>
      </c>
      <c r="G268" s="270">
        <f>ProjectedP205_Consumption!M56*OCPMarketShares!P151</f>
        <v>0</v>
      </c>
      <c r="I268" s="31"/>
      <c r="J268" s="269">
        <f t="shared" si="169"/>
        <v>0.75</v>
      </c>
      <c r="K268" s="269">
        <f t="shared" si="170"/>
        <v>0.5</v>
      </c>
      <c r="L268" s="269">
        <f t="shared" si="171"/>
        <v>0.25</v>
      </c>
      <c r="M268" s="269">
        <f t="shared" si="172"/>
        <v>0.25</v>
      </c>
      <c r="N268" s="269">
        <f t="shared" si="173"/>
        <v>0.5</v>
      </c>
      <c r="O268" s="269">
        <f t="shared" si="174"/>
        <v>0.75</v>
      </c>
      <c r="P268" s="269">
        <f t="shared" si="175"/>
        <v>0</v>
      </c>
      <c r="Q268" s="269">
        <f t="shared" si="176"/>
        <v>0</v>
      </c>
      <c r="R268" s="269">
        <f t="shared" si="177"/>
        <v>0</v>
      </c>
      <c r="S268" s="249"/>
      <c r="T268" s="224"/>
      <c r="U268" s="271">
        <f t="shared" si="178"/>
        <v>0</v>
      </c>
      <c r="V268" s="271">
        <f t="shared" si="179"/>
        <v>0</v>
      </c>
      <c r="W268" s="271">
        <f t="shared" si="180"/>
        <v>0</v>
      </c>
      <c r="X268" s="271">
        <f t="shared" si="181"/>
        <v>0</v>
      </c>
      <c r="Y268" s="271">
        <f t="shared" si="182"/>
        <v>0</v>
      </c>
      <c r="Z268" s="271">
        <f t="shared" si="183"/>
        <v>0</v>
      </c>
      <c r="AA268" s="271">
        <f t="shared" si="184"/>
        <v>0</v>
      </c>
      <c r="AB268" s="271">
        <f t="shared" si="185"/>
        <v>0</v>
      </c>
      <c r="AC268" s="271">
        <f t="shared" si="186"/>
        <v>0</v>
      </c>
    </row>
    <row r="269" spans="4:29" ht="13.5" customHeight="1" x14ac:dyDescent="0.25">
      <c r="D269" s="2" t="str">
        <f t="shared" si="187"/>
        <v>Cow peas, dry</v>
      </c>
      <c r="E269" s="270">
        <f>ProjectedP205_Consumption!K57*OCPMarketShares!N152</f>
        <v>0</v>
      </c>
      <c r="F269" s="270">
        <f>ProjectedP205_Consumption!L57*OCPMarketShares!O152</f>
        <v>0</v>
      </c>
      <c r="G269" s="270">
        <f>ProjectedP205_Consumption!M57*OCPMarketShares!P152</f>
        <v>0</v>
      </c>
      <c r="I269" s="31"/>
      <c r="J269" s="269">
        <f t="shared" si="169"/>
        <v>0.75</v>
      </c>
      <c r="K269" s="269">
        <f t="shared" si="170"/>
        <v>0.5</v>
      </c>
      <c r="L269" s="269">
        <f t="shared" si="171"/>
        <v>0.25</v>
      </c>
      <c r="M269" s="269">
        <f t="shared" si="172"/>
        <v>0.25</v>
      </c>
      <c r="N269" s="269">
        <f t="shared" si="173"/>
        <v>0.5</v>
      </c>
      <c r="O269" s="269">
        <f t="shared" si="174"/>
        <v>0.75</v>
      </c>
      <c r="P269" s="269">
        <f t="shared" si="175"/>
        <v>0</v>
      </c>
      <c r="Q269" s="269">
        <f t="shared" si="176"/>
        <v>0</v>
      </c>
      <c r="R269" s="269">
        <f t="shared" si="177"/>
        <v>0</v>
      </c>
      <c r="S269" s="249"/>
      <c r="T269" s="224"/>
      <c r="U269" s="271">
        <f t="shared" si="178"/>
        <v>0</v>
      </c>
      <c r="V269" s="271">
        <f t="shared" si="179"/>
        <v>0</v>
      </c>
      <c r="W269" s="271">
        <f t="shared" si="180"/>
        <v>0</v>
      </c>
      <c r="X269" s="271">
        <f t="shared" si="181"/>
        <v>0</v>
      </c>
      <c r="Y269" s="271">
        <f t="shared" si="182"/>
        <v>0</v>
      </c>
      <c r="Z269" s="271">
        <f t="shared" si="183"/>
        <v>0</v>
      </c>
      <c r="AA269" s="271">
        <f t="shared" si="184"/>
        <v>0</v>
      </c>
      <c r="AB269" s="271">
        <f t="shared" si="185"/>
        <v>0</v>
      </c>
      <c r="AC269" s="271">
        <f t="shared" si="186"/>
        <v>0</v>
      </c>
    </row>
    <row r="270" spans="4:29" ht="13.5" customHeight="1" x14ac:dyDescent="0.25">
      <c r="D270" s="2" t="str">
        <f t="shared" si="187"/>
        <v>Wheat</v>
      </c>
      <c r="E270" s="270">
        <f>ProjectedP205_Consumption!K58*OCPMarketShares!N153</f>
        <v>1.5978491677137012</v>
      </c>
      <c r="F270" s="270">
        <f>ProjectedP205_Consumption!L58*OCPMarketShares!O153</f>
        <v>2.4429470879813016</v>
      </c>
      <c r="G270" s="270">
        <f>ProjectedP205_Consumption!M58*OCPMarketShares!P153</f>
        <v>2.9495269919513527</v>
      </c>
      <c r="I270" s="31"/>
      <c r="J270" s="269">
        <f t="shared" si="169"/>
        <v>0.75</v>
      </c>
      <c r="K270" s="269">
        <f t="shared" si="170"/>
        <v>0.5</v>
      </c>
      <c r="L270" s="269">
        <f t="shared" si="171"/>
        <v>0.25</v>
      </c>
      <c r="M270" s="269">
        <f t="shared" si="172"/>
        <v>0.25</v>
      </c>
      <c r="N270" s="269">
        <f t="shared" si="173"/>
        <v>0.5</v>
      </c>
      <c r="O270" s="269">
        <f t="shared" si="174"/>
        <v>0.75</v>
      </c>
      <c r="P270" s="269">
        <f t="shared" si="175"/>
        <v>0</v>
      </c>
      <c r="Q270" s="269">
        <f t="shared" si="176"/>
        <v>0</v>
      </c>
      <c r="R270" s="269">
        <f t="shared" si="177"/>
        <v>0</v>
      </c>
      <c r="S270" s="249"/>
      <c r="T270" s="224"/>
      <c r="U270" s="271">
        <f t="shared" si="178"/>
        <v>2.605188860402774</v>
      </c>
      <c r="V270" s="271">
        <f t="shared" si="179"/>
        <v>2.6553772695448927</v>
      </c>
      <c r="W270" s="271">
        <f t="shared" si="180"/>
        <v>1.6030037999735611</v>
      </c>
      <c r="X270" s="271">
        <f t="shared" si="181"/>
        <v>0.86839628680092451</v>
      </c>
      <c r="Y270" s="271">
        <f t="shared" si="182"/>
        <v>2.6553772695448927</v>
      </c>
      <c r="Z270" s="271">
        <f t="shared" si="183"/>
        <v>4.809011399920684</v>
      </c>
      <c r="AA270" s="271">
        <f t="shared" si="184"/>
        <v>0</v>
      </c>
      <c r="AB270" s="271">
        <f t="shared" si="185"/>
        <v>0</v>
      </c>
      <c r="AC270" s="271">
        <f t="shared" si="186"/>
        <v>0</v>
      </c>
    </row>
    <row r="271" spans="4:29" ht="13.5" customHeight="1" x14ac:dyDescent="0.25">
      <c r="D271" s="2" t="str">
        <f t="shared" si="187"/>
        <v>Onions and shallots, dry (excluding dehydrated)</v>
      </c>
      <c r="E271" s="270">
        <f>ProjectedP205_Consumption!K59*OCPMarketShares!N154</f>
        <v>0</v>
      </c>
      <c r="F271" s="270">
        <f>ProjectedP205_Consumption!L59*OCPMarketShares!O154</f>
        <v>0</v>
      </c>
      <c r="G271" s="270">
        <f>ProjectedP205_Consumption!M59*OCPMarketShares!P154</f>
        <v>0</v>
      </c>
      <c r="I271" s="31"/>
      <c r="J271" s="269">
        <f t="shared" si="169"/>
        <v>0.75</v>
      </c>
      <c r="K271" s="269">
        <f t="shared" si="170"/>
        <v>0.5</v>
      </c>
      <c r="L271" s="269">
        <f t="shared" si="171"/>
        <v>0.25</v>
      </c>
      <c r="M271" s="269">
        <f t="shared" si="172"/>
        <v>0.25</v>
      </c>
      <c r="N271" s="269">
        <f t="shared" si="173"/>
        <v>0.5</v>
      </c>
      <c r="O271" s="269">
        <f t="shared" si="174"/>
        <v>0.75</v>
      </c>
      <c r="P271" s="269">
        <f t="shared" si="175"/>
        <v>0</v>
      </c>
      <c r="Q271" s="269">
        <f t="shared" si="176"/>
        <v>0</v>
      </c>
      <c r="R271" s="269">
        <f t="shared" si="177"/>
        <v>0</v>
      </c>
      <c r="S271" s="249"/>
      <c r="T271" s="224"/>
      <c r="U271" s="271">
        <f t="shared" si="178"/>
        <v>0</v>
      </c>
      <c r="V271" s="271">
        <f t="shared" si="179"/>
        <v>0</v>
      </c>
      <c r="W271" s="271">
        <f t="shared" si="180"/>
        <v>0</v>
      </c>
      <c r="X271" s="271">
        <f t="shared" si="181"/>
        <v>0</v>
      </c>
      <c r="Y271" s="271">
        <f t="shared" si="182"/>
        <v>0</v>
      </c>
      <c r="Z271" s="271">
        <f t="shared" si="183"/>
        <v>0</v>
      </c>
      <c r="AA271" s="271">
        <f t="shared" si="184"/>
        <v>0</v>
      </c>
      <c r="AB271" s="271">
        <f t="shared" si="185"/>
        <v>0</v>
      </c>
      <c r="AC271" s="271">
        <f t="shared" si="186"/>
        <v>0</v>
      </c>
    </row>
    <row r="272" spans="4:29" ht="13.5" customHeight="1" x14ac:dyDescent="0.25">
      <c r="D272" s="2" t="str">
        <f t="shared" si="187"/>
        <v>Bananas</v>
      </c>
      <c r="E272" s="270">
        <f>ProjectedP205_Consumption!K60*OCPMarketShares!N155</f>
        <v>0</v>
      </c>
      <c r="F272" s="270">
        <f>ProjectedP205_Consumption!L60*OCPMarketShares!O155</f>
        <v>0</v>
      </c>
      <c r="G272" s="270">
        <f>ProjectedP205_Consumption!M60*OCPMarketShares!P155</f>
        <v>0</v>
      </c>
      <c r="I272" s="31"/>
      <c r="J272" s="269">
        <f t="shared" si="169"/>
        <v>0.75</v>
      </c>
      <c r="K272" s="269">
        <f t="shared" si="170"/>
        <v>0.5</v>
      </c>
      <c r="L272" s="269">
        <f t="shared" si="171"/>
        <v>0.25</v>
      </c>
      <c r="M272" s="269">
        <f t="shared" si="172"/>
        <v>0.25</v>
      </c>
      <c r="N272" s="269">
        <f t="shared" si="173"/>
        <v>0.5</v>
      </c>
      <c r="O272" s="269">
        <f t="shared" si="174"/>
        <v>0.75</v>
      </c>
      <c r="P272" s="269">
        <f t="shared" si="175"/>
        <v>0</v>
      </c>
      <c r="Q272" s="269">
        <f t="shared" si="176"/>
        <v>0</v>
      </c>
      <c r="R272" s="269">
        <f t="shared" si="177"/>
        <v>0</v>
      </c>
      <c r="S272" s="249"/>
      <c r="T272" s="224"/>
      <c r="U272" s="271">
        <f t="shared" si="178"/>
        <v>0</v>
      </c>
      <c r="V272" s="271">
        <f t="shared" si="179"/>
        <v>0</v>
      </c>
      <c r="W272" s="271">
        <f t="shared" si="180"/>
        <v>0</v>
      </c>
      <c r="X272" s="271">
        <f t="shared" si="181"/>
        <v>0</v>
      </c>
      <c r="Y272" s="271">
        <f t="shared" si="182"/>
        <v>0</v>
      </c>
      <c r="Z272" s="271">
        <f t="shared" si="183"/>
        <v>0</v>
      </c>
      <c r="AA272" s="271">
        <f t="shared" si="184"/>
        <v>0</v>
      </c>
      <c r="AB272" s="271">
        <f t="shared" si="185"/>
        <v>0</v>
      </c>
      <c r="AC272" s="271">
        <f t="shared" si="186"/>
        <v>0</v>
      </c>
    </row>
    <row r="273" spans="4:29" ht="13.5" customHeight="1" x14ac:dyDescent="0.25">
      <c r="D273" s="2" t="str">
        <f t="shared" si="187"/>
        <v>Mangoes, guavas and mangosteens</v>
      </c>
      <c r="E273" s="270">
        <f>ProjectedP205_Consumption!K61*OCPMarketShares!N156</f>
        <v>0</v>
      </c>
      <c r="F273" s="270">
        <f>ProjectedP205_Consumption!L61*OCPMarketShares!O156</f>
        <v>0</v>
      </c>
      <c r="G273" s="270">
        <f>ProjectedP205_Consumption!M61*OCPMarketShares!P156</f>
        <v>0</v>
      </c>
      <c r="I273" s="31"/>
      <c r="J273" s="269">
        <f t="shared" si="169"/>
        <v>0.75</v>
      </c>
      <c r="K273" s="269">
        <f t="shared" si="170"/>
        <v>0.5</v>
      </c>
      <c r="L273" s="269">
        <f t="shared" si="171"/>
        <v>0.25</v>
      </c>
      <c r="M273" s="269">
        <f t="shared" si="172"/>
        <v>0.25</v>
      </c>
      <c r="N273" s="269">
        <f t="shared" si="173"/>
        <v>0.5</v>
      </c>
      <c r="O273" s="269">
        <f t="shared" si="174"/>
        <v>0.75</v>
      </c>
      <c r="P273" s="269">
        <f t="shared" si="175"/>
        <v>0</v>
      </c>
      <c r="Q273" s="269">
        <f t="shared" si="176"/>
        <v>0</v>
      </c>
      <c r="R273" s="269">
        <f t="shared" si="177"/>
        <v>0</v>
      </c>
      <c r="S273" s="249"/>
      <c r="T273" s="224"/>
      <c r="U273" s="271">
        <f t="shared" si="178"/>
        <v>0</v>
      </c>
      <c r="V273" s="271">
        <f t="shared" si="179"/>
        <v>0</v>
      </c>
      <c r="W273" s="271">
        <f t="shared" si="180"/>
        <v>0</v>
      </c>
      <c r="X273" s="271">
        <f t="shared" si="181"/>
        <v>0</v>
      </c>
      <c r="Y273" s="271">
        <f t="shared" si="182"/>
        <v>0</v>
      </c>
      <c r="Z273" s="271">
        <f t="shared" si="183"/>
        <v>0</v>
      </c>
      <c r="AA273" s="271">
        <f t="shared" si="184"/>
        <v>0</v>
      </c>
      <c r="AB273" s="271">
        <f t="shared" si="185"/>
        <v>0</v>
      </c>
      <c r="AC273" s="271">
        <f t="shared" si="186"/>
        <v>0</v>
      </c>
    </row>
    <row r="274" spans="4:29" ht="13.5" customHeight="1" x14ac:dyDescent="0.25">
      <c r="D274" s="2" t="str">
        <f t="shared" si="187"/>
        <v>Cantaloupes and other melons</v>
      </c>
      <c r="E274" s="270">
        <f>ProjectedP205_Consumption!K62*OCPMarketShares!N157</f>
        <v>0</v>
      </c>
      <c r="F274" s="270">
        <f>ProjectedP205_Consumption!L62*OCPMarketShares!O157</f>
        <v>0</v>
      </c>
      <c r="G274" s="270">
        <f>ProjectedP205_Consumption!M62*OCPMarketShares!P157</f>
        <v>0</v>
      </c>
      <c r="I274" s="31"/>
      <c r="J274" s="269">
        <f t="shared" si="169"/>
        <v>0.75</v>
      </c>
      <c r="K274" s="269">
        <f t="shared" si="170"/>
        <v>0.5</v>
      </c>
      <c r="L274" s="269">
        <f t="shared" si="171"/>
        <v>0.25</v>
      </c>
      <c r="M274" s="269">
        <f t="shared" si="172"/>
        <v>0.25</v>
      </c>
      <c r="N274" s="269">
        <f t="shared" si="173"/>
        <v>0.5</v>
      </c>
      <c r="O274" s="269">
        <f t="shared" si="174"/>
        <v>0.75</v>
      </c>
      <c r="P274" s="269">
        <f t="shared" si="175"/>
        <v>0</v>
      </c>
      <c r="Q274" s="269">
        <f t="shared" si="176"/>
        <v>0</v>
      </c>
      <c r="R274" s="269">
        <f t="shared" si="177"/>
        <v>0</v>
      </c>
      <c r="S274" s="249"/>
      <c r="T274" s="224"/>
      <c r="U274" s="271">
        <f t="shared" si="178"/>
        <v>0</v>
      </c>
      <c r="V274" s="271">
        <f t="shared" si="179"/>
        <v>0</v>
      </c>
      <c r="W274" s="271">
        <f t="shared" si="180"/>
        <v>0</v>
      </c>
      <c r="X274" s="271">
        <f t="shared" si="181"/>
        <v>0</v>
      </c>
      <c r="Y274" s="271">
        <f t="shared" si="182"/>
        <v>0</v>
      </c>
      <c r="Z274" s="271">
        <f t="shared" si="183"/>
        <v>0</v>
      </c>
      <c r="AA274" s="271">
        <f t="shared" si="184"/>
        <v>0</v>
      </c>
      <c r="AB274" s="271">
        <f t="shared" si="185"/>
        <v>0</v>
      </c>
      <c r="AC274" s="271">
        <f t="shared" si="186"/>
        <v>0</v>
      </c>
    </row>
    <row r="275" spans="4:29" ht="13.5" customHeight="1" x14ac:dyDescent="0.25">
      <c r="D275" s="2" t="str">
        <f t="shared" si="187"/>
        <v>Sunflower seed</v>
      </c>
      <c r="E275" s="270">
        <f>ProjectedP205_Consumption!K63*OCPMarketShares!N158</f>
        <v>0</v>
      </c>
      <c r="F275" s="270">
        <f>ProjectedP205_Consumption!L63*OCPMarketShares!O158</f>
        <v>0</v>
      </c>
      <c r="G275" s="270">
        <f>ProjectedP205_Consumption!M63*OCPMarketShares!P158</f>
        <v>0</v>
      </c>
      <c r="I275" s="31"/>
      <c r="J275" s="269">
        <f t="shared" si="169"/>
        <v>0.75</v>
      </c>
      <c r="K275" s="269">
        <f t="shared" si="170"/>
        <v>0.5</v>
      </c>
      <c r="L275" s="269">
        <f t="shared" si="171"/>
        <v>0.25</v>
      </c>
      <c r="M275" s="269">
        <f t="shared" si="172"/>
        <v>0.25</v>
      </c>
      <c r="N275" s="269">
        <f t="shared" si="173"/>
        <v>0.5</v>
      </c>
      <c r="O275" s="269">
        <f t="shared" si="174"/>
        <v>0.75</v>
      </c>
      <c r="P275" s="269">
        <f t="shared" si="175"/>
        <v>0</v>
      </c>
      <c r="Q275" s="269">
        <f t="shared" si="176"/>
        <v>0</v>
      </c>
      <c r="R275" s="269">
        <f t="shared" si="177"/>
        <v>0</v>
      </c>
      <c r="S275" s="249"/>
      <c r="T275" s="224"/>
      <c r="U275" s="271">
        <f t="shared" si="178"/>
        <v>0</v>
      </c>
      <c r="V275" s="271">
        <f t="shared" si="179"/>
        <v>0</v>
      </c>
      <c r="W275" s="271">
        <f t="shared" si="180"/>
        <v>0</v>
      </c>
      <c r="X275" s="271">
        <f t="shared" si="181"/>
        <v>0</v>
      </c>
      <c r="Y275" s="271">
        <f t="shared" si="182"/>
        <v>0</v>
      </c>
      <c r="Z275" s="271">
        <f t="shared" si="183"/>
        <v>0</v>
      </c>
      <c r="AA275" s="271">
        <f t="shared" si="184"/>
        <v>0</v>
      </c>
      <c r="AB275" s="271">
        <f t="shared" si="185"/>
        <v>0</v>
      </c>
      <c r="AC275" s="271">
        <f t="shared" si="186"/>
        <v>0</v>
      </c>
    </row>
    <row r="276" spans="4:29" ht="13.5" customHeight="1" x14ac:dyDescent="0.25">
      <c r="D276" s="2" t="str">
        <f t="shared" si="187"/>
        <v>Cauliflowers and broccoli</v>
      </c>
      <c r="E276" s="270">
        <f>ProjectedP205_Consumption!K64*OCPMarketShares!N159</f>
        <v>0</v>
      </c>
      <c r="F276" s="270">
        <f>ProjectedP205_Consumption!L64*OCPMarketShares!O159</f>
        <v>0</v>
      </c>
      <c r="G276" s="270">
        <f>ProjectedP205_Consumption!M64*OCPMarketShares!P159</f>
        <v>0</v>
      </c>
      <c r="I276" s="31"/>
      <c r="J276" s="269">
        <f t="shared" si="169"/>
        <v>0.75</v>
      </c>
      <c r="K276" s="269">
        <f t="shared" si="170"/>
        <v>0.5</v>
      </c>
      <c r="L276" s="269">
        <f t="shared" si="171"/>
        <v>0.25</v>
      </c>
      <c r="M276" s="269">
        <f t="shared" si="172"/>
        <v>0.25</v>
      </c>
      <c r="N276" s="269">
        <f t="shared" si="173"/>
        <v>0.5</v>
      </c>
      <c r="O276" s="269">
        <f t="shared" si="174"/>
        <v>0.75</v>
      </c>
      <c r="P276" s="269">
        <f t="shared" si="175"/>
        <v>0</v>
      </c>
      <c r="Q276" s="269">
        <f t="shared" si="176"/>
        <v>0</v>
      </c>
      <c r="R276" s="269">
        <f t="shared" si="177"/>
        <v>0</v>
      </c>
      <c r="S276" s="249"/>
      <c r="T276" s="224"/>
      <c r="U276" s="271">
        <f t="shared" si="178"/>
        <v>0</v>
      </c>
      <c r="V276" s="271">
        <f t="shared" si="179"/>
        <v>0</v>
      </c>
      <c r="W276" s="271">
        <f t="shared" si="180"/>
        <v>0</v>
      </c>
      <c r="X276" s="271">
        <f t="shared" si="181"/>
        <v>0</v>
      </c>
      <c r="Y276" s="271">
        <f t="shared" si="182"/>
        <v>0</v>
      </c>
      <c r="Z276" s="271">
        <f t="shared" si="183"/>
        <v>0</v>
      </c>
      <c r="AA276" s="271">
        <f t="shared" si="184"/>
        <v>0</v>
      </c>
      <c r="AB276" s="271">
        <f t="shared" si="185"/>
        <v>0</v>
      </c>
      <c r="AC276" s="271">
        <f t="shared" si="186"/>
        <v>0</v>
      </c>
    </row>
    <row r="277" spans="4:29" ht="13.5" customHeight="1" x14ac:dyDescent="0.25">
      <c r="D277" s="2" t="str">
        <f t="shared" si="187"/>
        <v>Seed cotton, unginned</v>
      </c>
      <c r="E277" s="270">
        <f>ProjectedP205_Consumption!K65*OCPMarketShares!N160</f>
        <v>0</v>
      </c>
      <c r="F277" s="270">
        <f>ProjectedP205_Consumption!L65*OCPMarketShares!O160</f>
        <v>0</v>
      </c>
      <c r="G277" s="270">
        <f>ProjectedP205_Consumption!M65*OCPMarketShares!P160</f>
        <v>0</v>
      </c>
      <c r="I277" s="31"/>
      <c r="J277" s="269">
        <f t="shared" si="169"/>
        <v>0.75</v>
      </c>
      <c r="K277" s="269">
        <f t="shared" si="170"/>
        <v>0.5</v>
      </c>
      <c r="L277" s="269">
        <f t="shared" si="171"/>
        <v>0.25</v>
      </c>
      <c r="M277" s="269">
        <f t="shared" si="172"/>
        <v>0.25</v>
      </c>
      <c r="N277" s="269">
        <f t="shared" si="173"/>
        <v>0.5</v>
      </c>
      <c r="O277" s="269">
        <f t="shared" si="174"/>
        <v>0.75</v>
      </c>
      <c r="P277" s="269">
        <f t="shared" si="175"/>
        <v>0</v>
      </c>
      <c r="Q277" s="269">
        <f t="shared" si="176"/>
        <v>0</v>
      </c>
      <c r="R277" s="269">
        <f t="shared" si="177"/>
        <v>0</v>
      </c>
      <c r="S277" s="249"/>
      <c r="T277" s="224"/>
      <c r="U277" s="271">
        <f t="shared" si="178"/>
        <v>0</v>
      </c>
      <c r="V277" s="271">
        <f t="shared" si="179"/>
        <v>0</v>
      </c>
      <c r="W277" s="271">
        <f t="shared" si="180"/>
        <v>0</v>
      </c>
      <c r="X277" s="271">
        <f t="shared" si="181"/>
        <v>0</v>
      </c>
      <c r="Y277" s="271">
        <f t="shared" si="182"/>
        <v>0</v>
      </c>
      <c r="Z277" s="271">
        <f t="shared" si="183"/>
        <v>0</v>
      </c>
      <c r="AA277" s="271">
        <f t="shared" si="184"/>
        <v>0</v>
      </c>
      <c r="AB277" s="271">
        <f t="shared" si="185"/>
        <v>0</v>
      </c>
      <c r="AC277" s="271">
        <f t="shared" si="186"/>
        <v>0</v>
      </c>
    </row>
    <row r="278" spans="4:29" ht="13.5" customHeight="1" x14ac:dyDescent="0.25">
      <c r="D278" s="2" t="str">
        <f t="shared" si="187"/>
        <v>Cucumbers and gherkins</v>
      </c>
      <c r="E278" s="270">
        <f>ProjectedP205_Consumption!K66*OCPMarketShares!N161</f>
        <v>0</v>
      </c>
      <c r="F278" s="270">
        <f>ProjectedP205_Consumption!L66*OCPMarketShares!O161</f>
        <v>0</v>
      </c>
      <c r="G278" s="270">
        <f>ProjectedP205_Consumption!M66*OCPMarketShares!P161</f>
        <v>0</v>
      </c>
      <c r="I278" s="31"/>
      <c r="J278" s="269">
        <f t="shared" si="169"/>
        <v>0.75</v>
      </c>
      <c r="K278" s="269">
        <f t="shared" si="170"/>
        <v>0.5</v>
      </c>
      <c r="L278" s="269">
        <f t="shared" si="171"/>
        <v>0.25</v>
      </c>
      <c r="M278" s="269">
        <f t="shared" si="172"/>
        <v>0.25</v>
      </c>
      <c r="N278" s="269">
        <f t="shared" si="173"/>
        <v>0.5</v>
      </c>
      <c r="O278" s="269">
        <f t="shared" si="174"/>
        <v>0.75</v>
      </c>
      <c r="P278" s="269">
        <f t="shared" si="175"/>
        <v>0</v>
      </c>
      <c r="Q278" s="269">
        <f t="shared" si="176"/>
        <v>0</v>
      </c>
      <c r="R278" s="269">
        <f t="shared" si="177"/>
        <v>0</v>
      </c>
      <c r="S278" s="249"/>
      <c r="T278" s="224"/>
      <c r="U278" s="271">
        <f t="shared" si="178"/>
        <v>0</v>
      </c>
      <c r="V278" s="271">
        <f t="shared" si="179"/>
        <v>0</v>
      </c>
      <c r="W278" s="271">
        <f t="shared" si="180"/>
        <v>0</v>
      </c>
      <c r="X278" s="271">
        <f t="shared" si="181"/>
        <v>0</v>
      </c>
      <c r="Y278" s="271">
        <f t="shared" si="182"/>
        <v>0</v>
      </c>
      <c r="Z278" s="271">
        <f t="shared" si="183"/>
        <v>0</v>
      </c>
      <c r="AA278" s="271">
        <f t="shared" si="184"/>
        <v>0</v>
      </c>
      <c r="AB278" s="271">
        <f t="shared" si="185"/>
        <v>0</v>
      </c>
      <c r="AC278" s="271">
        <f t="shared" si="186"/>
        <v>0</v>
      </c>
    </row>
    <row r="279" spans="4:29" ht="13.5" customHeight="1" x14ac:dyDescent="0.25">
      <c r="D279" s="2" t="str">
        <f t="shared" si="187"/>
        <v>Tomatoes</v>
      </c>
      <c r="E279" s="270">
        <f>ProjectedP205_Consumption!K67*OCPMarketShares!N162</f>
        <v>0</v>
      </c>
      <c r="F279" s="270">
        <f>ProjectedP205_Consumption!L67*OCPMarketShares!O162</f>
        <v>0</v>
      </c>
      <c r="G279" s="270">
        <f>ProjectedP205_Consumption!M67*OCPMarketShares!P162</f>
        <v>0</v>
      </c>
      <c r="I279" s="31"/>
      <c r="J279" s="269">
        <f t="shared" si="169"/>
        <v>0.75</v>
      </c>
      <c r="K279" s="269">
        <f t="shared" si="170"/>
        <v>0.5</v>
      </c>
      <c r="L279" s="269">
        <f t="shared" si="171"/>
        <v>0.25</v>
      </c>
      <c r="M279" s="269">
        <f t="shared" si="172"/>
        <v>0.25</v>
      </c>
      <c r="N279" s="269">
        <f t="shared" si="173"/>
        <v>0.5</v>
      </c>
      <c r="O279" s="269">
        <f t="shared" si="174"/>
        <v>0.75</v>
      </c>
      <c r="P279" s="269">
        <f t="shared" si="175"/>
        <v>0</v>
      </c>
      <c r="Q279" s="269">
        <f t="shared" si="176"/>
        <v>0</v>
      </c>
      <c r="R279" s="269">
        <f t="shared" si="177"/>
        <v>0</v>
      </c>
      <c r="S279" s="249"/>
      <c r="T279" s="224"/>
      <c r="U279" s="271">
        <f t="shared" si="178"/>
        <v>0</v>
      </c>
      <c r="V279" s="271">
        <f t="shared" si="179"/>
        <v>0</v>
      </c>
      <c r="W279" s="271">
        <f t="shared" si="180"/>
        <v>0</v>
      </c>
      <c r="X279" s="271">
        <f t="shared" si="181"/>
        <v>0</v>
      </c>
      <c r="Y279" s="271">
        <f t="shared" si="182"/>
        <v>0</v>
      </c>
      <c r="Z279" s="271">
        <f t="shared" si="183"/>
        <v>0</v>
      </c>
      <c r="AA279" s="271">
        <f t="shared" si="184"/>
        <v>0</v>
      </c>
      <c r="AB279" s="271">
        <f t="shared" si="185"/>
        <v>0</v>
      </c>
      <c r="AC279" s="271">
        <f t="shared" si="186"/>
        <v>0</v>
      </c>
    </row>
    <row r="280" spans="4:29" ht="13.5" customHeight="1" x14ac:dyDescent="0.25">
      <c r="D280" s="2" t="str">
        <f t="shared" si="187"/>
        <v>Potatoes</v>
      </c>
      <c r="E280" s="270">
        <f>ProjectedP205_Consumption!K68*OCPMarketShares!N163</f>
        <v>0</v>
      </c>
      <c r="F280" s="270">
        <f>ProjectedP205_Consumption!L68*OCPMarketShares!O163</f>
        <v>0</v>
      </c>
      <c r="G280" s="270">
        <f>ProjectedP205_Consumption!M68*OCPMarketShares!P163</f>
        <v>0</v>
      </c>
      <c r="I280" s="31"/>
      <c r="J280" s="269">
        <f t="shared" si="169"/>
        <v>0.75</v>
      </c>
      <c r="K280" s="269">
        <f t="shared" si="170"/>
        <v>0.5</v>
      </c>
      <c r="L280" s="269">
        <f t="shared" si="171"/>
        <v>0.25</v>
      </c>
      <c r="M280" s="269">
        <f t="shared" si="172"/>
        <v>0.25</v>
      </c>
      <c r="N280" s="269">
        <f t="shared" si="173"/>
        <v>0.5</v>
      </c>
      <c r="O280" s="269">
        <f t="shared" si="174"/>
        <v>0.75</v>
      </c>
      <c r="P280" s="269">
        <f t="shared" si="175"/>
        <v>0</v>
      </c>
      <c r="Q280" s="269">
        <f t="shared" si="176"/>
        <v>0</v>
      </c>
      <c r="R280" s="269">
        <f t="shared" si="177"/>
        <v>0</v>
      </c>
      <c r="S280" s="249"/>
      <c r="T280" s="224"/>
      <c r="U280" s="271">
        <f t="shared" si="178"/>
        <v>0</v>
      </c>
      <c r="V280" s="271">
        <f t="shared" si="179"/>
        <v>0</v>
      </c>
      <c r="W280" s="271">
        <f t="shared" si="180"/>
        <v>0</v>
      </c>
      <c r="X280" s="271">
        <f t="shared" si="181"/>
        <v>0</v>
      </c>
      <c r="Y280" s="271">
        <f t="shared" si="182"/>
        <v>0</v>
      </c>
      <c r="Z280" s="271">
        <f t="shared" si="183"/>
        <v>0</v>
      </c>
      <c r="AA280" s="271">
        <f t="shared" si="184"/>
        <v>0</v>
      </c>
      <c r="AB280" s="271">
        <f t="shared" si="185"/>
        <v>0</v>
      </c>
      <c r="AC280" s="271">
        <f t="shared" si="186"/>
        <v>0</v>
      </c>
    </row>
    <row r="281" spans="4:29" ht="13.5" customHeight="1" x14ac:dyDescent="0.25">
      <c r="D281" s="2" t="str">
        <f t="shared" si="187"/>
        <v>Pumpkins, squash and gourds</v>
      </c>
      <c r="E281" s="270">
        <f>ProjectedP205_Consumption!K69*OCPMarketShares!N164</f>
        <v>0</v>
      </c>
      <c r="F281" s="270">
        <f>ProjectedP205_Consumption!L69*OCPMarketShares!O164</f>
        <v>0</v>
      </c>
      <c r="G281" s="270">
        <f>ProjectedP205_Consumption!M69*OCPMarketShares!P164</f>
        <v>0</v>
      </c>
      <c r="I281" s="31"/>
      <c r="J281" s="269">
        <f t="shared" si="169"/>
        <v>0.75</v>
      </c>
      <c r="K281" s="269">
        <f t="shared" si="170"/>
        <v>0.5</v>
      </c>
      <c r="L281" s="269">
        <f t="shared" si="171"/>
        <v>0.25</v>
      </c>
      <c r="M281" s="269">
        <f t="shared" si="172"/>
        <v>0.25</v>
      </c>
      <c r="N281" s="269">
        <f t="shared" si="173"/>
        <v>0.5</v>
      </c>
      <c r="O281" s="269">
        <f t="shared" si="174"/>
        <v>0.75</v>
      </c>
      <c r="P281" s="269">
        <f t="shared" si="175"/>
        <v>0</v>
      </c>
      <c r="Q281" s="269">
        <f t="shared" si="176"/>
        <v>0</v>
      </c>
      <c r="R281" s="269">
        <f t="shared" si="177"/>
        <v>0</v>
      </c>
      <c r="S281" s="249"/>
      <c r="T281" s="221"/>
      <c r="U281" s="271">
        <f t="shared" si="178"/>
        <v>0</v>
      </c>
      <c r="V281" s="271">
        <f t="shared" si="179"/>
        <v>0</v>
      </c>
      <c r="W281" s="271">
        <f t="shared" si="180"/>
        <v>0</v>
      </c>
      <c r="X281" s="271">
        <f t="shared" si="181"/>
        <v>0</v>
      </c>
      <c r="Y281" s="271">
        <f t="shared" si="182"/>
        <v>0</v>
      </c>
      <c r="Z281" s="271">
        <f t="shared" si="183"/>
        <v>0</v>
      </c>
      <c r="AA281" s="271">
        <f t="shared" si="184"/>
        <v>0</v>
      </c>
      <c r="AB281" s="271">
        <f t="shared" si="185"/>
        <v>0</v>
      </c>
      <c r="AC281" s="271">
        <f t="shared" si="186"/>
        <v>0</v>
      </c>
    </row>
    <row r="282" spans="4:29" ht="13.5" customHeight="1" x14ac:dyDescent="0.25">
      <c r="D282" s="2" t="str">
        <f t="shared" si="187"/>
        <v>Dates</v>
      </c>
      <c r="E282" s="270">
        <f>ProjectedP205_Consumption!K70*OCPMarketShares!N165</f>
        <v>0</v>
      </c>
      <c r="F282" s="270">
        <f>ProjectedP205_Consumption!L70*OCPMarketShares!O165</f>
        <v>0</v>
      </c>
      <c r="G282" s="270">
        <f>ProjectedP205_Consumption!M70*OCPMarketShares!P165</f>
        <v>0</v>
      </c>
      <c r="I282" s="31"/>
      <c r="J282" s="269">
        <f t="shared" si="169"/>
        <v>0.75</v>
      </c>
      <c r="K282" s="269">
        <f t="shared" si="170"/>
        <v>0.5</v>
      </c>
      <c r="L282" s="269">
        <f t="shared" si="171"/>
        <v>0.25</v>
      </c>
      <c r="M282" s="269">
        <f t="shared" si="172"/>
        <v>0.25</v>
      </c>
      <c r="N282" s="269">
        <f t="shared" si="173"/>
        <v>0.5</v>
      </c>
      <c r="O282" s="269">
        <f t="shared" si="174"/>
        <v>0.75</v>
      </c>
      <c r="P282" s="269">
        <f t="shared" si="175"/>
        <v>0</v>
      </c>
      <c r="Q282" s="269">
        <f t="shared" si="176"/>
        <v>0</v>
      </c>
      <c r="R282" s="269">
        <f t="shared" si="177"/>
        <v>0</v>
      </c>
      <c r="S282" s="249"/>
      <c r="T282" s="221"/>
      <c r="U282" s="271">
        <f t="shared" si="178"/>
        <v>0</v>
      </c>
      <c r="V282" s="271">
        <f t="shared" si="179"/>
        <v>0</v>
      </c>
      <c r="W282" s="271">
        <f t="shared" si="180"/>
        <v>0</v>
      </c>
      <c r="X282" s="271">
        <f t="shared" si="181"/>
        <v>0</v>
      </c>
      <c r="Y282" s="271">
        <f t="shared" si="182"/>
        <v>0</v>
      </c>
      <c r="Z282" s="271">
        <f t="shared" si="183"/>
        <v>0</v>
      </c>
      <c r="AA282" s="271">
        <f t="shared" si="184"/>
        <v>0</v>
      </c>
      <c r="AB282" s="271">
        <f t="shared" si="185"/>
        <v>0</v>
      </c>
      <c r="AC282" s="271">
        <f t="shared" si="186"/>
        <v>0</v>
      </c>
    </row>
    <row r="283" spans="4:29" ht="13.5" customHeight="1" x14ac:dyDescent="0.25">
      <c r="D283" s="2" t="str">
        <f t="shared" si="187"/>
        <v>Pomelos and grapefruits</v>
      </c>
      <c r="E283" s="270">
        <f>ProjectedP205_Consumption!K71*OCPMarketShares!N166</f>
        <v>0</v>
      </c>
      <c r="F283" s="270">
        <f>ProjectedP205_Consumption!L71*OCPMarketShares!O166</f>
        <v>0</v>
      </c>
      <c r="G283" s="270">
        <f>ProjectedP205_Consumption!M71*OCPMarketShares!P166</f>
        <v>0</v>
      </c>
      <c r="I283" s="31"/>
      <c r="J283" s="269">
        <f t="shared" si="169"/>
        <v>0.75</v>
      </c>
      <c r="K283" s="269">
        <f t="shared" si="170"/>
        <v>0.5</v>
      </c>
      <c r="L283" s="269">
        <f t="shared" si="171"/>
        <v>0.25</v>
      </c>
      <c r="M283" s="269">
        <f t="shared" si="172"/>
        <v>0.25</v>
      </c>
      <c r="N283" s="269">
        <f t="shared" si="173"/>
        <v>0.5</v>
      </c>
      <c r="O283" s="269">
        <f t="shared" si="174"/>
        <v>0.75</v>
      </c>
      <c r="P283" s="269">
        <f t="shared" si="175"/>
        <v>0</v>
      </c>
      <c r="Q283" s="269">
        <f t="shared" si="176"/>
        <v>0</v>
      </c>
      <c r="R283" s="269">
        <f t="shared" si="177"/>
        <v>0</v>
      </c>
      <c r="S283" s="249"/>
      <c r="T283" s="221"/>
      <c r="U283" s="271">
        <f t="shared" si="178"/>
        <v>0</v>
      </c>
      <c r="V283" s="271">
        <f t="shared" si="179"/>
        <v>0</v>
      </c>
      <c r="W283" s="271">
        <f t="shared" si="180"/>
        <v>0</v>
      </c>
      <c r="X283" s="271">
        <f t="shared" si="181"/>
        <v>0</v>
      </c>
      <c r="Y283" s="271">
        <f t="shared" si="182"/>
        <v>0</v>
      </c>
      <c r="Z283" s="271">
        <f t="shared" si="183"/>
        <v>0</v>
      </c>
      <c r="AA283" s="271">
        <f t="shared" si="184"/>
        <v>0</v>
      </c>
      <c r="AB283" s="271">
        <f t="shared" si="185"/>
        <v>0</v>
      </c>
      <c r="AC283" s="271">
        <f t="shared" si="186"/>
        <v>0</v>
      </c>
    </row>
    <row r="284" spans="4:29" ht="13.5" customHeight="1" x14ac:dyDescent="0.25">
      <c r="D284" s="2" t="str">
        <f t="shared" si="187"/>
        <v>Okra</v>
      </c>
      <c r="E284" s="270">
        <f>ProjectedP205_Consumption!K72*OCPMarketShares!N167</f>
        <v>0</v>
      </c>
      <c r="F284" s="270">
        <f>ProjectedP205_Consumption!L72*OCPMarketShares!O167</f>
        <v>0</v>
      </c>
      <c r="G284" s="270">
        <f>ProjectedP205_Consumption!M72*OCPMarketShares!P167</f>
        <v>0</v>
      </c>
      <c r="I284" s="31"/>
      <c r="J284" s="269">
        <f t="shared" si="169"/>
        <v>0.75</v>
      </c>
      <c r="K284" s="269">
        <f t="shared" si="170"/>
        <v>0.5</v>
      </c>
      <c r="L284" s="269">
        <f t="shared" si="171"/>
        <v>0.25</v>
      </c>
      <c r="M284" s="269">
        <f t="shared" si="172"/>
        <v>0.25</v>
      </c>
      <c r="N284" s="269">
        <f t="shared" si="173"/>
        <v>0.5</v>
      </c>
      <c r="O284" s="269">
        <f t="shared" si="174"/>
        <v>0.75</v>
      </c>
      <c r="P284" s="269">
        <f t="shared" si="175"/>
        <v>0</v>
      </c>
      <c r="Q284" s="269">
        <f t="shared" si="176"/>
        <v>0</v>
      </c>
      <c r="R284" s="269">
        <f t="shared" si="177"/>
        <v>0</v>
      </c>
      <c r="S284" s="249"/>
      <c r="T284" s="221"/>
      <c r="U284" s="271">
        <f t="shared" si="178"/>
        <v>0</v>
      </c>
      <c r="V284" s="271">
        <f t="shared" si="179"/>
        <v>0</v>
      </c>
      <c r="W284" s="271">
        <f t="shared" si="180"/>
        <v>0</v>
      </c>
      <c r="X284" s="271">
        <f t="shared" si="181"/>
        <v>0</v>
      </c>
      <c r="Y284" s="271">
        <f t="shared" si="182"/>
        <v>0</v>
      </c>
      <c r="Z284" s="271">
        <f t="shared" si="183"/>
        <v>0</v>
      </c>
      <c r="AA284" s="271">
        <f t="shared" si="184"/>
        <v>0</v>
      </c>
      <c r="AB284" s="271">
        <f t="shared" si="185"/>
        <v>0</v>
      </c>
      <c r="AC284" s="271">
        <f t="shared" si="186"/>
        <v>0</v>
      </c>
    </row>
    <row r="285" spans="4:29" ht="13.5" customHeight="1" x14ac:dyDescent="0.25">
      <c r="D285" s="2" t="str">
        <f t="shared" si="187"/>
        <v>Lemons and limes</v>
      </c>
      <c r="E285" s="270">
        <f>ProjectedP205_Consumption!K73*OCPMarketShares!N168</f>
        <v>0</v>
      </c>
      <c r="F285" s="270">
        <f>ProjectedP205_Consumption!L73*OCPMarketShares!O168</f>
        <v>0</v>
      </c>
      <c r="G285" s="270">
        <f>ProjectedP205_Consumption!M73*OCPMarketShares!P168</f>
        <v>0</v>
      </c>
      <c r="I285" s="31"/>
      <c r="J285" s="269">
        <f t="shared" si="169"/>
        <v>0.75</v>
      </c>
      <c r="K285" s="269">
        <f t="shared" si="170"/>
        <v>0.5</v>
      </c>
      <c r="L285" s="269">
        <f t="shared" si="171"/>
        <v>0.25</v>
      </c>
      <c r="M285" s="269">
        <f t="shared" si="172"/>
        <v>0.25</v>
      </c>
      <c r="N285" s="269">
        <f t="shared" si="173"/>
        <v>0.5</v>
      </c>
      <c r="O285" s="269">
        <f t="shared" si="174"/>
        <v>0.75</v>
      </c>
      <c r="P285" s="269">
        <f t="shared" si="175"/>
        <v>0</v>
      </c>
      <c r="Q285" s="269">
        <f t="shared" si="176"/>
        <v>0</v>
      </c>
      <c r="R285" s="269">
        <f t="shared" si="177"/>
        <v>0</v>
      </c>
      <c r="S285" s="249"/>
      <c r="T285" s="221"/>
      <c r="U285" s="271">
        <f t="shared" si="178"/>
        <v>0</v>
      </c>
      <c r="V285" s="271">
        <f t="shared" si="179"/>
        <v>0</v>
      </c>
      <c r="W285" s="271">
        <f t="shared" si="180"/>
        <v>0</v>
      </c>
      <c r="X285" s="271">
        <f t="shared" si="181"/>
        <v>0</v>
      </c>
      <c r="Y285" s="271">
        <f t="shared" si="182"/>
        <v>0</v>
      </c>
      <c r="Z285" s="271">
        <f t="shared" si="183"/>
        <v>0</v>
      </c>
      <c r="AA285" s="271">
        <f t="shared" si="184"/>
        <v>0</v>
      </c>
      <c r="AB285" s="271">
        <f t="shared" si="185"/>
        <v>0</v>
      </c>
      <c r="AC285" s="271">
        <f t="shared" si="186"/>
        <v>0</v>
      </c>
    </row>
    <row r="286" spans="4:29" ht="13.5" customHeight="1" x14ac:dyDescent="0.25">
      <c r="D286" s="2" t="str">
        <f t="shared" si="187"/>
        <v>Green garlic</v>
      </c>
      <c r="E286" s="270">
        <f>ProjectedP205_Consumption!K74*OCPMarketShares!N169</f>
        <v>0</v>
      </c>
      <c r="F286" s="270">
        <f>ProjectedP205_Consumption!L74*OCPMarketShares!O169</f>
        <v>0</v>
      </c>
      <c r="G286" s="270">
        <f>ProjectedP205_Consumption!M74*OCPMarketShares!P169</f>
        <v>0</v>
      </c>
      <c r="I286" s="31"/>
      <c r="J286" s="269">
        <f t="shared" si="169"/>
        <v>0.75</v>
      </c>
      <c r="K286" s="269">
        <f t="shared" si="170"/>
        <v>0.5</v>
      </c>
      <c r="L286" s="269">
        <f t="shared" si="171"/>
        <v>0.25</v>
      </c>
      <c r="M286" s="269">
        <f t="shared" si="172"/>
        <v>0.25</v>
      </c>
      <c r="N286" s="269">
        <f t="shared" si="173"/>
        <v>0.5</v>
      </c>
      <c r="O286" s="269">
        <f t="shared" si="174"/>
        <v>0.75</v>
      </c>
      <c r="P286" s="269">
        <f t="shared" si="175"/>
        <v>0</v>
      </c>
      <c r="Q286" s="269">
        <f t="shared" si="176"/>
        <v>0</v>
      </c>
      <c r="R286" s="269">
        <f t="shared" si="177"/>
        <v>0</v>
      </c>
      <c r="S286" s="249"/>
      <c r="T286" s="221"/>
      <c r="U286" s="271">
        <f t="shared" si="178"/>
        <v>0</v>
      </c>
      <c r="V286" s="271">
        <f t="shared" si="179"/>
        <v>0</v>
      </c>
      <c r="W286" s="271">
        <f t="shared" si="180"/>
        <v>0</v>
      </c>
      <c r="X286" s="271">
        <f t="shared" si="181"/>
        <v>0</v>
      </c>
      <c r="Y286" s="271">
        <f t="shared" si="182"/>
        <v>0</v>
      </c>
      <c r="Z286" s="271">
        <f t="shared" si="183"/>
        <v>0</v>
      </c>
      <c r="AA286" s="271">
        <f t="shared" si="184"/>
        <v>0</v>
      </c>
      <c r="AB286" s="271">
        <f t="shared" si="185"/>
        <v>0</v>
      </c>
      <c r="AC286" s="271">
        <f t="shared" si="186"/>
        <v>0</v>
      </c>
    </row>
    <row r="287" spans="4:29" ht="13.5" customHeight="1" x14ac:dyDescent="0.25">
      <c r="D287" s="2" t="str">
        <f t="shared" si="187"/>
        <v>Sweet potatoes</v>
      </c>
      <c r="E287" s="270">
        <f>ProjectedP205_Consumption!K75*OCPMarketShares!N170</f>
        <v>0</v>
      </c>
      <c r="F287" s="270">
        <f>ProjectedP205_Consumption!L75*OCPMarketShares!O170</f>
        <v>0</v>
      </c>
      <c r="G287" s="270">
        <f>ProjectedP205_Consumption!M75*OCPMarketShares!P170</f>
        <v>0</v>
      </c>
      <c r="I287" s="31"/>
      <c r="J287" s="269">
        <f t="shared" si="169"/>
        <v>0.75</v>
      </c>
      <c r="K287" s="269">
        <f t="shared" si="170"/>
        <v>0.5</v>
      </c>
      <c r="L287" s="269">
        <f t="shared" si="171"/>
        <v>0.25</v>
      </c>
      <c r="M287" s="269">
        <f t="shared" si="172"/>
        <v>0.25</v>
      </c>
      <c r="N287" s="269">
        <f t="shared" si="173"/>
        <v>0.5</v>
      </c>
      <c r="O287" s="269">
        <f t="shared" si="174"/>
        <v>0.75</v>
      </c>
      <c r="P287" s="269">
        <f t="shared" si="175"/>
        <v>0</v>
      </c>
      <c r="Q287" s="269">
        <f t="shared" si="176"/>
        <v>0</v>
      </c>
      <c r="R287" s="269">
        <f t="shared" si="177"/>
        <v>0</v>
      </c>
      <c r="S287" s="249"/>
      <c r="T287" s="221"/>
      <c r="U287" s="271">
        <f t="shared" si="178"/>
        <v>0</v>
      </c>
      <c r="V287" s="271">
        <f t="shared" si="179"/>
        <v>0</v>
      </c>
      <c r="W287" s="271">
        <f t="shared" si="180"/>
        <v>0</v>
      </c>
      <c r="X287" s="271">
        <f t="shared" si="181"/>
        <v>0</v>
      </c>
      <c r="Y287" s="271">
        <f t="shared" si="182"/>
        <v>0</v>
      </c>
      <c r="Z287" s="271">
        <f t="shared" si="183"/>
        <v>0</v>
      </c>
      <c r="AA287" s="271">
        <f t="shared" si="184"/>
        <v>0</v>
      </c>
      <c r="AB287" s="271">
        <f t="shared" si="185"/>
        <v>0</v>
      </c>
      <c r="AC287" s="271">
        <f t="shared" si="186"/>
        <v>0</v>
      </c>
    </row>
    <row r="288" spans="4:29" ht="13.5" customHeight="1" x14ac:dyDescent="0.25">
      <c r="D288" s="2" t="str">
        <f t="shared" si="187"/>
        <v>Other pulses n.e.c.</v>
      </c>
      <c r="E288" s="270">
        <f>ProjectedP205_Consumption!K76*OCPMarketShares!N171</f>
        <v>0</v>
      </c>
      <c r="F288" s="270">
        <f>ProjectedP205_Consumption!L76*OCPMarketShares!O171</f>
        <v>0</v>
      </c>
      <c r="G288" s="270">
        <f>ProjectedP205_Consumption!M76*OCPMarketShares!P171</f>
        <v>0</v>
      </c>
      <c r="I288" s="31"/>
      <c r="J288" s="269">
        <f t="shared" si="169"/>
        <v>0.75</v>
      </c>
      <c r="K288" s="269">
        <f t="shared" si="170"/>
        <v>0.5</v>
      </c>
      <c r="L288" s="269">
        <f t="shared" si="171"/>
        <v>0.25</v>
      </c>
      <c r="M288" s="269">
        <f t="shared" si="172"/>
        <v>0.25</v>
      </c>
      <c r="N288" s="269">
        <f t="shared" si="173"/>
        <v>0.5</v>
      </c>
      <c r="O288" s="269">
        <f t="shared" si="174"/>
        <v>0.75</v>
      </c>
      <c r="P288" s="269">
        <f t="shared" si="175"/>
        <v>0</v>
      </c>
      <c r="Q288" s="269">
        <f t="shared" si="176"/>
        <v>0</v>
      </c>
      <c r="R288" s="269">
        <f t="shared" si="177"/>
        <v>0</v>
      </c>
      <c r="S288" s="249"/>
      <c r="T288" s="221"/>
      <c r="U288" s="271">
        <f t="shared" si="178"/>
        <v>0</v>
      </c>
      <c r="V288" s="271">
        <f t="shared" si="179"/>
        <v>0</v>
      </c>
      <c r="W288" s="271">
        <f t="shared" si="180"/>
        <v>0</v>
      </c>
      <c r="X288" s="271">
        <f t="shared" si="181"/>
        <v>0</v>
      </c>
      <c r="Y288" s="271">
        <f t="shared" si="182"/>
        <v>0</v>
      </c>
      <c r="Z288" s="271">
        <f t="shared" si="183"/>
        <v>0</v>
      </c>
      <c r="AA288" s="271">
        <f t="shared" si="184"/>
        <v>0</v>
      </c>
      <c r="AB288" s="271">
        <f t="shared" si="185"/>
        <v>0</v>
      </c>
      <c r="AC288" s="271">
        <f t="shared" si="186"/>
        <v>0</v>
      </c>
    </row>
    <row r="289" spans="2:29" ht="13.5" customHeight="1" x14ac:dyDescent="0.25">
      <c r="D289" s="2" t="str">
        <f t="shared" si="187"/>
        <v>Other vegetables, fresh n.e.c.</v>
      </c>
      <c r="E289" s="270">
        <f>ProjectedP205_Consumption!K77*OCPMarketShares!N172</f>
        <v>0</v>
      </c>
      <c r="F289" s="270">
        <f>ProjectedP205_Consumption!L77*OCPMarketShares!O172</f>
        <v>0</v>
      </c>
      <c r="G289" s="270">
        <f>ProjectedP205_Consumption!M77*OCPMarketShares!P172</f>
        <v>0</v>
      </c>
      <c r="I289" s="31"/>
      <c r="J289" s="269">
        <f t="shared" si="169"/>
        <v>0.75</v>
      </c>
      <c r="K289" s="269">
        <f t="shared" si="170"/>
        <v>0.5</v>
      </c>
      <c r="L289" s="269">
        <f t="shared" si="171"/>
        <v>0.25</v>
      </c>
      <c r="M289" s="269">
        <f t="shared" si="172"/>
        <v>0.25</v>
      </c>
      <c r="N289" s="269">
        <f t="shared" si="173"/>
        <v>0.5</v>
      </c>
      <c r="O289" s="269">
        <f t="shared" si="174"/>
        <v>0.75</v>
      </c>
      <c r="P289" s="269">
        <f t="shared" si="175"/>
        <v>0</v>
      </c>
      <c r="Q289" s="269">
        <f t="shared" si="176"/>
        <v>0</v>
      </c>
      <c r="R289" s="269">
        <f t="shared" si="177"/>
        <v>0</v>
      </c>
      <c r="S289" s="249"/>
      <c r="T289" s="221"/>
      <c r="U289" s="271">
        <f t="shared" si="178"/>
        <v>0</v>
      </c>
      <c r="V289" s="271">
        <f t="shared" si="179"/>
        <v>0</v>
      </c>
      <c r="W289" s="271">
        <f t="shared" si="180"/>
        <v>0</v>
      </c>
      <c r="X289" s="271">
        <f t="shared" si="181"/>
        <v>0</v>
      </c>
      <c r="Y289" s="271">
        <f t="shared" si="182"/>
        <v>0</v>
      </c>
      <c r="Z289" s="271">
        <f t="shared" si="183"/>
        <v>0</v>
      </c>
      <c r="AA289" s="271">
        <f t="shared" si="184"/>
        <v>0</v>
      </c>
      <c r="AB289" s="271">
        <f t="shared" si="185"/>
        <v>0</v>
      </c>
      <c r="AC289" s="271">
        <f t="shared" si="186"/>
        <v>0</v>
      </c>
    </row>
    <row r="290" spans="2:29" ht="13.5" customHeight="1" x14ac:dyDescent="0.25">
      <c r="D290" s="2" t="str">
        <f t="shared" si="187"/>
        <v>Other fruits, n.e.c.</v>
      </c>
      <c r="E290" s="270">
        <f>ProjectedP205_Consumption!K78*OCPMarketShares!N173</f>
        <v>0</v>
      </c>
      <c r="F290" s="270">
        <f>ProjectedP205_Consumption!L78*OCPMarketShares!O173</f>
        <v>0</v>
      </c>
      <c r="G290" s="270">
        <f>ProjectedP205_Consumption!M78*OCPMarketShares!P173</f>
        <v>0</v>
      </c>
      <c r="I290" s="31"/>
      <c r="J290" s="269">
        <f t="shared" si="169"/>
        <v>0.75</v>
      </c>
      <c r="K290" s="269">
        <f t="shared" si="170"/>
        <v>0.5</v>
      </c>
      <c r="L290" s="269">
        <f t="shared" si="171"/>
        <v>0.25</v>
      </c>
      <c r="M290" s="269">
        <f t="shared" si="172"/>
        <v>0.25</v>
      </c>
      <c r="N290" s="269">
        <f t="shared" si="173"/>
        <v>0.5</v>
      </c>
      <c r="O290" s="269">
        <f t="shared" si="174"/>
        <v>0.75</v>
      </c>
      <c r="P290" s="269">
        <f t="shared" si="175"/>
        <v>0</v>
      </c>
      <c r="Q290" s="269">
        <f t="shared" si="176"/>
        <v>0</v>
      </c>
      <c r="R290" s="269">
        <f t="shared" si="177"/>
        <v>0</v>
      </c>
      <c r="S290" s="249"/>
      <c r="T290" s="221"/>
      <c r="U290" s="271">
        <f t="shared" si="178"/>
        <v>0</v>
      </c>
      <c r="V290" s="271">
        <f t="shared" si="179"/>
        <v>0</v>
      </c>
      <c r="W290" s="271">
        <f t="shared" si="180"/>
        <v>0</v>
      </c>
      <c r="X290" s="271">
        <f t="shared" si="181"/>
        <v>0</v>
      </c>
      <c r="Y290" s="271">
        <f t="shared" si="182"/>
        <v>0</v>
      </c>
      <c r="Z290" s="271">
        <f t="shared" si="183"/>
        <v>0</v>
      </c>
      <c r="AA290" s="271">
        <f t="shared" si="184"/>
        <v>0</v>
      </c>
      <c r="AB290" s="271">
        <f t="shared" si="185"/>
        <v>0</v>
      </c>
      <c r="AC290" s="271">
        <f t="shared" si="186"/>
        <v>0</v>
      </c>
    </row>
    <row r="291" spans="2:29" ht="13.5" customHeight="1" x14ac:dyDescent="0.25">
      <c r="D291" s="2" t="str">
        <f t="shared" si="187"/>
        <v>Broad beans and horse beans, dry</v>
      </c>
      <c r="E291" s="270">
        <f>ProjectedP205_Consumption!K79*OCPMarketShares!N174</f>
        <v>0</v>
      </c>
      <c r="F291" s="270">
        <f>ProjectedP205_Consumption!L79*OCPMarketShares!O174</f>
        <v>0</v>
      </c>
      <c r="G291" s="270">
        <f>ProjectedP205_Consumption!M79*OCPMarketShares!P174</f>
        <v>0</v>
      </c>
      <c r="I291" s="31"/>
      <c r="J291" s="269">
        <f t="shared" si="169"/>
        <v>0.75</v>
      </c>
      <c r="K291" s="269">
        <f t="shared" si="170"/>
        <v>0.5</v>
      </c>
      <c r="L291" s="269">
        <f t="shared" si="171"/>
        <v>0.25</v>
      </c>
      <c r="M291" s="269">
        <f t="shared" si="172"/>
        <v>0.25</v>
      </c>
      <c r="N291" s="269">
        <f t="shared" si="173"/>
        <v>0.5</v>
      </c>
      <c r="O291" s="269">
        <f t="shared" si="174"/>
        <v>0.75</v>
      </c>
      <c r="P291" s="269">
        <f t="shared" si="175"/>
        <v>0</v>
      </c>
      <c r="Q291" s="269">
        <f t="shared" si="176"/>
        <v>0</v>
      </c>
      <c r="R291" s="269">
        <f t="shared" si="177"/>
        <v>0</v>
      </c>
      <c r="S291" s="249"/>
      <c r="T291" s="221"/>
      <c r="U291" s="271">
        <f t="shared" si="178"/>
        <v>0</v>
      </c>
      <c r="V291" s="271">
        <f t="shared" si="179"/>
        <v>0</v>
      </c>
      <c r="W291" s="271">
        <f t="shared" si="180"/>
        <v>0</v>
      </c>
      <c r="X291" s="271">
        <f t="shared" si="181"/>
        <v>0</v>
      </c>
      <c r="Y291" s="271">
        <f t="shared" si="182"/>
        <v>0</v>
      </c>
      <c r="Z291" s="271">
        <f t="shared" si="183"/>
        <v>0</v>
      </c>
      <c r="AA291" s="271">
        <f t="shared" si="184"/>
        <v>0</v>
      </c>
      <c r="AB291" s="271">
        <f t="shared" si="185"/>
        <v>0</v>
      </c>
      <c r="AC291" s="271">
        <f t="shared" si="186"/>
        <v>0</v>
      </c>
    </row>
    <row r="292" spans="2:29" ht="13.5" customHeight="1" x14ac:dyDescent="0.25">
      <c r="D292" s="2" t="str">
        <f t="shared" si="187"/>
        <v>Chick peas, dry</v>
      </c>
      <c r="E292" s="270">
        <f>ProjectedP205_Consumption!K80*OCPMarketShares!N175</f>
        <v>0</v>
      </c>
      <c r="F292" s="270">
        <f>ProjectedP205_Consumption!L80*OCPMarketShares!O175</f>
        <v>0</v>
      </c>
      <c r="G292" s="270">
        <f>ProjectedP205_Consumption!M80*OCPMarketShares!P175</f>
        <v>0</v>
      </c>
      <c r="I292" s="31"/>
      <c r="J292" s="269">
        <f t="shared" si="169"/>
        <v>0.75</v>
      </c>
      <c r="K292" s="269">
        <f t="shared" si="170"/>
        <v>0.5</v>
      </c>
      <c r="L292" s="269">
        <f t="shared" si="171"/>
        <v>0.25</v>
      </c>
      <c r="M292" s="269">
        <f t="shared" si="172"/>
        <v>0.25</v>
      </c>
      <c r="N292" s="269">
        <f t="shared" si="173"/>
        <v>0.5</v>
      </c>
      <c r="O292" s="269">
        <f t="shared" si="174"/>
        <v>0.75</v>
      </c>
      <c r="P292" s="269">
        <f t="shared" si="175"/>
        <v>0</v>
      </c>
      <c r="Q292" s="269">
        <f t="shared" si="176"/>
        <v>0</v>
      </c>
      <c r="R292" s="269">
        <f t="shared" si="177"/>
        <v>0</v>
      </c>
      <c r="S292" s="249"/>
      <c r="T292" s="221"/>
      <c r="U292" s="271">
        <f t="shared" si="178"/>
        <v>0</v>
      </c>
      <c r="V292" s="271">
        <f t="shared" si="179"/>
        <v>0</v>
      </c>
      <c r="W292" s="271">
        <f t="shared" si="180"/>
        <v>0</v>
      </c>
      <c r="X292" s="271">
        <f t="shared" si="181"/>
        <v>0</v>
      </c>
      <c r="Y292" s="271">
        <f t="shared" si="182"/>
        <v>0</v>
      </c>
      <c r="Z292" s="271">
        <f t="shared" si="183"/>
        <v>0</v>
      </c>
      <c r="AA292" s="271">
        <f t="shared" si="184"/>
        <v>0</v>
      </c>
      <c r="AB292" s="271">
        <f t="shared" si="185"/>
        <v>0</v>
      </c>
      <c r="AC292" s="271">
        <f t="shared" si="186"/>
        <v>0</v>
      </c>
    </row>
    <row r="293" spans="2:29" ht="13.5" customHeight="1" thickBot="1" x14ac:dyDescent="0.3">
      <c r="D293" s="2" t="str">
        <f t="shared" si="187"/>
        <v>Beans, dry</v>
      </c>
      <c r="E293" s="270">
        <f>ProjectedP205_Consumption!K81*OCPMarketShares!N176</f>
        <v>0</v>
      </c>
      <c r="F293" s="270">
        <f>ProjectedP205_Consumption!L81*OCPMarketShares!O176</f>
        <v>0</v>
      </c>
      <c r="G293" s="270">
        <f>ProjectedP205_Consumption!M81*OCPMarketShares!P176</f>
        <v>0</v>
      </c>
      <c r="I293" s="31"/>
      <c r="J293" s="269">
        <f t="shared" si="169"/>
        <v>0.75</v>
      </c>
      <c r="K293" s="269">
        <f t="shared" si="170"/>
        <v>0.5</v>
      </c>
      <c r="L293" s="269">
        <f t="shared" si="171"/>
        <v>0.25</v>
      </c>
      <c r="M293" s="269">
        <f t="shared" si="172"/>
        <v>0.25</v>
      </c>
      <c r="N293" s="269">
        <f t="shared" si="173"/>
        <v>0.5</v>
      </c>
      <c r="O293" s="269">
        <f t="shared" si="174"/>
        <v>0.75</v>
      </c>
      <c r="P293" s="269">
        <f t="shared" si="175"/>
        <v>0</v>
      </c>
      <c r="Q293" s="269">
        <f t="shared" si="176"/>
        <v>0</v>
      </c>
      <c r="R293" s="269">
        <f t="shared" si="177"/>
        <v>0</v>
      </c>
      <c r="S293" s="249"/>
      <c r="T293" s="221"/>
      <c r="U293" s="271">
        <f t="shared" si="178"/>
        <v>0</v>
      </c>
      <c r="V293" s="271">
        <f t="shared" si="179"/>
        <v>0</v>
      </c>
      <c r="W293" s="271">
        <f t="shared" si="180"/>
        <v>0</v>
      </c>
      <c r="X293" s="271">
        <f t="shared" si="181"/>
        <v>0</v>
      </c>
      <c r="Y293" s="271">
        <f t="shared" si="182"/>
        <v>0</v>
      </c>
      <c r="Z293" s="271">
        <f t="shared" si="183"/>
        <v>0</v>
      </c>
      <c r="AA293" s="271">
        <f t="shared" si="184"/>
        <v>0</v>
      </c>
      <c r="AB293" s="271">
        <f t="shared" si="185"/>
        <v>0</v>
      </c>
      <c r="AC293" s="271">
        <f t="shared" si="186"/>
        <v>0</v>
      </c>
    </row>
    <row r="294" spans="2:29" ht="13.5" customHeight="1" thickTop="1" thickBot="1" x14ac:dyDescent="0.3">
      <c r="D294" s="102" t="s">
        <v>13</v>
      </c>
      <c r="E294" s="126">
        <f t="shared" ref="E294" si="188">SUM(E263:E293)</f>
        <v>1.5978491677137012</v>
      </c>
      <c r="F294" s="126">
        <f t="shared" ref="F294:G294" si="189">SUM(F263:F293)</f>
        <v>2.4429470879813016</v>
      </c>
      <c r="G294" s="126">
        <f t="shared" si="189"/>
        <v>2.9495269919513527</v>
      </c>
      <c r="I294" s="31"/>
      <c r="J294" s="157"/>
      <c r="K294" s="7"/>
      <c r="L294" s="7"/>
      <c r="M294" s="7"/>
      <c r="N294" s="7"/>
      <c r="O294" s="7"/>
      <c r="P294" s="7"/>
      <c r="Q294" s="7"/>
      <c r="R294" s="7"/>
      <c r="S294" s="7"/>
      <c r="T294" s="7"/>
      <c r="U294" s="7"/>
      <c r="V294" s="7"/>
      <c r="W294" s="7"/>
      <c r="X294" s="7"/>
      <c r="Y294" s="7"/>
      <c r="Z294" s="7"/>
      <c r="AA294" s="7"/>
      <c r="AB294" s="7"/>
      <c r="AC294" s="7"/>
    </row>
    <row r="295" spans="2:29" ht="13.5" customHeight="1" thickTop="1" thickBot="1" x14ac:dyDescent="0.3">
      <c r="D295" s="100" t="s">
        <v>302</v>
      </c>
      <c r="E295" s="256">
        <f t="shared" ref="E295:G295" si="190">E294/46%</f>
        <v>3.473585147203698</v>
      </c>
      <c r="F295" s="256">
        <f t="shared" si="190"/>
        <v>5.3107545390897855</v>
      </c>
      <c r="G295" s="256">
        <f t="shared" si="190"/>
        <v>6.4120151998942445</v>
      </c>
      <c r="I295" s="31"/>
      <c r="J295" s="31"/>
      <c r="T295" s="1" t="s">
        <v>303</v>
      </c>
      <c r="U295" s="251">
        <f t="shared" ref="U295:AC295" si="191">SUM(U263:U293)</f>
        <v>2.605188860402774</v>
      </c>
      <c r="V295" s="251">
        <f t="shared" si="191"/>
        <v>2.6553772695448927</v>
      </c>
      <c r="W295" s="251">
        <f t="shared" si="191"/>
        <v>1.6030037999735611</v>
      </c>
      <c r="X295" s="251">
        <f t="shared" si="191"/>
        <v>0.86839628680092451</v>
      </c>
      <c r="Y295" s="251">
        <f t="shared" si="191"/>
        <v>2.6553772695448927</v>
      </c>
      <c r="Z295" s="251">
        <f t="shared" si="191"/>
        <v>4.809011399920684</v>
      </c>
      <c r="AA295" s="251">
        <f t="shared" si="191"/>
        <v>0</v>
      </c>
      <c r="AB295" s="251">
        <f t="shared" si="191"/>
        <v>0</v>
      </c>
      <c r="AC295" s="251">
        <f t="shared" si="191"/>
        <v>0</v>
      </c>
    </row>
    <row r="296" spans="2:29" ht="13.5" customHeight="1" thickTop="1" x14ac:dyDescent="0.25">
      <c r="O296" s="31"/>
      <c r="P296" s="31"/>
    </row>
    <row r="297" spans="2:29" ht="13.5" customHeight="1" x14ac:dyDescent="0.25">
      <c r="F297" s="7"/>
      <c r="G297" s="7"/>
      <c r="H297" s="7"/>
      <c r="I297" s="7"/>
      <c r="J297" s="7"/>
      <c r="K297" s="7"/>
      <c r="L297" s="7"/>
      <c r="M297" s="7"/>
      <c r="N297" s="7"/>
      <c r="O297" s="31"/>
      <c r="P297" s="31"/>
    </row>
    <row r="298" spans="2:29" ht="13.5" customHeight="1" x14ac:dyDescent="0.35">
      <c r="B298" s="29">
        <v>3</v>
      </c>
      <c r="D298" s="28" t="s">
        <v>241</v>
      </c>
      <c r="O298" s="31"/>
      <c r="P298" s="31"/>
    </row>
    <row r="300" spans="2:29" ht="13.5" customHeight="1" x14ac:dyDescent="0.3">
      <c r="D300" s="32" t="s">
        <v>76</v>
      </c>
      <c r="J300" s="241" t="s">
        <v>298</v>
      </c>
      <c r="K300" s="242"/>
      <c r="L300" s="7"/>
      <c r="M300" s="7"/>
      <c r="N300" s="7"/>
      <c r="O300" s="7"/>
      <c r="P300" s="7"/>
      <c r="Q300" s="7"/>
      <c r="R300" s="7"/>
      <c r="S300" s="7"/>
      <c r="T300" s="7"/>
      <c r="U300" s="241" t="s">
        <v>299</v>
      </c>
      <c r="V300" s="243"/>
      <c r="W300" s="7"/>
      <c r="X300" s="7"/>
      <c r="Y300" s="7"/>
      <c r="Z300" s="7"/>
      <c r="AA300" s="7"/>
      <c r="AB300" s="7"/>
      <c r="AC300" s="7"/>
    </row>
    <row r="301" spans="2:29" ht="13.5" customHeight="1" x14ac:dyDescent="0.3">
      <c r="D301" s="33" t="s">
        <v>77</v>
      </c>
      <c r="J301" s="33" t="s">
        <v>300</v>
      </c>
      <c r="K301" s="7"/>
      <c r="L301" s="7"/>
      <c r="M301" s="7"/>
      <c r="N301" s="7"/>
      <c r="O301" s="7"/>
      <c r="P301" s="7"/>
      <c r="Q301" s="7"/>
      <c r="R301" s="7"/>
      <c r="S301" s="7"/>
      <c r="T301" s="7"/>
      <c r="U301" s="33" t="s">
        <v>301</v>
      </c>
      <c r="V301" s="7"/>
      <c r="W301" s="7"/>
      <c r="X301" s="7"/>
      <c r="Y301" s="7"/>
      <c r="Z301" s="7"/>
      <c r="AA301" s="7"/>
      <c r="AB301" s="7"/>
      <c r="AC301" s="7"/>
    </row>
    <row r="302" spans="2:29" ht="13.5" customHeight="1" x14ac:dyDescent="0.25">
      <c r="J302" s="235" t="s">
        <v>277</v>
      </c>
      <c r="K302" s="235"/>
      <c r="L302" s="235"/>
      <c r="M302" s="235" t="s">
        <v>296</v>
      </c>
      <c r="N302" s="235"/>
      <c r="O302" s="235"/>
      <c r="P302" s="235" t="s">
        <v>279</v>
      </c>
      <c r="Q302" s="235"/>
      <c r="R302" s="235"/>
      <c r="S302" s="235"/>
      <c r="T302" s="59"/>
      <c r="U302" s="235" t="s">
        <v>277</v>
      </c>
      <c r="V302" s="235"/>
      <c r="W302" s="235"/>
      <c r="X302" s="235" t="s">
        <v>296</v>
      </c>
      <c r="Y302" s="235"/>
      <c r="Z302" s="235"/>
      <c r="AA302" s="235" t="s">
        <v>279</v>
      </c>
      <c r="AB302" s="235"/>
      <c r="AC302" s="235"/>
    </row>
    <row r="303" spans="2:29" ht="13.5" customHeight="1" x14ac:dyDescent="0.3">
      <c r="D303" s="30" t="s">
        <v>15</v>
      </c>
      <c r="E303" s="118">
        <v>2023</v>
      </c>
      <c r="F303" s="118">
        <v>2024</v>
      </c>
      <c r="G303" s="118">
        <v>2025</v>
      </c>
      <c r="J303" s="236">
        <v>2023</v>
      </c>
      <c r="K303" s="236">
        <v>2024</v>
      </c>
      <c r="L303" s="236">
        <v>2025</v>
      </c>
      <c r="M303" s="236">
        <v>2023</v>
      </c>
      <c r="N303" s="236">
        <v>2024</v>
      </c>
      <c r="O303" s="236">
        <v>2025</v>
      </c>
      <c r="P303" s="236">
        <v>2023</v>
      </c>
      <c r="Q303" s="236">
        <v>2024</v>
      </c>
      <c r="R303" s="236">
        <v>2025</v>
      </c>
      <c r="S303" s="245"/>
      <c r="T303" s="246"/>
      <c r="U303" s="247">
        <v>2023</v>
      </c>
      <c r="V303" s="247">
        <v>2024</v>
      </c>
      <c r="W303" s="247">
        <v>2025</v>
      </c>
      <c r="X303" s="247">
        <v>2023</v>
      </c>
      <c r="Y303" s="247">
        <v>2024</v>
      </c>
      <c r="Z303" s="247">
        <v>2025</v>
      </c>
      <c r="AA303" s="247">
        <v>2023</v>
      </c>
      <c r="AB303" s="247">
        <v>2024</v>
      </c>
      <c r="AC303" s="247">
        <v>2025</v>
      </c>
    </row>
    <row r="304" spans="2:29" ht="13.5" customHeight="1" x14ac:dyDescent="0.25">
      <c r="D304" s="257" t="str">
        <f t="shared" ref="D304:D334" si="192">D263</f>
        <v>Sorghum</v>
      </c>
      <c r="E304" s="109">
        <f>ProjectedP205_Consumption!K13*OCPMarketShares!N186</f>
        <v>0</v>
      </c>
      <c r="F304" s="109">
        <f>ProjectedP205_Consumption!L13*OCPMarketShares!O186</f>
        <v>0</v>
      </c>
      <c r="G304" s="109">
        <f>ProjectedP205_Consumption!M13*OCPMarketShares!P186</f>
        <v>0</v>
      </c>
      <c r="I304" s="31"/>
      <c r="J304" s="269">
        <f t="shared" ref="J304:J334" si="193">E112</f>
        <v>0.75</v>
      </c>
      <c r="K304" s="269">
        <f t="shared" ref="K304:K334" si="194">F112</f>
        <v>0.5</v>
      </c>
      <c r="L304" s="269">
        <f t="shared" ref="L304:L334" si="195">G112</f>
        <v>0.25</v>
      </c>
      <c r="M304" s="269">
        <f t="shared" ref="M304:M334" si="196">H112</f>
        <v>0.25</v>
      </c>
      <c r="N304" s="269">
        <f t="shared" ref="N304:N334" si="197">I112</f>
        <v>0.5</v>
      </c>
      <c r="O304" s="269">
        <f t="shared" ref="O304:O334" si="198">J112</f>
        <v>0.75</v>
      </c>
      <c r="P304" s="269">
        <f t="shared" ref="P304:P334" si="199">K112</f>
        <v>0</v>
      </c>
      <c r="Q304" s="269">
        <f t="shared" ref="Q304:Q334" si="200">L112</f>
        <v>0</v>
      </c>
      <c r="R304" s="269">
        <f t="shared" ref="R304:R334" si="201">M112</f>
        <v>0</v>
      </c>
      <c r="S304" s="249"/>
      <c r="T304" s="224"/>
      <c r="U304" s="271">
        <f t="shared" ref="U304" si="202">(E304*J304)/$K$11</f>
        <v>0</v>
      </c>
      <c r="V304" s="271">
        <f t="shared" ref="V304" si="203">(F304*K304)/$K$11</f>
        <v>0</v>
      </c>
      <c r="W304" s="271">
        <f t="shared" ref="W304" si="204">(G304*L304)/$K$11</f>
        <v>0</v>
      </c>
      <c r="X304" s="271">
        <f t="shared" ref="X304" si="205">(E304*M304)/$K$12</f>
        <v>0</v>
      </c>
      <c r="Y304" s="271">
        <f t="shared" ref="Y304" si="206">(F304*N304)/$K$12</f>
        <v>0</v>
      </c>
      <c r="Z304" s="271">
        <f t="shared" ref="Z304" si="207">(G304*O304)/$K$12</f>
        <v>0</v>
      </c>
      <c r="AA304" s="271">
        <f t="shared" ref="AA304" si="208">(E304*P304)/$K$13</f>
        <v>0</v>
      </c>
      <c r="AB304" s="271">
        <f t="shared" ref="AB304" si="209">(F304*Q304)/$K$13</f>
        <v>0</v>
      </c>
      <c r="AC304" s="271">
        <f t="shared" ref="AC304" si="210">(G304*R304)/$K$13</f>
        <v>0</v>
      </c>
    </row>
    <row r="305" spans="4:29" ht="13.5" customHeight="1" x14ac:dyDescent="0.25">
      <c r="D305" s="257" t="str">
        <f t="shared" si="192"/>
        <v>Sesame seed</v>
      </c>
      <c r="E305" s="109">
        <f>ProjectedP205_Consumption!K14*OCPMarketShares!N187</f>
        <v>0</v>
      </c>
      <c r="F305" s="109">
        <f>ProjectedP205_Consumption!L14*OCPMarketShares!O187</f>
        <v>3.1078495526097401</v>
      </c>
      <c r="G305" s="109">
        <f>ProjectedP205_Consumption!M14*OCPMarketShares!P187</f>
        <v>3.0324387190810533</v>
      </c>
      <c r="I305" s="31"/>
      <c r="J305" s="269">
        <f t="shared" si="193"/>
        <v>0.75</v>
      </c>
      <c r="K305" s="269">
        <f t="shared" si="194"/>
        <v>0.5</v>
      </c>
      <c r="L305" s="269">
        <f t="shared" si="195"/>
        <v>0.25</v>
      </c>
      <c r="M305" s="269">
        <f t="shared" si="196"/>
        <v>0.25</v>
      </c>
      <c r="N305" s="269">
        <f t="shared" si="197"/>
        <v>0.5</v>
      </c>
      <c r="O305" s="269">
        <f t="shared" si="198"/>
        <v>0.75</v>
      </c>
      <c r="P305" s="269">
        <f t="shared" si="199"/>
        <v>0</v>
      </c>
      <c r="Q305" s="269">
        <f t="shared" si="200"/>
        <v>0</v>
      </c>
      <c r="R305" s="269">
        <f t="shared" si="201"/>
        <v>0</v>
      </c>
      <c r="S305" s="249"/>
      <c r="T305" s="224"/>
      <c r="U305" s="271">
        <f t="shared" ref="U305:U334" si="211">(E305*J305)/$K$11</f>
        <v>0</v>
      </c>
      <c r="V305" s="271">
        <f t="shared" ref="V305:V334" si="212">(F305*K305)/$K$11</f>
        <v>3.3780973397931957</v>
      </c>
      <c r="W305" s="271">
        <f t="shared" ref="W305:W334" si="213">(G305*L305)/$K$11</f>
        <v>1.6480645212397029</v>
      </c>
      <c r="X305" s="271">
        <f t="shared" ref="X305:X334" si="214">(E305*M305)/$K$12</f>
        <v>0</v>
      </c>
      <c r="Y305" s="271">
        <f t="shared" ref="Y305:Y334" si="215">(F305*N305)/$K$12</f>
        <v>3.3780973397931957</v>
      </c>
      <c r="Z305" s="271">
        <f t="shared" ref="Z305:Z334" si="216">(G305*O305)/$K$12</f>
        <v>4.9441935637191081</v>
      </c>
      <c r="AA305" s="271">
        <f t="shared" ref="AA305:AA334" si="217">(E305*P305)/$K$13</f>
        <v>0</v>
      </c>
      <c r="AB305" s="271">
        <f t="shared" ref="AB305:AB334" si="218">(F305*Q305)/$K$13</f>
        <v>0</v>
      </c>
      <c r="AC305" s="271">
        <f t="shared" ref="AC305:AC334" si="219">(G305*R305)/$K$13</f>
        <v>0</v>
      </c>
    </row>
    <row r="306" spans="4:29" ht="13.5" customHeight="1" x14ac:dyDescent="0.25">
      <c r="D306" s="257" t="str">
        <f t="shared" si="192"/>
        <v>Groundnuts, excluding shelled</v>
      </c>
      <c r="E306" s="109">
        <f>ProjectedP205_Consumption!K15*OCPMarketShares!N188</f>
        <v>0</v>
      </c>
      <c r="F306" s="109">
        <f>ProjectedP205_Consumption!L15*OCPMarketShares!O188</f>
        <v>3.8089541168404253</v>
      </c>
      <c r="G306" s="109">
        <f>ProjectedP205_Consumption!M15*OCPMarketShares!P188</f>
        <v>3.9354366849507501</v>
      </c>
      <c r="I306" s="31"/>
      <c r="J306" s="269">
        <f t="shared" si="193"/>
        <v>0.75</v>
      </c>
      <c r="K306" s="269">
        <f t="shared" si="194"/>
        <v>0.5</v>
      </c>
      <c r="L306" s="269">
        <f t="shared" si="195"/>
        <v>0.25</v>
      </c>
      <c r="M306" s="269">
        <f t="shared" si="196"/>
        <v>0.25</v>
      </c>
      <c r="N306" s="269">
        <f t="shared" si="197"/>
        <v>0.5</v>
      </c>
      <c r="O306" s="269">
        <f t="shared" si="198"/>
        <v>0.75</v>
      </c>
      <c r="P306" s="269">
        <f t="shared" si="199"/>
        <v>0</v>
      </c>
      <c r="Q306" s="269">
        <f t="shared" si="200"/>
        <v>0</v>
      </c>
      <c r="R306" s="269">
        <f t="shared" si="201"/>
        <v>0</v>
      </c>
      <c r="S306" s="249"/>
      <c r="T306" s="224"/>
      <c r="U306" s="271">
        <f t="shared" si="211"/>
        <v>0</v>
      </c>
      <c r="V306" s="271">
        <f t="shared" si="212"/>
        <v>4.1401675183048097</v>
      </c>
      <c r="W306" s="271">
        <f t="shared" si="213"/>
        <v>2.1388242852993207</v>
      </c>
      <c r="X306" s="271">
        <f t="shared" si="214"/>
        <v>0</v>
      </c>
      <c r="Y306" s="271">
        <f t="shared" si="215"/>
        <v>4.1401675183048097</v>
      </c>
      <c r="Z306" s="271">
        <f t="shared" si="216"/>
        <v>6.416472855897962</v>
      </c>
      <c r="AA306" s="271">
        <f t="shared" si="217"/>
        <v>0</v>
      </c>
      <c r="AB306" s="271">
        <f t="shared" si="218"/>
        <v>0</v>
      </c>
      <c r="AC306" s="271">
        <f t="shared" si="219"/>
        <v>0</v>
      </c>
    </row>
    <row r="307" spans="4:29" ht="13.5" customHeight="1" x14ac:dyDescent="0.25">
      <c r="D307" s="257" t="str">
        <f t="shared" si="192"/>
        <v>Millet</v>
      </c>
      <c r="E307" s="109">
        <f>ProjectedP205_Consumption!K16*OCPMarketShares!N189</f>
        <v>0</v>
      </c>
      <c r="F307" s="109">
        <f>ProjectedP205_Consumption!L16*OCPMarketShares!O189</f>
        <v>0</v>
      </c>
      <c r="G307" s="109">
        <f>ProjectedP205_Consumption!M16*OCPMarketShares!P189</f>
        <v>0</v>
      </c>
      <c r="I307" s="31"/>
      <c r="J307" s="269">
        <f t="shared" si="193"/>
        <v>0.75</v>
      </c>
      <c r="K307" s="269">
        <f t="shared" si="194"/>
        <v>0.5</v>
      </c>
      <c r="L307" s="269">
        <f t="shared" si="195"/>
        <v>0.25</v>
      </c>
      <c r="M307" s="269">
        <f t="shared" si="196"/>
        <v>0.25</v>
      </c>
      <c r="N307" s="269">
        <f t="shared" si="197"/>
        <v>0.5</v>
      </c>
      <c r="O307" s="269">
        <f t="shared" si="198"/>
        <v>0.75</v>
      </c>
      <c r="P307" s="269">
        <f t="shared" si="199"/>
        <v>0</v>
      </c>
      <c r="Q307" s="269">
        <f t="shared" si="200"/>
        <v>0</v>
      </c>
      <c r="R307" s="269">
        <f t="shared" si="201"/>
        <v>0</v>
      </c>
      <c r="S307" s="249"/>
      <c r="T307" s="224"/>
      <c r="U307" s="271">
        <f t="shared" si="211"/>
        <v>0</v>
      </c>
      <c r="V307" s="271">
        <f t="shared" si="212"/>
        <v>0</v>
      </c>
      <c r="W307" s="271">
        <f t="shared" si="213"/>
        <v>0</v>
      </c>
      <c r="X307" s="271">
        <f t="shared" si="214"/>
        <v>0</v>
      </c>
      <c r="Y307" s="271">
        <f t="shared" si="215"/>
        <v>0</v>
      </c>
      <c r="Z307" s="271">
        <f t="shared" si="216"/>
        <v>0</v>
      </c>
      <c r="AA307" s="271">
        <f t="shared" si="217"/>
        <v>0</v>
      </c>
      <c r="AB307" s="271">
        <f t="shared" si="218"/>
        <v>0</v>
      </c>
      <c r="AC307" s="271">
        <f t="shared" si="219"/>
        <v>0</v>
      </c>
    </row>
    <row r="308" spans="4:29" ht="13.5" customHeight="1" x14ac:dyDescent="0.25">
      <c r="D308" s="257" t="str">
        <f t="shared" si="192"/>
        <v>Sugar cane</v>
      </c>
      <c r="E308" s="109">
        <f>ProjectedP205_Consumption!K17*OCPMarketShares!N190</f>
        <v>0</v>
      </c>
      <c r="F308" s="109">
        <f>ProjectedP205_Consumption!L17*OCPMarketShares!O190</f>
        <v>0.10575593679499717</v>
      </c>
      <c r="G308" s="109">
        <f>ProjectedP205_Consumption!M17*OCPMarketShares!P190</f>
        <v>6.0870803978953045E-2</v>
      </c>
      <c r="I308" s="31"/>
      <c r="J308" s="269">
        <f t="shared" si="193"/>
        <v>0.75</v>
      </c>
      <c r="K308" s="269">
        <f t="shared" si="194"/>
        <v>0.5</v>
      </c>
      <c r="L308" s="269">
        <f t="shared" si="195"/>
        <v>0.25</v>
      </c>
      <c r="M308" s="269">
        <f t="shared" si="196"/>
        <v>0.25</v>
      </c>
      <c r="N308" s="269">
        <f t="shared" si="197"/>
        <v>0.5</v>
      </c>
      <c r="O308" s="269">
        <f t="shared" si="198"/>
        <v>0.75</v>
      </c>
      <c r="P308" s="269">
        <f t="shared" si="199"/>
        <v>0</v>
      </c>
      <c r="Q308" s="269">
        <f t="shared" si="200"/>
        <v>0</v>
      </c>
      <c r="R308" s="269">
        <f t="shared" si="201"/>
        <v>0</v>
      </c>
      <c r="S308" s="249"/>
      <c r="T308" s="224"/>
      <c r="U308" s="271">
        <f t="shared" si="211"/>
        <v>0</v>
      </c>
      <c r="V308" s="271">
        <f t="shared" si="212"/>
        <v>0.11495210521195344</v>
      </c>
      <c r="W308" s="271">
        <f t="shared" si="213"/>
        <v>3.3081958684213611E-2</v>
      </c>
      <c r="X308" s="271">
        <f t="shared" si="214"/>
        <v>0</v>
      </c>
      <c r="Y308" s="271">
        <f t="shared" si="215"/>
        <v>0.11495210521195344</v>
      </c>
      <c r="Z308" s="271">
        <f t="shared" si="216"/>
        <v>9.9245876052640819E-2</v>
      </c>
      <c r="AA308" s="271">
        <f t="shared" si="217"/>
        <v>0</v>
      </c>
      <c r="AB308" s="271">
        <f t="shared" si="218"/>
        <v>0</v>
      </c>
      <c r="AC308" s="271">
        <f t="shared" si="219"/>
        <v>0</v>
      </c>
    </row>
    <row r="309" spans="4:29" ht="13.5" customHeight="1" x14ac:dyDescent="0.25">
      <c r="D309" s="257" t="str">
        <f t="shared" si="192"/>
        <v>Melonseed</v>
      </c>
      <c r="E309" s="109">
        <f>ProjectedP205_Consumption!K18*OCPMarketShares!N191</f>
        <v>0</v>
      </c>
      <c r="F309" s="109">
        <f>ProjectedP205_Consumption!L18*OCPMarketShares!O191</f>
        <v>5.8924625706797948E-2</v>
      </c>
      <c r="G309" s="109">
        <f>ProjectedP205_Consumption!M18*OCPMarketShares!P191</f>
        <v>3.2900856964854903E-2</v>
      </c>
      <c r="I309" s="31"/>
      <c r="J309" s="269">
        <f t="shared" si="193"/>
        <v>0.75</v>
      </c>
      <c r="K309" s="269">
        <f t="shared" si="194"/>
        <v>0.5</v>
      </c>
      <c r="L309" s="269">
        <f t="shared" si="195"/>
        <v>0.25</v>
      </c>
      <c r="M309" s="269">
        <f t="shared" si="196"/>
        <v>0.25</v>
      </c>
      <c r="N309" s="269">
        <f t="shared" si="197"/>
        <v>0.5</v>
      </c>
      <c r="O309" s="269">
        <f t="shared" si="198"/>
        <v>0.75</v>
      </c>
      <c r="P309" s="269">
        <f t="shared" si="199"/>
        <v>0</v>
      </c>
      <c r="Q309" s="269">
        <f t="shared" si="200"/>
        <v>0</v>
      </c>
      <c r="R309" s="269">
        <f t="shared" si="201"/>
        <v>0</v>
      </c>
      <c r="S309" s="249"/>
      <c r="T309" s="224"/>
      <c r="U309" s="271">
        <f t="shared" si="211"/>
        <v>0</v>
      </c>
      <c r="V309" s="271">
        <f t="shared" si="212"/>
        <v>6.4048506203041242E-2</v>
      </c>
      <c r="W309" s="271">
        <f t="shared" si="213"/>
        <v>1.7880900524377664E-2</v>
      </c>
      <c r="X309" s="271">
        <f t="shared" si="214"/>
        <v>0</v>
      </c>
      <c r="Y309" s="271">
        <f t="shared" si="215"/>
        <v>6.4048506203041242E-2</v>
      </c>
      <c r="Z309" s="271">
        <f t="shared" si="216"/>
        <v>5.3642701573132993E-2</v>
      </c>
      <c r="AA309" s="271">
        <f t="shared" si="217"/>
        <v>0</v>
      </c>
      <c r="AB309" s="271">
        <f t="shared" si="218"/>
        <v>0</v>
      </c>
      <c r="AC309" s="271">
        <f t="shared" si="219"/>
        <v>0</v>
      </c>
    </row>
    <row r="310" spans="4:29" ht="13.5" customHeight="1" x14ac:dyDescent="0.25">
      <c r="D310" s="257" t="str">
        <f t="shared" si="192"/>
        <v>Cow peas, dry</v>
      </c>
      <c r="E310" s="109">
        <f>ProjectedP205_Consumption!K19*OCPMarketShares!N192</f>
        <v>0</v>
      </c>
      <c r="F310" s="109">
        <f>ProjectedP205_Consumption!L19*OCPMarketShares!O192</f>
        <v>3.7829946328087338E-2</v>
      </c>
      <c r="G310" s="109">
        <f>ProjectedP205_Consumption!M19*OCPMarketShares!P192</f>
        <v>2.0492583559852992E-2</v>
      </c>
      <c r="I310" s="31"/>
      <c r="J310" s="269">
        <f t="shared" si="193"/>
        <v>0.75</v>
      </c>
      <c r="K310" s="269">
        <f t="shared" si="194"/>
        <v>0.5</v>
      </c>
      <c r="L310" s="269">
        <f t="shared" si="195"/>
        <v>0.25</v>
      </c>
      <c r="M310" s="269">
        <f t="shared" si="196"/>
        <v>0.25</v>
      </c>
      <c r="N310" s="269">
        <f t="shared" si="197"/>
        <v>0.5</v>
      </c>
      <c r="O310" s="269">
        <f t="shared" si="198"/>
        <v>0.75</v>
      </c>
      <c r="P310" s="269">
        <f t="shared" si="199"/>
        <v>0</v>
      </c>
      <c r="Q310" s="269">
        <f t="shared" si="200"/>
        <v>0</v>
      </c>
      <c r="R310" s="269">
        <f t="shared" si="201"/>
        <v>0</v>
      </c>
      <c r="S310" s="249"/>
      <c r="T310" s="224"/>
      <c r="U310" s="271">
        <f t="shared" si="211"/>
        <v>0</v>
      </c>
      <c r="V310" s="271">
        <f t="shared" si="212"/>
        <v>4.1119506878355798E-2</v>
      </c>
      <c r="W310" s="271">
        <f t="shared" si="213"/>
        <v>1.1137273673833147E-2</v>
      </c>
      <c r="X310" s="271">
        <f t="shared" si="214"/>
        <v>0</v>
      </c>
      <c r="Y310" s="271">
        <f t="shared" si="215"/>
        <v>4.1119506878355798E-2</v>
      </c>
      <c r="Z310" s="271">
        <f t="shared" si="216"/>
        <v>3.3411821021499442E-2</v>
      </c>
      <c r="AA310" s="271">
        <f t="shared" si="217"/>
        <v>0</v>
      </c>
      <c r="AB310" s="271">
        <f t="shared" si="218"/>
        <v>0</v>
      </c>
      <c r="AC310" s="271">
        <f t="shared" si="219"/>
        <v>0</v>
      </c>
    </row>
    <row r="311" spans="4:29" ht="13.5" customHeight="1" x14ac:dyDescent="0.25">
      <c r="D311" s="257" t="str">
        <f t="shared" si="192"/>
        <v>Wheat</v>
      </c>
      <c r="E311" s="109">
        <f>ProjectedP205_Consumption!K20*OCPMarketShares!N193</f>
        <v>0</v>
      </c>
      <c r="F311" s="109">
        <f>ProjectedP205_Consumption!L20*OCPMarketShares!O193</f>
        <v>0</v>
      </c>
      <c r="G311" s="109">
        <f>ProjectedP205_Consumption!M20*OCPMarketShares!P193</f>
        <v>0</v>
      </c>
      <c r="I311" s="31"/>
      <c r="J311" s="269">
        <f t="shared" si="193"/>
        <v>0.75</v>
      </c>
      <c r="K311" s="269">
        <f t="shared" si="194"/>
        <v>0.5</v>
      </c>
      <c r="L311" s="269">
        <f t="shared" si="195"/>
        <v>0.25</v>
      </c>
      <c r="M311" s="269">
        <f t="shared" si="196"/>
        <v>0.25</v>
      </c>
      <c r="N311" s="269">
        <f t="shared" si="197"/>
        <v>0.5</v>
      </c>
      <c r="O311" s="269">
        <f t="shared" si="198"/>
        <v>0.75</v>
      </c>
      <c r="P311" s="269">
        <f t="shared" si="199"/>
        <v>0</v>
      </c>
      <c r="Q311" s="269">
        <f t="shared" si="200"/>
        <v>0</v>
      </c>
      <c r="R311" s="269">
        <f t="shared" si="201"/>
        <v>0</v>
      </c>
      <c r="S311" s="249"/>
      <c r="T311" s="224"/>
      <c r="U311" s="271">
        <f t="shared" si="211"/>
        <v>0</v>
      </c>
      <c r="V311" s="271">
        <f t="shared" si="212"/>
        <v>0</v>
      </c>
      <c r="W311" s="271">
        <f t="shared" si="213"/>
        <v>0</v>
      </c>
      <c r="X311" s="271">
        <f t="shared" si="214"/>
        <v>0</v>
      </c>
      <c r="Y311" s="271">
        <f t="shared" si="215"/>
        <v>0</v>
      </c>
      <c r="Z311" s="271">
        <f t="shared" si="216"/>
        <v>0</v>
      </c>
      <c r="AA311" s="271">
        <f t="shared" si="217"/>
        <v>0</v>
      </c>
      <c r="AB311" s="271">
        <f t="shared" si="218"/>
        <v>0</v>
      </c>
      <c r="AC311" s="271">
        <f t="shared" si="219"/>
        <v>0</v>
      </c>
    </row>
    <row r="312" spans="4:29" ht="13.5" customHeight="1" x14ac:dyDescent="0.25">
      <c r="D312" s="257" t="str">
        <f t="shared" si="192"/>
        <v>Onions and shallots, dry (excluding dehydrated)</v>
      </c>
      <c r="E312" s="109">
        <f>ProjectedP205_Consumption!K21*OCPMarketShares!N194</f>
        <v>0</v>
      </c>
      <c r="F312" s="109">
        <f>ProjectedP205_Consumption!L21*OCPMarketShares!O194</f>
        <v>0</v>
      </c>
      <c r="G312" s="109">
        <f>ProjectedP205_Consumption!M21*OCPMarketShares!P194</f>
        <v>0</v>
      </c>
      <c r="I312" s="31"/>
      <c r="J312" s="269">
        <f t="shared" si="193"/>
        <v>0.75</v>
      </c>
      <c r="K312" s="269">
        <f t="shared" si="194"/>
        <v>0.5</v>
      </c>
      <c r="L312" s="269">
        <f t="shared" si="195"/>
        <v>0.25</v>
      </c>
      <c r="M312" s="269">
        <f t="shared" si="196"/>
        <v>0.25</v>
      </c>
      <c r="N312" s="269">
        <f t="shared" si="197"/>
        <v>0.5</v>
      </c>
      <c r="O312" s="269">
        <f t="shared" si="198"/>
        <v>0.75</v>
      </c>
      <c r="P312" s="269">
        <f t="shared" si="199"/>
        <v>0</v>
      </c>
      <c r="Q312" s="269">
        <f t="shared" si="200"/>
        <v>0</v>
      </c>
      <c r="R312" s="269">
        <f t="shared" si="201"/>
        <v>0</v>
      </c>
      <c r="S312" s="249"/>
      <c r="T312" s="224"/>
      <c r="U312" s="271">
        <f t="shared" si="211"/>
        <v>0</v>
      </c>
      <c r="V312" s="271">
        <f t="shared" si="212"/>
        <v>0</v>
      </c>
      <c r="W312" s="271">
        <f t="shared" si="213"/>
        <v>0</v>
      </c>
      <c r="X312" s="271">
        <f t="shared" si="214"/>
        <v>0</v>
      </c>
      <c r="Y312" s="271">
        <f t="shared" si="215"/>
        <v>0</v>
      </c>
      <c r="Z312" s="271">
        <f t="shared" si="216"/>
        <v>0</v>
      </c>
      <c r="AA312" s="271">
        <f t="shared" si="217"/>
        <v>0</v>
      </c>
      <c r="AB312" s="271">
        <f t="shared" si="218"/>
        <v>0</v>
      </c>
      <c r="AC312" s="271">
        <f t="shared" si="219"/>
        <v>0</v>
      </c>
    </row>
    <row r="313" spans="4:29" ht="13.5" customHeight="1" x14ac:dyDescent="0.25">
      <c r="D313" s="257" t="str">
        <f t="shared" si="192"/>
        <v>Bananas</v>
      </c>
      <c r="E313" s="109">
        <f>ProjectedP205_Consumption!K22*OCPMarketShares!N195</f>
        <v>0</v>
      </c>
      <c r="F313" s="109">
        <f>ProjectedP205_Consumption!L22*OCPMarketShares!O195</f>
        <v>0</v>
      </c>
      <c r="G313" s="109">
        <f>ProjectedP205_Consumption!M22*OCPMarketShares!P195</f>
        <v>0</v>
      </c>
      <c r="I313" s="31"/>
      <c r="J313" s="269">
        <f t="shared" si="193"/>
        <v>0.75</v>
      </c>
      <c r="K313" s="269">
        <f t="shared" si="194"/>
        <v>0.5</v>
      </c>
      <c r="L313" s="269">
        <f t="shared" si="195"/>
        <v>0.25</v>
      </c>
      <c r="M313" s="269">
        <f t="shared" si="196"/>
        <v>0.25</v>
      </c>
      <c r="N313" s="269">
        <f t="shared" si="197"/>
        <v>0.5</v>
      </c>
      <c r="O313" s="269">
        <f t="shared" si="198"/>
        <v>0.75</v>
      </c>
      <c r="P313" s="269">
        <f t="shared" si="199"/>
        <v>0</v>
      </c>
      <c r="Q313" s="269">
        <f t="shared" si="200"/>
        <v>0</v>
      </c>
      <c r="R313" s="269">
        <f t="shared" si="201"/>
        <v>0</v>
      </c>
      <c r="S313" s="249"/>
      <c r="T313" s="224"/>
      <c r="U313" s="271">
        <f t="shared" si="211"/>
        <v>0</v>
      </c>
      <c r="V313" s="271">
        <f t="shared" si="212"/>
        <v>0</v>
      </c>
      <c r="W313" s="271">
        <f t="shared" si="213"/>
        <v>0</v>
      </c>
      <c r="X313" s="271">
        <f t="shared" si="214"/>
        <v>0</v>
      </c>
      <c r="Y313" s="271">
        <f t="shared" si="215"/>
        <v>0</v>
      </c>
      <c r="Z313" s="271">
        <f t="shared" si="216"/>
        <v>0</v>
      </c>
      <c r="AA313" s="271">
        <f t="shared" si="217"/>
        <v>0</v>
      </c>
      <c r="AB313" s="271">
        <f t="shared" si="218"/>
        <v>0</v>
      </c>
      <c r="AC313" s="271">
        <f t="shared" si="219"/>
        <v>0</v>
      </c>
    </row>
    <row r="314" spans="4:29" ht="13.5" customHeight="1" x14ac:dyDescent="0.25">
      <c r="D314" s="257" t="str">
        <f t="shared" si="192"/>
        <v>Mangoes, guavas and mangosteens</v>
      </c>
      <c r="E314" s="109">
        <f>ProjectedP205_Consumption!K23*OCPMarketShares!N196</f>
        <v>0</v>
      </c>
      <c r="F314" s="109">
        <f>ProjectedP205_Consumption!L23*OCPMarketShares!O196</f>
        <v>0</v>
      </c>
      <c r="G314" s="109">
        <f>ProjectedP205_Consumption!M23*OCPMarketShares!P196</f>
        <v>0</v>
      </c>
      <c r="I314" s="31"/>
      <c r="J314" s="269">
        <f t="shared" si="193"/>
        <v>0.75</v>
      </c>
      <c r="K314" s="269">
        <f t="shared" si="194"/>
        <v>0.5</v>
      </c>
      <c r="L314" s="269">
        <f t="shared" si="195"/>
        <v>0.25</v>
      </c>
      <c r="M314" s="269">
        <f t="shared" si="196"/>
        <v>0.25</v>
      </c>
      <c r="N314" s="269">
        <f t="shared" si="197"/>
        <v>0.5</v>
      </c>
      <c r="O314" s="269">
        <f t="shared" si="198"/>
        <v>0.75</v>
      </c>
      <c r="P314" s="269">
        <f t="shared" si="199"/>
        <v>0</v>
      </c>
      <c r="Q314" s="269">
        <f t="shared" si="200"/>
        <v>0</v>
      </c>
      <c r="R314" s="269">
        <f t="shared" si="201"/>
        <v>0</v>
      </c>
      <c r="S314" s="249"/>
      <c r="T314" s="224"/>
      <c r="U314" s="271">
        <f t="shared" si="211"/>
        <v>0</v>
      </c>
      <c r="V314" s="271">
        <f t="shared" si="212"/>
        <v>0</v>
      </c>
      <c r="W314" s="271">
        <f t="shared" si="213"/>
        <v>0</v>
      </c>
      <c r="X314" s="271">
        <f t="shared" si="214"/>
        <v>0</v>
      </c>
      <c r="Y314" s="271">
        <f t="shared" si="215"/>
        <v>0</v>
      </c>
      <c r="Z314" s="271">
        <f t="shared" si="216"/>
        <v>0</v>
      </c>
      <c r="AA314" s="271">
        <f t="shared" si="217"/>
        <v>0</v>
      </c>
      <c r="AB314" s="271">
        <f t="shared" si="218"/>
        <v>0</v>
      </c>
      <c r="AC314" s="271">
        <f t="shared" si="219"/>
        <v>0</v>
      </c>
    </row>
    <row r="315" spans="4:29" ht="13.5" customHeight="1" x14ac:dyDescent="0.25">
      <c r="D315" s="257" t="str">
        <f t="shared" si="192"/>
        <v>Cantaloupes and other melons</v>
      </c>
      <c r="E315" s="109">
        <f>ProjectedP205_Consumption!K24*OCPMarketShares!N197</f>
        <v>0</v>
      </c>
      <c r="F315" s="109">
        <f>ProjectedP205_Consumption!L24*OCPMarketShares!O197</f>
        <v>0</v>
      </c>
      <c r="G315" s="109">
        <f>ProjectedP205_Consumption!M24*OCPMarketShares!P197</f>
        <v>0</v>
      </c>
      <c r="I315" s="31"/>
      <c r="J315" s="269">
        <f t="shared" si="193"/>
        <v>0.75</v>
      </c>
      <c r="K315" s="269">
        <f t="shared" si="194"/>
        <v>0.5</v>
      </c>
      <c r="L315" s="269">
        <f t="shared" si="195"/>
        <v>0.25</v>
      </c>
      <c r="M315" s="269">
        <f t="shared" si="196"/>
        <v>0.25</v>
      </c>
      <c r="N315" s="269">
        <f t="shared" si="197"/>
        <v>0.5</v>
      </c>
      <c r="O315" s="269">
        <f t="shared" si="198"/>
        <v>0.75</v>
      </c>
      <c r="P315" s="269">
        <f t="shared" si="199"/>
        <v>0</v>
      </c>
      <c r="Q315" s="269">
        <f t="shared" si="200"/>
        <v>0</v>
      </c>
      <c r="R315" s="269">
        <f t="shared" si="201"/>
        <v>0</v>
      </c>
      <c r="S315" s="249"/>
      <c r="T315" s="224"/>
      <c r="U315" s="271">
        <f t="shared" si="211"/>
        <v>0</v>
      </c>
      <c r="V315" s="271">
        <f t="shared" si="212"/>
        <v>0</v>
      </c>
      <c r="W315" s="271">
        <f t="shared" si="213"/>
        <v>0</v>
      </c>
      <c r="X315" s="271">
        <f t="shared" si="214"/>
        <v>0</v>
      </c>
      <c r="Y315" s="271">
        <f t="shared" si="215"/>
        <v>0</v>
      </c>
      <c r="Z315" s="271">
        <f t="shared" si="216"/>
        <v>0</v>
      </c>
      <c r="AA315" s="271">
        <f t="shared" si="217"/>
        <v>0</v>
      </c>
      <c r="AB315" s="271">
        <f t="shared" si="218"/>
        <v>0</v>
      </c>
      <c r="AC315" s="271">
        <f t="shared" si="219"/>
        <v>0</v>
      </c>
    </row>
    <row r="316" spans="4:29" ht="13.5" customHeight="1" x14ac:dyDescent="0.25">
      <c r="D316" s="257" t="str">
        <f t="shared" si="192"/>
        <v>Sunflower seed</v>
      </c>
      <c r="E316" s="109">
        <f>ProjectedP205_Consumption!K25*OCPMarketShares!N198</f>
        <v>0</v>
      </c>
      <c r="F316" s="109">
        <f>ProjectedP205_Consumption!L25*OCPMarketShares!O198</f>
        <v>0</v>
      </c>
      <c r="G316" s="109">
        <f>ProjectedP205_Consumption!M25*OCPMarketShares!P198</f>
        <v>0</v>
      </c>
      <c r="I316" s="31"/>
      <c r="J316" s="269">
        <f t="shared" si="193"/>
        <v>0.75</v>
      </c>
      <c r="K316" s="269">
        <f t="shared" si="194"/>
        <v>0.5</v>
      </c>
      <c r="L316" s="269">
        <f t="shared" si="195"/>
        <v>0.25</v>
      </c>
      <c r="M316" s="269">
        <f t="shared" si="196"/>
        <v>0.25</v>
      </c>
      <c r="N316" s="269">
        <f t="shared" si="197"/>
        <v>0.5</v>
      </c>
      <c r="O316" s="269">
        <f t="shared" si="198"/>
        <v>0.75</v>
      </c>
      <c r="P316" s="269">
        <f t="shared" si="199"/>
        <v>0</v>
      </c>
      <c r="Q316" s="269">
        <f t="shared" si="200"/>
        <v>0</v>
      </c>
      <c r="R316" s="269">
        <f t="shared" si="201"/>
        <v>0</v>
      </c>
      <c r="S316" s="249"/>
      <c r="T316" s="224"/>
      <c r="U316" s="271">
        <f t="shared" si="211"/>
        <v>0</v>
      </c>
      <c r="V316" s="271">
        <f t="shared" si="212"/>
        <v>0</v>
      </c>
      <c r="W316" s="271">
        <f t="shared" si="213"/>
        <v>0</v>
      </c>
      <c r="X316" s="271">
        <f t="shared" si="214"/>
        <v>0</v>
      </c>
      <c r="Y316" s="271">
        <f t="shared" si="215"/>
        <v>0</v>
      </c>
      <c r="Z316" s="271">
        <f t="shared" si="216"/>
        <v>0</v>
      </c>
      <c r="AA316" s="271">
        <f t="shared" si="217"/>
        <v>0</v>
      </c>
      <c r="AB316" s="271">
        <f t="shared" si="218"/>
        <v>0</v>
      </c>
      <c r="AC316" s="271">
        <f t="shared" si="219"/>
        <v>0</v>
      </c>
    </row>
    <row r="317" spans="4:29" ht="13.5" customHeight="1" x14ac:dyDescent="0.25">
      <c r="D317" s="257" t="str">
        <f t="shared" si="192"/>
        <v>Cauliflowers and broccoli</v>
      </c>
      <c r="E317" s="109">
        <f>ProjectedP205_Consumption!K26*OCPMarketShares!N199</f>
        <v>0</v>
      </c>
      <c r="F317" s="109">
        <f>ProjectedP205_Consumption!L26*OCPMarketShares!O199</f>
        <v>0</v>
      </c>
      <c r="G317" s="109">
        <f>ProjectedP205_Consumption!M26*OCPMarketShares!P199</f>
        <v>0</v>
      </c>
      <c r="I317" s="31"/>
      <c r="J317" s="269">
        <f t="shared" si="193"/>
        <v>0.75</v>
      </c>
      <c r="K317" s="269">
        <f t="shared" si="194"/>
        <v>0.5</v>
      </c>
      <c r="L317" s="269">
        <f t="shared" si="195"/>
        <v>0.25</v>
      </c>
      <c r="M317" s="269">
        <f t="shared" si="196"/>
        <v>0.25</v>
      </c>
      <c r="N317" s="269">
        <f t="shared" si="197"/>
        <v>0.5</v>
      </c>
      <c r="O317" s="269">
        <f t="shared" si="198"/>
        <v>0.75</v>
      </c>
      <c r="P317" s="269">
        <f t="shared" si="199"/>
        <v>0</v>
      </c>
      <c r="Q317" s="269">
        <f t="shared" si="200"/>
        <v>0</v>
      </c>
      <c r="R317" s="269">
        <f t="shared" si="201"/>
        <v>0</v>
      </c>
      <c r="S317" s="249"/>
      <c r="T317" s="224"/>
      <c r="U317" s="271">
        <f t="shared" si="211"/>
        <v>0</v>
      </c>
      <c r="V317" s="271">
        <f t="shared" si="212"/>
        <v>0</v>
      </c>
      <c r="W317" s="271">
        <f t="shared" si="213"/>
        <v>0</v>
      </c>
      <c r="X317" s="271">
        <f t="shared" si="214"/>
        <v>0</v>
      </c>
      <c r="Y317" s="271">
        <f t="shared" si="215"/>
        <v>0</v>
      </c>
      <c r="Z317" s="271">
        <f t="shared" si="216"/>
        <v>0</v>
      </c>
      <c r="AA317" s="271">
        <f t="shared" si="217"/>
        <v>0</v>
      </c>
      <c r="AB317" s="271">
        <f t="shared" si="218"/>
        <v>0</v>
      </c>
      <c r="AC317" s="271">
        <f t="shared" si="219"/>
        <v>0</v>
      </c>
    </row>
    <row r="318" spans="4:29" ht="13.5" customHeight="1" x14ac:dyDescent="0.25">
      <c r="D318" s="257" t="str">
        <f t="shared" si="192"/>
        <v>Seed cotton, unginned</v>
      </c>
      <c r="E318" s="109">
        <f>ProjectedP205_Consumption!K27*OCPMarketShares!N200</f>
        <v>0</v>
      </c>
      <c r="F318" s="109">
        <f>ProjectedP205_Consumption!L27*OCPMarketShares!O200</f>
        <v>0.10662311114959969</v>
      </c>
      <c r="G318" s="109">
        <f>ProjectedP205_Consumption!M27*OCPMarketShares!P200</f>
        <v>9.0776281926946326E-2</v>
      </c>
      <c r="I318" s="31"/>
      <c r="J318" s="269">
        <f t="shared" si="193"/>
        <v>0.75</v>
      </c>
      <c r="K318" s="269">
        <f t="shared" si="194"/>
        <v>0.5</v>
      </c>
      <c r="L318" s="269">
        <f t="shared" si="195"/>
        <v>0.25</v>
      </c>
      <c r="M318" s="269">
        <f t="shared" si="196"/>
        <v>0.25</v>
      </c>
      <c r="N318" s="269">
        <f t="shared" si="197"/>
        <v>0.5</v>
      </c>
      <c r="O318" s="269">
        <f t="shared" si="198"/>
        <v>0.75</v>
      </c>
      <c r="P318" s="269">
        <f t="shared" si="199"/>
        <v>0</v>
      </c>
      <c r="Q318" s="269">
        <f t="shared" si="200"/>
        <v>0</v>
      </c>
      <c r="R318" s="269">
        <f t="shared" si="201"/>
        <v>0</v>
      </c>
      <c r="S318" s="249"/>
      <c r="T318" s="224"/>
      <c r="U318" s="271">
        <f t="shared" si="211"/>
        <v>0</v>
      </c>
      <c r="V318" s="271">
        <f t="shared" si="212"/>
        <v>0.11589468603217357</v>
      </c>
      <c r="W318" s="271">
        <f t="shared" si="213"/>
        <v>4.9334935829862134E-2</v>
      </c>
      <c r="X318" s="271">
        <f t="shared" si="214"/>
        <v>0</v>
      </c>
      <c r="Y318" s="271">
        <f t="shared" si="215"/>
        <v>0.11589468603217357</v>
      </c>
      <c r="Z318" s="271">
        <f t="shared" si="216"/>
        <v>0.14800480748958642</v>
      </c>
      <c r="AA318" s="271">
        <f t="shared" si="217"/>
        <v>0</v>
      </c>
      <c r="AB318" s="271">
        <f t="shared" si="218"/>
        <v>0</v>
      </c>
      <c r="AC318" s="271">
        <f t="shared" si="219"/>
        <v>0</v>
      </c>
    </row>
    <row r="319" spans="4:29" ht="13.5" customHeight="1" x14ac:dyDescent="0.25">
      <c r="D319" s="257" t="str">
        <f t="shared" si="192"/>
        <v>Cucumbers and gherkins</v>
      </c>
      <c r="E319" s="109">
        <f>ProjectedP205_Consumption!K28*OCPMarketShares!N201</f>
        <v>0</v>
      </c>
      <c r="F319" s="109">
        <f>ProjectedP205_Consumption!L28*OCPMarketShares!O201</f>
        <v>0</v>
      </c>
      <c r="G319" s="109">
        <f>ProjectedP205_Consumption!M28*OCPMarketShares!P201</f>
        <v>0</v>
      </c>
      <c r="I319" s="31"/>
      <c r="J319" s="269">
        <f t="shared" si="193"/>
        <v>0.75</v>
      </c>
      <c r="K319" s="269">
        <f t="shared" si="194"/>
        <v>0.5</v>
      </c>
      <c r="L319" s="269">
        <f t="shared" si="195"/>
        <v>0.25</v>
      </c>
      <c r="M319" s="269">
        <f t="shared" si="196"/>
        <v>0.25</v>
      </c>
      <c r="N319" s="269">
        <f t="shared" si="197"/>
        <v>0.5</v>
      </c>
      <c r="O319" s="269">
        <f t="shared" si="198"/>
        <v>0.75</v>
      </c>
      <c r="P319" s="269">
        <f t="shared" si="199"/>
        <v>0</v>
      </c>
      <c r="Q319" s="269">
        <f t="shared" si="200"/>
        <v>0</v>
      </c>
      <c r="R319" s="269">
        <f t="shared" si="201"/>
        <v>0</v>
      </c>
      <c r="S319" s="249"/>
      <c r="T319" s="224"/>
      <c r="U319" s="271">
        <f t="shared" si="211"/>
        <v>0</v>
      </c>
      <c r="V319" s="271">
        <f t="shared" si="212"/>
        <v>0</v>
      </c>
      <c r="W319" s="271">
        <f t="shared" si="213"/>
        <v>0</v>
      </c>
      <c r="X319" s="271">
        <f t="shared" si="214"/>
        <v>0</v>
      </c>
      <c r="Y319" s="271">
        <f t="shared" si="215"/>
        <v>0</v>
      </c>
      <c r="Z319" s="271">
        <f t="shared" si="216"/>
        <v>0</v>
      </c>
      <c r="AA319" s="271">
        <f t="shared" si="217"/>
        <v>0</v>
      </c>
      <c r="AB319" s="271">
        <f t="shared" si="218"/>
        <v>0</v>
      </c>
      <c r="AC319" s="271">
        <f t="shared" si="219"/>
        <v>0</v>
      </c>
    </row>
    <row r="320" spans="4:29" ht="13.5" customHeight="1" x14ac:dyDescent="0.25">
      <c r="D320" s="257" t="str">
        <f t="shared" si="192"/>
        <v>Tomatoes</v>
      </c>
      <c r="E320" s="109">
        <f>ProjectedP205_Consumption!K29*OCPMarketShares!N202</f>
        <v>0</v>
      </c>
      <c r="F320" s="109">
        <f>ProjectedP205_Consumption!L29*OCPMarketShares!O202</f>
        <v>0</v>
      </c>
      <c r="G320" s="109">
        <f>ProjectedP205_Consumption!M29*OCPMarketShares!P202</f>
        <v>0</v>
      </c>
      <c r="I320" s="31"/>
      <c r="J320" s="269">
        <f t="shared" si="193"/>
        <v>0.75</v>
      </c>
      <c r="K320" s="269">
        <f t="shared" si="194"/>
        <v>0.5</v>
      </c>
      <c r="L320" s="269">
        <f t="shared" si="195"/>
        <v>0.25</v>
      </c>
      <c r="M320" s="269">
        <f t="shared" si="196"/>
        <v>0.25</v>
      </c>
      <c r="N320" s="269">
        <f t="shared" si="197"/>
        <v>0.5</v>
      </c>
      <c r="O320" s="269">
        <f t="shared" si="198"/>
        <v>0.75</v>
      </c>
      <c r="P320" s="269">
        <f t="shared" si="199"/>
        <v>0</v>
      </c>
      <c r="Q320" s="269">
        <f t="shared" si="200"/>
        <v>0</v>
      </c>
      <c r="R320" s="269">
        <f t="shared" si="201"/>
        <v>0</v>
      </c>
      <c r="S320" s="249"/>
      <c r="T320" s="224"/>
      <c r="U320" s="271">
        <f t="shared" si="211"/>
        <v>0</v>
      </c>
      <c r="V320" s="271">
        <f t="shared" si="212"/>
        <v>0</v>
      </c>
      <c r="W320" s="271">
        <f t="shared" si="213"/>
        <v>0</v>
      </c>
      <c r="X320" s="271">
        <f t="shared" si="214"/>
        <v>0</v>
      </c>
      <c r="Y320" s="271">
        <f t="shared" si="215"/>
        <v>0</v>
      </c>
      <c r="Z320" s="271">
        <f t="shared" si="216"/>
        <v>0</v>
      </c>
      <c r="AA320" s="271">
        <f t="shared" si="217"/>
        <v>0</v>
      </c>
      <c r="AB320" s="271">
        <f t="shared" si="218"/>
        <v>0</v>
      </c>
      <c r="AC320" s="271">
        <f t="shared" si="219"/>
        <v>0</v>
      </c>
    </row>
    <row r="321" spans="4:29" ht="13.5" customHeight="1" x14ac:dyDescent="0.25">
      <c r="D321" s="257" t="str">
        <f t="shared" si="192"/>
        <v>Potatoes</v>
      </c>
      <c r="E321" s="109">
        <f>ProjectedP205_Consumption!K30*OCPMarketShares!N203</f>
        <v>0</v>
      </c>
      <c r="F321" s="109">
        <f>ProjectedP205_Consumption!L30*OCPMarketShares!O203</f>
        <v>0</v>
      </c>
      <c r="G321" s="109">
        <f>ProjectedP205_Consumption!M30*OCPMarketShares!P203</f>
        <v>0</v>
      </c>
      <c r="I321" s="31"/>
      <c r="J321" s="269">
        <f t="shared" si="193"/>
        <v>0.75</v>
      </c>
      <c r="K321" s="269">
        <f t="shared" si="194"/>
        <v>0.5</v>
      </c>
      <c r="L321" s="269">
        <f t="shared" si="195"/>
        <v>0.25</v>
      </c>
      <c r="M321" s="269">
        <f t="shared" si="196"/>
        <v>0.25</v>
      </c>
      <c r="N321" s="269">
        <f t="shared" si="197"/>
        <v>0.5</v>
      </c>
      <c r="O321" s="269">
        <f t="shared" si="198"/>
        <v>0.75</v>
      </c>
      <c r="P321" s="269">
        <f t="shared" si="199"/>
        <v>0</v>
      </c>
      <c r="Q321" s="269">
        <f t="shared" si="200"/>
        <v>0</v>
      </c>
      <c r="R321" s="269">
        <f t="shared" si="201"/>
        <v>0</v>
      </c>
      <c r="S321" s="249"/>
      <c r="T321" s="224"/>
      <c r="U321" s="271">
        <f t="shared" si="211"/>
        <v>0</v>
      </c>
      <c r="V321" s="271">
        <f t="shared" si="212"/>
        <v>0</v>
      </c>
      <c r="W321" s="271">
        <f t="shared" si="213"/>
        <v>0</v>
      </c>
      <c r="X321" s="271">
        <f t="shared" si="214"/>
        <v>0</v>
      </c>
      <c r="Y321" s="271">
        <f t="shared" si="215"/>
        <v>0</v>
      </c>
      <c r="Z321" s="271">
        <f t="shared" si="216"/>
        <v>0</v>
      </c>
      <c r="AA321" s="271">
        <f t="shared" si="217"/>
        <v>0</v>
      </c>
      <c r="AB321" s="271">
        <f t="shared" si="218"/>
        <v>0</v>
      </c>
      <c r="AC321" s="271">
        <f t="shared" si="219"/>
        <v>0</v>
      </c>
    </row>
    <row r="322" spans="4:29" ht="13.5" customHeight="1" x14ac:dyDescent="0.25">
      <c r="D322" s="257" t="str">
        <f t="shared" si="192"/>
        <v>Pumpkins, squash and gourds</v>
      </c>
      <c r="E322" s="109">
        <f>ProjectedP205_Consumption!K31*OCPMarketShares!N204</f>
        <v>0</v>
      </c>
      <c r="F322" s="109">
        <f>ProjectedP205_Consumption!L31*OCPMarketShares!O204</f>
        <v>0</v>
      </c>
      <c r="G322" s="109">
        <f>ProjectedP205_Consumption!M31*OCPMarketShares!P204</f>
        <v>0</v>
      </c>
      <c r="I322" s="31"/>
      <c r="J322" s="269">
        <f t="shared" si="193"/>
        <v>0.75</v>
      </c>
      <c r="K322" s="269">
        <f t="shared" si="194"/>
        <v>0.5</v>
      </c>
      <c r="L322" s="269">
        <f t="shared" si="195"/>
        <v>0.25</v>
      </c>
      <c r="M322" s="269">
        <f t="shared" si="196"/>
        <v>0.25</v>
      </c>
      <c r="N322" s="269">
        <f t="shared" si="197"/>
        <v>0.5</v>
      </c>
      <c r="O322" s="269">
        <f t="shared" si="198"/>
        <v>0.75</v>
      </c>
      <c r="P322" s="269">
        <f t="shared" si="199"/>
        <v>0</v>
      </c>
      <c r="Q322" s="269">
        <f t="shared" si="200"/>
        <v>0</v>
      </c>
      <c r="R322" s="269">
        <f t="shared" si="201"/>
        <v>0</v>
      </c>
      <c r="S322" s="249"/>
      <c r="T322" s="221"/>
      <c r="U322" s="271">
        <f t="shared" si="211"/>
        <v>0</v>
      </c>
      <c r="V322" s="271">
        <f t="shared" si="212"/>
        <v>0</v>
      </c>
      <c r="W322" s="271">
        <f t="shared" si="213"/>
        <v>0</v>
      </c>
      <c r="X322" s="271">
        <f t="shared" si="214"/>
        <v>0</v>
      </c>
      <c r="Y322" s="271">
        <f t="shared" si="215"/>
        <v>0</v>
      </c>
      <c r="Z322" s="271">
        <f t="shared" si="216"/>
        <v>0</v>
      </c>
      <c r="AA322" s="271">
        <f t="shared" si="217"/>
        <v>0</v>
      </c>
      <c r="AB322" s="271">
        <f t="shared" si="218"/>
        <v>0</v>
      </c>
      <c r="AC322" s="271">
        <f t="shared" si="219"/>
        <v>0</v>
      </c>
    </row>
    <row r="323" spans="4:29" ht="13.5" customHeight="1" x14ac:dyDescent="0.25">
      <c r="D323" s="257" t="str">
        <f t="shared" si="192"/>
        <v>Dates</v>
      </c>
      <c r="E323" s="109">
        <f>ProjectedP205_Consumption!K32*OCPMarketShares!N205</f>
        <v>0</v>
      </c>
      <c r="F323" s="109">
        <f>ProjectedP205_Consumption!L32*OCPMarketShares!O205</f>
        <v>0</v>
      </c>
      <c r="G323" s="109">
        <f>ProjectedP205_Consumption!M32*OCPMarketShares!P205</f>
        <v>0</v>
      </c>
      <c r="I323" s="31"/>
      <c r="J323" s="269">
        <f t="shared" si="193"/>
        <v>0.75</v>
      </c>
      <c r="K323" s="269">
        <f t="shared" si="194"/>
        <v>0.5</v>
      </c>
      <c r="L323" s="269">
        <f t="shared" si="195"/>
        <v>0.25</v>
      </c>
      <c r="M323" s="269">
        <f t="shared" si="196"/>
        <v>0.25</v>
      </c>
      <c r="N323" s="269">
        <f t="shared" si="197"/>
        <v>0.5</v>
      </c>
      <c r="O323" s="269">
        <f t="shared" si="198"/>
        <v>0.75</v>
      </c>
      <c r="P323" s="269">
        <f t="shared" si="199"/>
        <v>0</v>
      </c>
      <c r="Q323" s="269">
        <f t="shared" si="200"/>
        <v>0</v>
      </c>
      <c r="R323" s="269">
        <f t="shared" si="201"/>
        <v>0</v>
      </c>
      <c r="S323" s="249"/>
      <c r="T323" s="221"/>
      <c r="U323" s="271">
        <f t="shared" si="211"/>
        <v>0</v>
      </c>
      <c r="V323" s="271">
        <f t="shared" si="212"/>
        <v>0</v>
      </c>
      <c r="W323" s="271">
        <f t="shared" si="213"/>
        <v>0</v>
      </c>
      <c r="X323" s="271">
        <f t="shared" si="214"/>
        <v>0</v>
      </c>
      <c r="Y323" s="271">
        <f t="shared" si="215"/>
        <v>0</v>
      </c>
      <c r="Z323" s="271">
        <f t="shared" si="216"/>
        <v>0</v>
      </c>
      <c r="AA323" s="271">
        <f t="shared" si="217"/>
        <v>0</v>
      </c>
      <c r="AB323" s="271">
        <f t="shared" si="218"/>
        <v>0</v>
      </c>
      <c r="AC323" s="271">
        <f t="shared" si="219"/>
        <v>0</v>
      </c>
    </row>
    <row r="324" spans="4:29" ht="13.5" customHeight="1" x14ac:dyDescent="0.25">
      <c r="D324" s="257" t="str">
        <f t="shared" si="192"/>
        <v>Pomelos and grapefruits</v>
      </c>
      <c r="E324" s="109">
        <f>ProjectedP205_Consumption!K33*OCPMarketShares!N206</f>
        <v>0</v>
      </c>
      <c r="F324" s="109">
        <f>ProjectedP205_Consumption!L33*OCPMarketShares!O206</f>
        <v>0</v>
      </c>
      <c r="G324" s="109">
        <f>ProjectedP205_Consumption!M33*OCPMarketShares!P206</f>
        <v>0</v>
      </c>
      <c r="I324" s="31"/>
      <c r="J324" s="269">
        <f t="shared" si="193"/>
        <v>0.75</v>
      </c>
      <c r="K324" s="269">
        <f t="shared" si="194"/>
        <v>0.5</v>
      </c>
      <c r="L324" s="269">
        <f t="shared" si="195"/>
        <v>0.25</v>
      </c>
      <c r="M324" s="269">
        <f t="shared" si="196"/>
        <v>0.25</v>
      </c>
      <c r="N324" s="269">
        <f t="shared" si="197"/>
        <v>0.5</v>
      </c>
      <c r="O324" s="269">
        <f t="shared" si="198"/>
        <v>0.75</v>
      </c>
      <c r="P324" s="269">
        <f t="shared" si="199"/>
        <v>0</v>
      </c>
      <c r="Q324" s="269">
        <f t="shared" si="200"/>
        <v>0</v>
      </c>
      <c r="R324" s="269">
        <f t="shared" si="201"/>
        <v>0</v>
      </c>
      <c r="S324" s="249"/>
      <c r="T324" s="221"/>
      <c r="U324" s="271">
        <f t="shared" si="211"/>
        <v>0</v>
      </c>
      <c r="V324" s="271">
        <f t="shared" si="212"/>
        <v>0</v>
      </c>
      <c r="W324" s="271">
        <f t="shared" si="213"/>
        <v>0</v>
      </c>
      <c r="X324" s="271">
        <f t="shared" si="214"/>
        <v>0</v>
      </c>
      <c r="Y324" s="271">
        <f t="shared" si="215"/>
        <v>0</v>
      </c>
      <c r="Z324" s="271">
        <f t="shared" si="216"/>
        <v>0</v>
      </c>
      <c r="AA324" s="271">
        <f t="shared" si="217"/>
        <v>0</v>
      </c>
      <c r="AB324" s="271">
        <f t="shared" si="218"/>
        <v>0</v>
      </c>
      <c r="AC324" s="271">
        <f t="shared" si="219"/>
        <v>0</v>
      </c>
    </row>
    <row r="325" spans="4:29" ht="13.5" customHeight="1" x14ac:dyDescent="0.25">
      <c r="D325" s="257" t="str">
        <f t="shared" si="192"/>
        <v>Okra</v>
      </c>
      <c r="E325" s="109">
        <f>ProjectedP205_Consumption!K34*OCPMarketShares!N207</f>
        <v>0</v>
      </c>
      <c r="F325" s="109">
        <f>ProjectedP205_Consumption!L34*OCPMarketShares!O207</f>
        <v>0</v>
      </c>
      <c r="G325" s="109">
        <f>ProjectedP205_Consumption!M34*OCPMarketShares!P207</f>
        <v>0</v>
      </c>
      <c r="I325" s="31"/>
      <c r="J325" s="269">
        <f t="shared" si="193"/>
        <v>0.75</v>
      </c>
      <c r="K325" s="269">
        <f t="shared" si="194"/>
        <v>0.5</v>
      </c>
      <c r="L325" s="269">
        <f t="shared" si="195"/>
        <v>0.25</v>
      </c>
      <c r="M325" s="269">
        <f t="shared" si="196"/>
        <v>0.25</v>
      </c>
      <c r="N325" s="269">
        <f t="shared" si="197"/>
        <v>0.5</v>
      </c>
      <c r="O325" s="269">
        <f t="shared" si="198"/>
        <v>0.75</v>
      </c>
      <c r="P325" s="269">
        <f t="shared" si="199"/>
        <v>0</v>
      </c>
      <c r="Q325" s="269">
        <f t="shared" si="200"/>
        <v>0</v>
      </c>
      <c r="R325" s="269">
        <f t="shared" si="201"/>
        <v>0</v>
      </c>
      <c r="S325" s="249"/>
      <c r="T325" s="221"/>
      <c r="U325" s="271">
        <f t="shared" si="211"/>
        <v>0</v>
      </c>
      <c r="V325" s="271">
        <f t="shared" si="212"/>
        <v>0</v>
      </c>
      <c r="W325" s="271">
        <f t="shared" si="213"/>
        <v>0</v>
      </c>
      <c r="X325" s="271">
        <f t="shared" si="214"/>
        <v>0</v>
      </c>
      <c r="Y325" s="271">
        <f t="shared" si="215"/>
        <v>0</v>
      </c>
      <c r="Z325" s="271">
        <f t="shared" si="216"/>
        <v>0</v>
      </c>
      <c r="AA325" s="271">
        <f t="shared" si="217"/>
        <v>0</v>
      </c>
      <c r="AB325" s="271">
        <f t="shared" si="218"/>
        <v>0</v>
      </c>
      <c r="AC325" s="271">
        <f t="shared" si="219"/>
        <v>0</v>
      </c>
    </row>
    <row r="326" spans="4:29" ht="13.5" customHeight="1" x14ac:dyDescent="0.25">
      <c r="D326" s="257" t="str">
        <f t="shared" si="192"/>
        <v>Lemons and limes</v>
      </c>
      <c r="E326" s="109">
        <f>ProjectedP205_Consumption!K35*OCPMarketShares!N208</f>
        <v>0</v>
      </c>
      <c r="F326" s="109">
        <f>ProjectedP205_Consumption!L35*OCPMarketShares!O208</f>
        <v>0</v>
      </c>
      <c r="G326" s="109">
        <f>ProjectedP205_Consumption!M35*OCPMarketShares!P208</f>
        <v>0</v>
      </c>
      <c r="I326" s="31"/>
      <c r="J326" s="269">
        <f t="shared" si="193"/>
        <v>0.75</v>
      </c>
      <c r="K326" s="269">
        <f t="shared" si="194"/>
        <v>0.5</v>
      </c>
      <c r="L326" s="269">
        <f t="shared" si="195"/>
        <v>0.25</v>
      </c>
      <c r="M326" s="269">
        <f t="shared" si="196"/>
        <v>0.25</v>
      </c>
      <c r="N326" s="269">
        <f t="shared" si="197"/>
        <v>0.5</v>
      </c>
      <c r="O326" s="269">
        <f t="shared" si="198"/>
        <v>0.75</v>
      </c>
      <c r="P326" s="269">
        <f t="shared" si="199"/>
        <v>0</v>
      </c>
      <c r="Q326" s="269">
        <f t="shared" si="200"/>
        <v>0</v>
      </c>
      <c r="R326" s="269">
        <f t="shared" si="201"/>
        <v>0</v>
      </c>
      <c r="S326" s="249"/>
      <c r="T326" s="221"/>
      <c r="U326" s="271">
        <f t="shared" si="211"/>
        <v>0</v>
      </c>
      <c r="V326" s="271">
        <f t="shared" si="212"/>
        <v>0</v>
      </c>
      <c r="W326" s="271">
        <f t="shared" si="213"/>
        <v>0</v>
      </c>
      <c r="X326" s="271">
        <f t="shared" si="214"/>
        <v>0</v>
      </c>
      <c r="Y326" s="271">
        <f t="shared" si="215"/>
        <v>0</v>
      </c>
      <c r="Z326" s="271">
        <f t="shared" si="216"/>
        <v>0</v>
      </c>
      <c r="AA326" s="271">
        <f t="shared" si="217"/>
        <v>0</v>
      </c>
      <c r="AB326" s="271">
        <f t="shared" si="218"/>
        <v>0</v>
      </c>
      <c r="AC326" s="271">
        <f t="shared" si="219"/>
        <v>0</v>
      </c>
    </row>
    <row r="327" spans="4:29" ht="13.5" customHeight="1" x14ac:dyDescent="0.25">
      <c r="D327" s="257" t="str">
        <f t="shared" si="192"/>
        <v>Green garlic</v>
      </c>
      <c r="E327" s="109">
        <f>ProjectedP205_Consumption!K36*OCPMarketShares!N209</f>
        <v>0</v>
      </c>
      <c r="F327" s="109">
        <f>ProjectedP205_Consumption!L36*OCPMarketShares!O209</f>
        <v>0</v>
      </c>
      <c r="G327" s="109">
        <f>ProjectedP205_Consumption!M36*OCPMarketShares!P209</f>
        <v>0</v>
      </c>
      <c r="I327" s="31"/>
      <c r="J327" s="269">
        <f t="shared" si="193"/>
        <v>0.75</v>
      </c>
      <c r="K327" s="269">
        <f t="shared" si="194"/>
        <v>0.5</v>
      </c>
      <c r="L327" s="269">
        <f t="shared" si="195"/>
        <v>0.25</v>
      </c>
      <c r="M327" s="269">
        <f t="shared" si="196"/>
        <v>0.25</v>
      </c>
      <c r="N327" s="269">
        <f t="shared" si="197"/>
        <v>0.5</v>
      </c>
      <c r="O327" s="269">
        <f t="shared" si="198"/>
        <v>0.75</v>
      </c>
      <c r="P327" s="269">
        <f t="shared" si="199"/>
        <v>0</v>
      </c>
      <c r="Q327" s="269">
        <f t="shared" si="200"/>
        <v>0</v>
      </c>
      <c r="R327" s="269">
        <f t="shared" si="201"/>
        <v>0</v>
      </c>
      <c r="S327" s="249"/>
      <c r="T327" s="221"/>
      <c r="U327" s="271">
        <f t="shared" si="211"/>
        <v>0</v>
      </c>
      <c r="V327" s="271">
        <f t="shared" si="212"/>
        <v>0</v>
      </c>
      <c r="W327" s="271">
        <f t="shared" si="213"/>
        <v>0</v>
      </c>
      <c r="X327" s="271">
        <f t="shared" si="214"/>
        <v>0</v>
      </c>
      <c r="Y327" s="271">
        <f t="shared" si="215"/>
        <v>0</v>
      </c>
      <c r="Z327" s="271">
        <f t="shared" si="216"/>
        <v>0</v>
      </c>
      <c r="AA327" s="271">
        <f t="shared" si="217"/>
        <v>0</v>
      </c>
      <c r="AB327" s="271">
        <f t="shared" si="218"/>
        <v>0</v>
      </c>
      <c r="AC327" s="271">
        <f t="shared" si="219"/>
        <v>0</v>
      </c>
    </row>
    <row r="328" spans="4:29" ht="13.5" customHeight="1" x14ac:dyDescent="0.25">
      <c r="D328" s="257" t="str">
        <f t="shared" si="192"/>
        <v>Sweet potatoes</v>
      </c>
      <c r="E328" s="109">
        <f>ProjectedP205_Consumption!K37*OCPMarketShares!N210</f>
        <v>0</v>
      </c>
      <c r="F328" s="109">
        <f>ProjectedP205_Consumption!L37*OCPMarketShares!O210</f>
        <v>0</v>
      </c>
      <c r="G328" s="109">
        <f>ProjectedP205_Consumption!M37*OCPMarketShares!P210</f>
        <v>0</v>
      </c>
      <c r="I328" s="31"/>
      <c r="J328" s="269">
        <f t="shared" si="193"/>
        <v>0.75</v>
      </c>
      <c r="K328" s="269">
        <f t="shared" si="194"/>
        <v>0.5</v>
      </c>
      <c r="L328" s="269">
        <f t="shared" si="195"/>
        <v>0.25</v>
      </c>
      <c r="M328" s="269">
        <f t="shared" si="196"/>
        <v>0.25</v>
      </c>
      <c r="N328" s="269">
        <f t="shared" si="197"/>
        <v>0.5</v>
      </c>
      <c r="O328" s="269">
        <f t="shared" si="198"/>
        <v>0.75</v>
      </c>
      <c r="P328" s="269">
        <f t="shared" si="199"/>
        <v>0</v>
      </c>
      <c r="Q328" s="269">
        <f t="shared" si="200"/>
        <v>0</v>
      </c>
      <c r="R328" s="269">
        <f t="shared" si="201"/>
        <v>0</v>
      </c>
      <c r="S328" s="249"/>
      <c r="T328" s="221"/>
      <c r="U328" s="271">
        <f t="shared" si="211"/>
        <v>0</v>
      </c>
      <c r="V328" s="271">
        <f t="shared" si="212"/>
        <v>0</v>
      </c>
      <c r="W328" s="271">
        <f t="shared" si="213"/>
        <v>0</v>
      </c>
      <c r="X328" s="271">
        <f t="shared" si="214"/>
        <v>0</v>
      </c>
      <c r="Y328" s="271">
        <f t="shared" si="215"/>
        <v>0</v>
      </c>
      <c r="Z328" s="271">
        <f t="shared" si="216"/>
        <v>0</v>
      </c>
      <c r="AA328" s="271">
        <f t="shared" si="217"/>
        <v>0</v>
      </c>
      <c r="AB328" s="271">
        <f t="shared" si="218"/>
        <v>0</v>
      </c>
      <c r="AC328" s="271">
        <f t="shared" si="219"/>
        <v>0</v>
      </c>
    </row>
    <row r="329" spans="4:29" ht="13.5" customHeight="1" x14ac:dyDescent="0.25">
      <c r="D329" s="257" t="str">
        <f t="shared" si="192"/>
        <v>Other pulses n.e.c.</v>
      </c>
      <c r="E329" s="109">
        <f>ProjectedP205_Consumption!K38*OCPMarketShares!N211</f>
        <v>0</v>
      </c>
      <c r="F329" s="109">
        <f>ProjectedP205_Consumption!L38*OCPMarketShares!O211</f>
        <v>0.1573912565019179</v>
      </c>
      <c r="G329" s="109">
        <f>ProjectedP205_Consumption!M38*OCPMarketShares!P211</f>
        <v>0.15058730629601894</v>
      </c>
      <c r="I329" s="31"/>
      <c r="J329" s="269">
        <f t="shared" si="193"/>
        <v>0.75</v>
      </c>
      <c r="K329" s="269">
        <f t="shared" si="194"/>
        <v>0.5</v>
      </c>
      <c r="L329" s="269">
        <f t="shared" si="195"/>
        <v>0.25</v>
      </c>
      <c r="M329" s="269">
        <f t="shared" si="196"/>
        <v>0.25</v>
      </c>
      <c r="N329" s="269">
        <f t="shared" si="197"/>
        <v>0.5</v>
      </c>
      <c r="O329" s="269">
        <f t="shared" si="198"/>
        <v>0.75</v>
      </c>
      <c r="P329" s="269">
        <f t="shared" si="199"/>
        <v>0</v>
      </c>
      <c r="Q329" s="269">
        <f t="shared" si="200"/>
        <v>0</v>
      </c>
      <c r="R329" s="269">
        <f t="shared" si="201"/>
        <v>0</v>
      </c>
      <c r="S329" s="249"/>
      <c r="T329" s="221"/>
      <c r="U329" s="271">
        <f t="shared" si="211"/>
        <v>0</v>
      </c>
      <c r="V329" s="271">
        <f t="shared" si="212"/>
        <v>0.17107745271947597</v>
      </c>
      <c r="W329" s="271">
        <f t="shared" si="213"/>
        <v>8.1840927334792896E-2</v>
      </c>
      <c r="X329" s="271">
        <f t="shared" si="214"/>
        <v>0</v>
      </c>
      <c r="Y329" s="271">
        <f t="shared" si="215"/>
        <v>0.17107745271947597</v>
      </c>
      <c r="Z329" s="271">
        <f t="shared" si="216"/>
        <v>0.24552278200437871</v>
      </c>
      <c r="AA329" s="271">
        <f t="shared" si="217"/>
        <v>0</v>
      </c>
      <c r="AB329" s="271">
        <f t="shared" si="218"/>
        <v>0</v>
      </c>
      <c r="AC329" s="271">
        <f t="shared" si="219"/>
        <v>0</v>
      </c>
    </row>
    <row r="330" spans="4:29" ht="13.5" customHeight="1" x14ac:dyDescent="0.25">
      <c r="D330" s="257" t="str">
        <f t="shared" si="192"/>
        <v>Other vegetables, fresh n.e.c.</v>
      </c>
      <c r="E330" s="109">
        <f>ProjectedP205_Consumption!K39*OCPMarketShares!N212</f>
        <v>0</v>
      </c>
      <c r="F330" s="109">
        <f>ProjectedP205_Consumption!L39*OCPMarketShares!O212</f>
        <v>0</v>
      </c>
      <c r="G330" s="109">
        <f>ProjectedP205_Consumption!M39*OCPMarketShares!P212</f>
        <v>0</v>
      </c>
      <c r="I330" s="31"/>
      <c r="J330" s="269">
        <f t="shared" si="193"/>
        <v>0.75</v>
      </c>
      <c r="K330" s="269">
        <f t="shared" si="194"/>
        <v>0.5</v>
      </c>
      <c r="L330" s="269">
        <f t="shared" si="195"/>
        <v>0.25</v>
      </c>
      <c r="M330" s="269">
        <f t="shared" si="196"/>
        <v>0.25</v>
      </c>
      <c r="N330" s="269">
        <f t="shared" si="197"/>
        <v>0.5</v>
      </c>
      <c r="O330" s="269">
        <f t="shared" si="198"/>
        <v>0.75</v>
      </c>
      <c r="P330" s="269">
        <f t="shared" si="199"/>
        <v>0</v>
      </c>
      <c r="Q330" s="269">
        <f t="shared" si="200"/>
        <v>0</v>
      </c>
      <c r="R330" s="269">
        <f t="shared" si="201"/>
        <v>0</v>
      </c>
      <c r="S330" s="249"/>
      <c r="T330" s="221"/>
      <c r="U330" s="271">
        <f t="shared" si="211"/>
        <v>0</v>
      </c>
      <c r="V330" s="271">
        <f t="shared" si="212"/>
        <v>0</v>
      </c>
      <c r="W330" s="271">
        <f t="shared" si="213"/>
        <v>0</v>
      </c>
      <c r="X330" s="271">
        <f t="shared" si="214"/>
        <v>0</v>
      </c>
      <c r="Y330" s="271">
        <f t="shared" si="215"/>
        <v>0</v>
      </c>
      <c r="Z330" s="271">
        <f t="shared" si="216"/>
        <v>0</v>
      </c>
      <c r="AA330" s="271">
        <f t="shared" si="217"/>
        <v>0</v>
      </c>
      <c r="AB330" s="271">
        <f t="shared" si="218"/>
        <v>0</v>
      </c>
      <c r="AC330" s="271">
        <f t="shared" si="219"/>
        <v>0</v>
      </c>
    </row>
    <row r="331" spans="4:29" ht="13.5" customHeight="1" x14ac:dyDescent="0.25">
      <c r="D331" s="257" t="str">
        <f t="shared" si="192"/>
        <v>Other fruits, n.e.c.</v>
      </c>
      <c r="E331" s="109">
        <f>ProjectedP205_Consumption!K40*OCPMarketShares!N213</f>
        <v>0</v>
      </c>
      <c r="F331" s="109">
        <f>ProjectedP205_Consumption!L40*OCPMarketShares!O213</f>
        <v>0</v>
      </c>
      <c r="G331" s="109">
        <f>ProjectedP205_Consumption!M40*OCPMarketShares!P213</f>
        <v>0</v>
      </c>
      <c r="I331" s="31"/>
      <c r="J331" s="269">
        <f t="shared" si="193"/>
        <v>0.75</v>
      </c>
      <c r="K331" s="269">
        <f t="shared" si="194"/>
        <v>0.5</v>
      </c>
      <c r="L331" s="269">
        <f t="shared" si="195"/>
        <v>0.25</v>
      </c>
      <c r="M331" s="269">
        <f t="shared" si="196"/>
        <v>0.25</v>
      </c>
      <c r="N331" s="269">
        <f t="shared" si="197"/>
        <v>0.5</v>
      </c>
      <c r="O331" s="269">
        <f t="shared" si="198"/>
        <v>0.75</v>
      </c>
      <c r="P331" s="269">
        <f t="shared" si="199"/>
        <v>0</v>
      </c>
      <c r="Q331" s="269">
        <f t="shared" si="200"/>
        <v>0</v>
      </c>
      <c r="R331" s="269">
        <f t="shared" si="201"/>
        <v>0</v>
      </c>
      <c r="S331" s="249"/>
      <c r="T331" s="221"/>
      <c r="U331" s="271">
        <f t="shared" si="211"/>
        <v>0</v>
      </c>
      <c r="V331" s="271">
        <f t="shared" si="212"/>
        <v>0</v>
      </c>
      <c r="W331" s="271">
        <f t="shared" si="213"/>
        <v>0</v>
      </c>
      <c r="X331" s="271">
        <f t="shared" si="214"/>
        <v>0</v>
      </c>
      <c r="Y331" s="271">
        <f t="shared" si="215"/>
        <v>0</v>
      </c>
      <c r="Z331" s="271">
        <f t="shared" si="216"/>
        <v>0</v>
      </c>
      <c r="AA331" s="271">
        <f t="shared" si="217"/>
        <v>0</v>
      </c>
      <c r="AB331" s="271">
        <f t="shared" si="218"/>
        <v>0</v>
      </c>
      <c r="AC331" s="271">
        <f t="shared" si="219"/>
        <v>0</v>
      </c>
    </row>
    <row r="332" spans="4:29" ht="13.5" customHeight="1" x14ac:dyDescent="0.25">
      <c r="D332" s="257" t="str">
        <f t="shared" si="192"/>
        <v>Broad beans and horse beans, dry</v>
      </c>
      <c r="E332" s="109">
        <f>ProjectedP205_Consumption!K41*OCPMarketShares!N214</f>
        <v>0</v>
      </c>
      <c r="F332" s="109">
        <f>ProjectedP205_Consumption!L41*OCPMarketShares!O214</f>
        <v>0</v>
      </c>
      <c r="G332" s="109">
        <f>ProjectedP205_Consumption!M41*OCPMarketShares!P214</f>
        <v>0</v>
      </c>
      <c r="I332" s="31"/>
      <c r="J332" s="269">
        <f t="shared" si="193"/>
        <v>0.75</v>
      </c>
      <c r="K332" s="269">
        <f t="shared" si="194"/>
        <v>0.5</v>
      </c>
      <c r="L332" s="269">
        <f t="shared" si="195"/>
        <v>0.25</v>
      </c>
      <c r="M332" s="269">
        <f t="shared" si="196"/>
        <v>0.25</v>
      </c>
      <c r="N332" s="269">
        <f t="shared" si="197"/>
        <v>0.5</v>
      </c>
      <c r="O332" s="269">
        <f t="shared" si="198"/>
        <v>0.75</v>
      </c>
      <c r="P332" s="269">
        <f t="shared" si="199"/>
        <v>0</v>
      </c>
      <c r="Q332" s="269">
        <f t="shared" si="200"/>
        <v>0</v>
      </c>
      <c r="R332" s="269">
        <f t="shared" si="201"/>
        <v>0</v>
      </c>
      <c r="S332" s="249"/>
      <c r="T332" s="221"/>
      <c r="U332" s="271">
        <f t="shared" si="211"/>
        <v>0</v>
      </c>
      <c r="V332" s="271">
        <f t="shared" si="212"/>
        <v>0</v>
      </c>
      <c r="W332" s="271">
        <f t="shared" si="213"/>
        <v>0</v>
      </c>
      <c r="X332" s="271">
        <f t="shared" si="214"/>
        <v>0</v>
      </c>
      <c r="Y332" s="271">
        <f t="shared" si="215"/>
        <v>0</v>
      </c>
      <c r="Z332" s="271">
        <f t="shared" si="216"/>
        <v>0</v>
      </c>
      <c r="AA332" s="271">
        <f t="shared" si="217"/>
        <v>0</v>
      </c>
      <c r="AB332" s="271">
        <f t="shared" si="218"/>
        <v>0</v>
      </c>
      <c r="AC332" s="271">
        <f t="shared" si="219"/>
        <v>0</v>
      </c>
    </row>
    <row r="333" spans="4:29" ht="13.5" customHeight="1" x14ac:dyDescent="0.25">
      <c r="D333" s="257" t="str">
        <f t="shared" si="192"/>
        <v>Chick peas, dry</v>
      </c>
      <c r="E333" s="109">
        <f>ProjectedP205_Consumption!K42*OCPMarketShares!N215</f>
        <v>0</v>
      </c>
      <c r="F333" s="109">
        <f>ProjectedP205_Consumption!L42*OCPMarketShares!O215</f>
        <v>0</v>
      </c>
      <c r="G333" s="109">
        <f>ProjectedP205_Consumption!M42*OCPMarketShares!P215</f>
        <v>0</v>
      </c>
      <c r="I333" s="31"/>
      <c r="J333" s="269">
        <f t="shared" si="193"/>
        <v>0.75</v>
      </c>
      <c r="K333" s="269">
        <f t="shared" si="194"/>
        <v>0.5</v>
      </c>
      <c r="L333" s="269">
        <f t="shared" si="195"/>
        <v>0.25</v>
      </c>
      <c r="M333" s="269">
        <f t="shared" si="196"/>
        <v>0.25</v>
      </c>
      <c r="N333" s="269">
        <f t="shared" si="197"/>
        <v>0.5</v>
      </c>
      <c r="O333" s="269">
        <f t="shared" si="198"/>
        <v>0.75</v>
      </c>
      <c r="P333" s="269">
        <f t="shared" si="199"/>
        <v>0</v>
      </c>
      <c r="Q333" s="269">
        <f t="shared" si="200"/>
        <v>0</v>
      </c>
      <c r="R333" s="269">
        <f t="shared" si="201"/>
        <v>0</v>
      </c>
      <c r="S333" s="249"/>
      <c r="T333" s="221"/>
      <c r="U333" s="271">
        <f t="shared" si="211"/>
        <v>0</v>
      </c>
      <c r="V333" s="271">
        <f t="shared" si="212"/>
        <v>0</v>
      </c>
      <c r="W333" s="271">
        <f t="shared" si="213"/>
        <v>0</v>
      </c>
      <c r="X333" s="271">
        <f t="shared" si="214"/>
        <v>0</v>
      </c>
      <c r="Y333" s="271">
        <f t="shared" si="215"/>
        <v>0</v>
      </c>
      <c r="Z333" s="271">
        <f t="shared" si="216"/>
        <v>0</v>
      </c>
      <c r="AA333" s="271">
        <f t="shared" si="217"/>
        <v>0</v>
      </c>
      <c r="AB333" s="271">
        <f t="shared" si="218"/>
        <v>0</v>
      </c>
      <c r="AC333" s="271">
        <f t="shared" si="219"/>
        <v>0</v>
      </c>
    </row>
    <row r="334" spans="4:29" ht="13.5" customHeight="1" thickBot="1" x14ac:dyDescent="0.3">
      <c r="D334" s="257" t="str">
        <f t="shared" si="192"/>
        <v>Beans, dry</v>
      </c>
      <c r="E334" s="109">
        <f>ProjectedP205_Consumption!K43*OCPMarketShares!N216</f>
        <v>0</v>
      </c>
      <c r="F334" s="109">
        <f>ProjectedP205_Consumption!L43*OCPMarketShares!O216</f>
        <v>0</v>
      </c>
      <c r="G334" s="109">
        <f>ProjectedP205_Consumption!M43*OCPMarketShares!P216</f>
        <v>0</v>
      </c>
      <c r="I334" s="31"/>
      <c r="J334" s="269">
        <f t="shared" si="193"/>
        <v>0.75</v>
      </c>
      <c r="K334" s="269">
        <f t="shared" si="194"/>
        <v>0.5</v>
      </c>
      <c r="L334" s="269">
        <f t="shared" si="195"/>
        <v>0.25</v>
      </c>
      <c r="M334" s="269">
        <f t="shared" si="196"/>
        <v>0.25</v>
      </c>
      <c r="N334" s="269">
        <f t="shared" si="197"/>
        <v>0.5</v>
      </c>
      <c r="O334" s="269">
        <f t="shared" si="198"/>
        <v>0.75</v>
      </c>
      <c r="P334" s="269">
        <f t="shared" si="199"/>
        <v>0</v>
      </c>
      <c r="Q334" s="269">
        <f t="shared" si="200"/>
        <v>0</v>
      </c>
      <c r="R334" s="269">
        <f t="shared" si="201"/>
        <v>0</v>
      </c>
      <c r="S334" s="249"/>
      <c r="T334" s="221"/>
      <c r="U334" s="271">
        <f t="shared" si="211"/>
        <v>0</v>
      </c>
      <c r="V334" s="271">
        <f t="shared" si="212"/>
        <v>0</v>
      </c>
      <c r="W334" s="271">
        <f t="shared" si="213"/>
        <v>0</v>
      </c>
      <c r="X334" s="271">
        <f t="shared" si="214"/>
        <v>0</v>
      </c>
      <c r="Y334" s="271">
        <f t="shared" si="215"/>
        <v>0</v>
      </c>
      <c r="Z334" s="271">
        <f t="shared" si="216"/>
        <v>0</v>
      </c>
      <c r="AA334" s="271">
        <f t="shared" si="217"/>
        <v>0</v>
      </c>
      <c r="AB334" s="271">
        <f t="shared" si="218"/>
        <v>0</v>
      </c>
      <c r="AC334" s="271">
        <f t="shared" si="219"/>
        <v>0</v>
      </c>
    </row>
    <row r="335" spans="4:29" ht="13.5" customHeight="1" thickTop="1" thickBot="1" x14ac:dyDescent="0.3">
      <c r="D335" s="258" t="s">
        <v>13</v>
      </c>
      <c r="E335" s="260">
        <f t="shared" ref="E335" si="220">SUM(E304:E334)</f>
        <v>0</v>
      </c>
      <c r="F335" s="260">
        <f t="shared" ref="F335:G335" si="221">SUM(F304:F334)</f>
        <v>7.3833285459315654</v>
      </c>
      <c r="G335" s="260">
        <f t="shared" si="221"/>
        <v>7.3235032367584294</v>
      </c>
      <c r="I335" s="31"/>
      <c r="J335" s="157"/>
      <c r="K335" s="7"/>
      <c r="L335" s="7"/>
      <c r="M335" s="7"/>
      <c r="N335" s="7"/>
      <c r="O335" s="7"/>
      <c r="P335" s="7"/>
      <c r="Q335" s="7"/>
      <c r="R335" s="7"/>
      <c r="S335" s="7"/>
      <c r="T335" s="7"/>
      <c r="U335" s="7"/>
      <c r="V335" s="7"/>
      <c r="W335" s="7"/>
      <c r="X335" s="7"/>
      <c r="Y335" s="7"/>
      <c r="Z335" s="7"/>
      <c r="AA335" s="7"/>
      <c r="AB335" s="7"/>
      <c r="AC335" s="7"/>
    </row>
    <row r="336" spans="4:29" ht="13.5" customHeight="1" thickTop="1" thickBot="1" x14ac:dyDescent="0.3">
      <c r="D336" s="261" t="s">
        <v>302</v>
      </c>
      <c r="E336" s="260">
        <f t="shared" ref="E336:G336" si="222">E335/46%</f>
        <v>0</v>
      </c>
      <c r="F336" s="260">
        <f t="shared" si="222"/>
        <v>16.050714230286012</v>
      </c>
      <c r="G336" s="260">
        <f t="shared" si="222"/>
        <v>15.920659210344411</v>
      </c>
      <c r="I336" s="31"/>
      <c r="J336" s="31"/>
      <c r="T336" s="1" t="s">
        <v>303</v>
      </c>
      <c r="U336" s="251">
        <f t="shared" ref="U336:AC336" si="223">SUM(U304:U334)</f>
        <v>0</v>
      </c>
      <c r="V336" s="251">
        <f t="shared" si="223"/>
        <v>8.0253571151430041</v>
      </c>
      <c r="W336" s="251">
        <f t="shared" si="223"/>
        <v>3.9801648025861027</v>
      </c>
      <c r="X336" s="251">
        <f t="shared" si="223"/>
        <v>0</v>
      </c>
      <c r="Y336" s="251">
        <f t="shared" si="223"/>
        <v>8.0253571151430041</v>
      </c>
      <c r="Z336" s="251">
        <f t="shared" si="223"/>
        <v>11.940494407758308</v>
      </c>
      <c r="AA336" s="251">
        <f t="shared" si="223"/>
        <v>0</v>
      </c>
      <c r="AB336" s="251">
        <f t="shared" si="223"/>
        <v>0</v>
      </c>
      <c r="AC336" s="251">
        <f t="shared" si="223"/>
        <v>0</v>
      </c>
    </row>
    <row r="337" spans="4:29" ht="13.5" customHeight="1" thickTop="1" x14ac:dyDescent="0.25">
      <c r="I337" s="31"/>
      <c r="J337" s="31"/>
    </row>
    <row r="338" spans="4:29" ht="13.5" customHeight="1" x14ac:dyDescent="0.3">
      <c r="D338" s="30" t="s">
        <v>285</v>
      </c>
      <c r="E338" s="34">
        <v>2023</v>
      </c>
      <c r="F338" s="34">
        <v>2024</v>
      </c>
      <c r="G338" s="34">
        <v>2025</v>
      </c>
      <c r="I338" s="31"/>
      <c r="J338" s="236">
        <v>2023</v>
      </c>
      <c r="K338" s="236">
        <v>2024</v>
      </c>
      <c r="L338" s="236">
        <v>2025</v>
      </c>
      <c r="M338" s="236">
        <v>2023</v>
      </c>
      <c r="N338" s="236">
        <v>2024</v>
      </c>
      <c r="O338" s="236">
        <v>2025</v>
      </c>
      <c r="P338" s="236">
        <v>2023</v>
      </c>
      <c r="Q338" s="236">
        <v>2024</v>
      </c>
      <c r="R338" s="236">
        <v>2025</v>
      </c>
      <c r="S338" s="245"/>
      <c r="T338" s="246"/>
      <c r="U338" s="247">
        <v>2023</v>
      </c>
      <c r="V338" s="247">
        <v>2024</v>
      </c>
      <c r="W338" s="247">
        <v>2025</v>
      </c>
      <c r="X338" s="247">
        <v>2023</v>
      </c>
      <c r="Y338" s="247">
        <v>2024</v>
      </c>
      <c r="Z338" s="247">
        <v>2025</v>
      </c>
      <c r="AA338" s="247">
        <v>2023</v>
      </c>
      <c r="AB338" s="247">
        <v>2024</v>
      </c>
      <c r="AC338" s="247">
        <v>2025</v>
      </c>
    </row>
    <row r="339" spans="4:29" ht="13.5" customHeight="1" x14ac:dyDescent="0.25">
      <c r="D339" s="101" t="str">
        <f>D304</f>
        <v>Sorghum</v>
      </c>
      <c r="E339" s="109">
        <f>ProjectedP205_Consumption!K51*OCPMarketShares!N221</f>
        <v>0</v>
      </c>
      <c r="F339" s="109">
        <f>ProjectedP205_Consumption!L51*OCPMarketShares!O221</f>
        <v>0</v>
      </c>
      <c r="G339" s="109">
        <f>ProjectedP205_Consumption!M51*OCPMarketShares!P221</f>
        <v>0</v>
      </c>
      <c r="I339" s="31"/>
      <c r="J339" s="269">
        <f t="shared" ref="J339:J369" si="224">E112</f>
        <v>0.75</v>
      </c>
      <c r="K339" s="269">
        <f t="shared" ref="K339:K369" si="225">F112</f>
        <v>0.5</v>
      </c>
      <c r="L339" s="269">
        <f t="shared" ref="L339:L369" si="226">G112</f>
        <v>0.25</v>
      </c>
      <c r="M339" s="269">
        <f t="shared" ref="M339:M369" si="227">H112</f>
        <v>0.25</v>
      </c>
      <c r="N339" s="269">
        <f t="shared" ref="N339:N369" si="228">I112</f>
        <v>0.5</v>
      </c>
      <c r="O339" s="269">
        <f t="shared" ref="O339:O369" si="229">J112</f>
        <v>0.75</v>
      </c>
      <c r="P339" s="269">
        <f t="shared" ref="P339:P369" si="230">K112</f>
        <v>0</v>
      </c>
      <c r="Q339" s="269">
        <f t="shared" ref="Q339:Q369" si="231">L112</f>
        <v>0</v>
      </c>
      <c r="R339" s="269">
        <f t="shared" ref="R339:R369" si="232">M112</f>
        <v>0</v>
      </c>
      <c r="S339" s="249"/>
      <c r="T339" s="224"/>
      <c r="U339" s="271">
        <f t="shared" ref="U339" si="233">(E339*J339)/$K$11</f>
        <v>0</v>
      </c>
      <c r="V339" s="271">
        <f t="shared" ref="V339" si="234">(F339*K339)/$K$11</f>
        <v>0</v>
      </c>
      <c r="W339" s="271">
        <f t="shared" ref="W339" si="235">(G339*L339)/$K$11</f>
        <v>0</v>
      </c>
      <c r="X339" s="271">
        <f t="shared" ref="X339" si="236">(E339*M339)/$K$12</f>
        <v>0</v>
      </c>
      <c r="Y339" s="271">
        <f t="shared" ref="Y339" si="237">(F339*N339)/$K$12</f>
        <v>0</v>
      </c>
      <c r="Z339" s="271">
        <f t="shared" ref="Z339" si="238">(G339*O339)/$K$12</f>
        <v>0</v>
      </c>
      <c r="AA339" s="271">
        <f t="shared" ref="AA339" si="239">(E339*P339)/$K$13</f>
        <v>0</v>
      </c>
      <c r="AB339" s="271">
        <f t="shared" ref="AB339" si="240">(F339*Q339)/$K$13</f>
        <v>0</v>
      </c>
      <c r="AC339" s="271">
        <f t="shared" ref="AC339" si="241">(G339*R339)/$K$13</f>
        <v>0</v>
      </c>
    </row>
    <row r="340" spans="4:29" ht="13.5" customHeight="1" x14ac:dyDescent="0.25">
      <c r="D340" s="101" t="str">
        <f t="shared" ref="D340:D369" si="242">D305</f>
        <v>Sesame seed</v>
      </c>
      <c r="E340" s="109">
        <f>ProjectedP205_Consumption!K52*OCPMarketShares!N222</f>
        <v>0</v>
      </c>
      <c r="F340" s="109">
        <f>ProjectedP205_Consumption!L52*OCPMarketShares!O222</f>
        <v>4.0965825566408762</v>
      </c>
      <c r="G340" s="109">
        <f>ProjectedP205_Consumption!M52*OCPMarketShares!P222</f>
        <v>4.6227308505071694</v>
      </c>
      <c r="I340" s="31"/>
      <c r="J340" s="269">
        <f t="shared" si="224"/>
        <v>0.75</v>
      </c>
      <c r="K340" s="269">
        <f t="shared" si="225"/>
        <v>0.5</v>
      </c>
      <c r="L340" s="269">
        <f t="shared" si="226"/>
        <v>0.25</v>
      </c>
      <c r="M340" s="269">
        <f t="shared" si="227"/>
        <v>0.25</v>
      </c>
      <c r="N340" s="269">
        <f t="shared" si="228"/>
        <v>0.5</v>
      </c>
      <c r="O340" s="269">
        <f t="shared" si="229"/>
        <v>0.75</v>
      </c>
      <c r="P340" s="269">
        <f t="shared" si="230"/>
        <v>0</v>
      </c>
      <c r="Q340" s="269">
        <f t="shared" si="231"/>
        <v>0</v>
      </c>
      <c r="R340" s="269">
        <f t="shared" si="232"/>
        <v>0</v>
      </c>
      <c r="S340" s="249"/>
      <c r="T340" s="224"/>
      <c r="U340" s="271">
        <f t="shared" ref="U340:U369" si="243">(E340*J340)/$K$11</f>
        <v>0</v>
      </c>
      <c r="V340" s="271">
        <f t="shared" ref="V340:V369" si="244">(F340*K340)/$K$11</f>
        <v>4.4528071267835605</v>
      </c>
      <c r="W340" s="271">
        <f t="shared" ref="W340:W369" si="245">(G340*L340)/$K$11</f>
        <v>2.5123537231017226</v>
      </c>
      <c r="X340" s="271">
        <f t="shared" ref="X340:X369" si="246">(E340*M340)/$K$12</f>
        <v>0</v>
      </c>
      <c r="Y340" s="271">
        <f t="shared" ref="Y340:Y369" si="247">(F340*N340)/$K$12</f>
        <v>4.4528071267835605</v>
      </c>
      <c r="Z340" s="271">
        <f t="shared" ref="Z340:Z369" si="248">(G340*O340)/$K$12</f>
        <v>7.5370611693051668</v>
      </c>
      <c r="AA340" s="271">
        <f t="shared" ref="AA340:AA369" si="249">(E340*P340)/$K$13</f>
        <v>0</v>
      </c>
      <c r="AB340" s="271">
        <f t="shared" ref="AB340:AB369" si="250">(F340*Q340)/$K$13</f>
        <v>0</v>
      </c>
      <c r="AC340" s="271">
        <f t="shared" ref="AC340:AC369" si="251">(G340*R340)/$K$13</f>
        <v>0</v>
      </c>
    </row>
    <row r="341" spans="4:29" ht="13.5" customHeight="1" x14ac:dyDescent="0.25">
      <c r="D341" s="101" t="str">
        <f t="shared" si="242"/>
        <v>Groundnuts, excluding shelled</v>
      </c>
      <c r="E341" s="109">
        <f>ProjectedP205_Consumption!K53*OCPMarketShares!N223</f>
        <v>0</v>
      </c>
      <c r="F341" s="109">
        <f>ProjectedP205_Consumption!L53*OCPMarketShares!O223</f>
        <v>5.020736921126419</v>
      </c>
      <c r="G341" s="109">
        <f>ProjectedP205_Consumption!M53*OCPMarketShares!P223</f>
        <v>5.9992851493640478</v>
      </c>
      <c r="I341" s="31"/>
      <c r="J341" s="269">
        <f t="shared" si="224"/>
        <v>0.75</v>
      </c>
      <c r="K341" s="269">
        <f t="shared" si="225"/>
        <v>0.5</v>
      </c>
      <c r="L341" s="269">
        <f t="shared" si="226"/>
        <v>0.25</v>
      </c>
      <c r="M341" s="269">
        <f t="shared" si="227"/>
        <v>0.25</v>
      </c>
      <c r="N341" s="269">
        <f t="shared" si="228"/>
        <v>0.5</v>
      </c>
      <c r="O341" s="269">
        <f t="shared" si="229"/>
        <v>0.75</v>
      </c>
      <c r="P341" s="269">
        <f t="shared" si="230"/>
        <v>0</v>
      </c>
      <c r="Q341" s="269">
        <f t="shared" si="231"/>
        <v>0</v>
      </c>
      <c r="R341" s="269">
        <f t="shared" si="232"/>
        <v>0</v>
      </c>
      <c r="S341" s="249"/>
      <c r="T341" s="224"/>
      <c r="U341" s="271">
        <f t="shared" si="243"/>
        <v>0</v>
      </c>
      <c r="V341" s="271">
        <f t="shared" si="244"/>
        <v>5.4573227403548028</v>
      </c>
      <c r="W341" s="271">
        <f t="shared" si="245"/>
        <v>3.2604810594369824</v>
      </c>
      <c r="X341" s="271">
        <f t="shared" si="246"/>
        <v>0</v>
      </c>
      <c r="Y341" s="271">
        <f t="shared" si="247"/>
        <v>5.4573227403548028</v>
      </c>
      <c r="Z341" s="271">
        <f t="shared" si="248"/>
        <v>9.7814431783109459</v>
      </c>
      <c r="AA341" s="271">
        <f t="shared" si="249"/>
        <v>0</v>
      </c>
      <c r="AB341" s="271">
        <f t="shared" si="250"/>
        <v>0</v>
      </c>
      <c r="AC341" s="271">
        <f t="shared" si="251"/>
        <v>0</v>
      </c>
    </row>
    <row r="342" spans="4:29" ht="13.5" customHeight="1" x14ac:dyDescent="0.25">
      <c r="D342" s="101" t="str">
        <f t="shared" si="242"/>
        <v>Millet</v>
      </c>
      <c r="E342" s="109">
        <f>ProjectedP205_Consumption!K54*OCPMarketShares!N224</f>
        <v>0</v>
      </c>
      <c r="F342" s="109">
        <f>ProjectedP205_Consumption!L54*OCPMarketShares!O224</f>
        <v>0</v>
      </c>
      <c r="G342" s="109">
        <f>ProjectedP205_Consumption!M54*OCPMarketShares!P224</f>
        <v>0</v>
      </c>
      <c r="I342" s="31"/>
      <c r="J342" s="269">
        <f t="shared" si="224"/>
        <v>0.75</v>
      </c>
      <c r="K342" s="269">
        <f t="shared" si="225"/>
        <v>0.5</v>
      </c>
      <c r="L342" s="269">
        <f t="shared" si="226"/>
        <v>0.25</v>
      </c>
      <c r="M342" s="269">
        <f t="shared" si="227"/>
        <v>0.25</v>
      </c>
      <c r="N342" s="269">
        <f t="shared" si="228"/>
        <v>0.5</v>
      </c>
      <c r="O342" s="269">
        <f t="shared" si="229"/>
        <v>0.75</v>
      </c>
      <c r="P342" s="269">
        <f t="shared" si="230"/>
        <v>0</v>
      </c>
      <c r="Q342" s="269">
        <f t="shared" si="231"/>
        <v>0</v>
      </c>
      <c r="R342" s="269">
        <f t="shared" si="232"/>
        <v>0</v>
      </c>
      <c r="S342" s="249"/>
      <c r="T342" s="224"/>
      <c r="U342" s="271">
        <f t="shared" si="243"/>
        <v>0</v>
      </c>
      <c r="V342" s="271">
        <f t="shared" si="244"/>
        <v>0</v>
      </c>
      <c r="W342" s="271">
        <f t="shared" si="245"/>
        <v>0</v>
      </c>
      <c r="X342" s="271">
        <f t="shared" si="246"/>
        <v>0</v>
      </c>
      <c r="Y342" s="271">
        <f t="shared" si="247"/>
        <v>0</v>
      </c>
      <c r="Z342" s="271">
        <f t="shared" si="248"/>
        <v>0</v>
      </c>
      <c r="AA342" s="271">
        <f t="shared" si="249"/>
        <v>0</v>
      </c>
      <c r="AB342" s="271">
        <f t="shared" si="250"/>
        <v>0</v>
      </c>
      <c r="AC342" s="271">
        <f t="shared" si="251"/>
        <v>0</v>
      </c>
    </row>
    <row r="343" spans="4:29" ht="13.5" customHeight="1" x14ac:dyDescent="0.25">
      <c r="D343" s="101" t="str">
        <f t="shared" si="242"/>
        <v>Sugar cane</v>
      </c>
      <c r="E343" s="109">
        <f>ProjectedP205_Consumption!K55*OCPMarketShares!N225</f>
        <v>0</v>
      </c>
      <c r="F343" s="109">
        <f>ProjectedP205_Consumption!L55*OCPMarketShares!O225</f>
        <v>0.20999659254094791</v>
      </c>
      <c r="G343" s="109">
        <f>ProjectedP205_Consumption!M55*OCPMarketShares!P225</f>
        <v>0.23157455093464732</v>
      </c>
      <c r="I343" s="31"/>
      <c r="J343" s="269">
        <f t="shared" si="224"/>
        <v>0.75</v>
      </c>
      <c r="K343" s="269">
        <f t="shared" si="225"/>
        <v>0.5</v>
      </c>
      <c r="L343" s="269">
        <f t="shared" si="226"/>
        <v>0.25</v>
      </c>
      <c r="M343" s="269">
        <f t="shared" si="227"/>
        <v>0.25</v>
      </c>
      <c r="N343" s="269">
        <f t="shared" si="228"/>
        <v>0.5</v>
      </c>
      <c r="O343" s="269">
        <f t="shared" si="229"/>
        <v>0.75</v>
      </c>
      <c r="P343" s="269">
        <f t="shared" si="230"/>
        <v>0</v>
      </c>
      <c r="Q343" s="269">
        <f t="shared" si="231"/>
        <v>0</v>
      </c>
      <c r="R343" s="269">
        <f t="shared" si="232"/>
        <v>0</v>
      </c>
      <c r="S343" s="249"/>
      <c r="T343" s="224"/>
      <c r="U343" s="271">
        <f t="shared" si="243"/>
        <v>0</v>
      </c>
      <c r="V343" s="271">
        <f t="shared" si="244"/>
        <v>0.22825716580537814</v>
      </c>
      <c r="W343" s="271">
        <f t="shared" si="245"/>
        <v>0.12585573420361268</v>
      </c>
      <c r="X343" s="271">
        <f t="shared" si="246"/>
        <v>0</v>
      </c>
      <c r="Y343" s="271">
        <f t="shared" si="247"/>
        <v>0.22825716580537814</v>
      </c>
      <c r="Z343" s="271">
        <f t="shared" si="248"/>
        <v>0.37756720261083804</v>
      </c>
      <c r="AA343" s="271">
        <f t="shared" si="249"/>
        <v>0</v>
      </c>
      <c r="AB343" s="271">
        <f t="shared" si="250"/>
        <v>0</v>
      </c>
      <c r="AC343" s="271">
        <f t="shared" si="251"/>
        <v>0</v>
      </c>
    </row>
    <row r="344" spans="4:29" ht="13.5" customHeight="1" x14ac:dyDescent="0.25">
      <c r="D344" s="101" t="str">
        <f t="shared" si="242"/>
        <v>Melonseed</v>
      </c>
      <c r="E344" s="109">
        <f>ProjectedP205_Consumption!K56*OCPMarketShares!N226</f>
        <v>0</v>
      </c>
      <c r="F344" s="109">
        <f>ProjectedP205_Consumption!L56*OCPMarketShares!O226</f>
        <v>0.11700497381215264</v>
      </c>
      <c r="G344" s="109">
        <f>ProjectedP205_Consumption!M56*OCPMarketShares!P226</f>
        <v>0.12516675777168498</v>
      </c>
      <c r="I344" s="31"/>
      <c r="J344" s="269">
        <f t="shared" si="224"/>
        <v>0.75</v>
      </c>
      <c r="K344" s="269">
        <f t="shared" si="225"/>
        <v>0.5</v>
      </c>
      <c r="L344" s="269">
        <f t="shared" si="226"/>
        <v>0.25</v>
      </c>
      <c r="M344" s="269">
        <f t="shared" si="227"/>
        <v>0.25</v>
      </c>
      <c r="N344" s="269">
        <f t="shared" si="228"/>
        <v>0.5</v>
      </c>
      <c r="O344" s="269">
        <f t="shared" si="229"/>
        <v>0.75</v>
      </c>
      <c r="P344" s="269">
        <f t="shared" si="230"/>
        <v>0</v>
      </c>
      <c r="Q344" s="269">
        <f t="shared" si="231"/>
        <v>0</v>
      </c>
      <c r="R344" s="269">
        <f t="shared" si="232"/>
        <v>0</v>
      </c>
      <c r="S344" s="249"/>
      <c r="T344" s="224"/>
      <c r="U344" s="271">
        <f t="shared" si="243"/>
        <v>0</v>
      </c>
      <c r="V344" s="271">
        <f t="shared" si="244"/>
        <v>0.12717931936103546</v>
      </c>
      <c r="W344" s="271">
        <f t="shared" si="245"/>
        <v>6.8025411832437488E-2</v>
      </c>
      <c r="X344" s="271">
        <f t="shared" si="246"/>
        <v>0</v>
      </c>
      <c r="Y344" s="271">
        <f t="shared" si="247"/>
        <v>0.12717931936103546</v>
      </c>
      <c r="Z344" s="271">
        <f t="shared" si="248"/>
        <v>0.20407623549731249</v>
      </c>
      <c r="AA344" s="271">
        <f t="shared" si="249"/>
        <v>0</v>
      </c>
      <c r="AB344" s="271">
        <f t="shared" si="250"/>
        <v>0</v>
      </c>
      <c r="AC344" s="271">
        <f t="shared" si="251"/>
        <v>0</v>
      </c>
    </row>
    <row r="345" spans="4:29" ht="13.5" customHeight="1" x14ac:dyDescent="0.25">
      <c r="D345" s="101" t="str">
        <f t="shared" si="242"/>
        <v>Cow peas, dry</v>
      </c>
      <c r="E345" s="109">
        <f>ProjectedP205_Consumption!K57*OCPMarketShares!N227</f>
        <v>0</v>
      </c>
      <c r="F345" s="109">
        <f>ProjectedP205_Consumption!L57*OCPMarketShares!O227</f>
        <v>8.6521992983748075E-2</v>
      </c>
      <c r="G345" s="109">
        <f>ProjectedP205_Consumption!M57*OCPMarketShares!P227</f>
        <v>0.10754736233004461</v>
      </c>
      <c r="I345" s="31"/>
      <c r="J345" s="269">
        <f t="shared" si="224"/>
        <v>0.75</v>
      </c>
      <c r="K345" s="269">
        <f t="shared" si="225"/>
        <v>0.5</v>
      </c>
      <c r="L345" s="269">
        <f t="shared" si="226"/>
        <v>0.25</v>
      </c>
      <c r="M345" s="269">
        <f t="shared" si="227"/>
        <v>0.25</v>
      </c>
      <c r="N345" s="269">
        <f t="shared" si="228"/>
        <v>0.5</v>
      </c>
      <c r="O345" s="269">
        <f t="shared" si="229"/>
        <v>0.75</v>
      </c>
      <c r="P345" s="269">
        <f t="shared" si="230"/>
        <v>0</v>
      </c>
      <c r="Q345" s="269">
        <f t="shared" si="231"/>
        <v>0</v>
      </c>
      <c r="R345" s="269">
        <f t="shared" si="232"/>
        <v>0</v>
      </c>
      <c r="S345" s="249"/>
      <c r="T345" s="224"/>
      <c r="U345" s="271">
        <f t="shared" si="243"/>
        <v>0</v>
      </c>
      <c r="V345" s="271">
        <f t="shared" si="244"/>
        <v>9.4045644547552251E-2</v>
      </c>
      <c r="W345" s="271">
        <f t="shared" si="245"/>
        <v>5.8449653440241632E-2</v>
      </c>
      <c r="X345" s="271">
        <f t="shared" si="246"/>
        <v>0</v>
      </c>
      <c r="Y345" s="271">
        <f t="shared" si="247"/>
        <v>9.4045644547552251E-2</v>
      </c>
      <c r="Z345" s="271">
        <f t="shared" si="248"/>
        <v>0.17534896032072492</v>
      </c>
      <c r="AA345" s="271">
        <f t="shared" si="249"/>
        <v>0</v>
      </c>
      <c r="AB345" s="271">
        <f t="shared" si="250"/>
        <v>0</v>
      </c>
      <c r="AC345" s="271">
        <f t="shared" si="251"/>
        <v>0</v>
      </c>
    </row>
    <row r="346" spans="4:29" ht="13.5" customHeight="1" x14ac:dyDescent="0.25">
      <c r="D346" s="101" t="str">
        <f t="shared" si="242"/>
        <v>Wheat</v>
      </c>
      <c r="E346" s="109">
        <f>ProjectedP205_Consumption!K58*OCPMarketShares!N228</f>
        <v>0</v>
      </c>
      <c r="F346" s="109">
        <f>ProjectedP205_Consumption!L58*OCPMarketShares!O228</f>
        <v>0</v>
      </c>
      <c r="G346" s="109">
        <f>ProjectedP205_Consumption!M58*OCPMarketShares!P228</f>
        <v>0</v>
      </c>
      <c r="I346" s="31"/>
      <c r="J346" s="269">
        <f t="shared" si="224"/>
        <v>0.75</v>
      </c>
      <c r="K346" s="269">
        <f t="shared" si="225"/>
        <v>0.5</v>
      </c>
      <c r="L346" s="269">
        <f t="shared" si="226"/>
        <v>0.25</v>
      </c>
      <c r="M346" s="269">
        <f t="shared" si="227"/>
        <v>0.25</v>
      </c>
      <c r="N346" s="269">
        <f t="shared" si="228"/>
        <v>0.5</v>
      </c>
      <c r="O346" s="269">
        <f t="shared" si="229"/>
        <v>0.75</v>
      </c>
      <c r="P346" s="269">
        <f t="shared" si="230"/>
        <v>0</v>
      </c>
      <c r="Q346" s="269">
        <f t="shared" si="231"/>
        <v>0</v>
      </c>
      <c r="R346" s="269">
        <f t="shared" si="232"/>
        <v>0</v>
      </c>
      <c r="S346" s="249"/>
      <c r="T346" s="224"/>
      <c r="U346" s="271">
        <f t="shared" si="243"/>
        <v>0</v>
      </c>
      <c r="V346" s="271">
        <f t="shared" si="244"/>
        <v>0</v>
      </c>
      <c r="W346" s="271">
        <f t="shared" si="245"/>
        <v>0</v>
      </c>
      <c r="X346" s="271">
        <f t="shared" si="246"/>
        <v>0</v>
      </c>
      <c r="Y346" s="271">
        <f t="shared" si="247"/>
        <v>0</v>
      </c>
      <c r="Z346" s="271">
        <f t="shared" si="248"/>
        <v>0</v>
      </c>
      <c r="AA346" s="271">
        <f t="shared" si="249"/>
        <v>0</v>
      </c>
      <c r="AB346" s="271">
        <f t="shared" si="250"/>
        <v>0</v>
      </c>
      <c r="AC346" s="271">
        <f t="shared" si="251"/>
        <v>0</v>
      </c>
    </row>
    <row r="347" spans="4:29" ht="13.5" customHeight="1" x14ac:dyDescent="0.25">
      <c r="D347" s="101" t="str">
        <f t="shared" si="242"/>
        <v>Onions and shallots, dry (excluding dehydrated)</v>
      </c>
      <c r="E347" s="109">
        <f>ProjectedP205_Consumption!K59*OCPMarketShares!N229</f>
        <v>0</v>
      </c>
      <c r="F347" s="109">
        <f>ProjectedP205_Consumption!L59*OCPMarketShares!O229</f>
        <v>0</v>
      </c>
      <c r="G347" s="109">
        <f>ProjectedP205_Consumption!M59*OCPMarketShares!P229</f>
        <v>0</v>
      </c>
      <c r="I347" s="31"/>
      <c r="J347" s="269">
        <f t="shared" si="224"/>
        <v>0.75</v>
      </c>
      <c r="K347" s="269">
        <f t="shared" si="225"/>
        <v>0.5</v>
      </c>
      <c r="L347" s="269">
        <f t="shared" si="226"/>
        <v>0.25</v>
      </c>
      <c r="M347" s="269">
        <f t="shared" si="227"/>
        <v>0.25</v>
      </c>
      <c r="N347" s="269">
        <f t="shared" si="228"/>
        <v>0.5</v>
      </c>
      <c r="O347" s="269">
        <f t="shared" si="229"/>
        <v>0.75</v>
      </c>
      <c r="P347" s="269">
        <f t="shared" si="230"/>
        <v>0</v>
      </c>
      <c r="Q347" s="269">
        <f t="shared" si="231"/>
        <v>0</v>
      </c>
      <c r="R347" s="269">
        <f t="shared" si="232"/>
        <v>0</v>
      </c>
      <c r="S347" s="249"/>
      <c r="T347" s="224"/>
      <c r="U347" s="271">
        <f t="shared" si="243"/>
        <v>0</v>
      </c>
      <c r="V347" s="271">
        <f t="shared" si="244"/>
        <v>0</v>
      </c>
      <c r="W347" s="271">
        <f t="shared" si="245"/>
        <v>0</v>
      </c>
      <c r="X347" s="271">
        <f t="shared" si="246"/>
        <v>0</v>
      </c>
      <c r="Y347" s="271">
        <f t="shared" si="247"/>
        <v>0</v>
      </c>
      <c r="Z347" s="271">
        <f t="shared" si="248"/>
        <v>0</v>
      </c>
      <c r="AA347" s="271">
        <f t="shared" si="249"/>
        <v>0</v>
      </c>
      <c r="AB347" s="271">
        <f t="shared" si="250"/>
        <v>0</v>
      </c>
      <c r="AC347" s="271">
        <f t="shared" si="251"/>
        <v>0</v>
      </c>
    </row>
    <row r="348" spans="4:29" ht="13.5" customHeight="1" x14ac:dyDescent="0.25">
      <c r="D348" s="101" t="str">
        <f t="shared" si="242"/>
        <v>Bananas</v>
      </c>
      <c r="E348" s="109">
        <f>ProjectedP205_Consumption!K60*OCPMarketShares!N230</f>
        <v>0</v>
      </c>
      <c r="F348" s="109">
        <f>ProjectedP205_Consumption!L60*OCPMarketShares!O230</f>
        <v>0</v>
      </c>
      <c r="G348" s="109">
        <f>ProjectedP205_Consumption!M60*OCPMarketShares!P230</f>
        <v>0</v>
      </c>
      <c r="I348" s="31"/>
      <c r="J348" s="269">
        <f t="shared" si="224"/>
        <v>0.75</v>
      </c>
      <c r="K348" s="269">
        <f t="shared" si="225"/>
        <v>0.5</v>
      </c>
      <c r="L348" s="269">
        <f t="shared" si="226"/>
        <v>0.25</v>
      </c>
      <c r="M348" s="269">
        <f t="shared" si="227"/>
        <v>0.25</v>
      </c>
      <c r="N348" s="269">
        <f t="shared" si="228"/>
        <v>0.5</v>
      </c>
      <c r="O348" s="269">
        <f t="shared" si="229"/>
        <v>0.75</v>
      </c>
      <c r="P348" s="269">
        <f t="shared" si="230"/>
        <v>0</v>
      </c>
      <c r="Q348" s="269">
        <f t="shared" si="231"/>
        <v>0</v>
      </c>
      <c r="R348" s="269">
        <f t="shared" si="232"/>
        <v>0</v>
      </c>
      <c r="S348" s="249"/>
      <c r="T348" s="224"/>
      <c r="U348" s="271">
        <f t="shared" si="243"/>
        <v>0</v>
      </c>
      <c r="V348" s="271">
        <f t="shared" si="244"/>
        <v>0</v>
      </c>
      <c r="W348" s="271">
        <f t="shared" si="245"/>
        <v>0</v>
      </c>
      <c r="X348" s="271">
        <f t="shared" si="246"/>
        <v>0</v>
      </c>
      <c r="Y348" s="271">
        <f t="shared" si="247"/>
        <v>0</v>
      </c>
      <c r="Z348" s="271">
        <f t="shared" si="248"/>
        <v>0</v>
      </c>
      <c r="AA348" s="271">
        <f t="shared" si="249"/>
        <v>0</v>
      </c>
      <c r="AB348" s="271">
        <f t="shared" si="250"/>
        <v>0</v>
      </c>
      <c r="AC348" s="271">
        <f t="shared" si="251"/>
        <v>0</v>
      </c>
    </row>
    <row r="349" spans="4:29" ht="13.5" customHeight="1" x14ac:dyDescent="0.25">
      <c r="D349" s="101" t="str">
        <f t="shared" si="242"/>
        <v>Mangoes, guavas and mangosteens</v>
      </c>
      <c r="E349" s="109">
        <f>ProjectedP205_Consumption!K61*OCPMarketShares!N231</f>
        <v>0</v>
      </c>
      <c r="F349" s="109">
        <f>ProjectedP205_Consumption!L61*OCPMarketShares!O231</f>
        <v>0</v>
      </c>
      <c r="G349" s="109">
        <f>ProjectedP205_Consumption!M61*OCPMarketShares!P231</f>
        <v>0</v>
      </c>
      <c r="I349" s="31"/>
      <c r="J349" s="269">
        <f t="shared" si="224"/>
        <v>0.75</v>
      </c>
      <c r="K349" s="269">
        <f t="shared" si="225"/>
        <v>0.5</v>
      </c>
      <c r="L349" s="269">
        <f t="shared" si="226"/>
        <v>0.25</v>
      </c>
      <c r="M349" s="269">
        <f t="shared" si="227"/>
        <v>0.25</v>
      </c>
      <c r="N349" s="269">
        <f t="shared" si="228"/>
        <v>0.5</v>
      </c>
      <c r="O349" s="269">
        <f t="shared" si="229"/>
        <v>0.75</v>
      </c>
      <c r="P349" s="269">
        <f t="shared" si="230"/>
        <v>0</v>
      </c>
      <c r="Q349" s="269">
        <f t="shared" si="231"/>
        <v>0</v>
      </c>
      <c r="R349" s="269">
        <f t="shared" si="232"/>
        <v>0</v>
      </c>
      <c r="S349" s="249"/>
      <c r="T349" s="224"/>
      <c r="U349" s="271">
        <f t="shared" si="243"/>
        <v>0</v>
      </c>
      <c r="V349" s="271">
        <f t="shared" si="244"/>
        <v>0</v>
      </c>
      <c r="W349" s="271">
        <f t="shared" si="245"/>
        <v>0</v>
      </c>
      <c r="X349" s="271">
        <f t="shared" si="246"/>
        <v>0</v>
      </c>
      <c r="Y349" s="271">
        <f t="shared" si="247"/>
        <v>0</v>
      </c>
      <c r="Z349" s="271">
        <f t="shared" si="248"/>
        <v>0</v>
      </c>
      <c r="AA349" s="271">
        <f t="shared" si="249"/>
        <v>0</v>
      </c>
      <c r="AB349" s="271">
        <f t="shared" si="250"/>
        <v>0</v>
      </c>
      <c r="AC349" s="271">
        <f t="shared" si="251"/>
        <v>0</v>
      </c>
    </row>
    <row r="350" spans="4:29" ht="13.5" customHeight="1" x14ac:dyDescent="0.25">
      <c r="D350" s="101" t="str">
        <f t="shared" si="242"/>
        <v>Cantaloupes and other melons</v>
      </c>
      <c r="E350" s="109">
        <f>ProjectedP205_Consumption!K62*OCPMarketShares!N232</f>
        <v>0</v>
      </c>
      <c r="F350" s="109">
        <f>ProjectedP205_Consumption!L62*OCPMarketShares!O232</f>
        <v>0</v>
      </c>
      <c r="G350" s="109">
        <f>ProjectedP205_Consumption!M62*OCPMarketShares!P232</f>
        <v>0</v>
      </c>
      <c r="I350" s="31"/>
      <c r="J350" s="269">
        <f t="shared" si="224"/>
        <v>0.75</v>
      </c>
      <c r="K350" s="269">
        <f t="shared" si="225"/>
        <v>0.5</v>
      </c>
      <c r="L350" s="269">
        <f t="shared" si="226"/>
        <v>0.25</v>
      </c>
      <c r="M350" s="269">
        <f t="shared" si="227"/>
        <v>0.25</v>
      </c>
      <c r="N350" s="269">
        <f t="shared" si="228"/>
        <v>0.5</v>
      </c>
      <c r="O350" s="269">
        <f t="shared" si="229"/>
        <v>0.75</v>
      </c>
      <c r="P350" s="269">
        <f t="shared" si="230"/>
        <v>0</v>
      </c>
      <c r="Q350" s="269">
        <f t="shared" si="231"/>
        <v>0</v>
      </c>
      <c r="R350" s="269">
        <f t="shared" si="232"/>
        <v>0</v>
      </c>
      <c r="S350" s="249"/>
      <c r="T350" s="224"/>
      <c r="U350" s="271">
        <f t="shared" si="243"/>
        <v>0</v>
      </c>
      <c r="V350" s="271">
        <f t="shared" si="244"/>
        <v>0</v>
      </c>
      <c r="W350" s="271">
        <f t="shared" si="245"/>
        <v>0</v>
      </c>
      <c r="X350" s="271">
        <f t="shared" si="246"/>
        <v>0</v>
      </c>
      <c r="Y350" s="271">
        <f t="shared" si="247"/>
        <v>0</v>
      </c>
      <c r="Z350" s="271">
        <f t="shared" si="248"/>
        <v>0</v>
      </c>
      <c r="AA350" s="271">
        <f t="shared" si="249"/>
        <v>0</v>
      </c>
      <c r="AB350" s="271">
        <f t="shared" si="250"/>
        <v>0</v>
      </c>
      <c r="AC350" s="271">
        <f t="shared" si="251"/>
        <v>0</v>
      </c>
    </row>
    <row r="351" spans="4:29" ht="13.5" customHeight="1" x14ac:dyDescent="0.25">
      <c r="D351" s="101" t="str">
        <f t="shared" si="242"/>
        <v>Sunflower seed</v>
      </c>
      <c r="E351" s="109">
        <f>ProjectedP205_Consumption!K63*OCPMarketShares!N233</f>
        <v>0</v>
      </c>
      <c r="F351" s="109">
        <f>ProjectedP205_Consumption!L63*OCPMarketShares!O233</f>
        <v>0</v>
      </c>
      <c r="G351" s="109">
        <f>ProjectedP205_Consumption!M63*OCPMarketShares!P233</f>
        <v>0</v>
      </c>
      <c r="I351" s="31"/>
      <c r="J351" s="269">
        <f t="shared" si="224"/>
        <v>0.75</v>
      </c>
      <c r="K351" s="269">
        <f t="shared" si="225"/>
        <v>0.5</v>
      </c>
      <c r="L351" s="269">
        <f t="shared" si="226"/>
        <v>0.25</v>
      </c>
      <c r="M351" s="269">
        <f t="shared" si="227"/>
        <v>0.25</v>
      </c>
      <c r="N351" s="269">
        <f t="shared" si="228"/>
        <v>0.5</v>
      </c>
      <c r="O351" s="269">
        <f t="shared" si="229"/>
        <v>0.75</v>
      </c>
      <c r="P351" s="269">
        <f t="shared" si="230"/>
        <v>0</v>
      </c>
      <c r="Q351" s="269">
        <f t="shared" si="231"/>
        <v>0</v>
      </c>
      <c r="R351" s="269">
        <f t="shared" si="232"/>
        <v>0</v>
      </c>
      <c r="S351" s="249"/>
      <c r="T351" s="224"/>
      <c r="U351" s="271">
        <f t="shared" si="243"/>
        <v>0</v>
      </c>
      <c r="V351" s="271">
        <f t="shared" si="244"/>
        <v>0</v>
      </c>
      <c r="W351" s="271">
        <f t="shared" si="245"/>
        <v>0</v>
      </c>
      <c r="X351" s="271">
        <f t="shared" si="246"/>
        <v>0</v>
      </c>
      <c r="Y351" s="271">
        <f t="shared" si="247"/>
        <v>0</v>
      </c>
      <c r="Z351" s="271">
        <f t="shared" si="248"/>
        <v>0</v>
      </c>
      <c r="AA351" s="271">
        <f t="shared" si="249"/>
        <v>0</v>
      </c>
      <c r="AB351" s="271">
        <f t="shared" si="250"/>
        <v>0</v>
      </c>
      <c r="AC351" s="271">
        <f t="shared" si="251"/>
        <v>0</v>
      </c>
    </row>
    <row r="352" spans="4:29" ht="13.5" customHeight="1" x14ac:dyDescent="0.25">
      <c r="D352" s="101" t="str">
        <f t="shared" si="242"/>
        <v>Cauliflowers and broccoli</v>
      </c>
      <c r="E352" s="109">
        <f>ProjectedP205_Consumption!K64*OCPMarketShares!N234</f>
        <v>0</v>
      </c>
      <c r="F352" s="109">
        <f>ProjectedP205_Consumption!L64*OCPMarketShares!O234</f>
        <v>0</v>
      </c>
      <c r="G352" s="109">
        <f>ProjectedP205_Consumption!M64*OCPMarketShares!P234</f>
        <v>0</v>
      </c>
      <c r="I352" s="31"/>
      <c r="J352" s="269">
        <f t="shared" si="224"/>
        <v>0.75</v>
      </c>
      <c r="K352" s="269">
        <f t="shared" si="225"/>
        <v>0.5</v>
      </c>
      <c r="L352" s="269">
        <f t="shared" si="226"/>
        <v>0.25</v>
      </c>
      <c r="M352" s="269">
        <f t="shared" si="227"/>
        <v>0.25</v>
      </c>
      <c r="N352" s="269">
        <f t="shared" si="228"/>
        <v>0.5</v>
      </c>
      <c r="O352" s="269">
        <f t="shared" si="229"/>
        <v>0.75</v>
      </c>
      <c r="P352" s="269">
        <f t="shared" si="230"/>
        <v>0</v>
      </c>
      <c r="Q352" s="269">
        <f t="shared" si="231"/>
        <v>0</v>
      </c>
      <c r="R352" s="269">
        <f t="shared" si="232"/>
        <v>0</v>
      </c>
      <c r="S352" s="249"/>
      <c r="T352" s="224"/>
      <c r="U352" s="271">
        <f t="shared" si="243"/>
        <v>0</v>
      </c>
      <c r="V352" s="271">
        <f t="shared" si="244"/>
        <v>0</v>
      </c>
      <c r="W352" s="271">
        <f t="shared" si="245"/>
        <v>0</v>
      </c>
      <c r="X352" s="271">
        <f t="shared" si="246"/>
        <v>0</v>
      </c>
      <c r="Y352" s="271">
        <f t="shared" si="247"/>
        <v>0</v>
      </c>
      <c r="Z352" s="271">
        <f t="shared" si="248"/>
        <v>0</v>
      </c>
      <c r="AA352" s="271">
        <f t="shared" si="249"/>
        <v>0</v>
      </c>
      <c r="AB352" s="271">
        <f t="shared" si="250"/>
        <v>0</v>
      </c>
      <c r="AC352" s="271">
        <f t="shared" si="251"/>
        <v>0</v>
      </c>
    </row>
    <row r="353" spans="4:29" ht="13.5" customHeight="1" x14ac:dyDescent="0.25">
      <c r="D353" s="101" t="str">
        <f t="shared" si="242"/>
        <v>Seed cotton, unginned</v>
      </c>
      <c r="E353" s="109">
        <f>ProjectedP205_Consumption!K65*OCPMarketShares!N235</f>
        <v>0</v>
      </c>
      <c r="F353" s="109">
        <f>ProjectedP205_Consumption!L65*OCPMarketShares!O235</f>
        <v>0.16639839699607126</v>
      </c>
      <c r="G353" s="109">
        <f>ProjectedP205_Consumption!M65*OCPMarketShares!P235</f>
        <v>0.18676819287243723</v>
      </c>
      <c r="I353" s="31"/>
      <c r="J353" s="269">
        <f t="shared" si="224"/>
        <v>0.75</v>
      </c>
      <c r="K353" s="269">
        <f t="shared" si="225"/>
        <v>0.5</v>
      </c>
      <c r="L353" s="269">
        <f t="shared" si="226"/>
        <v>0.25</v>
      </c>
      <c r="M353" s="269">
        <f t="shared" si="227"/>
        <v>0.25</v>
      </c>
      <c r="N353" s="269">
        <f t="shared" si="228"/>
        <v>0.5</v>
      </c>
      <c r="O353" s="269">
        <f t="shared" si="229"/>
        <v>0.75</v>
      </c>
      <c r="P353" s="269">
        <f t="shared" si="230"/>
        <v>0</v>
      </c>
      <c r="Q353" s="269">
        <f t="shared" si="231"/>
        <v>0</v>
      </c>
      <c r="R353" s="269">
        <f t="shared" si="232"/>
        <v>0</v>
      </c>
      <c r="S353" s="249"/>
      <c r="T353" s="224"/>
      <c r="U353" s="271">
        <f t="shared" si="243"/>
        <v>0</v>
      </c>
      <c r="V353" s="271">
        <f t="shared" si="244"/>
        <v>0.18086782282181657</v>
      </c>
      <c r="W353" s="271">
        <f t="shared" si="245"/>
        <v>0.10150445264806371</v>
      </c>
      <c r="X353" s="271">
        <f t="shared" si="246"/>
        <v>0</v>
      </c>
      <c r="Y353" s="271">
        <f t="shared" si="247"/>
        <v>0.18086782282181657</v>
      </c>
      <c r="Z353" s="271">
        <f t="shared" si="248"/>
        <v>0.30451335794419115</v>
      </c>
      <c r="AA353" s="271">
        <f t="shared" si="249"/>
        <v>0</v>
      </c>
      <c r="AB353" s="271">
        <f t="shared" si="250"/>
        <v>0</v>
      </c>
      <c r="AC353" s="271">
        <f t="shared" si="251"/>
        <v>0</v>
      </c>
    </row>
    <row r="354" spans="4:29" ht="13.5" customHeight="1" x14ac:dyDescent="0.25">
      <c r="D354" s="101" t="str">
        <f t="shared" si="242"/>
        <v>Cucumbers and gherkins</v>
      </c>
      <c r="E354" s="109">
        <f>ProjectedP205_Consumption!K66*OCPMarketShares!N236</f>
        <v>0</v>
      </c>
      <c r="F354" s="109">
        <f>ProjectedP205_Consumption!L66*OCPMarketShares!O236</f>
        <v>0</v>
      </c>
      <c r="G354" s="109">
        <f>ProjectedP205_Consumption!M66*OCPMarketShares!P236</f>
        <v>0</v>
      </c>
      <c r="I354" s="31"/>
      <c r="J354" s="269">
        <f t="shared" si="224"/>
        <v>0.75</v>
      </c>
      <c r="K354" s="269">
        <f t="shared" si="225"/>
        <v>0.5</v>
      </c>
      <c r="L354" s="269">
        <f t="shared" si="226"/>
        <v>0.25</v>
      </c>
      <c r="M354" s="269">
        <f t="shared" si="227"/>
        <v>0.25</v>
      </c>
      <c r="N354" s="269">
        <f t="shared" si="228"/>
        <v>0.5</v>
      </c>
      <c r="O354" s="269">
        <f t="shared" si="229"/>
        <v>0.75</v>
      </c>
      <c r="P354" s="269">
        <f t="shared" si="230"/>
        <v>0</v>
      </c>
      <c r="Q354" s="269">
        <f t="shared" si="231"/>
        <v>0</v>
      </c>
      <c r="R354" s="269">
        <f t="shared" si="232"/>
        <v>0</v>
      </c>
      <c r="S354" s="249"/>
      <c r="T354" s="224"/>
      <c r="U354" s="271">
        <f t="shared" si="243"/>
        <v>0</v>
      </c>
      <c r="V354" s="271">
        <f t="shared" si="244"/>
        <v>0</v>
      </c>
      <c r="W354" s="271">
        <f t="shared" si="245"/>
        <v>0</v>
      </c>
      <c r="X354" s="271">
        <f t="shared" si="246"/>
        <v>0</v>
      </c>
      <c r="Y354" s="271">
        <f t="shared" si="247"/>
        <v>0</v>
      </c>
      <c r="Z354" s="271">
        <f t="shared" si="248"/>
        <v>0</v>
      </c>
      <c r="AA354" s="271">
        <f t="shared" si="249"/>
        <v>0</v>
      </c>
      <c r="AB354" s="271">
        <f t="shared" si="250"/>
        <v>0</v>
      </c>
      <c r="AC354" s="271">
        <f t="shared" si="251"/>
        <v>0</v>
      </c>
    </row>
    <row r="355" spans="4:29" ht="13.5" customHeight="1" x14ac:dyDescent="0.25">
      <c r="D355" s="101" t="str">
        <f t="shared" si="242"/>
        <v>Tomatoes</v>
      </c>
      <c r="E355" s="109">
        <f>ProjectedP205_Consumption!K67*OCPMarketShares!N237</f>
        <v>0</v>
      </c>
      <c r="F355" s="109">
        <f>ProjectedP205_Consumption!L67*OCPMarketShares!O237</f>
        <v>0</v>
      </c>
      <c r="G355" s="109">
        <f>ProjectedP205_Consumption!M67*OCPMarketShares!P237</f>
        <v>0</v>
      </c>
      <c r="I355" s="31"/>
      <c r="J355" s="269">
        <f t="shared" si="224"/>
        <v>0.75</v>
      </c>
      <c r="K355" s="269">
        <f t="shared" si="225"/>
        <v>0.5</v>
      </c>
      <c r="L355" s="269">
        <f t="shared" si="226"/>
        <v>0.25</v>
      </c>
      <c r="M355" s="269">
        <f t="shared" si="227"/>
        <v>0.25</v>
      </c>
      <c r="N355" s="269">
        <f t="shared" si="228"/>
        <v>0.5</v>
      </c>
      <c r="O355" s="269">
        <f t="shared" si="229"/>
        <v>0.75</v>
      </c>
      <c r="P355" s="269">
        <f t="shared" si="230"/>
        <v>0</v>
      </c>
      <c r="Q355" s="269">
        <f t="shared" si="231"/>
        <v>0</v>
      </c>
      <c r="R355" s="269">
        <f t="shared" si="232"/>
        <v>0</v>
      </c>
      <c r="S355" s="249"/>
      <c r="T355" s="224"/>
      <c r="U355" s="271">
        <f t="shared" si="243"/>
        <v>0</v>
      </c>
      <c r="V355" s="271">
        <f t="shared" si="244"/>
        <v>0</v>
      </c>
      <c r="W355" s="271">
        <f t="shared" si="245"/>
        <v>0</v>
      </c>
      <c r="X355" s="271">
        <f t="shared" si="246"/>
        <v>0</v>
      </c>
      <c r="Y355" s="271">
        <f t="shared" si="247"/>
        <v>0</v>
      </c>
      <c r="Z355" s="271">
        <f t="shared" si="248"/>
        <v>0</v>
      </c>
      <c r="AA355" s="271">
        <f t="shared" si="249"/>
        <v>0</v>
      </c>
      <c r="AB355" s="271">
        <f t="shared" si="250"/>
        <v>0</v>
      </c>
      <c r="AC355" s="271">
        <f t="shared" si="251"/>
        <v>0</v>
      </c>
    </row>
    <row r="356" spans="4:29" ht="13.5" customHeight="1" x14ac:dyDescent="0.25">
      <c r="D356" s="101" t="str">
        <f t="shared" si="242"/>
        <v>Potatoes</v>
      </c>
      <c r="E356" s="109">
        <f>ProjectedP205_Consumption!K68*OCPMarketShares!N238</f>
        <v>0</v>
      </c>
      <c r="F356" s="109">
        <f>ProjectedP205_Consumption!L68*OCPMarketShares!O238</f>
        <v>0</v>
      </c>
      <c r="G356" s="109">
        <f>ProjectedP205_Consumption!M68*OCPMarketShares!P238</f>
        <v>0</v>
      </c>
      <c r="I356" s="31"/>
      <c r="J356" s="269">
        <f t="shared" si="224"/>
        <v>0.75</v>
      </c>
      <c r="K356" s="269">
        <f t="shared" si="225"/>
        <v>0.5</v>
      </c>
      <c r="L356" s="269">
        <f t="shared" si="226"/>
        <v>0.25</v>
      </c>
      <c r="M356" s="269">
        <f t="shared" si="227"/>
        <v>0.25</v>
      </c>
      <c r="N356" s="269">
        <f t="shared" si="228"/>
        <v>0.5</v>
      </c>
      <c r="O356" s="269">
        <f t="shared" si="229"/>
        <v>0.75</v>
      </c>
      <c r="P356" s="269">
        <f t="shared" si="230"/>
        <v>0</v>
      </c>
      <c r="Q356" s="269">
        <f t="shared" si="231"/>
        <v>0</v>
      </c>
      <c r="R356" s="269">
        <f t="shared" si="232"/>
        <v>0</v>
      </c>
      <c r="S356" s="249"/>
      <c r="T356" s="224"/>
      <c r="U356" s="271">
        <f t="shared" si="243"/>
        <v>0</v>
      </c>
      <c r="V356" s="271">
        <f t="shared" si="244"/>
        <v>0</v>
      </c>
      <c r="W356" s="271">
        <f t="shared" si="245"/>
        <v>0</v>
      </c>
      <c r="X356" s="271">
        <f t="shared" si="246"/>
        <v>0</v>
      </c>
      <c r="Y356" s="271">
        <f t="shared" si="247"/>
        <v>0</v>
      </c>
      <c r="Z356" s="271">
        <f t="shared" si="248"/>
        <v>0</v>
      </c>
      <c r="AA356" s="271">
        <f t="shared" si="249"/>
        <v>0</v>
      </c>
      <c r="AB356" s="271">
        <f t="shared" si="250"/>
        <v>0</v>
      </c>
      <c r="AC356" s="271">
        <f t="shared" si="251"/>
        <v>0</v>
      </c>
    </row>
    <row r="357" spans="4:29" ht="13.5" customHeight="1" x14ac:dyDescent="0.25">
      <c r="D357" s="101" t="str">
        <f t="shared" si="242"/>
        <v>Pumpkins, squash and gourds</v>
      </c>
      <c r="E357" s="109">
        <f>ProjectedP205_Consumption!K69*OCPMarketShares!N239</f>
        <v>0</v>
      </c>
      <c r="F357" s="109">
        <f>ProjectedP205_Consumption!L69*OCPMarketShares!O239</f>
        <v>0</v>
      </c>
      <c r="G357" s="109">
        <f>ProjectedP205_Consumption!M69*OCPMarketShares!P239</f>
        <v>0</v>
      </c>
      <c r="I357" s="31"/>
      <c r="J357" s="269">
        <f t="shared" si="224"/>
        <v>0.75</v>
      </c>
      <c r="K357" s="269">
        <f t="shared" si="225"/>
        <v>0.5</v>
      </c>
      <c r="L357" s="269">
        <f t="shared" si="226"/>
        <v>0.25</v>
      </c>
      <c r="M357" s="269">
        <f t="shared" si="227"/>
        <v>0.25</v>
      </c>
      <c r="N357" s="269">
        <f t="shared" si="228"/>
        <v>0.5</v>
      </c>
      <c r="O357" s="269">
        <f t="shared" si="229"/>
        <v>0.75</v>
      </c>
      <c r="P357" s="269">
        <f t="shared" si="230"/>
        <v>0</v>
      </c>
      <c r="Q357" s="269">
        <f t="shared" si="231"/>
        <v>0</v>
      </c>
      <c r="R357" s="269">
        <f t="shared" si="232"/>
        <v>0</v>
      </c>
      <c r="S357" s="249"/>
      <c r="T357" s="221"/>
      <c r="U357" s="271">
        <f t="shared" si="243"/>
        <v>0</v>
      </c>
      <c r="V357" s="271">
        <f t="shared" si="244"/>
        <v>0</v>
      </c>
      <c r="W357" s="271">
        <f t="shared" si="245"/>
        <v>0</v>
      </c>
      <c r="X357" s="271">
        <f t="shared" si="246"/>
        <v>0</v>
      </c>
      <c r="Y357" s="271">
        <f t="shared" si="247"/>
        <v>0</v>
      </c>
      <c r="Z357" s="271">
        <f t="shared" si="248"/>
        <v>0</v>
      </c>
      <c r="AA357" s="271">
        <f t="shared" si="249"/>
        <v>0</v>
      </c>
      <c r="AB357" s="271">
        <f t="shared" si="250"/>
        <v>0</v>
      </c>
      <c r="AC357" s="271">
        <f t="shared" si="251"/>
        <v>0</v>
      </c>
    </row>
    <row r="358" spans="4:29" ht="13.5" customHeight="1" x14ac:dyDescent="0.25">
      <c r="D358" s="101" t="str">
        <f t="shared" si="242"/>
        <v>Dates</v>
      </c>
      <c r="E358" s="109">
        <f>ProjectedP205_Consumption!K70*OCPMarketShares!N240</f>
        <v>0</v>
      </c>
      <c r="F358" s="109">
        <f>ProjectedP205_Consumption!L70*OCPMarketShares!O240</f>
        <v>0</v>
      </c>
      <c r="G358" s="109">
        <f>ProjectedP205_Consumption!M70*OCPMarketShares!P240</f>
        <v>0</v>
      </c>
      <c r="I358" s="31"/>
      <c r="J358" s="269">
        <f t="shared" si="224"/>
        <v>0.75</v>
      </c>
      <c r="K358" s="269">
        <f t="shared" si="225"/>
        <v>0.5</v>
      </c>
      <c r="L358" s="269">
        <f t="shared" si="226"/>
        <v>0.25</v>
      </c>
      <c r="M358" s="269">
        <f t="shared" si="227"/>
        <v>0.25</v>
      </c>
      <c r="N358" s="269">
        <f t="shared" si="228"/>
        <v>0.5</v>
      </c>
      <c r="O358" s="269">
        <f t="shared" si="229"/>
        <v>0.75</v>
      </c>
      <c r="P358" s="269">
        <f t="shared" si="230"/>
        <v>0</v>
      </c>
      <c r="Q358" s="269">
        <f t="shared" si="231"/>
        <v>0</v>
      </c>
      <c r="R358" s="269">
        <f t="shared" si="232"/>
        <v>0</v>
      </c>
      <c r="S358" s="249"/>
      <c r="T358" s="221"/>
      <c r="U358" s="271">
        <f t="shared" si="243"/>
        <v>0</v>
      </c>
      <c r="V358" s="271">
        <f t="shared" si="244"/>
        <v>0</v>
      </c>
      <c r="W358" s="271">
        <f t="shared" si="245"/>
        <v>0</v>
      </c>
      <c r="X358" s="271">
        <f t="shared" si="246"/>
        <v>0</v>
      </c>
      <c r="Y358" s="271">
        <f t="shared" si="247"/>
        <v>0</v>
      </c>
      <c r="Z358" s="271">
        <f t="shared" si="248"/>
        <v>0</v>
      </c>
      <c r="AA358" s="271">
        <f t="shared" si="249"/>
        <v>0</v>
      </c>
      <c r="AB358" s="271">
        <f t="shared" si="250"/>
        <v>0</v>
      </c>
      <c r="AC358" s="271">
        <f t="shared" si="251"/>
        <v>0</v>
      </c>
    </row>
    <row r="359" spans="4:29" ht="13.5" customHeight="1" x14ac:dyDescent="0.25">
      <c r="D359" s="101" t="str">
        <f t="shared" si="242"/>
        <v>Pomelos and grapefruits</v>
      </c>
      <c r="E359" s="109">
        <f>ProjectedP205_Consumption!K71*OCPMarketShares!N241</f>
        <v>0</v>
      </c>
      <c r="F359" s="109">
        <f>ProjectedP205_Consumption!L71*OCPMarketShares!O241</f>
        <v>0</v>
      </c>
      <c r="G359" s="109">
        <f>ProjectedP205_Consumption!M71*OCPMarketShares!P241</f>
        <v>0</v>
      </c>
      <c r="I359" s="31"/>
      <c r="J359" s="269">
        <f t="shared" si="224"/>
        <v>0.75</v>
      </c>
      <c r="K359" s="269">
        <f t="shared" si="225"/>
        <v>0.5</v>
      </c>
      <c r="L359" s="269">
        <f t="shared" si="226"/>
        <v>0.25</v>
      </c>
      <c r="M359" s="269">
        <f t="shared" si="227"/>
        <v>0.25</v>
      </c>
      <c r="N359" s="269">
        <f t="shared" si="228"/>
        <v>0.5</v>
      </c>
      <c r="O359" s="269">
        <f t="shared" si="229"/>
        <v>0.75</v>
      </c>
      <c r="P359" s="269">
        <f t="shared" si="230"/>
        <v>0</v>
      </c>
      <c r="Q359" s="269">
        <f t="shared" si="231"/>
        <v>0</v>
      </c>
      <c r="R359" s="269">
        <f t="shared" si="232"/>
        <v>0</v>
      </c>
      <c r="S359" s="249"/>
      <c r="T359" s="221"/>
      <c r="U359" s="271">
        <f t="shared" si="243"/>
        <v>0</v>
      </c>
      <c r="V359" s="271">
        <f t="shared" si="244"/>
        <v>0</v>
      </c>
      <c r="W359" s="271">
        <f t="shared" si="245"/>
        <v>0</v>
      </c>
      <c r="X359" s="271">
        <f t="shared" si="246"/>
        <v>0</v>
      </c>
      <c r="Y359" s="271">
        <f t="shared" si="247"/>
        <v>0</v>
      </c>
      <c r="Z359" s="271">
        <f t="shared" si="248"/>
        <v>0</v>
      </c>
      <c r="AA359" s="271">
        <f t="shared" si="249"/>
        <v>0</v>
      </c>
      <c r="AB359" s="271">
        <f t="shared" si="250"/>
        <v>0</v>
      </c>
      <c r="AC359" s="271">
        <f t="shared" si="251"/>
        <v>0</v>
      </c>
    </row>
    <row r="360" spans="4:29" ht="13.5" customHeight="1" x14ac:dyDescent="0.25">
      <c r="D360" s="101" t="str">
        <f t="shared" si="242"/>
        <v>Okra</v>
      </c>
      <c r="E360" s="109">
        <f>ProjectedP205_Consumption!K72*OCPMarketShares!N242</f>
        <v>0</v>
      </c>
      <c r="F360" s="109">
        <f>ProjectedP205_Consumption!L72*OCPMarketShares!O242</f>
        <v>0</v>
      </c>
      <c r="G360" s="109">
        <f>ProjectedP205_Consumption!M72*OCPMarketShares!P242</f>
        <v>0</v>
      </c>
      <c r="I360" s="31"/>
      <c r="J360" s="269">
        <f t="shared" si="224"/>
        <v>0.75</v>
      </c>
      <c r="K360" s="269">
        <f t="shared" si="225"/>
        <v>0.5</v>
      </c>
      <c r="L360" s="269">
        <f t="shared" si="226"/>
        <v>0.25</v>
      </c>
      <c r="M360" s="269">
        <f t="shared" si="227"/>
        <v>0.25</v>
      </c>
      <c r="N360" s="269">
        <f t="shared" si="228"/>
        <v>0.5</v>
      </c>
      <c r="O360" s="269">
        <f t="shared" si="229"/>
        <v>0.75</v>
      </c>
      <c r="P360" s="269">
        <f t="shared" si="230"/>
        <v>0</v>
      </c>
      <c r="Q360" s="269">
        <f t="shared" si="231"/>
        <v>0</v>
      </c>
      <c r="R360" s="269">
        <f t="shared" si="232"/>
        <v>0</v>
      </c>
      <c r="S360" s="249"/>
      <c r="T360" s="221"/>
      <c r="U360" s="271">
        <f t="shared" si="243"/>
        <v>0</v>
      </c>
      <c r="V360" s="271">
        <f t="shared" si="244"/>
        <v>0</v>
      </c>
      <c r="W360" s="271">
        <f t="shared" si="245"/>
        <v>0</v>
      </c>
      <c r="X360" s="271">
        <f t="shared" si="246"/>
        <v>0</v>
      </c>
      <c r="Y360" s="271">
        <f t="shared" si="247"/>
        <v>0</v>
      </c>
      <c r="Z360" s="271">
        <f t="shared" si="248"/>
        <v>0</v>
      </c>
      <c r="AA360" s="271">
        <f t="shared" si="249"/>
        <v>0</v>
      </c>
      <c r="AB360" s="271">
        <f t="shared" si="250"/>
        <v>0</v>
      </c>
      <c r="AC360" s="271">
        <f t="shared" si="251"/>
        <v>0</v>
      </c>
    </row>
    <row r="361" spans="4:29" ht="13.5" customHeight="1" x14ac:dyDescent="0.25">
      <c r="D361" s="101" t="str">
        <f t="shared" si="242"/>
        <v>Lemons and limes</v>
      </c>
      <c r="E361" s="109">
        <f>ProjectedP205_Consumption!K73*OCPMarketShares!N243</f>
        <v>0</v>
      </c>
      <c r="F361" s="109">
        <f>ProjectedP205_Consumption!L73*OCPMarketShares!O243</f>
        <v>0</v>
      </c>
      <c r="G361" s="109">
        <f>ProjectedP205_Consumption!M73*OCPMarketShares!P243</f>
        <v>0</v>
      </c>
      <c r="I361" s="31"/>
      <c r="J361" s="269">
        <f t="shared" si="224"/>
        <v>0.75</v>
      </c>
      <c r="K361" s="269">
        <f t="shared" si="225"/>
        <v>0.5</v>
      </c>
      <c r="L361" s="269">
        <f t="shared" si="226"/>
        <v>0.25</v>
      </c>
      <c r="M361" s="269">
        <f t="shared" si="227"/>
        <v>0.25</v>
      </c>
      <c r="N361" s="269">
        <f t="shared" si="228"/>
        <v>0.5</v>
      </c>
      <c r="O361" s="269">
        <f t="shared" si="229"/>
        <v>0.75</v>
      </c>
      <c r="P361" s="269">
        <f t="shared" si="230"/>
        <v>0</v>
      </c>
      <c r="Q361" s="269">
        <f t="shared" si="231"/>
        <v>0</v>
      </c>
      <c r="R361" s="269">
        <f t="shared" si="232"/>
        <v>0</v>
      </c>
      <c r="S361" s="249"/>
      <c r="T361" s="221"/>
      <c r="U361" s="271">
        <f t="shared" si="243"/>
        <v>0</v>
      </c>
      <c r="V361" s="271">
        <f t="shared" si="244"/>
        <v>0</v>
      </c>
      <c r="W361" s="271">
        <f t="shared" si="245"/>
        <v>0</v>
      </c>
      <c r="X361" s="271">
        <f t="shared" si="246"/>
        <v>0</v>
      </c>
      <c r="Y361" s="271">
        <f t="shared" si="247"/>
        <v>0</v>
      </c>
      <c r="Z361" s="271">
        <f t="shared" si="248"/>
        <v>0</v>
      </c>
      <c r="AA361" s="271">
        <f t="shared" si="249"/>
        <v>0</v>
      </c>
      <c r="AB361" s="271">
        <f t="shared" si="250"/>
        <v>0</v>
      </c>
      <c r="AC361" s="271">
        <f t="shared" si="251"/>
        <v>0</v>
      </c>
    </row>
    <row r="362" spans="4:29" ht="13.5" customHeight="1" x14ac:dyDescent="0.25">
      <c r="D362" s="101" t="str">
        <f t="shared" si="242"/>
        <v>Green garlic</v>
      </c>
      <c r="E362" s="109">
        <f>ProjectedP205_Consumption!K74*OCPMarketShares!N244</f>
        <v>0</v>
      </c>
      <c r="F362" s="109">
        <f>ProjectedP205_Consumption!L74*OCPMarketShares!O244</f>
        <v>0</v>
      </c>
      <c r="G362" s="109">
        <f>ProjectedP205_Consumption!M74*OCPMarketShares!P244</f>
        <v>0</v>
      </c>
      <c r="I362" s="31"/>
      <c r="J362" s="269">
        <f t="shared" si="224"/>
        <v>0.75</v>
      </c>
      <c r="K362" s="269">
        <f t="shared" si="225"/>
        <v>0.5</v>
      </c>
      <c r="L362" s="269">
        <f t="shared" si="226"/>
        <v>0.25</v>
      </c>
      <c r="M362" s="269">
        <f t="shared" si="227"/>
        <v>0.25</v>
      </c>
      <c r="N362" s="269">
        <f t="shared" si="228"/>
        <v>0.5</v>
      </c>
      <c r="O362" s="269">
        <f t="shared" si="229"/>
        <v>0.75</v>
      </c>
      <c r="P362" s="269">
        <f t="shared" si="230"/>
        <v>0</v>
      </c>
      <c r="Q362" s="269">
        <f t="shared" si="231"/>
        <v>0</v>
      </c>
      <c r="R362" s="269">
        <f t="shared" si="232"/>
        <v>0</v>
      </c>
      <c r="S362" s="249"/>
      <c r="T362" s="221"/>
      <c r="U362" s="271">
        <f t="shared" si="243"/>
        <v>0</v>
      </c>
      <c r="V362" s="271">
        <f t="shared" si="244"/>
        <v>0</v>
      </c>
      <c r="W362" s="271">
        <f t="shared" si="245"/>
        <v>0</v>
      </c>
      <c r="X362" s="271">
        <f t="shared" si="246"/>
        <v>0</v>
      </c>
      <c r="Y362" s="271">
        <f t="shared" si="247"/>
        <v>0</v>
      </c>
      <c r="Z362" s="271">
        <f t="shared" si="248"/>
        <v>0</v>
      </c>
      <c r="AA362" s="271">
        <f t="shared" si="249"/>
        <v>0</v>
      </c>
      <c r="AB362" s="271">
        <f t="shared" si="250"/>
        <v>0</v>
      </c>
      <c r="AC362" s="271">
        <f t="shared" si="251"/>
        <v>0</v>
      </c>
    </row>
    <row r="363" spans="4:29" ht="13.5" customHeight="1" x14ac:dyDescent="0.25">
      <c r="D363" s="101" t="str">
        <f t="shared" si="242"/>
        <v>Sweet potatoes</v>
      </c>
      <c r="E363" s="109">
        <f>ProjectedP205_Consumption!K75*OCPMarketShares!N245</f>
        <v>0</v>
      </c>
      <c r="F363" s="109">
        <f>ProjectedP205_Consumption!L75*OCPMarketShares!O245</f>
        <v>0</v>
      </c>
      <c r="G363" s="109">
        <f>ProjectedP205_Consumption!M75*OCPMarketShares!P245</f>
        <v>0</v>
      </c>
      <c r="I363" s="31"/>
      <c r="J363" s="269">
        <f t="shared" si="224"/>
        <v>0.75</v>
      </c>
      <c r="K363" s="269">
        <f t="shared" si="225"/>
        <v>0.5</v>
      </c>
      <c r="L363" s="269">
        <f t="shared" si="226"/>
        <v>0.25</v>
      </c>
      <c r="M363" s="269">
        <f t="shared" si="227"/>
        <v>0.25</v>
      </c>
      <c r="N363" s="269">
        <f t="shared" si="228"/>
        <v>0.5</v>
      </c>
      <c r="O363" s="269">
        <f t="shared" si="229"/>
        <v>0.75</v>
      </c>
      <c r="P363" s="269">
        <f t="shared" si="230"/>
        <v>0</v>
      </c>
      <c r="Q363" s="269">
        <f t="shared" si="231"/>
        <v>0</v>
      </c>
      <c r="R363" s="269">
        <f t="shared" si="232"/>
        <v>0</v>
      </c>
      <c r="S363" s="249"/>
      <c r="T363" s="221"/>
      <c r="U363" s="271">
        <f t="shared" si="243"/>
        <v>0</v>
      </c>
      <c r="V363" s="271">
        <f t="shared" si="244"/>
        <v>0</v>
      </c>
      <c r="W363" s="271">
        <f t="shared" si="245"/>
        <v>0</v>
      </c>
      <c r="X363" s="271">
        <f t="shared" si="246"/>
        <v>0</v>
      </c>
      <c r="Y363" s="271">
        <f t="shared" si="247"/>
        <v>0</v>
      </c>
      <c r="Z363" s="271">
        <f t="shared" si="248"/>
        <v>0</v>
      </c>
      <c r="AA363" s="271">
        <f t="shared" si="249"/>
        <v>0</v>
      </c>
      <c r="AB363" s="271">
        <f t="shared" si="250"/>
        <v>0</v>
      </c>
      <c r="AC363" s="271">
        <f t="shared" si="251"/>
        <v>0</v>
      </c>
    </row>
    <row r="364" spans="4:29" ht="13.5" customHeight="1" x14ac:dyDescent="0.25">
      <c r="D364" s="101" t="str">
        <f t="shared" si="242"/>
        <v>Other pulses n.e.c.</v>
      </c>
      <c r="E364" s="109">
        <f>ProjectedP205_Consumption!K76*OCPMarketShares!N246</f>
        <v>0</v>
      </c>
      <c r="F364" s="109">
        <f>ProjectedP205_Consumption!L76*OCPMarketShares!O246</f>
        <v>0.20409458778604447</v>
      </c>
      <c r="G364" s="109">
        <f>ProjectedP205_Consumption!M76*OCPMarketShares!P246</f>
        <v>0.21510855256282288</v>
      </c>
      <c r="I364" s="31"/>
      <c r="J364" s="269">
        <f t="shared" si="224"/>
        <v>0.75</v>
      </c>
      <c r="K364" s="269">
        <f t="shared" si="225"/>
        <v>0.5</v>
      </c>
      <c r="L364" s="269">
        <f t="shared" si="226"/>
        <v>0.25</v>
      </c>
      <c r="M364" s="269">
        <f t="shared" si="227"/>
        <v>0.25</v>
      </c>
      <c r="N364" s="269">
        <f t="shared" si="228"/>
        <v>0.5</v>
      </c>
      <c r="O364" s="269">
        <f t="shared" si="229"/>
        <v>0.75</v>
      </c>
      <c r="P364" s="269">
        <f t="shared" si="230"/>
        <v>0</v>
      </c>
      <c r="Q364" s="269">
        <f t="shared" si="231"/>
        <v>0</v>
      </c>
      <c r="R364" s="269">
        <f t="shared" si="232"/>
        <v>0</v>
      </c>
      <c r="S364" s="249"/>
      <c r="T364" s="221"/>
      <c r="U364" s="271">
        <f t="shared" si="243"/>
        <v>0</v>
      </c>
      <c r="V364" s="271">
        <f t="shared" si="244"/>
        <v>0.2218419432457005</v>
      </c>
      <c r="W364" s="271">
        <f t="shared" si="245"/>
        <v>0.11690682204501243</v>
      </c>
      <c r="X364" s="271">
        <f t="shared" si="246"/>
        <v>0</v>
      </c>
      <c r="Y364" s="271">
        <f t="shared" si="247"/>
        <v>0.2218419432457005</v>
      </c>
      <c r="Z364" s="271">
        <f t="shared" si="248"/>
        <v>0.35072046613503727</v>
      </c>
      <c r="AA364" s="271">
        <f t="shared" si="249"/>
        <v>0</v>
      </c>
      <c r="AB364" s="271">
        <f t="shared" si="250"/>
        <v>0</v>
      </c>
      <c r="AC364" s="271">
        <f t="shared" si="251"/>
        <v>0</v>
      </c>
    </row>
    <row r="365" spans="4:29" ht="13.5" customHeight="1" x14ac:dyDescent="0.25">
      <c r="D365" s="101" t="str">
        <f t="shared" si="242"/>
        <v>Other vegetables, fresh n.e.c.</v>
      </c>
      <c r="E365" s="109">
        <f>ProjectedP205_Consumption!K77*OCPMarketShares!N247</f>
        <v>0</v>
      </c>
      <c r="F365" s="109">
        <f>ProjectedP205_Consumption!L77*OCPMarketShares!O247</f>
        <v>0</v>
      </c>
      <c r="G365" s="109">
        <f>ProjectedP205_Consumption!M77*OCPMarketShares!P247</f>
        <v>0</v>
      </c>
      <c r="I365" s="31"/>
      <c r="J365" s="269">
        <f t="shared" si="224"/>
        <v>0.75</v>
      </c>
      <c r="K365" s="269">
        <f t="shared" si="225"/>
        <v>0.5</v>
      </c>
      <c r="L365" s="269">
        <f t="shared" si="226"/>
        <v>0.25</v>
      </c>
      <c r="M365" s="269">
        <f t="shared" si="227"/>
        <v>0.25</v>
      </c>
      <c r="N365" s="269">
        <f t="shared" si="228"/>
        <v>0.5</v>
      </c>
      <c r="O365" s="269">
        <f t="shared" si="229"/>
        <v>0.75</v>
      </c>
      <c r="P365" s="269">
        <f t="shared" si="230"/>
        <v>0</v>
      </c>
      <c r="Q365" s="269">
        <f t="shared" si="231"/>
        <v>0</v>
      </c>
      <c r="R365" s="269">
        <f t="shared" si="232"/>
        <v>0</v>
      </c>
      <c r="S365" s="249"/>
      <c r="T365" s="221"/>
      <c r="U365" s="271">
        <f t="shared" si="243"/>
        <v>0</v>
      </c>
      <c r="V365" s="271">
        <f t="shared" si="244"/>
        <v>0</v>
      </c>
      <c r="W365" s="271">
        <f t="shared" si="245"/>
        <v>0</v>
      </c>
      <c r="X365" s="271">
        <f t="shared" si="246"/>
        <v>0</v>
      </c>
      <c r="Y365" s="271">
        <f t="shared" si="247"/>
        <v>0</v>
      </c>
      <c r="Z365" s="271">
        <f t="shared" si="248"/>
        <v>0</v>
      </c>
      <c r="AA365" s="271">
        <f t="shared" si="249"/>
        <v>0</v>
      </c>
      <c r="AB365" s="271">
        <f t="shared" si="250"/>
        <v>0</v>
      </c>
      <c r="AC365" s="271">
        <f t="shared" si="251"/>
        <v>0</v>
      </c>
    </row>
    <row r="366" spans="4:29" ht="13.5" customHeight="1" x14ac:dyDescent="0.25">
      <c r="D366" s="101" t="str">
        <f t="shared" si="242"/>
        <v>Other fruits, n.e.c.</v>
      </c>
      <c r="E366" s="109">
        <f>ProjectedP205_Consumption!K78*OCPMarketShares!N248</f>
        <v>0</v>
      </c>
      <c r="F366" s="109">
        <f>ProjectedP205_Consumption!L78*OCPMarketShares!O248</f>
        <v>0</v>
      </c>
      <c r="G366" s="109">
        <f>ProjectedP205_Consumption!M78*OCPMarketShares!P248</f>
        <v>0</v>
      </c>
      <c r="I366" s="31"/>
      <c r="J366" s="269">
        <f t="shared" si="224"/>
        <v>0.75</v>
      </c>
      <c r="K366" s="269">
        <f t="shared" si="225"/>
        <v>0.5</v>
      </c>
      <c r="L366" s="269">
        <f t="shared" si="226"/>
        <v>0.25</v>
      </c>
      <c r="M366" s="269">
        <f t="shared" si="227"/>
        <v>0.25</v>
      </c>
      <c r="N366" s="269">
        <f t="shared" si="228"/>
        <v>0.5</v>
      </c>
      <c r="O366" s="269">
        <f t="shared" si="229"/>
        <v>0.75</v>
      </c>
      <c r="P366" s="269">
        <f t="shared" si="230"/>
        <v>0</v>
      </c>
      <c r="Q366" s="269">
        <f t="shared" si="231"/>
        <v>0</v>
      </c>
      <c r="R366" s="269">
        <f t="shared" si="232"/>
        <v>0</v>
      </c>
      <c r="S366" s="249"/>
      <c r="T366" s="221"/>
      <c r="U366" s="271">
        <f t="shared" si="243"/>
        <v>0</v>
      </c>
      <c r="V366" s="271">
        <f t="shared" si="244"/>
        <v>0</v>
      </c>
      <c r="W366" s="271">
        <f t="shared" si="245"/>
        <v>0</v>
      </c>
      <c r="X366" s="271">
        <f t="shared" si="246"/>
        <v>0</v>
      </c>
      <c r="Y366" s="271">
        <f t="shared" si="247"/>
        <v>0</v>
      </c>
      <c r="Z366" s="271">
        <f t="shared" si="248"/>
        <v>0</v>
      </c>
      <c r="AA366" s="271">
        <f t="shared" si="249"/>
        <v>0</v>
      </c>
      <c r="AB366" s="271">
        <f t="shared" si="250"/>
        <v>0</v>
      </c>
      <c r="AC366" s="271">
        <f t="shared" si="251"/>
        <v>0</v>
      </c>
    </row>
    <row r="367" spans="4:29" ht="13.5" customHeight="1" x14ac:dyDescent="0.25">
      <c r="D367" s="101" t="str">
        <f t="shared" si="242"/>
        <v>Broad beans and horse beans, dry</v>
      </c>
      <c r="E367" s="109">
        <f>ProjectedP205_Consumption!K79*OCPMarketShares!N249</f>
        <v>0</v>
      </c>
      <c r="F367" s="109">
        <f>ProjectedP205_Consumption!L79*OCPMarketShares!O249</f>
        <v>0</v>
      </c>
      <c r="G367" s="109">
        <f>ProjectedP205_Consumption!M79*OCPMarketShares!P249</f>
        <v>0</v>
      </c>
      <c r="I367" s="31"/>
      <c r="J367" s="269">
        <f t="shared" si="224"/>
        <v>0.75</v>
      </c>
      <c r="K367" s="269">
        <f t="shared" si="225"/>
        <v>0.5</v>
      </c>
      <c r="L367" s="269">
        <f t="shared" si="226"/>
        <v>0.25</v>
      </c>
      <c r="M367" s="269">
        <f t="shared" si="227"/>
        <v>0.25</v>
      </c>
      <c r="N367" s="269">
        <f t="shared" si="228"/>
        <v>0.5</v>
      </c>
      <c r="O367" s="269">
        <f t="shared" si="229"/>
        <v>0.75</v>
      </c>
      <c r="P367" s="269">
        <f t="shared" si="230"/>
        <v>0</v>
      </c>
      <c r="Q367" s="269">
        <f t="shared" si="231"/>
        <v>0</v>
      </c>
      <c r="R367" s="269">
        <f t="shared" si="232"/>
        <v>0</v>
      </c>
      <c r="S367" s="249"/>
      <c r="T367" s="221"/>
      <c r="U367" s="271">
        <f t="shared" si="243"/>
        <v>0</v>
      </c>
      <c r="V367" s="271">
        <f t="shared" si="244"/>
        <v>0</v>
      </c>
      <c r="W367" s="271">
        <f t="shared" si="245"/>
        <v>0</v>
      </c>
      <c r="X367" s="271">
        <f t="shared" si="246"/>
        <v>0</v>
      </c>
      <c r="Y367" s="271">
        <f t="shared" si="247"/>
        <v>0</v>
      </c>
      <c r="Z367" s="271">
        <f t="shared" si="248"/>
        <v>0</v>
      </c>
      <c r="AA367" s="271">
        <f t="shared" si="249"/>
        <v>0</v>
      </c>
      <c r="AB367" s="271">
        <f t="shared" si="250"/>
        <v>0</v>
      </c>
      <c r="AC367" s="271">
        <f t="shared" si="251"/>
        <v>0</v>
      </c>
    </row>
    <row r="368" spans="4:29" ht="13.5" customHeight="1" x14ac:dyDescent="0.25">
      <c r="D368" s="101" t="str">
        <f t="shared" si="242"/>
        <v>Chick peas, dry</v>
      </c>
      <c r="E368" s="109">
        <f>ProjectedP205_Consumption!K80*OCPMarketShares!N250</f>
        <v>0</v>
      </c>
      <c r="F368" s="109">
        <f>ProjectedP205_Consumption!L80*OCPMarketShares!O250</f>
        <v>0</v>
      </c>
      <c r="G368" s="109">
        <f>ProjectedP205_Consumption!M80*OCPMarketShares!P250</f>
        <v>0</v>
      </c>
      <c r="I368" s="31"/>
      <c r="J368" s="269">
        <f t="shared" si="224"/>
        <v>0.75</v>
      </c>
      <c r="K368" s="269">
        <f t="shared" si="225"/>
        <v>0.5</v>
      </c>
      <c r="L368" s="269">
        <f t="shared" si="226"/>
        <v>0.25</v>
      </c>
      <c r="M368" s="269">
        <f t="shared" si="227"/>
        <v>0.25</v>
      </c>
      <c r="N368" s="269">
        <f t="shared" si="228"/>
        <v>0.5</v>
      </c>
      <c r="O368" s="269">
        <f t="shared" si="229"/>
        <v>0.75</v>
      </c>
      <c r="P368" s="269">
        <f t="shared" si="230"/>
        <v>0</v>
      </c>
      <c r="Q368" s="269">
        <f t="shared" si="231"/>
        <v>0</v>
      </c>
      <c r="R368" s="269">
        <f t="shared" si="232"/>
        <v>0</v>
      </c>
      <c r="S368" s="249"/>
      <c r="T368" s="221"/>
      <c r="U368" s="271">
        <f t="shared" si="243"/>
        <v>0</v>
      </c>
      <c r="V368" s="271">
        <f t="shared" si="244"/>
        <v>0</v>
      </c>
      <c r="W368" s="271">
        <f t="shared" si="245"/>
        <v>0</v>
      </c>
      <c r="X368" s="271">
        <f t="shared" si="246"/>
        <v>0</v>
      </c>
      <c r="Y368" s="271">
        <f t="shared" si="247"/>
        <v>0</v>
      </c>
      <c r="Z368" s="271">
        <f t="shared" si="248"/>
        <v>0</v>
      </c>
      <c r="AA368" s="271">
        <f t="shared" si="249"/>
        <v>0</v>
      </c>
      <c r="AB368" s="271">
        <f t="shared" si="250"/>
        <v>0</v>
      </c>
      <c r="AC368" s="271">
        <f t="shared" si="251"/>
        <v>0</v>
      </c>
    </row>
    <row r="369" spans="2:35" ht="13.5" customHeight="1" thickBot="1" x14ac:dyDescent="0.3">
      <c r="D369" s="101" t="str">
        <f t="shared" si="242"/>
        <v>Beans, dry</v>
      </c>
      <c r="E369" s="109">
        <f>ProjectedP205_Consumption!K81*OCPMarketShares!N251</f>
        <v>0</v>
      </c>
      <c r="F369" s="109">
        <f>ProjectedP205_Consumption!L81*OCPMarketShares!O251</f>
        <v>0</v>
      </c>
      <c r="G369" s="109">
        <f>ProjectedP205_Consumption!M81*OCPMarketShares!P251</f>
        <v>0</v>
      </c>
      <c r="I369" s="31"/>
      <c r="J369" s="269">
        <f t="shared" si="224"/>
        <v>0.75</v>
      </c>
      <c r="K369" s="269">
        <f t="shared" si="225"/>
        <v>0.5</v>
      </c>
      <c r="L369" s="269">
        <f t="shared" si="226"/>
        <v>0.25</v>
      </c>
      <c r="M369" s="269">
        <f t="shared" si="227"/>
        <v>0.25</v>
      </c>
      <c r="N369" s="269">
        <f t="shared" si="228"/>
        <v>0.5</v>
      </c>
      <c r="O369" s="269">
        <f t="shared" si="229"/>
        <v>0.75</v>
      </c>
      <c r="P369" s="269">
        <f t="shared" si="230"/>
        <v>0</v>
      </c>
      <c r="Q369" s="269">
        <f t="shared" si="231"/>
        <v>0</v>
      </c>
      <c r="R369" s="269">
        <f t="shared" si="232"/>
        <v>0</v>
      </c>
      <c r="S369" s="249"/>
      <c r="T369" s="221"/>
      <c r="U369" s="271">
        <f t="shared" si="243"/>
        <v>0</v>
      </c>
      <c r="V369" s="271">
        <f t="shared" si="244"/>
        <v>0</v>
      </c>
      <c r="W369" s="271">
        <f t="shared" si="245"/>
        <v>0</v>
      </c>
      <c r="X369" s="271">
        <f t="shared" si="246"/>
        <v>0</v>
      </c>
      <c r="Y369" s="271">
        <f t="shared" si="247"/>
        <v>0</v>
      </c>
      <c r="Z369" s="271">
        <f t="shared" si="248"/>
        <v>0</v>
      </c>
      <c r="AA369" s="271">
        <f t="shared" si="249"/>
        <v>0</v>
      </c>
      <c r="AB369" s="271">
        <f t="shared" si="250"/>
        <v>0</v>
      </c>
      <c r="AC369" s="271">
        <f t="shared" si="251"/>
        <v>0</v>
      </c>
    </row>
    <row r="370" spans="2:35" ht="13.5" customHeight="1" thickTop="1" thickBot="1" x14ac:dyDescent="0.3">
      <c r="D370" s="258" t="s">
        <v>13</v>
      </c>
      <c r="E370" s="260">
        <f t="shared" ref="E370" si="252">SUM(E339:E369)</f>
        <v>0</v>
      </c>
      <c r="F370" s="260">
        <f t="shared" ref="F370:G370" si="253">SUM(F339:F369)</f>
        <v>9.9013360218862605</v>
      </c>
      <c r="G370" s="260">
        <f t="shared" si="253"/>
        <v>11.488181416342854</v>
      </c>
      <c r="I370" s="31"/>
      <c r="J370" s="157"/>
      <c r="K370" s="7"/>
      <c r="L370" s="7"/>
      <c r="M370" s="7"/>
      <c r="N370" s="7"/>
      <c r="O370" s="7"/>
      <c r="P370" s="7"/>
      <c r="Q370" s="7"/>
      <c r="R370" s="7"/>
      <c r="S370" s="7"/>
      <c r="T370" s="7"/>
      <c r="U370" s="7"/>
      <c r="V370" s="7"/>
      <c r="W370" s="7"/>
      <c r="X370" s="7"/>
      <c r="Y370" s="7"/>
      <c r="Z370" s="7"/>
      <c r="AA370" s="7"/>
      <c r="AB370" s="7"/>
      <c r="AC370" s="7"/>
    </row>
    <row r="371" spans="2:35" ht="13.5" customHeight="1" thickTop="1" thickBot="1" x14ac:dyDescent="0.3">
      <c r="D371" s="261" t="s">
        <v>302</v>
      </c>
      <c r="E371" s="259" t="e">
        <f>#REF!/46%</f>
        <v>#REF!</v>
      </c>
      <c r="F371" s="259" t="e">
        <f>#REF!/46%</f>
        <v>#REF!</v>
      </c>
      <c r="G371" s="259" t="e">
        <f>#REF!/46%</f>
        <v>#REF!</v>
      </c>
      <c r="H371" s="259" t="e">
        <f>#REF!/46%</f>
        <v>#REF!</v>
      </c>
      <c r="I371" s="259" t="e">
        <f>#REF!/46%</f>
        <v>#REF!</v>
      </c>
      <c r="J371" s="259" t="e">
        <f>#REF!/46%</f>
        <v>#REF!</v>
      </c>
      <c r="K371" s="260">
        <f>E370/46%</f>
        <v>0</v>
      </c>
      <c r="L371" s="260">
        <f>F370/46%</f>
        <v>21.524643525839696</v>
      </c>
      <c r="M371" s="260">
        <f>G370/46%</f>
        <v>24.97430742683229</v>
      </c>
      <c r="O371" s="31"/>
      <c r="P371" s="31"/>
      <c r="Z371" s="1" t="s">
        <v>303</v>
      </c>
      <c r="AA371" s="251">
        <f t="shared" ref="AA371:AI371" si="254">SUM(U339:U369)</f>
        <v>0</v>
      </c>
      <c r="AB371" s="251">
        <f t="shared" si="254"/>
        <v>10.762321762919845</v>
      </c>
      <c r="AC371" s="251">
        <f t="shared" si="254"/>
        <v>6.2435768567080734</v>
      </c>
      <c r="AD371" s="251">
        <f t="shared" si="254"/>
        <v>0</v>
      </c>
      <c r="AE371" s="251">
        <f t="shared" si="254"/>
        <v>10.762321762919845</v>
      </c>
      <c r="AF371" s="251">
        <f t="shared" si="254"/>
        <v>18.730730570124216</v>
      </c>
      <c r="AG371" s="251">
        <f t="shared" si="254"/>
        <v>0</v>
      </c>
      <c r="AH371" s="251">
        <f t="shared" si="254"/>
        <v>0</v>
      </c>
      <c r="AI371" s="251">
        <f t="shared" si="254"/>
        <v>0</v>
      </c>
    </row>
    <row r="372" spans="2:35" ht="13.5" customHeight="1" thickTop="1" x14ac:dyDescent="0.25">
      <c r="O372" s="31"/>
      <c r="P372" s="31"/>
    </row>
    <row r="373" spans="2:35" ht="13.5" customHeight="1" x14ac:dyDescent="0.3">
      <c r="B373" s="7"/>
      <c r="C373" s="7"/>
      <c r="D373" s="36"/>
    </row>
    <row r="374" spans="2:35" ht="13.5" customHeight="1" x14ac:dyDescent="0.35">
      <c r="B374" s="227">
        <v>4</v>
      </c>
      <c r="D374" s="228" t="s">
        <v>304</v>
      </c>
    </row>
    <row r="376" spans="2:35" ht="13.5" customHeight="1" x14ac:dyDescent="0.35">
      <c r="D376" s="262" t="s">
        <v>305</v>
      </c>
      <c r="J376" s="262" t="s">
        <v>306</v>
      </c>
      <c r="K376" s="262"/>
      <c r="U376" s="262" t="s">
        <v>307</v>
      </c>
      <c r="V376" s="262"/>
    </row>
    <row r="377" spans="2:35" ht="13.5" customHeight="1" x14ac:dyDescent="0.3">
      <c r="D377" s="231" t="s">
        <v>77</v>
      </c>
      <c r="J377" s="231" t="s">
        <v>308</v>
      </c>
      <c r="U377" s="231" t="s">
        <v>301</v>
      </c>
    </row>
    <row r="378" spans="2:35" ht="13.5" customHeight="1" x14ac:dyDescent="0.25">
      <c r="J378" s="235" t="s">
        <v>277</v>
      </c>
      <c r="K378" s="235"/>
      <c r="L378" s="235"/>
      <c r="M378" s="235" t="s">
        <v>296</v>
      </c>
      <c r="N378" s="235"/>
      <c r="O378" s="235"/>
      <c r="P378" s="235" t="s">
        <v>279</v>
      </c>
      <c r="Q378" s="235"/>
      <c r="R378" s="235"/>
      <c r="U378" s="235" t="s">
        <v>277</v>
      </c>
      <c r="V378" s="235"/>
      <c r="W378" s="235"/>
      <c r="X378" s="235" t="s">
        <v>296</v>
      </c>
      <c r="Y378" s="235"/>
      <c r="Z378" s="235"/>
      <c r="AA378" s="235" t="s">
        <v>279</v>
      </c>
      <c r="AB378" s="235"/>
      <c r="AC378" s="235"/>
    </row>
    <row r="379" spans="2:35" ht="13.5" customHeight="1" x14ac:dyDescent="0.25">
      <c r="D379" s="237" t="s">
        <v>15</v>
      </c>
      <c r="E379" s="237">
        <v>2023</v>
      </c>
      <c r="F379" s="237">
        <v>2024</v>
      </c>
      <c r="G379" s="237">
        <v>2025</v>
      </c>
      <c r="J379" s="237">
        <v>2023</v>
      </c>
      <c r="K379" s="237">
        <v>2024</v>
      </c>
      <c r="L379" s="237">
        <v>2025</v>
      </c>
      <c r="M379" s="237">
        <v>2023</v>
      </c>
      <c r="N379" s="237">
        <v>2024</v>
      </c>
      <c r="O379" s="237">
        <v>2025</v>
      </c>
      <c r="P379" s="237">
        <v>2023</v>
      </c>
      <c r="Q379" s="237">
        <v>2024</v>
      </c>
      <c r="R379" s="237">
        <v>2025</v>
      </c>
      <c r="U379" s="237">
        <v>2023</v>
      </c>
      <c r="V379" s="237">
        <v>2024</v>
      </c>
      <c r="W379" s="237">
        <v>2025</v>
      </c>
      <c r="X379" s="237">
        <v>2023</v>
      </c>
      <c r="Y379" s="237">
        <v>2024</v>
      </c>
      <c r="Z379" s="237">
        <v>2025</v>
      </c>
      <c r="AA379" s="237">
        <v>2023</v>
      </c>
      <c r="AB379" s="237">
        <v>2024</v>
      </c>
      <c r="AC379" s="237">
        <v>2025</v>
      </c>
    </row>
    <row r="380" spans="2:35" ht="13.5" customHeight="1" x14ac:dyDescent="0.25">
      <c r="D380" s="82" t="str">
        <f t="shared" ref="D380:D410" si="255">D339</f>
        <v>Sorghum</v>
      </c>
      <c r="E380" s="2">
        <f>ProjectedP205_Consumption!K13-E150-E228-E304</f>
        <v>10.852696014770698</v>
      </c>
      <c r="F380" s="2">
        <f>ProjectedP205_Consumption!L13-F150-F228-F304</f>
        <v>10.280658058139409</v>
      </c>
      <c r="G380" s="2">
        <f>ProjectedP205_Consumption!M13-G150-G228-G304</f>
        <v>9.630612911626093</v>
      </c>
      <c r="J380" s="269">
        <f t="shared" ref="J380:J410" si="256">V112</f>
        <v>1</v>
      </c>
      <c r="K380" s="269">
        <f t="shared" ref="K380:K410" si="257">W112</f>
        <v>1</v>
      </c>
      <c r="L380" s="269">
        <f t="shared" ref="L380:L410" si="258">X112</f>
        <v>1</v>
      </c>
      <c r="M380" s="269">
        <f t="shared" ref="M380:M410" si="259">Y112</f>
        <v>0</v>
      </c>
      <c r="N380" s="269">
        <f t="shared" ref="N380:N410" si="260">Z112</f>
        <v>0</v>
      </c>
      <c r="O380" s="269">
        <f t="shared" ref="O380:O410" si="261">AA112</f>
        <v>0</v>
      </c>
      <c r="P380" s="269">
        <f t="shared" ref="P380:P410" si="262">AB112</f>
        <v>0</v>
      </c>
      <c r="Q380" s="269">
        <f t="shared" ref="Q380:Q410" si="263">AC112</f>
        <v>0</v>
      </c>
      <c r="R380" s="269">
        <f t="shared" ref="R380:R410" si="264">AD112</f>
        <v>0</v>
      </c>
      <c r="U380" s="271">
        <f>(E380*J380)/$K$11</f>
        <v>23.592817423414562</v>
      </c>
      <c r="V380" s="271">
        <f t="shared" ref="V380:V410" si="265">(F380*K380)/$K$11</f>
        <v>22.349256648129149</v>
      </c>
      <c r="W380" s="271">
        <f t="shared" ref="W380:W410" si="266">(G380*L380)/$K$11</f>
        <v>20.936115025274113</v>
      </c>
      <c r="X380" s="271">
        <f>(E380*M380)/$K$12</f>
        <v>0</v>
      </c>
      <c r="Y380" s="271">
        <f t="shared" ref="Y380:Z380" si="267">(F380*N380)/$K$12</f>
        <v>0</v>
      </c>
      <c r="Z380" s="271">
        <f t="shared" si="267"/>
        <v>0</v>
      </c>
      <c r="AA380" s="271">
        <f>(E380*P380)/$K$13</f>
        <v>0</v>
      </c>
      <c r="AB380" s="271">
        <f t="shared" ref="AB380:AB410" si="268">(F380*Q380)/$K$13</f>
        <v>0</v>
      </c>
      <c r="AC380" s="271">
        <f t="shared" ref="AC380:AC410" si="269">(G380*R380)/$K$13</f>
        <v>0</v>
      </c>
    </row>
    <row r="381" spans="2:35" ht="13.5" customHeight="1" x14ac:dyDescent="0.25">
      <c r="D381" s="82" t="str">
        <f t="shared" si="255"/>
        <v>Sesame seed</v>
      </c>
      <c r="E381" s="2">
        <f>ProjectedP205_Consumption!K14-E151-E229-E305</f>
        <v>31.741371535097986</v>
      </c>
      <c r="F381" s="2">
        <f>ProjectedP205_Consumption!L14-F151-F229-F305</f>
        <v>34.446425000487999</v>
      </c>
      <c r="G381" s="2">
        <f>ProjectedP205_Consumption!M14-G151-G229-G305</f>
        <v>40.90581602500302</v>
      </c>
      <c r="J381" s="269">
        <f t="shared" si="256"/>
        <v>1</v>
      </c>
      <c r="K381" s="269">
        <f t="shared" si="257"/>
        <v>1</v>
      </c>
      <c r="L381" s="269">
        <f t="shared" si="258"/>
        <v>1</v>
      </c>
      <c r="M381" s="269">
        <f t="shared" si="259"/>
        <v>0</v>
      </c>
      <c r="N381" s="269">
        <f t="shared" si="260"/>
        <v>0</v>
      </c>
      <c r="O381" s="269">
        <f t="shared" si="261"/>
        <v>0</v>
      </c>
      <c r="P381" s="269">
        <f t="shared" si="262"/>
        <v>0</v>
      </c>
      <c r="Q381" s="269">
        <f t="shared" si="263"/>
        <v>0</v>
      </c>
      <c r="R381" s="269">
        <f t="shared" si="264"/>
        <v>0</v>
      </c>
      <c r="U381" s="271">
        <f t="shared" ref="U381:U410" si="270">(E381*J381)/$K$11</f>
        <v>69.002981598039099</v>
      </c>
      <c r="V381" s="271">
        <f t="shared" si="265"/>
        <v>74.883532609756514</v>
      </c>
      <c r="W381" s="271">
        <f t="shared" si="266"/>
        <v>88.925687010876132</v>
      </c>
      <c r="X381" s="271">
        <f t="shared" ref="X381:X410" si="271">(E381*M381)/$K$12</f>
        <v>0</v>
      </c>
      <c r="Y381" s="271">
        <f t="shared" ref="Y381:Y410" si="272">(F381*N381)/$K$12</f>
        <v>0</v>
      </c>
      <c r="Z381" s="271">
        <f t="shared" ref="Z381:Z410" si="273">(G381*O381)/$K$12</f>
        <v>0</v>
      </c>
      <c r="AA381" s="271">
        <f t="shared" ref="AA381:AA410" si="274">(E381*P381)/$K$13</f>
        <v>0</v>
      </c>
      <c r="AB381" s="271">
        <f t="shared" si="268"/>
        <v>0</v>
      </c>
      <c r="AC381" s="271">
        <f t="shared" si="269"/>
        <v>0</v>
      </c>
    </row>
    <row r="382" spans="2:35" ht="13.5" customHeight="1" x14ac:dyDescent="0.25">
      <c r="D382" s="82" t="str">
        <f t="shared" si="255"/>
        <v>Groundnuts, excluding shelled</v>
      </c>
      <c r="E382" s="2">
        <f>ProjectedP205_Consumption!K15-E152-E230-E306</f>
        <v>36.738066881615417</v>
      </c>
      <c r="F382" s="2">
        <f>ProjectedP205_Consumption!L15-F152-F230-F306</f>
        <v>42.217247036899742</v>
      </c>
      <c r="G382" s="2">
        <f>ProjectedP205_Consumption!M15-G152-G230-G306</f>
        <v>53.086727853622385</v>
      </c>
      <c r="J382" s="269">
        <f t="shared" si="256"/>
        <v>1</v>
      </c>
      <c r="K382" s="269">
        <f t="shared" si="257"/>
        <v>1</v>
      </c>
      <c r="L382" s="269">
        <f t="shared" si="258"/>
        <v>1</v>
      </c>
      <c r="M382" s="269">
        <f t="shared" si="259"/>
        <v>0</v>
      </c>
      <c r="N382" s="269">
        <f t="shared" si="260"/>
        <v>0</v>
      </c>
      <c r="O382" s="269">
        <f t="shared" si="261"/>
        <v>0</v>
      </c>
      <c r="P382" s="269">
        <f t="shared" si="262"/>
        <v>0</v>
      </c>
      <c r="Q382" s="269">
        <f t="shared" si="263"/>
        <v>0</v>
      </c>
      <c r="R382" s="269">
        <f t="shared" si="264"/>
        <v>0</v>
      </c>
      <c r="U382" s="271">
        <f t="shared" si="270"/>
        <v>79.865362786120471</v>
      </c>
      <c r="V382" s="271">
        <f t="shared" si="265"/>
        <v>91.776623993260301</v>
      </c>
      <c r="W382" s="271">
        <f t="shared" si="266"/>
        <v>115.4059301165704</v>
      </c>
      <c r="X382" s="271">
        <f t="shared" si="271"/>
        <v>0</v>
      </c>
      <c r="Y382" s="271">
        <f t="shared" si="272"/>
        <v>0</v>
      </c>
      <c r="Z382" s="271">
        <f t="shared" si="273"/>
        <v>0</v>
      </c>
      <c r="AA382" s="271">
        <f t="shared" si="274"/>
        <v>0</v>
      </c>
      <c r="AB382" s="271">
        <f t="shared" si="268"/>
        <v>0</v>
      </c>
      <c r="AC382" s="271">
        <f t="shared" si="269"/>
        <v>0</v>
      </c>
    </row>
    <row r="383" spans="2:35" ht="13.5" customHeight="1" x14ac:dyDescent="0.25">
      <c r="D383" s="82" t="str">
        <f t="shared" si="255"/>
        <v>Millet</v>
      </c>
      <c r="E383" s="2">
        <f>ProjectedP205_Consumption!K16-E153-E231-E307</f>
        <v>4.4922197291732919</v>
      </c>
      <c r="F383" s="2">
        <f>ProjectedP205_Consumption!L16-F153-F231-F307</f>
        <v>4.3015495593300521</v>
      </c>
      <c r="G383" s="2">
        <f>ProjectedP205_Consumption!M16-G153-G231-G307</f>
        <v>4.0732269440685256</v>
      </c>
      <c r="J383" s="269">
        <f t="shared" si="256"/>
        <v>1</v>
      </c>
      <c r="K383" s="269">
        <f t="shared" si="257"/>
        <v>1</v>
      </c>
      <c r="L383" s="269">
        <f t="shared" si="258"/>
        <v>1</v>
      </c>
      <c r="M383" s="269">
        <f t="shared" si="259"/>
        <v>0</v>
      </c>
      <c r="N383" s="269">
        <f t="shared" si="260"/>
        <v>0</v>
      </c>
      <c r="O383" s="269">
        <f t="shared" si="261"/>
        <v>0</v>
      </c>
      <c r="P383" s="269">
        <f t="shared" si="262"/>
        <v>0</v>
      </c>
      <c r="Q383" s="269">
        <f t="shared" si="263"/>
        <v>0</v>
      </c>
      <c r="R383" s="269">
        <f t="shared" si="264"/>
        <v>0</v>
      </c>
      <c r="U383" s="271">
        <f t="shared" si="270"/>
        <v>9.7656950634201998</v>
      </c>
      <c r="V383" s="271">
        <f t="shared" si="265"/>
        <v>9.3511946941957653</v>
      </c>
      <c r="W383" s="271">
        <f t="shared" si="266"/>
        <v>8.8548411827576636</v>
      </c>
      <c r="X383" s="271">
        <f t="shared" si="271"/>
        <v>0</v>
      </c>
      <c r="Y383" s="271">
        <f t="shared" si="272"/>
        <v>0</v>
      </c>
      <c r="Z383" s="271">
        <f t="shared" si="273"/>
        <v>0</v>
      </c>
      <c r="AA383" s="271">
        <f t="shared" si="274"/>
        <v>0</v>
      </c>
      <c r="AB383" s="271">
        <f t="shared" si="268"/>
        <v>0</v>
      </c>
      <c r="AC383" s="271">
        <f t="shared" si="269"/>
        <v>0</v>
      </c>
    </row>
    <row r="384" spans="2:35" ht="13.5" customHeight="1" x14ac:dyDescent="0.25">
      <c r="D384" s="82" t="str">
        <f t="shared" si="255"/>
        <v>Sugar cane</v>
      </c>
      <c r="E384" s="2">
        <f>ProjectedP205_Consumption!K17-E154-E232-E308</f>
        <v>1.4792957858989926</v>
      </c>
      <c r="F384" s="2">
        <f>ProjectedP205_Consumption!L17-F154-F232-F308</f>
        <v>1.2837609862428656</v>
      </c>
      <c r="G384" s="2">
        <f>ProjectedP205_Consumption!M17-G154-G232-G308</f>
        <v>1.2298205411520955</v>
      </c>
      <c r="J384" s="269">
        <f t="shared" si="256"/>
        <v>1</v>
      </c>
      <c r="K384" s="269">
        <f t="shared" si="257"/>
        <v>1</v>
      </c>
      <c r="L384" s="269">
        <f t="shared" si="258"/>
        <v>1</v>
      </c>
      <c r="M384" s="269">
        <f t="shared" si="259"/>
        <v>0</v>
      </c>
      <c r="N384" s="269">
        <f t="shared" si="260"/>
        <v>0</v>
      </c>
      <c r="O384" s="269">
        <f t="shared" si="261"/>
        <v>0</v>
      </c>
      <c r="P384" s="269">
        <f t="shared" si="262"/>
        <v>0</v>
      </c>
      <c r="Q384" s="269">
        <f t="shared" si="263"/>
        <v>0</v>
      </c>
      <c r="R384" s="269">
        <f t="shared" si="264"/>
        <v>0</v>
      </c>
      <c r="U384" s="271">
        <f t="shared" si="270"/>
        <v>3.2158604041282448</v>
      </c>
      <c r="V384" s="271">
        <f t="shared" si="265"/>
        <v>2.7907847527018816</v>
      </c>
      <c r="W384" s="271">
        <f t="shared" si="266"/>
        <v>2.6735229155480336</v>
      </c>
      <c r="X384" s="271">
        <f t="shared" si="271"/>
        <v>0</v>
      </c>
      <c r="Y384" s="271">
        <f t="shared" si="272"/>
        <v>0</v>
      </c>
      <c r="Z384" s="271">
        <f t="shared" si="273"/>
        <v>0</v>
      </c>
      <c r="AA384" s="271">
        <f t="shared" si="274"/>
        <v>0</v>
      </c>
      <c r="AB384" s="271">
        <f t="shared" si="268"/>
        <v>0</v>
      </c>
      <c r="AC384" s="271">
        <f t="shared" si="269"/>
        <v>0</v>
      </c>
    </row>
    <row r="385" spans="4:29" ht="13.5" customHeight="1" x14ac:dyDescent="0.25">
      <c r="D385" s="82" t="str">
        <f t="shared" si="255"/>
        <v>Melonseed</v>
      </c>
      <c r="E385" s="2">
        <f>ProjectedP205_Consumption!K18-E155-E233-E309</f>
        <v>0.84965183506976083</v>
      </c>
      <c r="F385" s="2">
        <f>ProjectedP205_Consumption!L18-F155-F233-F309</f>
        <v>0.71528027554599727</v>
      </c>
      <c r="G385" s="2">
        <f>ProjectedP205_Consumption!M18-G155-G233-G309</f>
        <v>0.66472178896923884</v>
      </c>
      <c r="J385" s="269">
        <f t="shared" si="256"/>
        <v>1</v>
      </c>
      <c r="K385" s="269">
        <f t="shared" si="257"/>
        <v>1</v>
      </c>
      <c r="L385" s="269">
        <f t="shared" si="258"/>
        <v>1</v>
      </c>
      <c r="M385" s="269">
        <f t="shared" si="259"/>
        <v>0</v>
      </c>
      <c r="N385" s="269">
        <f t="shared" si="260"/>
        <v>0</v>
      </c>
      <c r="O385" s="269">
        <f t="shared" si="261"/>
        <v>0</v>
      </c>
      <c r="P385" s="269">
        <f t="shared" si="262"/>
        <v>0</v>
      </c>
      <c r="Q385" s="269">
        <f t="shared" si="263"/>
        <v>0</v>
      </c>
      <c r="R385" s="269">
        <f t="shared" si="264"/>
        <v>0</v>
      </c>
      <c r="U385" s="271">
        <f t="shared" si="270"/>
        <v>1.8470692066733931</v>
      </c>
      <c r="V385" s="271">
        <f t="shared" si="265"/>
        <v>1.554957120752168</v>
      </c>
      <c r="W385" s="271">
        <f t="shared" si="266"/>
        <v>1.4450473673244322</v>
      </c>
      <c r="X385" s="271">
        <f t="shared" si="271"/>
        <v>0</v>
      </c>
      <c r="Y385" s="271">
        <f t="shared" si="272"/>
        <v>0</v>
      </c>
      <c r="Z385" s="271">
        <f t="shared" si="273"/>
        <v>0</v>
      </c>
      <c r="AA385" s="271">
        <f t="shared" si="274"/>
        <v>0</v>
      </c>
      <c r="AB385" s="271">
        <f t="shared" si="268"/>
        <v>0</v>
      </c>
      <c r="AC385" s="271">
        <f t="shared" si="269"/>
        <v>0</v>
      </c>
    </row>
    <row r="386" spans="4:29" ht="13.5" customHeight="1" x14ac:dyDescent="0.25">
      <c r="D386" s="82" t="str">
        <f t="shared" si="255"/>
        <v>Cow peas, dry</v>
      </c>
      <c r="E386" s="2">
        <f>ProjectedP205_Consumption!K19-E156-E234-E310</f>
        <v>0.50292637070127422</v>
      </c>
      <c r="F386" s="2">
        <f>ProjectedP205_Consumption!L19-F156-F234-F310</f>
        <v>0.47724139931852561</v>
      </c>
      <c r="G386" s="2">
        <f>ProjectedP205_Consumption!M19-G156-G234-G310</f>
        <v>0.50115849385207689</v>
      </c>
      <c r="J386" s="269">
        <f t="shared" si="256"/>
        <v>1</v>
      </c>
      <c r="K386" s="269">
        <f t="shared" si="257"/>
        <v>1</v>
      </c>
      <c r="L386" s="269">
        <f t="shared" si="258"/>
        <v>1</v>
      </c>
      <c r="M386" s="269">
        <f t="shared" si="259"/>
        <v>0</v>
      </c>
      <c r="N386" s="269">
        <f t="shared" si="260"/>
        <v>0</v>
      </c>
      <c r="O386" s="269">
        <f t="shared" si="261"/>
        <v>0</v>
      </c>
      <c r="P386" s="269">
        <f t="shared" si="262"/>
        <v>0</v>
      </c>
      <c r="Q386" s="269">
        <f t="shared" si="263"/>
        <v>0</v>
      </c>
      <c r="R386" s="269">
        <f t="shared" si="264"/>
        <v>0</v>
      </c>
      <c r="U386" s="271">
        <f t="shared" si="270"/>
        <v>1.093318197176683</v>
      </c>
      <c r="V386" s="271">
        <f t="shared" si="265"/>
        <v>1.0374813028663599</v>
      </c>
      <c r="W386" s="271">
        <f t="shared" si="266"/>
        <v>1.0894749866349498</v>
      </c>
      <c r="X386" s="271">
        <f t="shared" si="271"/>
        <v>0</v>
      </c>
      <c r="Y386" s="271">
        <f t="shared" si="272"/>
        <v>0</v>
      </c>
      <c r="Z386" s="271">
        <f t="shared" si="273"/>
        <v>0</v>
      </c>
      <c r="AA386" s="271">
        <f t="shared" si="274"/>
        <v>0</v>
      </c>
      <c r="AB386" s="271">
        <f t="shared" si="268"/>
        <v>0</v>
      </c>
      <c r="AC386" s="271">
        <f t="shared" si="269"/>
        <v>0</v>
      </c>
    </row>
    <row r="387" spans="4:29" ht="13.5" customHeight="1" x14ac:dyDescent="0.25">
      <c r="D387" s="82" t="str">
        <f t="shared" si="255"/>
        <v>Wheat</v>
      </c>
      <c r="E387" s="2">
        <f>ProjectedP205_Consumption!K20-E157-E235-E311</f>
        <v>1.5978491677137012</v>
      </c>
      <c r="F387" s="2">
        <f>ProjectedP205_Consumption!L20-F157-F235-F311</f>
        <v>1.9822993755389458</v>
      </c>
      <c r="G387" s="2">
        <f>ProjectedP205_Consumption!M20-G157-G235-G311</f>
        <v>2.4319376961836214</v>
      </c>
      <c r="J387" s="269">
        <f t="shared" si="256"/>
        <v>1</v>
      </c>
      <c r="K387" s="269">
        <f t="shared" si="257"/>
        <v>1</v>
      </c>
      <c r="L387" s="269">
        <f t="shared" si="258"/>
        <v>1</v>
      </c>
      <c r="M387" s="269">
        <f t="shared" si="259"/>
        <v>0</v>
      </c>
      <c r="N387" s="269">
        <f t="shared" si="260"/>
        <v>0</v>
      </c>
      <c r="O387" s="269">
        <f t="shared" si="261"/>
        <v>0</v>
      </c>
      <c r="P387" s="269">
        <f t="shared" si="262"/>
        <v>0</v>
      </c>
      <c r="Q387" s="269">
        <f t="shared" si="263"/>
        <v>0</v>
      </c>
      <c r="R387" s="269">
        <f t="shared" si="264"/>
        <v>0</v>
      </c>
      <c r="U387" s="271">
        <f t="shared" si="270"/>
        <v>3.473585147203698</v>
      </c>
      <c r="V387" s="271">
        <f t="shared" si="265"/>
        <v>4.309346468562925</v>
      </c>
      <c r="W387" s="271">
        <f t="shared" si="266"/>
        <v>5.2868210786600462</v>
      </c>
      <c r="X387" s="271">
        <f t="shared" si="271"/>
        <v>0</v>
      </c>
      <c r="Y387" s="271">
        <f t="shared" si="272"/>
        <v>0</v>
      </c>
      <c r="Z387" s="271">
        <f t="shared" si="273"/>
        <v>0</v>
      </c>
      <c r="AA387" s="271">
        <f t="shared" si="274"/>
        <v>0</v>
      </c>
      <c r="AB387" s="271">
        <f t="shared" si="268"/>
        <v>0</v>
      </c>
      <c r="AC387" s="271">
        <f t="shared" si="269"/>
        <v>0</v>
      </c>
    </row>
    <row r="388" spans="4:29" ht="13.5" customHeight="1" x14ac:dyDescent="0.25">
      <c r="D388" s="82" t="str">
        <f t="shared" si="255"/>
        <v>Onions and shallots, dry (excluding dehydrated)</v>
      </c>
      <c r="E388" s="2">
        <f>ProjectedP205_Consumption!K21-E158-E236-E312</f>
        <v>0.48546740216751216</v>
      </c>
      <c r="F388" s="2">
        <f>ProjectedP205_Consumption!L21-F158-F236-F312</f>
        <v>0.47050587898909102</v>
      </c>
      <c r="G388" s="2">
        <f>ProjectedP205_Consumption!M21-G158-G236-G312</f>
        <v>0.45094105042947447</v>
      </c>
      <c r="J388" s="269">
        <f t="shared" si="256"/>
        <v>1</v>
      </c>
      <c r="K388" s="269">
        <f t="shared" si="257"/>
        <v>1</v>
      </c>
      <c r="L388" s="269">
        <f t="shared" si="258"/>
        <v>1</v>
      </c>
      <c r="M388" s="269">
        <f t="shared" si="259"/>
        <v>0</v>
      </c>
      <c r="N388" s="269">
        <f t="shared" si="260"/>
        <v>0</v>
      </c>
      <c r="O388" s="269">
        <f t="shared" si="261"/>
        <v>0</v>
      </c>
      <c r="P388" s="269">
        <f t="shared" si="262"/>
        <v>0</v>
      </c>
      <c r="Q388" s="269">
        <f t="shared" si="263"/>
        <v>0</v>
      </c>
      <c r="R388" s="269">
        <f t="shared" si="264"/>
        <v>0</v>
      </c>
      <c r="U388" s="271">
        <f t="shared" si="270"/>
        <v>1.0553639177554612</v>
      </c>
      <c r="V388" s="271">
        <f t="shared" si="265"/>
        <v>1.0228388673675892</v>
      </c>
      <c r="W388" s="271">
        <f t="shared" si="266"/>
        <v>0.98030663136842267</v>
      </c>
      <c r="X388" s="271">
        <f t="shared" si="271"/>
        <v>0</v>
      </c>
      <c r="Y388" s="271">
        <f t="shared" si="272"/>
        <v>0</v>
      </c>
      <c r="Z388" s="271">
        <f t="shared" si="273"/>
        <v>0</v>
      </c>
      <c r="AA388" s="271">
        <f t="shared" si="274"/>
        <v>0</v>
      </c>
      <c r="AB388" s="271">
        <f t="shared" si="268"/>
        <v>0</v>
      </c>
      <c r="AC388" s="271">
        <f t="shared" si="269"/>
        <v>0</v>
      </c>
    </row>
    <row r="389" spans="4:29" ht="13.5" customHeight="1" x14ac:dyDescent="0.25">
      <c r="D389" s="82" t="str">
        <f t="shared" si="255"/>
        <v>Bananas</v>
      </c>
      <c r="E389" s="2">
        <f>ProjectedP205_Consumption!K22-E159-E237-E313</f>
        <v>0.38071983921066299</v>
      </c>
      <c r="F389" s="2">
        <f>ProjectedP205_Consumption!L22-F159-F237-F313</f>
        <v>0.36092447698238034</v>
      </c>
      <c r="G389" s="2">
        <f>ProjectedP205_Consumption!M22-G159-G237-G313</f>
        <v>0.33835835140185633</v>
      </c>
      <c r="J389" s="269">
        <f t="shared" si="256"/>
        <v>1</v>
      </c>
      <c r="K389" s="269">
        <f t="shared" si="257"/>
        <v>1</v>
      </c>
      <c r="L389" s="269">
        <f t="shared" si="258"/>
        <v>1</v>
      </c>
      <c r="M389" s="269">
        <f t="shared" si="259"/>
        <v>0</v>
      </c>
      <c r="N389" s="269">
        <f t="shared" si="260"/>
        <v>0</v>
      </c>
      <c r="O389" s="269">
        <f t="shared" si="261"/>
        <v>0</v>
      </c>
      <c r="P389" s="269">
        <f t="shared" si="262"/>
        <v>0</v>
      </c>
      <c r="Q389" s="269">
        <f t="shared" si="263"/>
        <v>0</v>
      </c>
      <c r="R389" s="269">
        <f t="shared" si="264"/>
        <v>0</v>
      </c>
      <c r="U389" s="271">
        <f t="shared" si="270"/>
        <v>0.82765182437100648</v>
      </c>
      <c r="V389" s="271">
        <f t="shared" si="265"/>
        <v>0.78461842822256589</v>
      </c>
      <c r="W389" s="271">
        <f t="shared" si="266"/>
        <v>0.73556163348229631</v>
      </c>
      <c r="X389" s="271">
        <f t="shared" si="271"/>
        <v>0</v>
      </c>
      <c r="Y389" s="271">
        <f t="shared" si="272"/>
        <v>0</v>
      </c>
      <c r="Z389" s="271">
        <f t="shared" si="273"/>
        <v>0</v>
      </c>
      <c r="AA389" s="271">
        <f t="shared" si="274"/>
        <v>0</v>
      </c>
      <c r="AB389" s="271">
        <f t="shared" si="268"/>
        <v>0</v>
      </c>
      <c r="AC389" s="271">
        <f t="shared" si="269"/>
        <v>0</v>
      </c>
    </row>
    <row r="390" spans="4:29" ht="13.5" customHeight="1" x14ac:dyDescent="0.25">
      <c r="D390" s="82" t="str">
        <f t="shared" si="255"/>
        <v>Mangoes, guavas and mangosteens</v>
      </c>
      <c r="E390" s="2">
        <f>ProjectedP205_Consumption!K23-E160-E238-E314</f>
        <v>0.38241756481390921</v>
      </c>
      <c r="F390" s="2">
        <f>ProjectedP205_Consumption!L23-F160-F238-F314</f>
        <v>0.36569776411257121</v>
      </c>
      <c r="G390" s="2">
        <f>ProjectedP205_Consumption!M23-G160-G238-G314</f>
        <v>0.34582510342814415</v>
      </c>
      <c r="J390" s="269">
        <f t="shared" si="256"/>
        <v>1</v>
      </c>
      <c r="K390" s="269">
        <f t="shared" si="257"/>
        <v>1</v>
      </c>
      <c r="L390" s="269">
        <f t="shared" si="258"/>
        <v>1</v>
      </c>
      <c r="M390" s="269">
        <f t="shared" si="259"/>
        <v>0</v>
      </c>
      <c r="N390" s="269">
        <f t="shared" si="260"/>
        <v>0</v>
      </c>
      <c r="O390" s="269">
        <f t="shared" si="261"/>
        <v>0</v>
      </c>
      <c r="P390" s="269">
        <f t="shared" si="262"/>
        <v>0</v>
      </c>
      <c r="Q390" s="269">
        <f t="shared" si="263"/>
        <v>0</v>
      </c>
      <c r="R390" s="269">
        <f t="shared" si="264"/>
        <v>0</v>
      </c>
      <c r="U390" s="271">
        <f t="shared" si="270"/>
        <v>0.83134253220415044</v>
      </c>
      <c r="V390" s="271">
        <f t="shared" si="265"/>
        <v>0.79499513937515476</v>
      </c>
      <c r="W390" s="271">
        <f t="shared" si="266"/>
        <v>0.7517937031046612</v>
      </c>
      <c r="X390" s="271">
        <f t="shared" si="271"/>
        <v>0</v>
      </c>
      <c r="Y390" s="271">
        <f t="shared" si="272"/>
        <v>0</v>
      </c>
      <c r="Z390" s="271">
        <f t="shared" si="273"/>
        <v>0</v>
      </c>
      <c r="AA390" s="271">
        <f t="shared" si="274"/>
        <v>0</v>
      </c>
      <c r="AB390" s="271">
        <f t="shared" si="268"/>
        <v>0</v>
      </c>
      <c r="AC390" s="271">
        <f t="shared" si="269"/>
        <v>0</v>
      </c>
    </row>
    <row r="391" spans="4:29" ht="13.5" customHeight="1" x14ac:dyDescent="0.25">
      <c r="D391" s="82" t="str">
        <f t="shared" si="255"/>
        <v>Cantaloupes and other melons</v>
      </c>
      <c r="E391" s="2">
        <f>ProjectedP205_Consumption!K24-E161-E239-E315</f>
        <v>0.3727671329040641</v>
      </c>
      <c r="F391" s="2">
        <f>ProjectedP205_Consumption!L24-F161-F239-F315</f>
        <v>0.35746709524005837</v>
      </c>
      <c r="G391" s="2">
        <f>ProjectedP205_Consumption!M24-G161-G239-G315</f>
        <v>0.33898795435507667</v>
      </c>
      <c r="J391" s="269">
        <f t="shared" si="256"/>
        <v>1</v>
      </c>
      <c r="K391" s="269">
        <f t="shared" si="257"/>
        <v>1</v>
      </c>
      <c r="L391" s="269">
        <f t="shared" si="258"/>
        <v>1</v>
      </c>
      <c r="M391" s="269">
        <f t="shared" si="259"/>
        <v>0</v>
      </c>
      <c r="N391" s="269">
        <f t="shared" si="260"/>
        <v>0</v>
      </c>
      <c r="O391" s="269">
        <f t="shared" si="261"/>
        <v>0</v>
      </c>
      <c r="P391" s="269">
        <f t="shared" si="262"/>
        <v>0</v>
      </c>
      <c r="Q391" s="269">
        <f t="shared" si="263"/>
        <v>0</v>
      </c>
      <c r="R391" s="269">
        <f t="shared" si="264"/>
        <v>0</v>
      </c>
      <c r="U391" s="271">
        <f t="shared" si="270"/>
        <v>0.81036333240013936</v>
      </c>
      <c r="V391" s="271">
        <f t="shared" si="265"/>
        <v>0.77710238095664863</v>
      </c>
      <c r="W391" s="271">
        <f t="shared" si="266"/>
        <v>0.73693033555451448</v>
      </c>
      <c r="X391" s="271">
        <f t="shared" si="271"/>
        <v>0</v>
      </c>
      <c r="Y391" s="271">
        <f t="shared" si="272"/>
        <v>0</v>
      </c>
      <c r="Z391" s="271">
        <f t="shared" si="273"/>
        <v>0</v>
      </c>
      <c r="AA391" s="271">
        <f t="shared" si="274"/>
        <v>0</v>
      </c>
      <c r="AB391" s="271">
        <f t="shared" si="268"/>
        <v>0</v>
      </c>
      <c r="AC391" s="271">
        <f t="shared" si="269"/>
        <v>0</v>
      </c>
    </row>
    <row r="392" spans="4:29" ht="13.5" customHeight="1" x14ac:dyDescent="0.25">
      <c r="D392" s="82" t="str">
        <f t="shared" si="255"/>
        <v>Sunflower seed</v>
      </c>
      <c r="E392" s="2">
        <f>ProjectedP205_Consumption!K25-E162-E240-E316</f>
        <v>0.47484792382679375</v>
      </c>
      <c r="F392" s="2">
        <f>ProjectedP205_Consumption!L25-F162-F240-F316</f>
        <v>0.46485784971418859</v>
      </c>
      <c r="G392" s="2">
        <f>ProjectedP205_Consumption!M25-G162-G240-G316</f>
        <v>0.45002385072961992</v>
      </c>
      <c r="J392" s="269">
        <f t="shared" si="256"/>
        <v>1</v>
      </c>
      <c r="K392" s="269">
        <f t="shared" si="257"/>
        <v>1</v>
      </c>
      <c r="L392" s="269">
        <f t="shared" si="258"/>
        <v>1</v>
      </c>
      <c r="M392" s="269">
        <f t="shared" si="259"/>
        <v>0</v>
      </c>
      <c r="N392" s="269">
        <f t="shared" si="260"/>
        <v>0</v>
      </c>
      <c r="O392" s="269">
        <f t="shared" si="261"/>
        <v>0</v>
      </c>
      <c r="P392" s="269">
        <f t="shared" si="262"/>
        <v>0</v>
      </c>
      <c r="Q392" s="269">
        <f t="shared" si="263"/>
        <v>0</v>
      </c>
      <c r="R392" s="269">
        <f t="shared" si="264"/>
        <v>0</v>
      </c>
      <c r="U392" s="271">
        <f t="shared" si="270"/>
        <v>1.0322780952756385</v>
      </c>
      <c r="V392" s="271">
        <f t="shared" si="265"/>
        <v>1.0105605428569318</v>
      </c>
      <c r="W392" s="271">
        <f t="shared" si="266"/>
        <v>0.97831271897743455</v>
      </c>
      <c r="X392" s="271">
        <f t="shared" si="271"/>
        <v>0</v>
      </c>
      <c r="Y392" s="271">
        <f t="shared" si="272"/>
        <v>0</v>
      </c>
      <c r="Z392" s="271">
        <f t="shared" si="273"/>
        <v>0</v>
      </c>
      <c r="AA392" s="271">
        <f t="shared" si="274"/>
        <v>0</v>
      </c>
      <c r="AB392" s="271">
        <f t="shared" si="268"/>
        <v>0</v>
      </c>
      <c r="AC392" s="271">
        <f t="shared" si="269"/>
        <v>0</v>
      </c>
    </row>
    <row r="393" spans="4:29" ht="13.5" customHeight="1" x14ac:dyDescent="0.25">
      <c r="D393" s="82" t="str">
        <f t="shared" si="255"/>
        <v>Cauliflowers and broccoli</v>
      </c>
      <c r="E393" s="2">
        <f>ProjectedP205_Consumption!K26-E163-E241-E317</f>
        <v>0.33714286102627</v>
      </c>
      <c r="F393" s="2">
        <f>ProjectedP205_Consumption!L26-F163-F241-F317</f>
        <v>0.32154291048386929</v>
      </c>
      <c r="G393" s="2">
        <f>ProjectedP205_Consumption!M26-G163-G241-G317</f>
        <v>0.30325896336743496</v>
      </c>
      <c r="J393" s="269">
        <f t="shared" si="256"/>
        <v>1</v>
      </c>
      <c r="K393" s="269">
        <f t="shared" si="257"/>
        <v>1</v>
      </c>
      <c r="L393" s="269">
        <f t="shared" si="258"/>
        <v>1</v>
      </c>
      <c r="M393" s="269">
        <f t="shared" si="259"/>
        <v>0</v>
      </c>
      <c r="N393" s="269">
        <f t="shared" si="260"/>
        <v>0</v>
      </c>
      <c r="O393" s="269">
        <f t="shared" si="261"/>
        <v>0</v>
      </c>
      <c r="P393" s="269">
        <f t="shared" si="262"/>
        <v>0</v>
      </c>
      <c r="Q393" s="269">
        <f t="shared" si="263"/>
        <v>0</v>
      </c>
      <c r="R393" s="269">
        <f t="shared" si="264"/>
        <v>0</v>
      </c>
      <c r="U393" s="271">
        <f t="shared" si="270"/>
        <v>0.73291926310058697</v>
      </c>
      <c r="V393" s="271">
        <f t="shared" si="265"/>
        <v>0.69900632713884625</v>
      </c>
      <c r="W393" s="271">
        <f t="shared" si="266"/>
        <v>0.65925861601616298</v>
      </c>
      <c r="X393" s="271">
        <f t="shared" si="271"/>
        <v>0</v>
      </c>
      <c r="Y393" s="271">
        <f t="shared" si="272"/>
        <v>0</v>
      </c>
      <c r="Z393" s="271">
        <f t="shared" si="273"/>
        <v>0</v>
      </c>
      <c r="AA393" s="271">
        <f t="shared" si="274"/>
        <v>0</v>
      </c>
      <c r="AB393" s="271">
        <f t="shared" si="268"/>
        <v>0</v>
      </c>
      <c r="AC393" s="271">
        <f t="shared" si="269"/>
        <v>0</v>
      </c>
    </row>
    <row r="394" spans="4:29" ht="13.5" customHeight="1" x14ac:dyDescent="0.25">
      <c r="D394" s="82" t="str">
        <f t="shared" si="255"/>
        <v>Seed cotton, unginned</v>
      </c>
      <c r="E394" s="2">
        <f>ProjectedP205_Consumption!K27-E164-E242-E318</f>
        <v>1.1986167455801309</v>
      </c>
      <c r="F394" s="2">
        <f>ProjectedP205_Consumption!L27-F164-F242-F318</f>
        <v>1.2226465781108873</v>
      </c>
      <c r="G394" s="2">
        <f>ProjectedP205_Consumption!M27-G164-G242-G318</f>
        <v>1.3670158432128012</v>
      </c>
      <c r="J394" s="269">
        <f t="shared" si="256"/>
        <v>1</v>
      </c>
      <c r="K394" s="269">
        <f t="shared" si="257"/>
        <v>1</v>
      </c>
      <c r="L394" s="269">
        <f t="shared" si="258"/>
        <v>1</v>
      </c>
      <c r="M394" s="269">
        <f t="shared" si="259"/>
        <v>0</v>
      </c>
      <c r="N394" s="269">
        <f t="shared" si="260"/>
        <v>0</v>
      </c>
      <c r="O394" s="269">
        <f t="shared" si="261"/>
        <v>0</v>
      </c>
      <c r="P394" s="269">
        <f t="shared" si="262"/>
        <v>0</v>
      </c>
      <c r="Q394" s="269">
        <f t="shared" si="263"/>
        <v>0</v>
      </c>
      <c r="R394" s="269">
        <f t="shared" si="264"/>
        <v>0</v>
      </c>
      <c r="U394" s="271">
        <f t="shared" si="270"/>
        <v>2.6056885773481104</v>
      </c>
      <c r="V394" s="271">
        <f t="shared" si="265"/>
        <v>2.65792734371932</v>
      </c>
      <c r="W394" s="271">
        <f t="shared" si="266"/>
        <v>2.9717735722017418</v>
      </c>
      <c r="X394" s="271">
        <f t="shared" si="271"/>
        <v>0</v>
      </c>
      <c r="Y394" s="271">
        <f t="shared" si="272"/>
        <v>0</v>
      </c>
      <c r="Z394" s="271">
        <f t="shared" si="273"/>
        <v>0</v>
      </c>
      <c r="AA394" s="271">
        <f t="shared" si="274"/>
        <v>0</v>
      </c>
      <c r="AB394" s="271">
        <f t="shared" si="268"/>
        <v>0</v>
      </c>
      <c r="AC394" s="271">
        <f t="shared" si="269"/>
        <v>0</v>
      </c>
    </row>
    <row r="395" spans="4:29" ht="13.5" customHeight="1" x14ac:dyDescent="0.25">
      <c r="D395" s="82" t="str">
        <f t="shared" si="255"/>
        <v>Cucumbers and gherkins</v>
      </c>
      <c r="E395" s="2">
        <f>ProjectedP205_Consumption!K28-E165-E243-E319</f>
        <v>0.29316517446579826</v>
      </c>
      <c r="F395" s="2">
        <f>ProjectedP205_Consumption!L28-F165-F243-F319</f>
        <v>0.2843789446143295</v>
      </c>
      <c r="G395" s="2">
        <f>ProjectedP205_Consumption!M28-G165-G243-G319</f>
        <v>0.272792379929294</v>
      </c>
      <c r="J395" s="269">
        <f t="shared" si="256"/>
        <v>1</v>
      </c>
      <c r="K395" s="269">
        <f t="shared" si="257"/>
        <v>1</v>
      </c>
      <c r="L395" s="269">
        <f t="shared" si="258"/>
        <v>1</v>
      </c>
      <c r="M395" s="269">
        <f t="shared" si="259"/>
        <v>0</v>
      </c>
      <c r="N395" s="269">
        <f t="shared" si="260"/>
        <v>0</v>
      </c>
      <c r="O395" s="269">
        <f t="shared" si="261"/>
        <v>0</v>
      </c>
      <c r="P395" s="269">
        <f t="shared" si="262"/>
        <v>0</v>
      </c>
      <c r="Q395" s="269">
        <f t="shared" si="263"/>
        <v>0</v>
      </c>
      <c r="R395" s="269">
        <f t="shared" si="264"/>
        <v>0</v>
      </c>
      <c r="U395" s="271">
        <f t="shared" si="270"/>
        <v>0.63731559666477877</v>
      </c>
      <c r="V395" s="271">
        <f t="shared" si="265"/>
        <v>0.61821509698767274</v>
      </c>
      <c r="W395" s="271">
        <f t="shared" si="266"/>
        <v>0.5930269128897695</v>
      </c>
      <c r="X395" s="271">
        <f t="shared" si="271"/>
        <v>0</v>
      </c>
      <c r="Y395" s="271">
        <f t="shared" si="272"/>
        <v>0</v>
      </c>
      <c r="Z395" s="271">
        <f t="shared" si="273"/>
        <v>0</v>
      </c>
      <c r="AA395" s="271">
        <f t="shared" si="274"/>
        <v>0</v>
      </c>
      <c r="AB395" s="271">
        <f t="shared" si="268"/>
        <v>0</v>
      </c>
      <c r="AC395" s="271">
        <f t="shared" si="269"/>
        <v>0</v>
      </c>
    </row>
    <row r="396" spans="4:29" ht="13.5" customHeight="1" x14ac:dyDescent="0.25">
      <c r="D396" s="82" t="str">
        <f t="shared" si="255"/>
        <v>Tomatoes</v>
      </c>
      <c r="E396" s="2">
        <f>ProjectedP205_Consumption!K29-E166-E244-E320</f>
        <v>0.28779392898223954</v>
      </c>
      <c r="F396" s="2">
        <f>ProjectedP205_Consumption!L29-F166-F244-F320</f>
        <v>0.27396161641139383</v>
      </c>
      <c r="G396" s="2">
        <f>ProjectedP205_Consumption!M29-G166-G244-G320</f>
        <v>0.25789774730196258</v>
      </c>
      <c r="J396" s="269">
        <f t="shared" si="256"/>
        <v>1</v>
      </c>
      <c r="K396" s="269">
        <f t="shared" si="257"/>
        <v>1</v>
      </c>
      <c r="L396" s="269">
        <f t="shared" si="258"/>
        <v>1</v>
      </c>
      <c r="M396" s="269">
        <f t="shared" si="259"/>
        <v>0</v>
      </c>
      <c r="N396" s="269">
        <f t="shared" si="260"/>
        <v>0</v>
      </c>
      <c r="O396" s="269">
        <f t="shared" si="261"/>
        <v>0</v>
      </c>
      <c r="P396" s="269">
        <f t="shared" si="262"/>
        <v>0</v>
      </c>
      <c r="Q396" s="269">
        <f t="shared" si="263"/>
        <v>0</v>
      </c>
      <c r="R396" s="269">
        <f t="shared" si="264"/>
        <v>0</v>
      </c>
      <c r="U396" s="271">
        <f t="shared" si="270"/>
        <v>0.62563897604834684</v>
      </c>
      <c r="V396" s="271">
        <f t="shared" si="265"/>
        <v>0.59556873132911703</v>
      </c>
      <c r="W396" s="271">
        <f t="shared" si="266"/>
        <v>0.56064727674339687</v>
      </c>
      <c r="X396" s="271">
        <f t="shared" si="271"/>
        <v>0</v>
      </c>
      <c r="Y396" s="271">
        <f t="shared" si="272"/>
        <v>0</v>
      </c>
      <c r="Z396" s="271">
        <f t="shared" si="273"/>
        <v>0</v>
      </c>
      <c r="AA396" s="271">
        <f t="shared" si="274"/>
        <v>0</v>
      </c>
      <c r="AB396" s="271">
        <f t="shared" si="268"/>
        <v>0</v>
      </c>
      <c r="AC396" s="271">
        <f t="shared" si="269"/>
        <v>0</v>
      </c>
    </row>
    <row r="397" spans="4:29" ht="13.5" customHeight="1" x14ac:dyDescent="0.25">
      <c r="D397" s="82" t="str">
        <f t="shared" si="255"/>
        <v>Potatoes</v>
      </c>
      <c r="E397" s="2">
        <f>ProjectedP205_Consumption!K30-E167-E245-E321</f>
        <v>0.26738199902113624</v>
      </c>
      <c r="F397" s="2">
        <f>ProjectedP205_Consumption!L30-F167-F245-F321</f>
        <v>0.25398488628862093</v>
      </c>
      <c r="G397" s="2">
        <f>ProjectedP205_Consumption!M30-G167-G245-G321</f>
        <v>0.23857960728530131</v>
      </c>
      <c r="J397" s="269">
        <f t="shared" si="256"/>
        <v>1</v>
      </c>
      <c r="K397" s="269">
        <f t="shared" si="257"/>
        <v>1</v>
      </c>
      <c r="L397" s="269">
        <f t="shared" si="258"/>
        <v>1</v>
      </c>
      <c r="M397" s="269">
        <f t="shared" si="259"/>
        <v>0</v>
      </c>
      <c r="N397" s="269">
        <f t="shared" si="260"/>
        <v>0</v>
      </c>
      <c r="O397" s="269">
        <f t="shared" si="261"/>
        <v>0</v>
      </c>
      <c r="P397" s="269">
        <f t="shared" si="262"/>
        <v>0</v>
      </c>
      <c r="Q397" s="269">
        <f t="shared" si="263"/>
        <v>0</v>
      </c>
      <c r="R397" s="269">
        <f t="shared" si="264"/>
        <v>0</v>
      </c>
      <c r="U397" s="271">
        <f t="shared" si="270"/>
        <v>0.58126521526333963</v>
      </c>
      <c r="V397" s="271">
        <f t="shared" si="265"/>
        <v>0.55214105714917594</v>
      </c>
      <c r="W397" s="271">
        <f t="shared" si="266"/>
        <v>0.51865132018543758</v>
      </c>
      <c r="X397" s="271">
        <f t="shared" si="271"/>
        <v>0</v>
      </c>
      <c r="Y397" s="271">
        <f t="shared" si="272"/>
        <v>0</v>
      </c>
      <c r="Z397" s="271">
        <f t="shared" si="273"/>
        <v>0</v>
      </c>
      <c r="AA397" s="271">
        <f t="shared" si="274"/>
        <v>0</v>
      </c>
      <c r="AB397" s="271">
        <f t="shared" si="268"/>
        <v>0</v>
      </c>
      <c r="AC397" s="271">
        <f t="shared" si="269"/>
        <v>0</v>
      </c>
    </row>
    <row r="398" spans="4:29" ht="13.5" customHeight="1" x14ac:dyDescent="0.25">
      <c r="D398" s="82" t="str">
        <f t="shared" si="255"/>
        <v>Pumpkins, squash and gourds</v>
      </c>
      <c r="E398" s="2">
        <f>ProjectedP205_Consumption!K31-E168-E246-E322</f>
        <v>0.2541320453471243</v>
      </c>
      <c r="F398" s="2">
        <f>ProjectedP205_Consumption!L31-F168-F246-F322</f>
        <v>0.24115110901451753</v>
      </c>
      <c r="G398" s="2">
        <f>ProjectedP205_Consumption!M31-G168-G246-G322</f>
        <v>0.22629180793918827</v>
      </c>
      <c r="J398" s="269">
        <f t="shared" si="256"/>
        <v>1</v>
      </c>
      <c r="K398" s="269">
        <f t="shared" si="257"/>
        <v>1</v>
      </c>
      <c r="L398" s="269">
        <f t="shared" si="258"/>
        <v>1</v>
      </c>
      <c r="M398" s="269">
        <f t="shared" si="259"/>
        <v>0</v>
      </c>
      <c r="N398" s="269">
        <f t="shared" si="260"/>
        <v>0</v>
      </c>
      <c r="O398" s="269">
        <f t="shared" si="261"/>
        <v>0</v>
      </c>
      <c r="P398" s="269">
        <f t="shared" si="262"/>
        <v>0</v>
      </c>
      <c r="Q398" s="269">
        <f t="shared" si="263"/>
        <v>0</v>
      </c>
      <c r="R398" s="269">
        <f t="shared" si="264"/>
        <v>0</v>
      </c>
      <c r="U398" s="271">
        <f t="shared" si="270"/>
        <v>0.55246096814592238</v>
      </c>
      <c r="V398" s="271">
        <f t="shared" si="265"/>
        <v>0.52424154133590761</v>
      </c>
      <c r="W398" s="271">
        <f t="shared" si="266"/>
        <v>0.49193871291127883</v>
      </c>
      <c r="X398" s="271">
        <f t="shared" si="271"/>
        <v>0</v>
      </c>
      <c r="Y398" s="271">
        <f t="shared" si="272"/>
        <v>0</v>
      </c>
      <c r="Z398" s="271">
        <f t="shared" si="273"/>
        <v>0</v>
      </c>
      <c r="AA398" s="271">
        <f t="shared" si="274"/>
        <v>0</v>
      </c>
      <c r="AB398" s="271">
        <f t="shared" si="268"/>
        <v>0</v>
      </c>
      <c r="AC398" s="271">
        <f t="shared" si="269"/>
        <v>0</v>
      </c>
    </row>
    <row r="399" spans="4:29" ht="13.5" customHeight="1" x14ac:dyDescent="0.25">
      <c r="D399" s="82" t="str">
        <f t="shared" si="255"/>
        <v>Dates</v>
      </c>
      <c r="E399" s="2">
        <f>ProjectedP205_Consumption!K32-E169-E247-E323</f>
        <v>0.25680030186768305</v>
      </c>
      <c r="F399" s="2">
        <f>ProjectedP205_Consumption!L32-F169-F247-F323</f>
        <v>0.24559583807665658</v>
      </c>
      <c r="G399" s="2">
        <f>ProjectedP205_Consumption!M32-G169-G247-G323</f>
        <v>0.23227165417227513</v>
      </c>
      <c r="J399" s="269">
        <f t="shared" si="256"/>
        <v>1</v>
      </c>
      <c r="K399" s="269">
        <f t="shared" si="257"/>
        <v>1</v>
      </c>
      <c r="L399" s="269">
        <f t="shared" si="258"/>
        <v>1</v>
      </c>
      <c r="M399" s="269">
        <f t="shared" si="259"/>
        <v>0</v>
      </c>
      <c r="N399" s="269">
        <f t="shared" si="260"/>
        <v>0</v>
      </c>
      <c r="O399" s="269">
        <f t="shared" si="261"/>
        <v>0</v>
      </c>
      <c r="P399" s="269">
        <f t="shared" si="262"/>
        <v>0</v>
      </c>
      <c r="Q399" s="269">
        <f t="shared" si="263"/>
        <v>0</v>
      </c>
      <c r="R399" s="269">
        <f t="shared" si="264"/>
        <v>0</v>
      </c>
      <c r="U399" s="271">
        <f t="shared" si="270"/>
        <v>0.55826152579931099</v>
      </c>
      <c r="V399" s="271">
        <f t="shared" si="265"/>
        <v>0.53390399581881864</v>
      </c>
      <c r="W399" s="271">
        <f t="shared" si="266"/>
        <v>0.50493837863538071</v>
      </c>
      <c r="X399" s="271">
        <f t="shared" si="271"/>
        <v>0</v>
      </c>
      <c r="Y399" s="271">
        <f t="shared" si="272"/>
        <v>0</v>
      </c>
      <c r="Z399" s="271">
        <f t="shared" si="273"/>
        <v>0</v>
      </c>
      <c r="AA399" s="271">
        <f t="shared" si="274"/>
        <v>0</v>
      </c>
      <c r="AB399" s="271">
        <f t="shared" si="268"/>
        <v>0</v>
      </c>
      <c r="AC399" s="271">
        <f t="shared" si="269"/>
        <v>0</v>
      </c>
    </row>
    <row r="400" spans="4:29" ht="13.5" customHeight="1" x14ac:dyDescent="0.25">
      <c r="D400" s="82" t="str">
        <f t="shared" si="255"/>
        <v>Pomelos and grapefruits</v>
      </c>
      <c r="E400" s="2">
        <f>ProjectedP205_Consumption!K33-E170-E248-E324</f>
        <v>0.24300150079442087</v>
      </c>
      <c r="F400" s="2">
        <f>ProjectedP205_Consumption!L33-F170-F248-F324</f>
        <v>0.23933894780316217</v>
      </c>
      <c r="G400" s="2">
        <f>ProjectedP205_Consumption!M33-G170-G248-G324</f>
        <v>0.23311355960631649</v>
      </c>
      <c r="J400" s="269">
        <f t="shared" si="256"/>
        <v>1</v>
      </c>
      <c r="K400" s="269">
        <f t="shared" si="257"/>
        <v>1</v>
      </c>
      <c r="L400" s="269">
        <f t="shared" si="258"/>
        <v>1</v>
      </c>
      <c r="M400" s="269">
        <f t="shared" si="259"/>
        <v>0</v>
      </c>
      <c r="N400" s="269">
        <f t="shared" si="260"/>
        <v>0</v>
      </c>
      <c r="O400" s="269">
        <f t="shared" si="261"/>
        <v>0</v>
      </c>
      <c r="P400" s="269">
        <f t="shared" si="262"/>
        <v>0</v>
      </c>
      <c r="Q400" s="269">
        <f t="shared" si="263"/>
        <v>0</v>
      </c>
      <c r="R400" s="269">
        <f t="shared" si="264"/>
        <v>0</v>
      </c>
      <c r="U400" s="271">
        <f t="shared" si="270"/>
        <v>0.52826413216178447</v>
      </c>
      <c r="V400" s="271">
        <f t="shared" si="265"/>
        <v>0.52030206044165683</v>
      </c>
      <c r="W400" s="271">
        <f t="shared" si="266"/>
        <v>0.50676860783981847</v>
      </c>
      <c r="X400" s="271">
        <f t="shared" si="271"/>
        <v>0</v>
      </c>
      <c r="Y400" s="271">
        <f t="shared" si="272"/>
        <v>0</v>
      </c>
      <c r="Z400" s="271">
        <f t="shared" si="273"/>
        <v>0</v>
      </c>
      <c r="AA400" s="271">
        <f t="shared" si="274"/>
        <v>0</v>
      </c>
      <c r="AB400" s="271">
        <f t="shared" si="268"/>
        <v>0</v>
      </c>
      <c r="AC400" s="271">
        <f t="shared" si="269"/>
        <v>0</v>
      </c>
    </row>
    <row r="401" spans="4:29" ht="13.5" customHeight="1" x14ac:dyDescent="0.25">
      <c r="D401" s="82" t="str">
        <f t="shared" si="255"/>
        <v>Okra</v>
      </c>
      <c r="E401" s="2">
        <f>ProjectedP205_Consumption!K34-E171-E249-E325</f>
        <v>0.21397399240739198</v>
      </c>
      <c r="F401" s="2">
        <f>ProjectedP205_Consumption!L34-F171-F249-F325</f>
        <v>0.20323641428101408</v>
      </c>
      <c r="G401" s="2">
        <f>ProjectedP205_Consumption!M34-G171-G249-G325</f>
        <v>0.19089378760015793</v>
      </c>
      <c r="J401" s="269">
        <f t="shared" si="256"/>
        <v>1</v>
      </c>
      <c r="K401" s="269">
        <f t="shared" si="257"/>
        <v>1</v>
      </c>
      <c r="L401" s="269">
        <f t="shared" si="258"/>
        <v>1</v>
      </c>
      <c r="M401" s="269">
        <f t="shared" si="259"/>
        <v>0</v>
      </c>
      <c r="N401" s="269">
        <f t="shared" si="260"/>
        <v>0</v>
      </c>
      <c r="O401" s="269">
        <f t="shared" si="261"/>
        <v>0</v>
      </c>
      <c r="P401" s="269">
        <f t="shared" si="262"/>
        <v>0</v>
      </c>
      <c r="Q401" s="269">
        <f t="shared" si="263"/>
        <v>0</v>
      </c>
      <c r="R401" s="269">
        <f t="shared" si="264"/>
        <v>0</v>
      </c>
      <c r="U401" s="271">
        <f t="shared" si="270"/>
        <v>0.4651608530595478</v>
      </c>
      <c r="V401" s="271">
        <f t="shared" si="265"/>
        <v>0.44181829191524796</v>
      </c>
      <c r="W401" s="271">
        <f t="shared" si="266"/>
        <v>0.41498649478295202</v>
      </c>
      <c r="X401" s="271">
        <f t="shared" si="271"/>
        <v>0</v>
      </c>
      <c r="Y401" s="271">
        <f t="shared" si="272"/>
        <v>0</v>
      </c>
      <c r="Z401" s="271">
        <f t="shared" si="273"/>
        <v>0</v>
      </c>
      <c r="AA401" s="271">
        <f t="shared" si="274"/>
        <v>0</v>
      </c>
      <c r="AB401" s="271">
        <f t="shared" si="268"/>
        <v>0</v>
      </c>
      <c r="AC401" s="271">
        <f t="shared" si="269"/>
        <v>0</v>
      </c>
    </row>
    <row r="402" spans="4:29" ht="13.5" customHeight="1" x14ac:dyDescent="0.25">
      <c r="D402" s="82" t="str">
        <f t="shared" si="255"/>
        <v>Lemons and limes</v>
      </c>
      <c r="E402" s="2">
        <f>ProjectedP205_Consumption!K35-E172-E250-E326</f>
        <v>0.23765413589513226</v>
      </c>
      <c r="F402" s="2">
        <f>ProjectedP205_Consumption!L35-F172-F250-F326</f>
        <v>0.23227320236517676</v>
      </c>
      <c r="G402" s="2">
        <f>ProjectedP205_Consumption!M35-G172-G250-G326</f>
        <v>0.22449288208439083</v>
      </c>
      <c r="J402" s="269">
        <f t="shared" si="256"/>
        <v>1</v>
      </c>
      <c r="K402" s="269">
        <f t="shared" si="257"/>
        <v>1</v>
      </c>
      <c r="L402" s="269">
        <f t="shared" si="258"/>
        <v>1</v>
      </c>
      <c r="M402" s="269">
        <f t="shared" si="259"/>
        <v>0</v>
      </c>
      <c r="N402" s="269">
        <f t="shared" si="260"/>
        <v>0</v>
      </c>
      <c r="O402" s="269">
        <f t="shared" si="261"/>
        <v>0</v>
      </c>
      <c r="P402" s="269">
        <f t="shared" si="262"/>
        <v>0</v>
      </c>
      <c r="Q402" s="269">
        <f t="shared" si="263"/>
        <v>0</v>
      </c>
      <c r="R402" s="269">
        <f t="shared" si="264"/>
        <v>0</v>
      </c>
      <c r="U402" s="271">
        <f t="shared" si="270"/>
        <v>0.51663942585898315</v>
      </c>
      <c r="V402" s="271">
        <f t="shared" si="265"/>
        <v>0.50494174427212335</v>
      </c>
      <c r="W402" s="271">
        <f t="shared" si="266"/>
        <v>0.48802800453128442</v>
      </c>
      <c r="X402" s="271">
        <f t="shared" si="271"/>
        <v>0</v>
      </c>
      <c r="Y402" s="271">
        <f t="shared" si="272"/>
        <v>0</v>
      </c>
      <c r="Z402" s="271">
        <f t="shared" si="273"/>
        <v>0</v>
      </c>
      <c r="AA402" s="271">
        <f t="shared" si="274"/>
        <v>0</v>
      </c>
      <c r="AB402" s="271">
        <f t="shared" si="268"/>
        <v>0</v>
      </c>
      <c r="AC402" s="271">
        <f t="shared" si="269"/>
        <v>0</v>
      </c>
    </row>
    <row r="403" spans="4:29" ht="13.5" customHeight="1" x14ac:dyDescent="0.25">
      <c r="D403" s="82" t="str">
        <f t="shared" si="255"/>
        <v>Green garlic</v>
      </c>
      <c r="E403" s="2">
        <f>ProjectedP205_Consumption!K36-E173-E251-E327</f>
        <v>0.26198103098957459</v>
      </c>
      <c r="F403" s="2">
        <f>ProjectedP205_Consumption!L36-F173-F251-F327</f>
        <v>0.26766979452560546</v>
      </c>
      <c r="G403" s="2">
        <f>ProjectedP205_Consumption!M36-G173-G251-G327</f>
        <v>0.27044479113727643</v>
      </c>
      <c r="J403" s="269">
        <f t="shared" si="256"/>
        <v>1</v>
      </c>
      <c r="K403" s="269">
        <f t="shared" si="257"/>
        <v>1</v>
      </c>
      <c r="L403" s="269">
        <f t="shared" si="258"/>
        <v>1</v>
      </c>
      <c r="M403" s="269">
        <f t="shared" si="259"/>
        <v>0</v>
      </c>
      <c r="N403" s="269">
        <f t="shared" si="260"/>
        <v>0</v>
      </c>
      <c r="O403" s="269">
        <f t="shared" si="261"/>
        <v>0</v>
      </c>
      <c r="P403" s="269">
        <f t="shared" si="262"/>
        <v>0</v>
      </c>
      <c r="Q403" s="269">
        <f t="shared" si="263"/>
        <v>0</v>
      </c>
      <c r="R403" s="269">
        <f t="shared" si="264"/>
        <v>0</v>
      </c>
      <c r="U403" s="271">
        <f t="shared" si="270"/>
        <v>0.5695239804121186</v>
      </c>
      <c r="V403" s="271">
        <f t="shared" si="265"/>
        <v>0.58189085766435966</v>
      </c>
      <c r="W403" s="271">
        <f t="shared" si="266"/>
        <v>0.58792345899407916</v>
      </c>
      <c r="X403" s="271">
        <f t="shared" si="271"/>
        <v>0</v>
      </c>
      <c r="Y403" s="271">
        <f t="shared" si="272"/>
        <v>0</v>
      </c>
      <c r="Z403" s="271">
        <f t="shared" si="273"/>
        <v>0</v>
      </c>
      <c r="AA403" s="271">
        <f t="shared" si="274"/>
        <v>0</v>
      </c>
      <c r="AB403" s="271">
        <f t="shared" si="268"/>
        <v>0</v>
      </c>
      <c r="AC403" s="271">
        <f t="shared" si="269"/>
        <v>0</v>
      </c>
    </row>
    <row r="404" spans="4:29" ht="13.5" customHeight="1" x14ac:dyDescent="0.25">
      <c r="D404" s="82" t="str">
        <f t="shared" si="255"/>
        <v>Sweet potatoes</v>
      </c>
      <c r="E404" s="2">
        <f>ProjectedP205_Consumption!K37-E174-E252-E328</f>
        <v>0.2015835222829731</v>
      </c>
      <c r="F404" s="2">
        <f>ProjectedP205_Consumption!L37-F174-F252-F328</f>
        <v>0.1919157342764041</v>
      </c>
      <c r="G404" s="2">
        <f>ProjectedP205_Consumption!M37-G174-G252-G328</f>
        <v>0.18068240870711388</v>
      </c>
      <c r="J404" s="269">
        <f t="shared" si="256"/>
        <v>1</v>
      </c>
      <c r="K404" s="269">
        <f t="shared" si="257"/>
        <v>1</v>
      </c>
      <c r="L404" s="269">
        <f t="shared" si="258"/>
        <v>1</v>
      </c>
      <c r="M404" s="269">
        <f t="shared" si="259"/>
        <v>0</v>
      </c>
      <c r="N404" s="269">
        <f t="shared" si="260"/>
        <v>0</v>
      </c>
      <c r="O404" s="269">
        <f t="shared" si="261"/>
        <v>0</v>
      </c>
      <c r="P404" s="269">
        <f t="shared" si="262"/>
        <v>0</v>
      </c>
      <c r="Q404" s="269">
        <f t="shared" si="263"/>
        <v>0</v>
      </c>
      <c r="R404" s="269">
        <f t="shared" si="264"/>
        <v>0</v>
      </c>
      <c r="U404" s="271">
        <f t="shared" si="270"/>
        <v>0.43822504844124588</v>
      </c>
      <c r="V404" s="271">
        <f t="shared" si="265"/>
        <v>0.41720811799218283</v>
      </c>
      <c r="W404" s="271">
        <f t="shared" si="266"/>
        <v>0.39278784501546493</v>
      </c>
      <c r="X404" s="271">
        <f t="shared" si="271"/>
        <v>0</v>
      </c>
      <c r="Y404" s="271">
        <f t="shared" si="272"/>
        <v>0</v>
      </c>
      <c r="Z404" s="271">
        <f t="shared" si="273"/>
        <v>0</v>
      </c>
      <c r="AA404" s="271">
        <f t="shared" si="274"/>
        <v>0</v>
      </c>
      <c r="AB404" s="271">
        <f t="shared" si="268"/>
        <v>0</v>
      </c>
      <c r="AC404" s="271">
        <f t="shared" si="269"/>
        <v>0</v>
      </c>
    </row>
    <row r="405" spans="4:29" ht="13.5" customHeight="1" x14ac:dyDescent="0.25">
      <c r="D405" s="82" t="str">
        <f t="shared" si="255"/>
        <v>Other pulses n.e.c.</v>
      </c>
      <c r="E405" s="2">
        <f>ProjectedP205_Consumption!K38-E175-E253-E329</f>
        <v>1.6626053874838722</v>
      </c>
      <c r="F405" s="2">
        <f>ProjectedP205_Consumption!L38-F175-F253-F329</f>
        <v>1.7391491166561732</v>
      </c>
      <c r="G405" s="2">
        <f>ProjectedP205_Consumption!M38-G175-G253-G329</f>
        <v>1.9887769632407681</v>
      </c>
      <c r="J405" s="269">
        <f t="shared" si="256"/>
        <v>1</v>
      </c>
      <c r="K405" s="269">
        <f t="shared" si="257"/>
        <v>1</v>
      </c>
      <c r="L405" s="269">
        <f t="shared" si="258"/>
        <v>1</v>
      </c>
      <c r="M405" s="269">
        <f t="shared" si="259"/>
        <v>0</v>
      </c>
      <c r="N405" s="269">
        <f t="shared" si="260"/>
        <v>0</v>
      </c>
      <c r="O405" s="269">
        <f t="shared" si="261"/>
        <v>0</v>
      </c>
      <c r="P405" s="269">
        <f t="shared" si="262"/>
        <v>0</v>
      </c>
      <c r="Q405" s="269">
        <f t="shared" si="263"/>
        <v>0</v>
      </c>
      <c r="R405" s="269">
        <f t="shared" si="264"/>
        <v>0</v>
      </c>
      <c r="U405" s="271">
        <f t="shared" si="270"/>
        <v>3.6143595380084177</v>
      </c>
      <c r="V405" s="271">
        <f t="shared" si="265"/>
        <v>3.7807589492525504</v>
      </c>
      <c r="W405" s="271">
        <f t="shared" si="266"/>
        <v>4.3234281809581914</v>
      </c>
      <c r="X405" s="271">
        <f t="shared" si="271"/>
        <v>0</v>
      </c>
      <c r="Y405" s="271">
        <f t="shared" si="272"/>
        <v>0</v>
      </c>
      <c r="Z405" s="271">
        <f t="shared" si="273"/>
        <v>0</v>
      </c>
      <c r="AA405" s="271">
        <f t="shared" si="274"/>
        <v>0</v>
      </c>
      <c r="AB405" s="271">
        <f t="shared" si="268"/>
        <v>0</v>
      </c>
      <c r="AC405" s="271">
        <f t="shared" si="269"/>
        <v>0</v>
      </c>
    </row>
    <row r="406" spans="4:29" ht="13.5" customHeight="1" x14ac:dyDescent="0.25">
      <c r="D406" s="82" t="str">
        <f t="shared" si="255"/>
        <v>Other vegetables, fresh n.e.c.</v>
      </c>
      <c r="E406" s="2">
        <f>ProjectedP205_Consumption!K39-E176-E254-E330</f>
        <v>0.17609537915555618</v>
      </c>
      <c r="F406" s="2">
        <f>ProjectedP205_Consumption!L39-F176-F254-F330</f>
        <v>0.16721533968695731</v>
      </c>
      <c r="G406" s="2">
        <f>ProjectedP205_Consumption!M39-G176-G254-G330</f>
        <v>0.15701965105300147</v>
      </c>
      <c r="J406" s="269">
        <f t="shared" si="256"/>
        <v>1</v>
      </c>
      <c r="K406" s="269">
        <f t="shared" si="257"/>
        <v>1</v>
      </c>
      <c r="L406" s="269">
        <f t="shared" si="258"/>
        <v>1</v>
      </c>
      <c r="M406" s="269">
        <f t="shared" si="259"/>
        <v>0</v>
      </c>
      <c r="N406" s="269">
        <f t="shared" si="260"/>
        <v>0</v>
      </c>
      <c r="O406" s="269">
        <f t="shared" si="261"/>
        <v>0</v>
      </c>
      <c r="P406" s="269">
        <f t="shared" si="262"/>
        <v>0</v>
      </c>
      <c r="Q406" s="269">
        <f t="shared" si="263"/>
        <v>0</v>
      </c>
      <c r="R406" s="269">
        <f t="shared" si="264"/>
        <v>0</v>
      </c>
      <c r="U406" s="271">
        <f t="shared" si="270"/>
        <v>0.38281604164251343</v>
      </c>
      <c r="V406" s="271">
        <f t="shared" si="265"/>
        <v>0.36351160801512455</v>
      </c>
      <c r="W406" s="271">
        <f t="shared" si="266"/>
        <v>0.34134706750652494</v>
      </c>
      <c r="X406" s="271">
        <f t="shared" si="271"/>
        <v>0</v>
      </c>
      <c r="Y406" s="271">
        <f t="shared" si="272"/>
        <v>0</v>
      </c>
      <c r="Z406" s="271">
        <f t="shared" si="273"/>
        <v>0</v>
      </c>
      <c r="AA406" s="271">
        <f t="shared" si="274"/>
        <v>0</v>
      </c>
      <c r="AB406" s="271">
        <f t="shared" si="268"/>
        <v>0</v>
      </c>
      <c r="AC406" s="271">
        <f t="shared" si="269"/>
        <v>0</v>
      </c>
    </row>
    <row r="407" spans="4:29" ht="13.5" customHeight="1" x14ac:dyDescent="0.25">
      <c r="D407" s="82" t="str">
        <f t="shared" si="255"/>
        <v>Other fruits, n.e.c.</v>
      </c>
      <c r="E407" s="2">
        <f>ProjectedP205_Consumption!K40-E177-E255-E331</f>
        <v>0.17547157487915144</v>
      </c>
      <c r="F407" s="2">
        <f>ProjectedP205_Consumption!L40-F177-F255-F331</f>
        <v>0.16651309270337808</v>
      </c>
      <c r="G407" s="2">
        <f>ProjectedP205_Consumption!M40-G177-G255-G331</f>
        <v>0.15625709191539064</v>
      </c>
      <c r="J407" s="269">
        <f t="shared" si="256"/>
        <v>1</v>
      </c>
      <c r="K407" s="269">
        <f t="shared" si="257"/>
        <v>1</v>
      </c>
      <c r="L407" s="269">
        <f t="shared" si="258"/>
        <v>1</v>
      </c>
      <c r="M407" s="269">
        <f t="shared" si="259"/>
        <v>0</v>
      </c>
      <c r="N407" s="269">
        <f t="shared" si="260"/>
        <v>0</v>
      </c>
      <c r="O407" s="269">
        <f t="shared" si="261"/>
        <v>0</v>
      </c>
      <c r="P407" s="269">
        <f t="shared" si="262"/>
        <v>0</v>
      </c>
      <c r="Q407" s="269">
        <f t="shared" si="263"/>
        <v>0</v>
      </c>
      <c r="R407" s="269">
        <f t="shared" si="264"/>
        <v>0</v>
      </c>
      <c r="U407" s="271">
        <f t="shared" si="270"/>
        <v>0.38145994538945965</v>
      </c>
      <c r="V407" s="271">
        <f t="shared" si="265"/>
        <v>0.36198498413777841</v>
      </c>
      <c r="W407" s="271">
        <f t="shared" si="266"/>
        <v>0.33968933025084919</v>
      </c>
      <c r="X407" s="271">
        <f t="shared" si="271"/>
        <v>0</v>
      </c>
      <c r="Y407" s="271">
        <f t="shared" si="272"/>
        <v>0</v>
      </c>
      <c r="Z407" s="271">
        <f t="shared" si="273"/>
        <v>0</v>
      </c>
      <c r="AA407" s="271">
        <f t="shared" si="274"/>
        <v>0</v>
      </c>
      <c r="AB407" s="271">
        <f t="shared" si="268"/>
        <v>0</v>
      </c>
      <c r="AC407" s="271">
        <f t="shared" si="269"/>
        <v>0</v>
      </c>
    </row>
    <row r="408" spans="4:29" ht="13.5" customHeight="1" x14ac:dyDescent="0.25">
      <c r="D408" s="82" t="str">
        <f t="shared" si="255"/>
        <v>Broad beans and horse beans, dry</v>
      </c>
      <c r="E408" s="2">
        <f>ProjectedP205_Consumption!K41-E178-E256-E332</f>
        <v>0.14087486687780032</v>
      </c>
      <c r="F408" s="2">
        <f>ProjectedP205_Consumption!L41-F178-F256-F332</f>
        <v>0.13652161991495446</v>
      </c>
      <c r="G408" s="2">
        <f>ProjectedP205_Consumption!M41-G178-G256-G332</f>
        <v>0.1308335374719467</v>
      </c>
      <c r="J408" s="269">
        <f t="shared" si="256"/>
        <v>1</v>
      </c>
      <c r="K408" s="269">
        <f t="shared" si="257"/>
        <v>1</v>
      </c>
      <c r="L408" s="269">
        <f t="shared" si="258"/>
        <v>1</v>
      </c>
      <c r="M408" s="269">
        <f t="shared" si="259"/>
        <v>0</v>
      </c>
      <c r="N408" s="269">
        <f t="shared" si="260"/>
        <v>0</v>
      </c>
      <c r="O408" s="269">
        <f t="shared" si="261"/>
        <v>0</v>
      </c>
      <c r="P408" s="269">
        <f t="shared" si="262"/>
        <v>0</v>
      </c>
      <c r="Q408" s="269">
        <f t="shared" si="263"/>
        <v>0</v>
      </c>
      <c r="R408" s="269">
        <f t="shared" si="264"/>
        <v>0</v>
      </c>
      <c r="U408" s="271">
        <f t="shared" si="270"/>
        <v>0.30624971060391371</v>
      </c>
      <c r="V408" s="271">
        <f t="shared" si="265"/>
        <v>0.29678613024990097</v>
      </c>
      <c r="W408" s="271">
        <f t="shared" si="266"/>
        <v>0.28442073363466674</v>
      </c>
      <c r="X408" s="271">
        <f t="shared" si="271"/>
        <v>0</v>
      </c>
      <c r="Y408" s="271">
        <f t="shared" si="272"/>
        <v>0</v>
      </c>
      <c r="Z408" s="271">
        <f t="shared" si="273"/>
        <v>0</v>
      </c>
      <c r="AA408" s="271">
        <f t="shared" si="274"/>
        <v>0</v>
      </c>
      <c r="AB408" s="271">
        <f t="shared" si="268"/>
        <v>0</v>
      </c>
      <c r="AC408" s="271">
        <f t="shared" si="269"/>
        <v>0</v>
      </c>
    </row>
    <row r="409" spans="4:29" ht="13.5" customHeight="1" x14ac:dyDescent="0.25">
      <c r="D409" s="82" t="str">
        <f t="shared" si="255"/>
        <v>Chick peas, dry</v>
      </c>
      <c r="E409" s="2">
        <f>ProjectedP205_Consumption!K42-E179-E257-E333</f>
        <v>0.11334144878168161</v>
      </c>
      <c r="F409" s="2">
        <f>ProjectedP205_Consumption!L42-F179-F257-F333</f>
        <v>0.11265173449252228</v>
      </c>
      <c r="G409" s="2">
        <f>ProjectedP205_Consumption!M42-G179-G257-G333</f>
        <v>0.11072271926146904</v>
      </c>
      <c r="J409" s="269">
        <f t="shared" si="256"/>
        <v>1</v>
      </c>
      <c r="K409" s="269">
        <f t="shared" si="257"/>
        <v>1</v>
      </c>
      <c r="L409" s="269">
        <f t="shared" si="258"/>
        <v>1</v>
      </c>
      <c r="M409" s="269">
        <f t="shared" si="259"/>
        <v>0</v>
      </c>
      <c r="N409" s="269">
        <f t="shared" si="260"/>
        <v>0</v>
      </c>
      <c r="O409" s="269">
        <f t="shared" si="261"/>
        <v>0</v>
      </c>
      <c r="P409" s="269">
        <f t="shared" si="262"/>
        <v>0</v>
      </c>
      <c r="Q409" s="269">
        <f t="shared" si="263"/>
        <v>0</v>
      </c>
      <c r="R409" s="269">
        <f t="shared" si="264"/>
        <v>0</v>
      </c>
      <c r="U409" s="271">
        <f t="shared" si="270"/>
        <v>0.24639445387322087</v>
      </c>
      <c r="V409" s="271">
        <f t="shared" si="265"/>
        <v>0.24489507498374408</v>
      </c>
      <c r="W409" s="271">
        <f t="shared" si="266"/>
        <v>0.24070156361188921</v>
      </c>
      <c r="X409" s="271">
        <f t="shared" si="271"/>
        <v>0</v>
      </c>
      <c r="Y409" s="271">
        <f t="shared" si="272"/>
        <v>0</v>
      </c>
      <c r="Z409" s="271">
        <f t="shared" si="273"/>
        <v>0</v>
      </c>
      <c r="AA409" s="271">
        <f t="shared" si="274"/>
        <v>0</v>
      </c>
      <c r="AB409" s="271">
        <f t="shared" si="268"/>
        <v>0</v>
      </c>
      <c r="AC409" s="271">
        <f t="shared" si="269"/>
        <v>0</v>
      </c>
    </row>
    <row r="410" spans="4:29" ht="13.5" customHeight="1" x14ac:dyDescent="0.25">
      <c r="D410" s="82" t="str">
        <f t="shared" si="255"/>
        <v>Beans, dry</v>
      </c>
      <c r="E410" s="2">
        <f>ProjectedP205_Consumption!K43-E180-E258-E334</f>
        <v>0.1281404928009128</v>
      </c>
      <c r="F410" s="2">
        <f>ProjectedP205_Consumption!L43-F180-F258-F334</f>
        <v>0.12863890026960806</v>
      </c>
      <c r="G410" s="2">
        <f>ProjectedP205_Consumption!M43-G180-G258-G334</f>
        <v>0.12770502441847728</v>
      </c>
      <c r="J410" s="269">
        <f t="shared" si="256"/>
        <v>1</v>
      </c>
      <c r="K410" s="269">
        <f t="shared" si="257"/>
        <v>1</v>
      </c>
      <c r="L410" s="269">
        <f t="shared" si="258"/>
        <v>1</v>
      </c>
      <c r="M410" s="269">
        <f t="shared" si="259"/>
        <v>0</v>
      </c>
      <c r="N410" s="269">
        <f t="shared" si="260"/>
        <v>0</v>
      </c>
      <c r="O410" s="269">
        <f t="shared" si="261"/>
        <v>0</v>
      </c>
      <c r="P410" s="269">
        <f t="shared" si="262"/>
        <v>0</v>
      </c>
      <c r="Q410" s="269">
        <f t="shared" si="263"/>
        <v>0</v>
      </c>
      <c r="R410" s="269">
        <f t="shared" si="264"/>
        <v>0</v>
      </c>
      <c r="U410" s="271">
        <f t="shared" si="270"/>
        <v>0.2785662886976365</v>
      </c>
      <c r="V410" s="271">
        <f t="shared" si="265"/>
        <v>0.27964978319480011</v>
      </c>
      <c r="W410" s="271">
        <f t="shared" si="266"/>
        <v>0.27761961830103754</v>
      </c>
      <c r="X410" s="271">
        <f t="shared" si="271"/>
        <v>0</v>
      </c>
      <c r="Y410" s="271">
        <f t="shared" si="272"/>
        <v>0</v>
      </c>
      <c r="Z410" s="271">
        <f t="shared" si="273"/>
        <v>0</v>
      </c>
      <c r="AA410" s="271">
        <f t="shared" si="274"/>
        <v>0</v>
      </c>
      <c r="AB410" s="271">
        <f t="shared" si="268"/>
        <v>0</v>
      </c>
      <c r="AC410" s="271">
        <f t="shared" si="269"/>
        <v>0</v>
      </c>
    </row>
    <row r="411" spans="4:29" ht="13.5" customHeight="1" thickBot="1" x14ac:dyDescent="0.3">
      <c r="D411" s="251" t="s">
        <v>13</v>
      </c>
      <c r="E411" s="251">
        <f>SUM(E380:E410)</f>
        <v>96.800053571602902</v>
      </c>
      <c r="F411" s="251">
        <f>SUM(F380:F410)</f>
        <v>104.15230053651706</v>
      </c>
      <c r="G411" s="251">
        <f>SUM(G380:G410)</f>
        <v>121.11720898452583</v>
      </c>
      <c r="U411" s="7"/>
      <c r="V411" s="7"/>
      <c r="W411" s="7"/>
      <c r="X411" s="7"/>
      <c r="Y411" s="7"/>
      <c r="Z411" s="7"/>
      <c r="AA411" s="7"/>
      <c r="AB411" s="7"/>
      <c r="AC411" s="7"/>
    </row>
    <row r="412" spans="4:29" ht="13.5" customHeight="1" thickTop="1" thickBot="1" x14ac:dyDescent="0.3">
      <c r="D412" s="263" t="s">
        <v>302</v>
      </c>
      <c r="E412" s="263">
        <f>E411/46%</f>
        <v>210.43489906870195</v>
      </c>
      <c r="F412" s="263">
        <f t="shared" ref="F412:G412" si="275">F411/46%</f>
        <v>226.4180446446023</v>
      </c>
      <c r="G412" s="263">
        <f t="shared" si="275"/>
        <v>263.29828040114307</v>
      </c>
      <c r="T412" s="2" t="s">
        <v>303</v>
      </c>
      <c r="U412" s="251">
        <f t="shared" ref="U412:AC412" si="276">SUM(U380:U410)</f>
        <v>210.43489906870195</v>
      </c>
      <c r="V412" s="251">
        <f t="shared" si="276"/>
        <v>226.41804464460219</v>
      </c>
      <c r="W412" s="251">
        <f t="shared" si="276"/>
        <v>263.29828040114302</v>
      </c>
      <c r="X412" s="251">
        <f t="shared" si="276"/>
        <v>0</v>
      </c>
      <c r="Y412" s="251">
        <f t="shared" si="276"/>
        <v>0</v>
      </c>
      <c r="Z412" s="251">
        <f t="shared" si="276"/>
        <v>0</v>
      </c>
      <c r="AA412" s="251">
        <f t="shared" si="276"/>
        <v>0</v>
      </c>
      <c r="AB412" s="251">
        <f t="shared" si="276"/>
        <v>0</v>
      </c>
      <c r="AC412" s="251">
        <f t="shared" si="276"/>
        <v>0</v>
      </c>
    </row>
    <row r="413" spans="4:29" ht="13.5" customHeight="1" thickTop="1" x14ac:dyDescent="0.25"/>
    <row r="414" spans="4:29" ht="13.5" customHeight="1" x14ac:dyDescent="0.35">
      <c r="D414" s="262" t="s">
        <v>305</v>
      </c>
      <c r="J414" s="262" t="s">
        <v>306</v>
      </c>
      <c r="K414" s="262"/>
      <c r="U414" s="262" t="s">
        <v>307</v>
      </c>
      <c r="V414" s="262"/>
    </row>
    <row r="415" spans="4:29" ht="13.5" customHeight="1" x14ac:dyDescent="0.3">
      <c r="D415" s="231" t="s">
        <v>77</v>
      </c>
      <c r="J415" s="231" t="s">
        <v>308</v>
      </c>
      <c r="U415" s="231" t="s">
        <v>301</v>
      </c>
    </row>
    <row r="416" spans="4:29" ht="13.5" customHeight="1" x14ac:dyDescent="0.25">
      <c r="J416" s="235" t="s">
        <v>277</v>
      </c>
      <c r="K416" s="235"/>
      <c r="L416" s="235"/>
      <c r="M416" s="235" t="s">
        <v>296</v>
      </c>
      <c r="N416" s="235"/>
      <c r="O416" s="235"/>
      <c r="P416" s="235" t="s">
        <v>279</v>
      </c>
      <c r="Q416" s="235"/>
      <c r="R416" s="235"/>
      <c r="U416" s="235" t="s">
        <v>277</v>
      </c>
      <c r="V416" s="235"/>
      <c r="W416" s="235"/>
      <c r="X416" s="235" t="s">
        <v>296</v>
      </c>
      <c r="Y416" s="235"/>
      <c r="Z416" s="235"/>
      <c r="AA416" s="235" t="s">
        <v>279</v>
      </c>
      <c r="AB416" s="235"/>
      <c r="AC416" s="235"/>
    </row>
    <row r="417" spans="4:29" ht="13.5" customHeight="1" x14ac:dyDescent="0.25">
      <c r="D417" s="237" t="s">
        <v>282</v>
      </c>
      <c r="E417" s="237">
        <v>2023</v>
      </c>
      <c r="F417" s="237">
        <v>2024</v>
      </c>
      <c r="G417" s="237">
        <v>2025</v>
      </c>
      <c r="J417" s="237">
        <v>2023</v>
      </c>
      <c r="K417" s="237">
        <v>2024</v>
      </c>
      <c r="L417" s="237">
        <v>2025</v>
      </c>
      <c r="M417" s="237">
        <v>2023</v>
      </c>
      <c r="N417" s="237">
        <v>2024</v>
      </c>
      <c r="O417" s="237">
        <v>2025</v>
      </c>
      <c r="P417" s="237">
        <v>2023</v>
      </c>
      <c r="Q417" s="237">
        <v>2024</v>
      </c>
      <c r="R417" s="237">
        <v>2025</v>
      </c>
      <c r="U417" s="237">
        <v>2023</v>
      </c>
      <c r="V417" s="237">
        <v>2024</v>
      </c>
      <c r="W417" s="237">
        <v>2025</v>
      </c>
      <c r="X417" s="237">
        <v>2023</v>
      </c>
      <c r="Y417" s="237">
        <v>2024</v>
      </c>
      <c r="Z417" s="237">
        <v>2025</v>
      </c>
      <c r="AA417" s="237">
        <v>2023</v>
      </c>
      <c r="AB417" s="237">
        <v>2024</v>
      </c>
      <c r="AC417" s="237">
        <v>2025</v>
      </c>
    </row>
    <row r="418" spans="4:29" ht="13.5" customHeight="1" x14ac:dyDescent="0.25">
      <c r="D418" s="82" t="str">
        <f>D380</f>
        <v>Sorghum</v>
      </c>
      <c r="E418" s="2">
        <f>(ProjectedP205_Consumption!K51-E185-E263-E339)</f>
        <v>10.852696014770698</v>
      </c>
      <c r="F418" s="2">
        <f>(ProjectedP205_Consumption!L51-F185-F263-F339)</f>
        <v>10.942298270880048</v>
      </c>
      <c r="G418" s="2">
        <f>(ProjectedP205_Consumption!M51-G185-G263-G339)</f>
        <v>10.5345854693345</v>
      </c>
      <c r="J418" s="269">
        <f t="shared" ref="J418:J448" si="277">V112</f>
        <v>1</v>
      </c>
      <c r="K418" s="269">
        <f t="shared" ref="K418:K448" si="278">W112</f>
        <v>1</v>
      </c>
      <c r="L418" s="269">
        <f t="shared" ref="L418:L448" si="279">X112</f>
        <v>1</v>
      </c>
      <c r="M418" s="269">
        <f t="shared" ref="M418:M448" si="280">Y112</f>
        <v>0</v>
      </c>
      <c r="N418" s="269">
        <f t="shared" ref="N418:N448" si="281">Z112</f>
        <v>0</v>
      </c>
      <c r="O418" s="269">
        <f t="shared" ref="O418:O448" si="282">AA112</f>
        <v>0</v>
      </c>
      <c r="P418" s="269">
        <f t="shared" ref="P418:P448" si="283">AB112</f>
        <v>0</v>
      </c>
      <c r="Q418" s="269">
        <f t="shared" ref="Q418:Q448" si="284">AC112</f>
        <v>0</v>
      </c>
      <c r="R418" s="269">
        <f t="shared" ref="R418:R448" si="285">AD112</f>
        <v>0</v>
      </c>
      <c r="U418" s="271">
        <f>(E418*J418)/$K$11</f>
        <v>23.592817423414562</v>
      </c>
      <c r="V418" s="271">
        <f t="shared" ref="V418" si="286">(F418*K418)/$K$11</f>
        <v>23.787604936695757</v>
      </c>
      <c r="W418" s="271">
        <f t="shared" ref="W418" si="287">(G418*L418)/$K$11</f>
        <v>22.901272759422824</v>
      </c>
      <c r="X418" s="271">
        <f>(E418*M418)/$K$12</f>
        <v>0</v>
      </c>
      <c r="Y418" s="271">
        <f t="shared" ref="Y418" si="288">(F418*N418)/$K$12</f>
        <v>0</v>
      </c>
      <c r="Z418" s="271">
        <f t="shared" ref="Z418" si="289">(G418*O418)/$K$12</f>
        <v>0</v>
      </c>
      <c r="AA418" s="271">
        <f>(E418*P418)/$K$13</f>
        <v>0</v>
      </c>
      <c r="AB418" s="271">
        <f t="shared" ref="AB418" si="290">(F418*Q418)/$K$13</f>
        <v>0</v>
      </c>
      <c r="AC418" s="271">
        <f t="shared" ref="AC418" si="291">(G418*R418)/$K$13</f>
        <v>0</v>
      </c>
    </row>
    <row r="419" spans="4:29" ht="13.5" customHeight="1" x14ac:dyDescent="0.25">
      <c r="D419" s="82" t="str">
        <f t="shared" ref="D419:D448" si="292">D381</f>
        <v>Sesame seed</v>
      </c>
      <c r="E419" s="2">
        <f>(ProjectedP205_Consumption!K52-E186-E264-E340)</f>
        <v>31.741371535097986</v>
      </c>
      <c r="F419" s="2">
        <f>(ProjectedP205_Consumption!L52-F186-F264-F340)</f>
        <v>36.869243009767885</v>
      </c>
      <c r="G419" s="2">
        <f>(ProjectedP205_Consumption!M52-G186-G264-G340)</f>
        <v>41.604577654564523</v>
      </c>
      <c r="J419" s="269">
        <f t="shared" si="277"/>
        <v>1</v>
      </c>
      <c r="K419" s="269">
        <f t="shared" si="278"/>
        <v>1</v>
      </c>
      <c r="L419" s="269">
        <f t="shared" si="279"/>
        <v>1</v>
      </c>
      <c r="M419" s="269">
        <f t="shared" si="280"/>
        <v>0</v>
      </c>
      <c r="N419" s="269">
        <f t="shared" si="281"/>
        <v>0</v>
      </c>
      <c r="O419" s="269">
        <f t="shared" si="282"/>
        <v>0</v>
      </c>
      <c r="P419" s="269">
        <f t="shared" si="283"/>
        <v>0</v>
      </c>
      <c r="Q419" s="269">
        <f t="shared" si="284"/>
        <v>0</v>
      </c>
      <c r="R419" s="269">
        <f t="shared" si="285"/>
        <v>0</v>
      </c>
      <c r="U419" s="250">
        <f t="shared" ref="U419:U448" si="293">(E419*J419)/$K$11</f>
        <v>69.002981598039099</v>
      </c>
      <c r="V419" s="250">
        <f t="shared" ref="V419:V448" si="294">(F419*K419)/$K$11</f>
        <v>80.150528282104091</v>
      </c>
      <c r="W419" s="250">
        <f t="shared" ref="W419:W448" si="295">(G419*L419)/$K$11</f>
        <v>90.444734031662009</v>
      </c>
      <c r="X419" s="250">
        <f t="shared" ref="X419:X448" si="296">(E419*M419)/$K$12</f>
        <v>0</v>
      </c>
      <c r="Y419" s="250">
        <f t="shared" ref="Y419:Y448" si="297">(F419*N419)/$K$12</f>
        <v>0</v>
      </c>
      <c r="Z419" s="250">
        <f t="shared" ref="Z419:Z448" si="298">(G419*O419)/$K$12</f>
        <v>0</v>
      </c>
      <c r="AA419" s="250">
        <f t="shared" ref="AA419:AA448" si="299">(E419*P419)/$K$13</f>
        <v>0</v>
      </c>
      <c r="AB419" s="250">
        <f t="shared" ref="AB419:AB448" si="300">(F419*Q419)/$K$13</f>
        <v>0</v>
      </c>
      <c r="AC419" s="250">
        <f t="shared" ref="AC419:AC448" si="301">(G419*R419)/$K$13</f>
        <v>0</v>
      </c>
    </row>
    <row r="420" spans="4:29" ht="13.5" customHeight="1" x14ac:dyDescent="0.25">
      <c r="D420" s="82" t="str">
        <f t="shared" si="292"/>
        <v>Groundnuts, excluding shelled</v>
      </c>
      <c r="E420" s="2">
        <f>(ProjectedP205_Consumption!K53-E187-E265-E341)</f>
        <v>36.738066881615417</v>
      </c>
      <c r="F420" s="2">
        <f>(ProjectedP205_Consumption!L53-F187-F265-F341)</f>
        <v>45.186632290137766</v>
      </c>
      <c r="G420" s="2">
        <f>(ProjectedP205_Consumption!M53-G187-G265-G341)</f>
        <v>53.993566344276424</v>
      </c>
      <c r="J420" s="269">
        <f t="shared" si="277"/>
        <v>1</v>
      </c>
      <c r="K420" s="269">
        <f t="shared" si="278"/>
        <v>1</v>
      </c>
      <c r="L420" s="269">
        <f t="shared" si="279"/>
        <v>1</v>
      </c>
      <c r="M420" s="269">
        <f t="shared" si="280"/>
        <v>0</v>
      </c>
      <c r="N420" s="269">
        <f t="shared" si="281"/>
        <v>0</v>
      </c>
      <c r="O420" s="269">
        <f t="shared" si="282"/>
        <v>0</v>
      </c>
      <c r="P420" s="269">
        <f t="shared" si="283"/>
        <v>0</v>
      </c>
      <c r="Q420" s="269">
        <f t="shared" si="284"/>
        <v>0</v>
      </c>
      <c r="R420" s="269">
        <f t="shared" si="285"/>
        <v>0</v>
      </c>
      <c r="U420" s="250">
        <f t="shared" si="293"/>
        <v>79.865362786120471</v>
      </c>
      <c r="V420" s="250">
        <f t="shared" si="294"/>
        <v>98.23180932638644</v>
      </c>
      <c r="W420" s="250">
        <f t="shared" si="295"/>
        <v>117.37731813973136</v>
      </c>
      <c r="X420" s="250">
        <f t="shared" si="296"/>
        <v>0</v>
      </c>
      <c r="Y420" s="250">
        <f t="shared" si="297"/>
        <v>0</v>
      </c>
      <c r="Z420" s="250">
        <f t="shared" si="298"/>
        <v>0</v>
      </c>
      <c r="AA420" s="250">
        <f t="shared" si="299"/>
        <v>0</v>
      </c>
      <c r="AB420" s="250">
        <f t="shared" si="300"/>
        <v>0</v>
      </c>
      <c r="AC420" s="250">
        <f t="shared" si="301"/>
        <v>0</v>
      </c>
    </row>
    <row r="421" spans="4:29" ht="13.5" customHeight="1" x14ac:dyDescent="0.25">
      <c r="D421" s="82" t="str">
        <f t="shared" si="292"/>
        <v>Millet</v>
      </c>
      <c r="E421" s="2">
        <f>(ProjectedP205_Consumption!K54-E188-E266-E342)</f>
        <v>4.4922197291732919</v>
      </c>
      <c r="F421" s="2">
        <f>(ProjectedP205_Consumption!L54-F188-F266-F342)</f>
        <v>4.4206546604436809</v>
      </c>
      <c r="G421" s="2">
        <f>(ProjectedP205_Consumption!M54-G188-G266-G342)</f>
        <v>4.2138743376041745</v>
      </c>
      <c r="J421" s="269">
        <f t="shared" si="277"/>
        <v>1</v>
      </c>
      <c r="K421" s="269">
        <f t="shared" si="278"/>
        <v>1</v>
      </c>
      <c r="L421" s="269">
        <f t="shared" si="279"/>
        <v>1</v>
      </c>
      <c r="M421" s="269">
        <f t="shared" si="280"/>
        <v>0</v>
      </c>
      <c r="N421" s="269">
        <f t="shared" si="281"/>
        <v>0</v>
      </c>
      <c r="O421" s="269">
        <f t="shared" si="282"/>
        <v>0</v>
      </c>
      <c r="P421" s="269">
        <f t="shared" si="283"/>
        <v>0</v>
      </c>
      <c r="Q421" s="269">
        <f t="shared" si="284"/>
        <v>0</v>
      </c>
      <c r="R421" s="269">
        <f t="shared" si="285"/>
        <v>0</v>
      </c>
      <c r="U421" s="250">
        <f t="shared" si="293"/>
        <v>9.7656950634201998</v>
      </c>
      <c r="V421" s="250">
        <f t="shared" si="294"/>
        <v>9.6101188270514797</v>
      </c>
      <c r="W421" s="250">
        <f t="shared" si="295"/>
        <v>9.1605963860960316</v>
      </c>
      <c r="X421" s="250">
        <f t="shared" si="296"/>
        <v>0</v>
      </c>
      <c r="Y421" s="250">
        <f t="shared" si="297"/>
        <v>0</v>
      </c>
      <c r="Z421" s="250">
        <f t="shared" si="298"/>
        <v>0</v>
      </c>
      <c r="AA421" s="250">
        <f t="shared" si="299"/>
        <v>0</v>
      </c>
      <c r="AB421" s="250">
        <f t="shared" si="300"/>
        <v>0</v>
      </c>
      <c r="AC421" s="250">
        <f t="shared" si="301"/>
        <v>0</v>
      </c>
    </row>
    <row r="422" spans="4:29" ht="13.5" customHeight="1" x14ac:dyDescent="0.25">
      <c r="D422" s="82" t="str">
        <f t="shared" si="292"/>
        <v>Sugar cane</v>
      </c>
      <c r="E422" s="2">
        <f>(ProjectedP205_Consumption!K55-E189-E267-E343)</f>
        <v>1.4792957858989926</v>
      </c>
      <c r="F422" s="2">
        <f>(ProjectedP205_Consumption!L55-F189-F267-F343)</f>
        <v>1.889969332868531</v>
      </c>
      <c r="G422" s="2">
        <f>(ProjectedP205_Consumption!M55-G189-G267-G343)</f>
        <v>2.0841709584118258</v>
      </c>
      <c r="J422" s="269">
        <f t="shared" si="277"/>
        <v>1</v>
      </c>
      <c r="K422" s="269">
        <f t="shared" si="278"/>
        <v>1</v>
      </c>
      <c r="L422" s="269">
        <f t="shared" si="279"/>
        <v>1</v>
      </c>
      <c r="M422" s="269">
        <f t="shared" si="280"/>
        <v>0</v>
      </c>
      <c r="N422" s="269">
        <f t="shared" si="281"/>
        <v>0</v>
      </c>
      <c r="O422" s="269">
        <f t="shared" si="282"/>
        <v>0</v>
      </c>
      <c r="P422" s="269">
        <f t="shared" si="283"/>
        <v>0</v>
      </c>
      <c r="Q422" s="269">
        <f t="shared" si="284"/>
        <v>0</v>
      </c>
      <c r="R422" s="269">
        <f t="shared" si="285"/>
        <v>0</v>
      </c>
      <c r="U422" s="250">
        <f t="shared" si="293"/>
        <v>3.2158604041282448</v>
      </c>
      <c r="V422" s="250">
        <f t="shared" si="294"/>
        <v>4.1086289844968062</v>
      </c>
      <c r="W422" s="250">
        <f t="shared" si="295"/>
        <v>4.5308064313300562</v>
      </c>
      <c r="X422" s="250">
        <f t="shared" si="296"/>
        <v>0</v>
      </c>
      <c r="Y422" s="250">
        <f t="shared" si="297"/>
        <v>0</v>
      </c>
      <c r="Z422" s="250">
        <f t="shared" si="298"/>
        <v>0</v>
      </c>
      <c r="AA422" s="250">
        <f t="shared" si="299"/>
        <v>0</v>
      </c>
      <c r="AB422" s="250">
        <f t="shared" si="300"/>
        <v>0</v>
      </c>
      <c r="AC422" s="250">
        <f t="shared" si="301"/>
        <v>0</v>
      </c>
    </row>
    <row r="423" spans="4:29" ht="13.5" customHeight="1" x14ac:dyDescent="0.25">
      <c r="D423" s="82" t="str">
        <f t="shared" si="292"/>
        <v>Melonseed</v>
      </c>
      <c r="E423" s="2">
        <f>(ProjectedP205_Consumption!K56-E190-E268-E344)</f>
        <v>0.84965183506976083</v>
      </c>
      <c r="F423" s="2">
        <f>(ProjectedP205_Consumption!L56-F190-F268-F344)</f>
        <v>1.0530447643093737</v>
      </c>
      <c r="G423" s="2">
        <f>(ProjectedP205_Consumption!M56-G190-G268-G344)</f>
        <v>1.1265008199451647</v>
      </c>
      <c r="J423" s="269">
        <f t="shared" si="277"/>
        <v>1</v>
      </c>
      <c r="K423" s="269">
        <f t="shared" si="278"/>
        <v>1</v>
      </c>
      <c r="L423" s="269">
        <f t="shared" si="279"/>
        <v>1</v>
      </c>
      <c r="M423" s="269">
        <f t="shared" si="280"/>
        <v>0</v>
      </c>
      <c r="N423" s="269">
        <f t="shared" si="281"/>
        <v>0</v>
      </c>
      <c r="O423" s="269">
        <f t="shared" si="282"/>
        <v>0</v>
      </c>
      <c r="P423" s="269">
        <f t="shared" si="283"/>
        <v>0</v>
      </c>
      <c r="Q423" s="269">
        <f t="shared" si="284"/>
        <v>0</v>
      </c>
      <c r="R423" s="269">
        <f t="shared" si="285"/>
        <v>0</v>
      </c>
      <c r="U423" s="250">
        <f t="shared" si="293"/>
        <v>1.8470692066733931</v>
      </c>
      <c r="V423" s="250">
        <f t="shared" si="294"/>
        <v>2.2892277484986381</v>
      </c>
      <c r="W423" s="250">
        <f t="shared" si="295"/>
        <v>2.4489148259677491</v>
      </c>
      <c r="X423" s="250">
        <f t="shared" si="296"/>
        <v>0</v>
      </c>
      <c r="Y423" s="250">
        <f t="shared" si="297"/>
        <v>0</v>
      </c>
      <c r="Z423" s="250">
        <f t="shared" si="298"/>
        <v>0</v>
      </c>
      <c r="AA423" s="250">
        <f t="shared" si="299"/>
        <v>0</v>
      </c>
      <c r="AB423" s="250">
        <f t="shared" si="300"/>
        <v>0</v>
      </c>
      <c r="AC423" s="250">
        <f t="shared" si="301"/>
        <v>0</v>
      </c>
    </row>
    <row r="424" spans="4:29" ht="13.5" customHeight="1" x14ac:dyDescent="0.25">
      <c r="D424" s="82" t="str">
        <f t="shared" si="292"/>
        <v>Cow peas, dry</v>
      </c>
      <c r="E424" s="2">
        <f>(ProjectedP205_Consumption!K57-E191-E269-E345)</f>
        <v>0.50292637070127422</v>
      </c>
      <c r="F424" s="2">
        <f>(ProjectedP205_Consumption!L57-F191-F269-F345)</f>
        <v>0.77869793685373268</v>
      </c>
      <c r="G424" s="2">
        <f>(ProjectedP205_Consumption!M57-G191-G269-G345)</f>
        <v>0.96792626097040146</v>
      </c>
      <c r="J424" s="269">
        <f t="shared" si="277"/>
        <v>1</v>
      </c>
      <c r="K424" s="269">
        <f t="shared" si="278"/>
        <v>1</v>
      </c>
      <c r="L424" s="269">
        <f t="shared" si="279"/>
        <v>1</v>
      </c>
      <c r="M424" s="269">
        <f t="shared" si="280"/>
        <v>0</v>
      </c>
      <c r="N424" s="269">
        <f t="shared" si="281"/>
        <v>0</v>
      </c>
      <c r="O424" s="269">
        <f t="shared" si="282"/>
        <v>0</v>
      </c>
      <c r="P424" s="269">
        <f t="shared" si="283"/>
        <v>0</v>
      </c>
      <c r="Q424" s="269">
        <f t="shared" si="284"/>
        <v>0</v>
      </c>
      <c r="R424" s="269">
        <f t="shared" si="285"/>
        <v>0</v>
      </c>
      <c r="U424" s="250">
        <f t="shared" si="293"/>
        <v>1.093318197176683</v>
      </c>
      <c r="V424" s="250">
        <f t="shared" si="294"/>
        <v>1.6928216018559405</v>
      </c>
      <c r="W424" s="250">
        <f t="shared" si="295"/>
        <v>2.1041875238486987</v>
      </c>
      <c r="X424" s="250">
        <f t="shared" si="296"/>
        <v>0</v>
      </c>
      <c r="Y424" s="250">
        <f t="shared" si="297"/>
        <v>0</v>
      </c>
      <c r="Z424" s="250">
        <f t="shared" si="298"/>
        <v>0</v>
      </c>
      <c r="AA424" s="250">
        <f t="shared" si="299"/>
        <v>0</v>
      </c>
      <c r="AB424" s="250">
        <f t="shared" si="300"/>
        <v>0</v>
      </c>
      <c r="AC424" s="250">
        <f t="shared" si="301"/>
        <v>0</v>
      </c>
    </row>
    <row r="425" spans="4:29" ht="13.5" customHeight="1" x14ac:dyDescent="0.25">
      <c r="D425" s="82" t="str">
        <f t="shared" si="292"/>
        <v>Wheat</v>
      </c>
      <c r="E425" s="2">
        <f>(ProjectedP205_Consumption!K58-E192-E270-E346)</f>
        <v>1.5978491677137012</v>
      </c>
      <c r="F425" s="2">
        <f>(ProjectedP205_Consumption!L58-F192-F270-F346)</f>
        <v>2.4429470879813016</v>
      </c>
      <c r="G425" s="2">
        <f>(ProjectedP205_Consumption!M58-G192-G270-G346)</f>
        <v>2.9495269919513527</v>
      </c>
      <c r="J425" s="269">
        <f t="shared" si="277"/>
        <v>1</v>
      </c>
      <c r="K425" s="269">
        <f t="shared" si="278"/>
        <v>1</v>
      </c>
      <c r="L425" s="269">
        <f t="shared" si="279"/>
        <v>1</v>
      </c>
      <c r="M425" s="269">
        <f t="shared" si="280"/>
        <v>0</v>
      </c>
      <c r="N425" s="269">
        <f t="shared" si="281"/>
        <v>0</v>
      </c>
      <c r="O425" s="269">
        <f t="shared" si="282"/>
        <v>0</v>
      </c>
      <c r="P425" s="269">
        <f t="shared" si="283"/>
        <v>0</v>
      </c>
      <c r="Q425" s="269">
        <f t="shared" si="284"/>
        <v>0</v>
      </c>
      <c r="R425" s="269">
        <f t="shared" si="285"/>
        <v>0</v>
      </c>
      <c r="U425" s="250">
        <f t="shared" si="293"/>
        <v>3.473585147203698</v>
      </c>
      <c r="V425" s="250">
        <f t="shared" si="294"/>
        <v>5.3107545390897855</v>
      </c>
      <c r="W425" s="250">
        <f t="shared" si="295"/>
        <v>6.4120151998942445</v>
      </c>
      <c r="X425" s="250">
        <f t="shared" si="296"/>
        <v>0</v>
      </c>
      <c r="Y425" s="250">
        <f t="shared" si="297"/>
        <v>0</v>
      </c>
      <c r="Z425" s="250">
        <f t="shared" si="298"/>
        <v>0</v>
      </c>
      <c r="AA425" s="250">
        <f t="shared" si="299"/>
        <v>0</v>
      </c>
      <c r="AB425" s="250">
        <f t="shared" si="300"/>
        <v>0</v>
      </c>
      <c r="AC425" s="250">
        <f t="shared" si="301"/>
        <v>0</v>
      </c>
    </row>
    <row r="426" spans="4:29" ht="13.5" customHeight="1" x14ac:dyDescent="0.25">
      <c r="D426" s="82" t="str">
        <f t="shared" si="292"/>
        <v>Onions and shallots, dry (excluding dehydrated)</v>
      </c>
      <c r="E426" s="2">
        <f>(ProjectedP205_Consumption!K59-E193-E271-E347)</f>
        <v>0.48546740216751216</v>
      </c>
      <c r="F426" s="2">
        <f>(ProjectedP205_Consumption!L59-F193-F271-F347)</f>
        <v>1.4657063953475034</v>
      </c>
      <c r="G426" s="2">
        <f>(ProjectedP205_Consumption!M59-G193-G271-G347)</f>
        <v>1.957097677361304</v>
      </c>
      <c r="J426" s="269">
        <f t="shared" si="277"/>
        <v>1</v>
      </c>
      <c r="K426" s="269">
        <f t="shared" si="278"/>
        <v>1</v>
      </c>
      <c r="L426" s="269">
        <f t="shared" si="279"/>
        <v>1</v>
      </c>
      <c r="M426" s="269">
        <f t="shared" si="280"/>
        <v>0</v>
      </c>
      <c r="N426" s="269">
        <f t="shared" si="281"/>
        <v>0</v>
      </c>
      <c r="O426" s="269">
        <f t="shared" si="282"/>
        <v>0</v>
      </c>
      <c r="P426" s="269">
        <f t="shared" si="283"/>
        <v>0</v>
      </c>
      <c r="Q426" s="269">
        <f t="shared" si="284"/>
        <v>0</v>
      </c>
      <c r="R426" s="269">
        <f t="shared" si="285"/>
        <v>0</v>
      </c>
      <c r="U426" s="250">
        <f t="shared" si="293"/>
        <v>1.0553639177554612</v>
      </c>
      <c r="V426" s="250">
        <f t="shared" si="294"/>
        <v>3.1863182507554417</v>
      </c>
      <c r="W426" s="250">
        <f t="shared" si="295"/>
        <v>4.2545601681767478</v>
      </c>
      <c r="X426" s="250">
        <f t="shared" si="296"/>
        <v>0</v>
      </c>
      <c r="Y426" s="250">
        <f t="shared" si="297"/>
        <v>0</v>
      </c>
      <c r="Z426" s="250">
        <f t="shared" si="298"/>
        <v>0</v>
      </c>
      <c r="AA426" s="250">
        <f t="shared" si="299"/>
        <v>0</v>
      </c>
      <c r="AB426" s="250">
        <f t="shared" si="300"/>
        <v>0</v>
      </c>
      <c r="AC426" s="250">
        <f t="shared" si="301"/>
        <v>0</v>
      </c>
    </row>
    <row r="427" spans="4:29" ht="13.5" customHeight="1" x14ac:dyDescent="0.25">
      <c r="D427" s="82" t="str">
        <f t="shared" si="292"/>
        <v>Bananas</v>
      </c>
      <c r="E427" s="2">
        <f>(ProjectedP205_Consumption!K60-E194-E272-E348)</f>
        <v>0.38071983921066299</v>
      </c>
      <c r="F427" s="2">
        <f>(ProjectedP205_Consumption!L60-F194-F272-F348)</f>
        <v>1.1243415603799352</v>
      </c>
      <c r="G427" s="2">
        <f>(ProjectedP205_Consumption!M60-G194-G272-G348)</f>
        <v>1.4684853885307092</v>
      </c>
      <c r="J427" s="269">
        <f t="shared" si="277"/>
        <v>1</v>
      </c>
      <c r="K427" s="269">
        <f t="shared" si="278"/>
        <v>1</v>
      </c>
      <c r="L427" s="269">
        <f t="shared" si="279"/>
        <v>1</v>
      </c>
      <c r="M427" s="269">
        <f t="shared" si="280"/>
        <v>0</v>
      </c>
      <c r="N427" s="269">
        <f t="shared" si="281"/>
        <v>0</v>
      </c>
      <c r="O427" s="269">
        <f t="shared" si="282"/>
        <v>0</v>
      </c>
      <c r="P427" s="269">
        <f t="shared" si="283"/>
        <v>0</v>
      </c>
      <c r="Q427" s="269">
        <f t="shared" si="284"/>
        <v>0</v>
      </c>
      <c r="R427" s="269">
        <f t="shared" si="285"/>
        <v>0</v>
      </c>
      <c r="U427" s="250">
        <f t="shared" si="293"/>
        <v>0.82765182437100648</v>
      </c>
      <c r="V427" s="250">
        <f t="shared" si="294"/>
        <v>2.4442207834346417</v>
      </c>
      <c r="W427" s="250">
        <f t="shared" si="295"/>
        <v>3.1923595402841505</v>
      </c>
      <c r="X427" s="250">
        <f t="shared" si="296"/>
        <v>0</v>
      </c>
      <c r="Y427" s="250">
        <f t="shared" si="297"/>
        <v>0</v>
      </c>
      <c r="Z427" s="250">
        <f t="shared" si="298"/>
        <v>0</v>
      </c>
      <c r="AA427" s="250">
        <f t="shared" si="299"/>
        <v>0</v>
      </c>
      <c r="AB427" s="250">
        <f t="shared" si="300"/>
        <v>0</v>
      </c>
      <c r="AC427" s="250">
        <f t="shared" si="301"/>
        <v>0</v>
      </c>
    </row>
    <row r="428" spans="4:29" ht="13.5" customHeight="1" x14ac:dyDescent="0.25">
      <c r="D428" s="82" t="str">
        <f t="shared" si="292"/>
        <v>Mangoes, guavas and mangosteens</v>
      </c>
      <c r="E428" s="2">
        <f>(ProjectedP205_Consumption!K61-E195-E273-E349)</f>
        <v>0.38241756481390921</v>
      </c>
      <c r="F428" s="2">
        <f>(ProjectedP205_Consumption!L61-F195-F273-F349)</f>
        <v>1.1392111672987317</v>
      </c>
      <c r="G428" s="2">
        <f>(ProjectedP205_Consumption!M61-G195-G273-G349)</f>
        <v>1.5008913161661799</v>
      </c>
      <c r="J428" s="269">
        <f t="shared" si="277"/>
        <v>1</v>
      </c>
      <c r="K428" s="269">
        <f t="shared" si="278"/>
        <v>1</v>
      </c>
      <c r="L428" s="269">
        <f t="shared" si="279"/>
        <v>1</v>
      </c>
      <c r="M428" s="269">
        <f t="shared" si="280"/>
        <v>0</v>
      </c>
      <c r="N428" s="269">
        <f t="shared" si="281"/>
        <v>0</v>
      </c>
      <c r="O428" s="269">
        <f t="shared" si="282"/>
        <v>0</v>
      </c>
      <c r="P428" s="269">
        <f t="shared" si="283"/>
        <v>0</v>
      </c>
      <c r="Q428" s="269">
        <f t="shared" si="284"/>
        <v>0</v>
      </c>
      <c r="R428" s="269">
        <f t="shared" si="285"/>
        <v>0</v>
      </c>
      <c r="U428" s="250">
        <f t="shared" si="293"/>
        <v>0.83134253220415044</v>
      </c>
      <c r="V428" s="250">
        <f t="shared" si="294"/>
        <v>2.4765460158668078</v>
      </c>
      <c r="W428" s="250">
        <f t="shared" si="295"/>
        <v>3.2628072090569127</v>
      </c>
      <c r="X428" s="250">
        <f t="shared" si="296"/>
        <v>0</v>
      </c>
      <c r="Y428" s="250">
        <f t="shared" si="297"/>
        <v>0</v>
      </c>
      <c r="Z428" s="250">
        <f t="shared" si="298"/>
        <v>0</v>
      </c>
      <c r="AA428" s="250">
        <f t="shared" si="299"/>
        <v>0</v>
      </c>
      <c r="AB428" s="250">
        <f t="shared" si="300"/>
        <v>0</v>
      </c>
      <c r="AC428" s="250">
        <f t="shared" si="301"/>
        <v>0</v>
      </c>
    </row>
    <row r="429" spans="4:29" ht="13.5" customHeight="1" x14ac:dyDescent="0.25">
      <c r="D429" s="82" t="str">
        <f t="shared" si="292"/>
        <v>Cantaloupes and other melons</v>
      </c>
      <c r="E429" s="2">
        <f>(ProjectedP205_Consumption!K62-E196-E274-E350)</f>
        <v>0.3727671329040641</v>
      </c>
      <c r="F429" s="2">
        <f>(ProjectedP205_Consumption!L62-F196-F274-F350)</f>
        <v>1.113571224115983</v>
      </c>
      <c r="G429" s="2">
        <f>(ProjectedP205_Consumption!M62-G196-G274-G350)</f>
        <v>1.4712178842221832</v>
      </c>
      <c r="J429" s="269">
        <f t="shared" si="277"/>
        <v>1</v>
      </c>
      <c r="K429" s="269">
        <f t="shared" si="278"/>
        <v>1</v>
      </c>
      <c r="L429" s="269">
        <f t="shared" si="279"/>
        <v>1</v>
      </c>
      <c r="M429" s="269">
        <f t="shared" si="280"/>
        <v>0</v>
      </c>
      <c r="N429" s="269">
        <f t="shared" si="281"/>
        <v>0</v>
      </c>
      <c r="O429" s="269">
        <f t="shared" si="282"/>
        <v>0</v>
      </c>
      <c r="P429" s="269">
        <f t="shared" si="283"/>
        <v>0</v>
      </c>
      <c r="Q429" s="269">
        <f t="shared" si="284"/>
        <v>0</v>
      </c>
      <c r="R429" s="269">
        <f t="shared" si="285"/>
        <v>0</v>
      </c>
      <c r="U429" s="250">
        <f t="shared" si="293"/>
        <v>0.81036333240013936</v>
      </c>
      <c r="V429" s="250">
        <f t="shared" si="294"/>
        <v>2.4208070089477891</v>
      </c>
      <c r="W429" s="250">
        <f t="shared" si="295"/>
        <v>3.1982997483090938</v>
      </c>
      <c r="X429" s="250">
        <f t="shared" si="296"/>
        <v>0</v>
      </c>
      <c r="Y429" s="250">
        <f t="shared" si="297"/>
        <v>0</v>
      </c>
      <c r="Z429" s="250">
        <f t="shared" si="298"/>
        <v>0</v>
      </c>
      <c r="AA429" s="250">
        <f t="shared" si="299"/>
        <v>0</v>
      </c>
      <c r="AB429" s="250">
        <f t="shared" si="300"/>
        <v>0</v>
      </c>
      <c r="AC429" s="250">
        <f t="shared" si="301"/>
        <v>0</v>
      </c>
    </row>
    <row r="430" spans="4:29" ht="13.5" customHeight="1" x14ac:dyDescent="0.25">
      <c r="D430" s="82" t="str">
        <f t="shared" si="292"/>
        <v>Sunflower seed</v>
      </c>
      <c r="E430" s="2">
        <f>(ProjectedP205_Consumption!K63-E197-E275-E351)</f>
        <v>0.47484792382679375</v>
      </c>
      <c r="F430" s="2">
        <f>(ProjectedP205_Consumption!L63-F197-F275-F351)</f>
        <v>0.78087099877239552</v>
      </c>
      <c r="G430" s="2">
        <f>(ProjectedP205_Consumption!M63-G197-G275-G351)</f>
        <v>0.92780174770656942</v>
      </c>
      <c r="J430" s="269">
        <f t="shared" si="277"/>
        <v>1</v>
      </c>
      <c r="K430" s="269">
        <f t="shared" si="278"/>
        <v>1</v>
      </c>
      <c r="L430" s="269">
        <f t="shared" si="279"/>
        <v>1</v>
      </c>
      <c r="M430" s="269">
        <f t="shared" si="280"/>
        <v>0</v>
      </c>
      <c r="N430" s="269">
        <f t="shared" si="281"/>
        <v>0</v>
      </c>
      <c r="O430" s="269">
        <f t="shared" si="282"/>
        <v>0</v>
      </c>
      <c r="P430" s="269">
        <f t="shared" si="283"/>
        <v>0</v>
      </c>
      <c r="Q430" s="269">
        <f t="shared" si="284"/>
        <v>0</v>
      </c>
      <c r="R430" s="269">
        <f t="shared" si="285"/>
        <v>0</v>
      </c>
      <c r="U430" s="250">
        <f t="shared" si="293"/>
        <v>1.0322780952756385</v>
      </c>
      <c r="V430" s="250">
        <f t="shared" si="294"/>
        <v>1.6975456495052075</v>
      </c>
      <c r="W430" s="250">
        <f t="shared" si="295"/>
        <v>2.0169603211012377</v>
      </c>
      <c r="X430" s="250">
        <f t="shared" si="296"/>
        <v>0</v>
      </c>
      <c r="Y430" s="250">
        <f t="shared" si="297"/>
        <v>0</v>
      </c>
      <c r="Z430" s="250">
        <f t="shared" si="298"/>
        <v>0</v>
      </c>
      <c r="AA430" s="250">
        <f t="shared" si="299"/>
        <v>0</v>
      </c>
      <c r="AB430" s="250">
        <f t="shared" si="300"/>
        <v>0</v>
      </c>
      <c r="AC430" s="250">
        <f t="shared" si="301"/>
        <v>0</v>
      </c>
    </row>
    <row r="431" spans="4:29" ht="13.5" customHeight="1" x14ac:dyDescent="0.25">
      <c r="D431" s="82" t="str">
        <f t="shared" si="292"/>
        <v>Cauliflowers and broccoli</v>
      </c>
      <c r="E431" s="2">
        <f>(ProjectedP205_Consumption!K64-E198-E276-E352)</f>
        <v>0.33714286102627</v>
      </c>
      <c r="F431" s="2">
        <f>(ProjectedP205_Consumption!L64-F198-F276-F352)</f>
        <v>1.0016612359604207</v>
      </c>
      <c r="G431" s="2">
        <f>(ProjectedP205_Consumption!M64-G198-G276-G352)</f>
        <v>1.3161529922373436</v>
      </c>
      <c r="J431" s="269">
        <f t="shared" si="277"/>
        <v>1</v>
      </c>
      <c r="K431" s="269">
        <f t="shared" si="278"/>
        <v>1</v>
      </c>
      <c r="L431" s="269">
        <f t="shared" si="279"/>
        <v>1</v>
      </c>
      <c r="M431" s="269">
        <f t="shared" si="280"/>
        <v>0</v>
      </c>
      <c r="N431" s="269">
        <f t="shared" si="281"/>
        <v>0</v>
      </c>
      <c r="O431" s="269">
        <f t="shared" si="282"/>
        <v>0</v>
      </c>
      <c r="P431" s="269">
        <f t="shared" si="283"/>
        <v>0</v>
      </c>
      <c r="Q431" s="269">
        <f t="shared" si="284"/>
        <v>0</v>
      </c>
      <c r="R431" s="269">
        <f t="shared" si="285"/>
        <v>0</v>
      </c>
      <c r="U431" s="250">
        <f t="shared" si="293"/>
        <v>0.73291926310058697</v>
      </c>
      <c r="V431" s="250">
        <f t="shared" si="294"/>
        <v>2.1775244260009146</v>
      </c>
      <c r="W431" s="250">
        <f t="shared" si="295"/>
        <v>2.8612021570377033</v>
      </c>
      <c r="X431" s="250">
        <f t="shared" si="296"/>
        <v>0</v>
      </c>
      <c r="Y431" s="250">
        <f t="shared" si="297"/>
        <v>0</v>
      </c>
      <c r="Z431" s="250">
        <f t="shared" si="298"/>
        <v>0</v>
      </c>
      <c r="AA431" s="250">
        <f t="shared" si="299"/>
        <v>0</v>
      </c>
      <c r="AB431" s="250">
        <f t="shared" si="300"/>
        <v>0</v>
      </c>
      <c r="AC431" s="250">
        <f t="shared" si="301"/>
        <v>0</v>
      </c>
    </row>
    <row r="432" spans="4:29" ht="13.5" customHeight="1" x14ac:dyDescent="0.25">
      <c r="D432" s="82" t="str">
        <f t="shared" si="292"/>
        <v>Seed cotton, unginned</v>
      </c>
      <c r="E432" s="2">
        <f>(ProjectedP205_Consumption!K65-E199-E277-E353)</f>
        <v>1.1986167455801309</v>
      </c>
      <c r="F432" s="2">
        <f>(ProjectedP205_Consumption!L65-F199-F277-F353)</f>
        <v>1.4975855729646412</v>
      </c>
      <c r="G432" s="2">
        <f>(ProjectedP205_Consumption!M65-G199-G277-G353)</f>
        <v>1.680913735851935</v>
      </c>
      <c r="J432" s="269">
        <f t="shared" si="277"/>
        <v>1</v>
      </c>
      <c r="K432" s="269">
        <f t="shared" si="278"/>
        <v>1</v>
      </c>
      <c r="L432" s="269">
        <f t="shared" si="279"/>
        <v>1</v>
      </c>
      <c r="M432" s="269">
        <f t="shared" si="280"/>
        <v>0</v>
      </c>
      <c r="N432" s="269">
        <f t="shared" si="281"/>
        <v>0</v>
      </c>
      <c r="O432" s="269">
        <f t="shared" si="282"/>
        <v>0</v>
      </c>
      <c r="P432" s="269">
        <f t="shared" si="283"/>
        <v>0</v>
      </c>
      <c r="Q432" s="269">
        <f t="shared" si="284"/>
        <v>0</v>
      </c>
      <c r="R432" s="269">
        <f t="shared" si="285"/>
        <v>0</v>
      </c>
      <c r="U432" s="250">
        <f t="shared" si="293"/>
        <v>2.6056885773481104</v>
      </c>
      <c r="V432" s="250">
        <f t="shared" si="294"/>
        <v>3.2556208107926983</v>
      </c>
      <c r="W432" s="250">
        <f t="shared" si="295"/>
        <v>3.6541602953302936</v>
      </c>
      <c r="X432" s="250">
        <f t="shared" si="296"/>
        <v>0</v>
      </c>
      <c r="Y432" s="250">
        <f t="shared" si="297"/>
        <v>0</v>
      </c>
      <c r="Z432" s="250">
        <f t="shared" si="298"/>
        <v>0</v>
      </c>
      <c r="AA432" s="250">
        <f t="shared" si="299"/>
        <v>0</v>
      </c>
      <c r="AB432" s="250">
        <f t="shared" si="300"/>
        <v>0</v>
      </c>
      <c r="AC432" s="250">
        <f t="shared" si="301"/>
        <v>0</v>
      </c>
    </row>
    <row r="433" spans="4:29" ht="13.5" customHeight="1" x14ac:dyDescent="0.25">
      <c r="D433" s="82" t="str">
        <f t="shared" si="292"/>
        <v>Cucumbers and gherkins</v>
      </c>
      <c r="E433" s="2">
        <f>(ProjectedP205_Consumption!K66-E200-E278-E354)</f>
        <v>0.29316517446579826</v>
      </c>
      <c r="F433" s="2">
        <f>(ProjectedP205_Consumption!L66-F200-F278-F354)</f>
        <v>1.5912201745328922</v>
      </c>
      <c r="G433" s="2">
        <f>(ProjectedP205_Consumption!M66-G200-G278-G354)</f>
        <v>2.25788500017656</v>
      </c>
      <c r="J433" s="269">
        <f t="shared" si="277"/>
        <v>1</v>
      </c>
      <c r="K433" s="269">
        <f t="shared" si="278"/>
        <v>1</v>
      </c>
      <c r="L433" s="269">
        <f t="shared" si="279"/>
        <v>1</v>
      </c>
      <c r="M433" s="269">
        <f t="shared" si="280"/>
        <v>0</v>
      </c>
      <c r="N433" s="269">
        <f t="shared" si="281"/>
        <v>0</v>
      </c>
      <c r="O433" s="269">
        <f t="shared" si="282"/>
        <v>0</v>
      </c>
      <c r="P433" s="269">
        <f t="shared" si="283"/>
        <v>0</v>
      </c>
      <c r="Q433" s="269">
        <f t="shared" si="284"/>
        <v>0</v>
      </c>
      <c r="R433" s="269">
        <f t="shared" si="285"/>
        <v>0</v>
      </c>
      <c r="U433" s="250">
        <f t="shared" si="293"/>
        <v>0.63731559666477877</v>
      </c>
      <c r="V433" s="250">
        <f t="shared" si="294"/>
        <v>3.4591742924628091</v>
      </c>
      <c r="W433" s="250">
        <f t="shared" si="295"/>
        <v>4.9084456525577389</v>
      </c>
      <c r="X433" s="250">
        <f t="shared" si="296"/>
        <v>0</v>
      </c>
      <c r="Y433" s="250">
        <f t="shared" si="297"/>
        <v>0</v>
      </c>
      <c r="Z433" s="250">
        <f t="shared" si="298"/>
        <v>0</v>
      </c>
      <c r="AA433" s="250">
        <f t="shared" si="299"/>
        <v>0</v>
      </c>
      <c r="AB433" s="250">
        <f t="shared" si="300"/>
        <v>0</v>
      </c>
      <c r="AC433" s="250">
        <f t="shared" si="301"/>
        <v>0</v>
      </c>
    </row>
    <row r="434" spans="4:29" ht="13.5" customHeight="1" x14ac:dyDescent="0.25">
      <c r="D434" s="82" t="str">
        <f t="shared" si="292"/>
        <v>Tomatoes</v>
      </c>
      <c r="E434" s="2">
        <f>(ProjectedP205_Consumption!K67-E201-E279-E355)</f>
        <v>0.28779392898223954</v>
      </c>
      <c r="F434" s="2">
        <f>(ProjectedP205_Consumption!L67-F201-F279-F355)</f>
        <v>0.85343735580236935</v>
      </c>
      <c r="G434" s="2">
        <f>(ProjectedP205_Consumption!M67-G201-G279-G355)</f>
        <v>1.1192839546558904</v>
      </c>
      <c r="J434" s="269">
        <f t="shared" si="277"/>
        <v>1</v>
      </c>
      <c r="K434" s="269">
        <f t="shared" si="278"/>
        <v>1</v>
      </c>
      <c r="L434" s="269">
        <f t="shared" si="279"/>
        <v>1</v>
      </c>
      <c r="M434" s="269">
        <f t="shared" si="280"/>
        <v>0</v>
      </c>
      <c r="N434" s="269">
        <f t="shared" si="281"/>
        <v>0</v>
      </c>
      <c r="O434" s="269">
        <f t="shared" si="282"/>
        <v>0</v>
      </c>
      <c r="P434" s="269">
        <f t="shared" si="283"/>
        <v>0</v>
      </c>
      <c r="Q434" s="269">
        <f t="shared" si="284"/>
        <v>0</v>
      </c>
      <c r="R434" s="269">
        <f t="shared" si="285"/>
        <v>0</v>
      </c>
      <c r="U434" s="250">
        <f t="shared" si="293"/>
        <v>0.62563897604834684</v>
      </c>
      <c r="V434" s="250">
        <f t="shared" si="294"/>
        <v>1.8552985995703681</v>
      </c>
      <c r="W434" s="250">
        <f t="shared" si="295"/>
        <v>2.4332259883823704</v>
      </c>
      <c r="X434" s="250">
        <f t="shared" si="296"/>
        <v>0</v>
      </c>
      <c r="Y434" s="250">
        <f t="shared" si="297"/>
        <v>0</v>
      </c>
      <c r="Z434" s="250">
        <f t="shared" si="298"/>
        <v>0</v>
      </c>
      <c r="AA434" s="250">
        <f t="shared" si="299"/>
        <v>0</v>
      </c>
      <c r="AB434" s="250">
        <f t="shared" si="300"/>
        <v>0</v>
      </c>
      <c r="AC434" s="250">
        <f t="shared" si="301"/>
        <v>0</v>
      </c>
    </row>
    <row r="435" spans="4:29" ht="13.5" customHeight="1" x14ac:dyDescent="0.25">
      <c r="D435" s="82" t="str">
        <f t="shared" si="292"/>
        <v>Potatoes</v>
      </c>
      <c r="E435" s="2">
        <f>(ProjectedP205_Consumption!K68-E202-E280-E356)</f>
        <v>0.26738199902113624</v>
      </c>
      <c r="F435" s="2">
        <f>(ProjectedP205_Consumption!L68-F202-F280-F356)</f>
        <v>0.88571208262324141</v>
      </c>
      <c r="G435" s="2">
        <f>(ProjectedP205_Consumption!M68-G202-G280-G356)</f>
        <v>1.1763529437313864</v>
      </c>
      <c r="J435" s="269">
        <f t="shared" si="277"/>
        <v>1</v>
      </c>
      <c r="K435" s="269">
        <f t="shared" si="278"/>
        <v>1</v>
      </c>
      <c r="L435" s="269">
        <f t="shared" si="279"/>
        <v>1</v>
      </c>
      <c r="M435" s="269">
        <f t="shared" si="280"/>
        <v>0</v>
      </c>
      <c r="N435" s="269">
        <f t="shared" si="281"/>
        <v>0</v>
      </c>
      <c r="O435" s="269">
        <f t="shared" si="282"/>
        <v>0</v>
      </c>
      <c r="P435" s="269">
        <f t="shared" si="283"/>
        <v>0</v>
      </c>
      <c r="Q435" s="269">
        <f t="shared" si="284"/>
        <v>0</v>
      </c>
      <c r="R435" s="269">
        <f t="shared" si="285"/>
        <v>0</v>
      </c>
      <c r="U435" s="250">
        <f t="shared" si="293"/>
        <v>0.58126521526333963</v>
      </c>
      <c r="V435" s="250">
        <f t="shared" si="294"/>
        <v>1.9254610491809596</v>
      </c>
      <c r="W435" s="250">
        <f t="shared" si="295"/>
        <v>2.5572890081117094</v>
      </c>
      <c r="X435" s="250">
        <f t="shared" si="296"/>
        <v>0</v>
      </c>
      <c r="Y435" s="250">
        <f t="shared" si="297"/>
        <v>0</v>
      </c>
      <c r="Z435" s="250">
        <f t="shared" si="298"/>
        <v>0</v>
      </c>
      <c r="AA435" s="250">
        <f t="shared" si="299"/>
        <v>0</v>
      </c>
      <c r="AB435" s="250">
        <f t="shared" si="300"/>
        <v>0</v>
      </c>
      <c r="AC435" s="250">
        <f t="shared" si="301"/>
        <v>0</v>
      </c>
    </row>
    <row r="436" spans="4:29" ht="13.5" customHeight="1" x14ac:dyDescent="0.25">
      <c r="D436" s="82" t="str">
        <f t="shared" si="292"/>
        <v>Pumpkins, squash and gourds</v>
      </c>
      <c r="E436" s="2">
        <f>(ProjectedP205_Consumption!K69-E203-E281-E357)</f>
        <v>0.2541320453471243</v>
      </c>
      <c r="F436" s="2">
        <f>(ProjectedP205_Consumption!L69-F203-F281-F357)</f>
        <v>0.40671735127201114</v>
      </c>
      <c r="G436" s="2">
        <f>(ProjectedP205_Consumption!M69-G203-G281-G357)</f>
        <v>0.46896785829816351</v>
      </c>
      <c r="J436" s="269">
        <f t="shared" si="277"/>
        <v>1</v>
      </c>
      <c r="K436" s="269">
        <f t="shared" si="278"/>
        <v>1</v>
      </c>
      <c r="L436" s="269">
        <f t="shared" si="279"/>
        <v>1</v>
      </c>
      <c r="M436" s="269">
        <f t="shared" si="280"/>
        <v>0</v>
      </c>
      <c r="N436" s="269">
        <f t="shared" si="281"/>
        <v>0</v>
      </c>
      <c r="O436" s="269">
        <f t="shared" si="282"/>
        <v>0</v>
      </c>
      <c r="P436" s="269">
        <f t="shared" si="283"/>
        <v>0</v>
      </c>
      <c r="Q436" s="269">
        <f t="shared" si="284"/>
        <v>0</v>
      </c>
      <c r="R436" s="269">
        <f t="shared" si="285"/>
        <v>0</v>
      </c>
      <c r="U436" s="250">
        <f t="shared" si="293"/>
        <v>0.55246096814592238</v>
      </c>
      <c r="V436" s="250">
        <f t="shared" si="294"/>
        <v>0.88416815493915457</v>
      </c>
      <c r="W436" s="250">
        <f t="shared" si="295"/>
        <v>1.0194953441264423</v>
      </c>
      <c r="X436" s="250">
        <f t="shared" si="296"/>
        <v>0</v>
      </c>
      <c r="Y436" s="250">
        <f t="shared" si="297"/>
        <v>0</v>
      </c>
      <c r="Z436" s="250">
        <f t="shared" si="298"/>
        <v>0</v>
      </c>
      <c r="AA436" s="250">
        <f t="shared" si="299"/>
        <v>0</v>
      </c>
      <c r="AB436" s="250">
        <f t="shared" si="300"/>
        <v>0</v>
      </c>
      <c r="AC436" s="250">
        <f t="shared" si="301"/>
        <v>0</v>
      </c>
    </row>
    <row r="437" spans="4:29" ht="13.5" customHeight="1" x14ac:dyDescent="0.25">
      <c r="D437" s="82" t="str">
        <f t="shared" si="292"/>
        <v>Dates</v>
      </c>
      <c r="E437" s="2">
        <f>(ProjectedP205_Consumption!K70-E204-E282-E358)</f>
        <v>0.25680030186768305</v>
      </c>
      <c r="F437" s="2">
        <f>(ProjectedP205_Consumption!L70-F204-F282-F358)</f>
        <v>0.7650730981578906</v>
      </c>
      <c r="G437" s="2">
        <f>(ProjectedP205_Consumption!M70-G204-G282-G358)</f>
        <v>1.0080659422434242</v>
      </c>
      <c r="J437" s="269">
        <f t="shared" si="277"/>
        <v>1</v>
      </c>
      <c r="K437" s="269">
        <f t="shared" si="278"/>
        <v>1</v>
      </c>
      <c r="L437" s="269">
        <f t="shared" si="279"/>
        <v>1</v>
      </c>
      <c r="M437" s="269">
        <f t="shared" si="280"/>
        <v>0</v>
      </c>
      <c r="N437" s="269">
        <f t="shared" si="281"/>
        <v>0</v>
      </c>
      <c r="O437" s="269">
        <f t="shared" si="282"/>
        <v>0</v>
      </c>
      <c r="P437" s="269">
        <f t="shared" si="283"/>
        <v>0</v>
      </c>
      <c r="Q437" s="269">
        <f t="shared" si="284"/>
        <v>0</v>
      </c>
      <c r="R437" s="269">
        <f t="shared" si="285"/>
        <v>0</v>
      </c>
      <c r="U437" s="250">
        <f t="shared" si="293"/>
        <v>0.55826152579931099</v>
      </c>
      <c r="V437" s="250">
        <f t="shared" si="294"/>
        <v>1.6632023872997621</v>
      </c>
      <c r="W437" s="250">
        <f t="shared" si="295"/>
        <v>2.1914477005291828</v>
      </c>
      <c r="X437" s="250">
        <f t="shared" si="296"/>
        <v>0</v>
      </c>
      <c r="Y437" s="250">
        <f t="shared" si="297"/>
        <v>0</v>
      </c>
      <c r="Z437" s="250">
        <f t="shared" si="298"/>
        <v>0</v>
      </c>
      <c r="AA437" s="250">
        <f t="shared" si="299"/>
        <v>0</v>
      </c>
      <c r="AB437" s="250">
        <f t="shared" si="300"/>
        <v>0</v>
      </c>
      <c r="AC437" s="250">
        <f t="shared" si="301"/>
        <v>0</v>
      </c>
    </row>
    <row r="438" spans="4:29" ht="13.5" customHeight="1" x14ac:dyDescent="0.25">
      <c r="D438" s="82" t="str">
        <f t="shared" si="292"/>
        <v>Pomelos and grapefruits</v>
      </c>
      <c r="E438" s="2">
        <f>(ProjectedP205_Consumption!K71-E205-E283-E359)</f>
        <v>0.24300150079442087</v>
      </c>
      <c r="F438" s="2">
        <f>(ProjectedP205_Consumption!L71-F205-F283-F359)</f>
        <v>0.74558181335492002</v>
      </c>
      <c r="G438" s="2">
        <f>(ProjectedP205_Consumption!M71-G205-G283-G359)</f>
        <v>1.0117198370661535</v>
      </c>
      <c r="J438" s="269">
        <f t="shared" si="277"/>
        <v>1</v>
      </c>
      <c r="K438" s="269">
        <f t="shared" si="278"/>
        <v>1</v>
      </c>
      <c r="L438" s="269">
        <f t="shared" si="279"/>
        <v>1</v>
      </c>
      <c r="M438" s="269">
        <f t="shared" si="280"/>
        <v>0</v>
      </c>
      <c r="N438" s="269">
        <f t="shared" si="281"/>
        <v>0</v>
      </c>
      <c r="O438" s="269">
        <f t="shared" si="282"/>
        <v>0</v>
      </c>
      <c r="P438" s="269">
        <f t="shared" si="283"/>
        <v>0</v>
      </c>
      <c r="Q438" s="269">
        <f t="shared" si="284"/>
        <v>0</v>
      </c>
      <c r="R438" s="269">
        <f t="shared" si="285"/>
        <v>0</v>
      </c>
      <c r="U438" s="250">
        <f t="shared" si="293"/>
        <v>0.52826413216178447</v>
      </c>
      <c r="V438" s="250">
        <f t="shared" si="294"/>
        <v>1.6208300290324347</v>
      </c>
      <c r="W438" s="250">
        <f t="shared" si="295"/>
        <v>2.1993909501438118</v>
      </c>
      <c r="X438" s="250">
        <f t="shared" si="296"/>
        <v>0</v>
      </c>
      <c r="Y438" s="250">
        <f t="shared" si="297"/>
        <v>0</v>
      </c>
      <c r="Z438" s="250">
        <f t="shared" si="298"/>
        <v>0</v>
      </c>
      <c r="AA438" s="250">
        <f t="shared" si="299"/>
        <v>0</v>
      </c>
      <c r="AB438" s="250">
        <f t="shared" si="300"/>
        <v>0</v>
      </c>
      <c r="AC438" s="250">
        <f t="shared" si="301"/>
        <v>0</v>
      </c>
    </row>
    <row r="439" spans="4:29" ht="13.5" customHeight="1" x14ac:dyDescent="0.25">
      <c r="D439" s="82" t="str">
        <f t="shared" si="292"/>
        <v>Okra</v>
      </c>
      <c r="E439" s="2">
        <f>(ProjectedP205_Consumption!K72-E206-E284-E360)</f>
        <v>0.21397399240739198</v>
      </c>
      <c r="F439" s="2">
        <f>(ProjectedP205_Consumption!L72-F206-F284-F360)</f>
        <v>0.63311623824807417</v>
      </c>
      <c r="G439" s="2">
        <f>(ProjectedP205_Consumption!M72-G206-G284-G360)</f>
        <v>0.82848476087763157</v>
      </c>
      <c r="J439" s="269">
        <f t="shared" si="277"/>
        <v>1</v>
      </c>
      <c r="K439" s="269">
        <f t="shared" si="278"/>
        <v>1</v>
      </c>
      <c r="L439" s="269">
        <f t="shared" si="279"/>
        <v>1</v>
      </c>
      <c r="M439" s="269">
        <f t="shared" si="280"/>
        <v>0</v>
      </c>
      <c r="N439" s="269">
        <f t="shared" si="281"/>
        <v>0</v>
      </c>
      <c r="O439" s="269">
        <f t="shared" si="282"/>
        <v>0</v>
      </c>
      <c r="P439" s="269">
        <f t="shared" si="283"/>
        <v>0</v>
      </c>
      <c r="Q439" s="269">
        <f t="shared" si="284"/>
        <v>0</v>
      </c>
      <c r="R439" s="269">
        <f t="shared" si="285"/>
        <v>0</v>
      </c>
      <c r="U439" s="250">
        <f t="shared" si="293"/>
        <v>0.4651608530595478</v>
      </c>
      <c r="V439" s="250">
        <f t="shared" si="294"/>
        <v>1.3763396483653785</v>
      </c>
      <c r="W439" s="250">
        <f t="shared" si="295"/>
        <v>1.8010538279948511</v>
      </c>
      <c r="X439" s="250">
        <f t="shared" si="296"/>
        <v>0</v>
      </c>
      <c r="Y439" s="250">
        <f t="shared" si="297"/>
        <v>0</v>
      </c>
      <c r="Z439" s="250">
        <f t="shared" si="298"/>
        <v>0</v>
      </c>
      <c r="AA439" s="250">
        <f t="shared" si="299"/>
        <v>0</v>
      </c>
      <c r="AB439" s="250">
        <f t="shared" si="300"/>
        <v>0</v>
      </c>
      <c r="AC439" s="250">
        <f t="shared" si="301"/>
        <v>0</v>
      </c>
    </row>
    <row r="440" spans="4:29" ht="13.5" customHeight="1" x14ac:dyDescent="0.25">
      <c r="D440" s="82" t="str">
        <f t="shared" si="292"/>
        <v>Lemons and limes</v>
      </c>
      <c r="E440" s="2">
        <f>(ProjectedP205_Consumption!K73-E207-E285-E361)</f>
        <v>0.23765413589513226</v>
      </c>
      <c r="F440" s="2">
        <f>(ProjectedP205_Consumption!L73-F207-F285-F361)</f>
        <v>0.7235708061840771</v>
      </c>
      <c r="G440" s="2">
        <f>(ProjectedP205_Consumption!M73-G207-G285-G361)</f>
        <v>0.9743058381867582</v>
      </c>
      <c r="J440" s="269">
        <f t="shared" si="277"/>
        <v>1</v>
      </c>
      <c r="K440" s="269">
        <f t="shared" si="278"/>
        <v>1</v>
      </c>
      <c r="L440" s="269">
        <f t="shared" si="279"/>
        <v>1</v>
      </c>
      <c r="M440" s="269">
        <f t="shared" si="280"/>
        <v>0</v>
      </c>
      <c r="N440" s="269">
        <f t="shared" si="281"/>
        <v>0</v>
      </c>
      <c r="O440" s="269">
        <f t="shared" si="282"/>
        <v>0</v>
      </c>
      <c r="P440" s="269">
        <f t="shared" si="283"/>
        <v>0</v>
      </c>
      <c r="Q440" s="269">
        <f t="shared" si="284"/>
        <v>0</v>
      </c>
      <c r="R440" s="269">
        <f t="shared" si="285"/>
        <v>0</v>
      </c>
      <c r="U440" s="250">
        <f t="shared" si="293"/>
        <v>0.51663942585898315</v>
      </c>
      <c r="V440" s="250">
        <f t="shared" si="294"/>
        <v>1.5729800134436458</v>
      </c>
      <c r="W440" s="250">
        <f t="shared" si="295"/>
        <v>2.1180561699712133</v>
      </c>
      <c r="X440" s="250">
        <f t="shared" si="296"/>
        <v>0</v>
      </c>
      <c r="Y440" s="250">
        <f t="shared" si="297"/>
        <v>0</v>
      </c>
      <c r="Z440" s="250">
        <f t="shared" si="298"/>
        <v>0</v>
      </c>
      <c r="AA440" s="250">
        <f t="shared" si="299"/>
        <v>0</v>
      </c>
      <c r="AB440" s="250">
        <f t="shared" si="300"/>
        <v>0</v>
      </c>
      <c r="AC440" s="250">
        <f t="shared" si="301"/>
        <v>0</v>
      </c>
    </row>
    <row r="441" spans="4:29" ht="13.5" customHeight="1" x14ac:dyDescent="0.25">
      <c r="D441" s="82" t="str">
        <f t="shared" si="292"/>
        <v>Green garlic</v>
      </c>
      <c r="E441" s="2">
        <f>(ProjectedP205_Consumption!K74-E208-E286-E362)</f>
        <v>0.26198103098957459</v>
      </c>
      <c r="F441" s="2">
        <f>(ProjectedP205_Consumption!L74-F208-F286-F362)</f>
        <v>0.83383725304445833</v>
      </c>
      <c r="G441" s="2">
        <f>(ProjectedP205_Consumption!M74-G208-G286-G362)</f>
        <v>1.1737385010416237</v>
      </c>
      <c r="J441" s="269">
        <f t="shared" si="277"/>
        <v>1</v>
      </c>
      <c r="K441" s="269">
        <f t="shared" si="278"/>
        <v>1</v>
      </c>
      <c r="L441" s="269">
        <f t="shared" si="279"/>
        <v>1</v>
      </c>
      <c r="M441" s="269">
        <f t="shared" si="280"/>
        <v>0</v>
      </c>
      <c r="N441" s="269">
        <f t="shared" si="281"/>
        <v>0</v>
      </c>
      <c r="O441" s="269">
        <f t="shared" si="282"/>
        <v>0</v>
      </c>
      <c r="P441" s="269">
        <f t="shared" si="283"/>
        <v>0</v>
      </c>
      <c r="Q441" s="269">
        <f t="shared" si="284"/>
        <v>0</v>
      </c>
      <c r="R441" s="269">
        <f t="shared" si="285"/>
        <v>0</v>
      </c>
      <c r="U441" s="250">
        <f t="shared" si="293"/>
        <v>0.5695239804121186</v>
      </c>
      <c r="V441" s="250">
        <f t="shared" si="294"/>
        <v>1.812689680531431</v>
      </c>
      <c r="W441" s="250">
        <f t="shared" si="295"/>
        <v>2.5516054370470078</v>
      </c>
      <c r="X441" s="250">
        <f t="shared" si="296"/>
        <v>0</v>
      </c>
      <c r="Y441" s="250">
        <f t="shared" si="297"/>
        <v>0</v>
      </c>
      <c r="Z441" s="250">
        <f t="shared" si="298"/>
        <v>0</v>
      </c>
      <c r="AA441" s="250">
        <f t="shared" si="299"/>
        <v>0</v>
      </c>
      <c r="AB441" s="250">
        <f t="shared" si="300"/>
        <v>0</v>
      </c>
      <c r="AC441" s="250">
        <f t="shared" si="301"/>
        <v>0</v>
      </c>
    </row>
    <row r="442" spans="4:29" ht="13.5" customHeight="1" x14ac:dyDescent="0.25">
      <c r="D442" s="82" t="str">
        <f t="shared" si="292"/>
        <v>Sweet potatoes</v>
      </c>
      <c r="E442" s="2">
        <f>(ProjectedP205_Consumption!K75-E209-E287-E363)</f>
        <v>0.2015835222829731</v>
      </c>
      <c r="F442" s="2">
        <f>(ProjectedP205_Consumption!L75-F209-F287-F363)</f>
        <v>0.6692606287641848</v>
      </c>
      <c r="G442" s="2">
        <f>(ProjectedP205_Consumption!M75-G209-G287-G363)</f>
        <v>0.89088202374698822</v>
      </c>
      <c r="J442" s="269">
        <f t="shared" si="277"/>
        <v>1</v>
      </c>
      <c r="K442" s="269">
        <f t="shared" si="278"/>
        <v>1</v>
      </c>
      <c r="L442" s="269">
        <f t="shared" si="279"/>
        <v>1</v>
      </c>
      <c r="M442" s="269">
        <f t="shared" si="280"/>
        <v>0</v>
      </c>
      <c r="N442" s="269">
        <f t="shared" si="281"/>
        <v>0</v>
      </c>
      <c r="O442" s="269">
        <f t="shared" si="282"/>
        <v>0</v>
      </c>
      <c r="P442" s="269">
        <f t="shared" si="283"/>
        <v>0</v>
      </c>
      <c r="Q442" s="269">
        <f t="shared" si="284"/>
        <v>0</v>
      </c>
      <c r="R442" s="269">
        <f t="shared" si="285"/>
        <v>0</v>
      </c>
      <c r="U442" s="250">
        <f t="shared" si="293"/>
        <v>0.43822504844124588</v>
      </c>
      <c r="V442" s="250">
        <f t="shared" si="294"/>
        <v>1.4549144103569234</v>
      </c>
      <c r="W442" s="250">
        <f t="shared" si="295"/>
        <v>1.9367000516238873</v>
      </c>
      <c r="X442" s="250">
        <f t="shared" si="296"/>
        <v>0</v>
      </c>
      <c r="Y442" s="250">
        <f t="shared" si="297"/>
        <v>0</v>
      </c>
      <c r="Z442" s="250">
        <f t="shared" si="298"/>
        <v>0</v>
      </c>
      <c r="AA442" s="250">
        <f t="shared" si="299"/>
        <v>0</v>
      </c>
      <c r="AB442" s="250">
        <f t="shared" si="300"/>
        <v>0</v>
      </c>
      <c r="AC442" s="250">
        <f t="shared" si="301"/>
        <v>0</v>
      </c>
    </row>
    <row r="443" spans="4:29" ht="13.5" customHeight="1" x14ac:dyDescent="0.25">
      <c r="D443" s="82" t="str">
        <f t="shared" si="292"/>
        <v>Other pulses n.e.c.</v>
      </c>
      <c r="E443" s="2">
        <f>(ProjectedP205_Consumption!K76-E210-E288-E364)</f>
        <v>1.6626053874838722</v>
      </c>
      <c r="F443" s="2">
        <f>(ProjectedP205_Consumption!L76-F210-F288-F364)</f>
        <v>1.8368512900744001</v>
      </c>
      <c r="G443" s="2">
        <f>(ProjectedP205_Consumption!M76-G210-G288-G364)</f>
        <v>1.9359769730654057</v>
      </c>
      <c r="J443" s="269">
        <f t="shared" si="277"/>
        <v>1</v>
      </c>
      <c r="K443" s="269">
        <f t="shared" si="278"/>
        <v>1</v>
      </c>
      <c r="L443" s="269">
        <f t="shared" si="279"/>
        <v>1</v>
      </c>
      <c r="M443" s="269">
        <f t="shared" si="280"/>
        <v>0</v>
      </c>
      <c r="N443" s="269">
        <f t="shared" si="281"/>
        <v>0</v>
      </c>
      <c r="O443" s="269">
        <f t="shared" si="282"/>
        <v>0</v>
      </c>
      <c r="P443" s="269">
        <f t="shared" si="283"/>
        <v>0</v>
      </c>
      <c r="Q443" s="269">
        <f t="shared" si="284"/>
        <v>0</v>
      </c>
      <c r="R443" s="269">
        <f t="shared" si="285"/>
        <v>0</v>
      </c>
      <c r="U443" s="250">
        <f t="shared" si="293"/>
        <v>3.6143595380084177</v>
      </c>
      <c r="V443" s="250">
        <f t="shared" si="294"/>
        <v>3.9931549784226088</v>
      </c>
      <c r="W443" s="250">
        <f t="shared" si="295"/>
        <v>4.2086455936204468</v>
      </c>
      <c r="X443" s="250">
        <f t="shared" si="296"/>
        <v>0</v>
      </c>
      <c r="Y443" s="250">
        <f t="shared" si="297"/>
        <v>0</v>
      </c>
      <c r="Z443" s="250">
        <f t="shared" si="298"/>
        <v>0</v>
      </c>
      <c r="AA443" s="250">
        <f t="shared" si="299"/>
        <v>0</v>
      </c>
      <c r="AB443" s="250">
        <f t="shared" si="300"/>
        <v>0</v>
      </c>
      <c r="AC443" s="250">
        <f t="shared" si="301"/>
        <v>0</v>
      </c>
    </row>
    <row r="444" spans="4:29" ht="13.5" customHeight="1" x14ac:dyDescent="0.25">
      <c r="D444" s="82" t="str">
        <f t="shared" si="292"/>
        <v>Other vegetables, fresh n.e.c.</v>
      </c>
      <c r="E444" s="2">
        <f>(ProjectedP205_Consumption!K77-E211-E289-E365)</f>
        <v>0.17609537915555618</v>
      </c>
      <c r="F444" s="2">
        <f>(ProjectedP205_Consumption!L77-F211-F289-F365)</f>
        <v>0.52090442165348805</v>
      </c>
      <c r="G444" s="2">
        <f>(ProjectedP205_Consumption!M77-G211-G289-G365)</f>
        <v>0.68146999277009179</v>
      </c>
      <c r="J444" s="269">
        <f t="shared" si="277"/>
        <v>1</v>
      </c>
      <c r="K444" s="269">
        <f t="shared" si="278"/>
        <v>1</v>
      </c>
      <c r="L444" s="269">
        <f t="shared" si="279"/>
        <v>1</v>
      </c>
      <c r="M444" s="269">
        <f t="shared" si="280"/>
        <v>0</v>
      </c>
      <c r="N444" s="269">
        <f t="shared" si="281"/>
        <v>0</v>
      </c>
      <c r="O444" s="269">
        <f t="shared" si="282"/>
        <v>0</v>
      </c>
      <c r="P444" s="269">
        <f t="shared" si="283"/>
        <v>0</v>
      </c>
      <c r="Q444" s="269">
        <f t="shared" si="284"/>
        <v>0</v>
      </c>
      <c r="R444" s="269">
        <f t="shared" si="285"/>
        <v>0</v>
      </c>
      <c r="U444" s="250">
        <f t="shared" si="293"/>
        <v>0.38281604164251343</v>
      </c>
      <c r="V444" s="250">
        <f t="shared" si="294"/>
        <v>1.1324009166380173</v>
      </c>
      <c r="W444" s="250">
        <f t="shared" si="295"/>
        <v>1.4814565060219387</v>
      </c>
      <c r="X444" s="250">
        <f t="shared" si="296"/>
        <v>0</v>
      </c>
      <c r="Y444" s="250">
        <f t="shared" si="297"/>
        <v>0</v>
      </c>
      <c r="Z444" s="250">
        <f t="shared" si="298"/>
        <v>0</v>
      </c>
      <c r="AA444" s="250">
        <f t="shared" si="299"/>
        <v>0</v>
      </c>
      <c r="AB444" s="250">
        <f t="shared" si="300"/>
        <v>0</v>
      </c>
      <c r="AC444" s="250">
        <f t="shared" si="301"/>
        <v>0</v>
      </c>
    </row>
    <row r="445" spans="4:29" ht="13.5" customHeight="1" x14ac:dyDescent="0.25">
      <c r="D445" s="82" t="str">
        <f t="shared" si="292"/>
        <v>Other fruits, n.e.c.</v>
      </c>
      <c r="E445" s="2">
        <f>(ProjectedP205_Consumption!K78-E212-E290-E366)</f>
        <v>0.17547157487915144</v>
      </c>
      <c r="F445" s="2">
        <f>(ProjectedP205_Consumption!L78-F212-F290-F366)</f>
        <v>0.51871680202765669</v>
      </c>
      <c r="G445" s="2">
        <f>(ProjectedP205_Consumption!M78-G212-G290-G366)</f>
        <v>0.67816046325254753</v>
      </c>
      <c r="J445" s="269">
        <f t="shared" si="277"/>
        <v>1</v>
      </c>
      <c r="K445" s="269">
        <f t="shared" si="278"/>
        <v>1</v>
      </c>
      <c r="L445" s="269">
        <f t="shared" si="279"/>
        <v>1</v>
      </c>
      <c r="M445" s="269">
        <f t="shared" si="280"/>
        <v>0</v>
      </c>
      <c r="N445" s="269">
        <f t="shared" si="281"/>
        <v>0</v>
      </c>
      <c r="O445" s="269">
        <f t="shared" si="282"/>
        <v>0</v>
      </c>
      <c r="P445" s="269">
        <f t="shared" si="283"/>
        <v>0</v>
      </c>
      <c r="Q445" s="269">
        <f t="shared" si="284"/>
        <v>0</v>
      </c>
      <c r="R445" s="269">
        <f t="shared" si="285"/>
        <v>0</v>
      </c>
      <c r="U445" s="250">
        <f t="shared" si="293"/>
        <v>0.38145994538945965</v>
      </c>
      <c r="V445" s="250">
        <f t="shared" si="294"/>
        <v>1.1276452217992536</v>
      </c>
      <c r="W445" s="250">
        <f t="shared" si="295"/>
        <v>1.4742618766359727</v>
      </c>
      <c r="X445" s="250">
        <f t="shared" si="296"/>
        <v>0</v>
      </c>
      <c r="Y445" s="250">
        <f t="shared" si="297"/>
        <v>0</v>
      </c>
      <c r="Z445" s="250">
        <f t="shared" si="298"/>
        <v>0</v>
      </c>
      <c r="AA445" s="250">
        <f t="shared" si="299"/>
        <v>0</v>
      </c>
      <c r="AB445" s="250">
        <f t="shared" si="300"/>
        <v>0</v>
      </c>
      <c r="AC445" s="250">
        <f t="shared" si="301"/>
        <v>0</v>
      </c>
    </row>
    <row r="446" spans="4:29" ht="13.5" customHeight="1" x14ac:dyDescent="0.25">
      <c r="D446" s="82" t="str">
        <f t="shared" si="292"/>
        <v>Broad beans and horse beans, dry</v>
      </c>
      <c r="E446" s="2">
        <f>(ProjectedP205_Consumption!K79-E213-E291-E367)</f>
        <v>0.14087486687780032</v>
      </c>
      <c r="F446" s="2">
        <f>(ProjectedP205_Consumption!L79-F213-F291-F367)</f>
        <v>0.25785972256714818</v>
      </c>
      <c r="G446" s="2">
        <f>(ProjectedP205_Consumption!M79-G213-G291-G367)</f>
        <v>0.31313463684981335</v>
      </c>
      <c r="J446" s="269">
        <f t="shared" si="277"/>
        <v>1</v>
      </c>
      <c r="K446" s="269">
        <f t="shared" si="278"/>
        <v>1</v>
      </c>
      <c r="L446" s="269">
        <f t="shared" si="279"/>
        <v>1</v>
      </c>
      <c r="M446" s="269">
        <f t="shared" si="280"/>
        <v>0</v>
      </c>
      <c r="N446" s="269">
        <f t="shared" si="281"/>
        <v>0</v>
      </c>
      <c r="O446" s="269">
        <f t="shared" si="282"/>
        <v>0</v>
      </c>
      <c r="P446" s="269">
        <f t="shared" si="283"/>
        <v>0</v>
      </c>
      <c r="Q446" s="269">
        <f t="shared" si="284"/>
        <v>0</v>
      </c>
      <c r="R446" s="269">
        <f t="shared" si="285"/>
        <v>0</v>
      </c>
      <c r="U446" s="250">
        <f t="shared" si="293"/>
        <v>0.30624971060391371</v>
      </c>
      <c r="V446" s="250">
        <f t="shared" si="294"/>
        <v>0.56056461427640902</v>
      </c>
      <c r="W446" s="250">
        <f t="shared" si="295"/>
        <v>0.68072747141263767</v>
      </c>
      <c r="X446" s="250">
        <f t="shared" si="296"/>
        <v>0</v>
      </c>
      <c r="Y446" s="250">
        <f t="shared" si="297"/>
        <v>0</v>
      </c>
      <c r="Z446" s="250">
        <f t="shared" si="298"/>
        <v>0</v>
      </c>
      <c r="AA446" s="250">
        <f t="shared" si="299"/>
        <v>0</v>
      </c>
      <c r="AB446" s="250">
        <f t="shared" si="300"/>
        <v>0</v>
      </c>
      <c r="AC446" s="250">
        <f t="shared" si="301"/>
        <v>0</v>
      </c>
    </row>
    <row r="447" spans="4:29" ht="13.5" customHeight="1" x14ac:dyDescent="0.25">
      <c r="D447" s="82" t="str">
        <f t="shared" si="292"/>
        <v>Chick peas, dry</v>
      </c>
      <c r="E447" s="2">
        <f>(ProjectedP205_Consumption!K80-E214-E292-E368)</f>
        <v>0.11334144878168161</v>
      </c>
      <c r="F447" s="2">
        <f>(ProjectedP205_Consumption!L80-F214-F292-F368)</f>
        <v>0.21277468741614236</v>
      </c>
      <c r="G447" s="2">
        <f>(ProjectedP205_Consumption!M80-G214-G292-G368)</f>
        <v>0.26500176603722969</v>
      </c>
      <c r="J447" s="269">
        <f t="shared" si="277"/>
        <v>1</v>
      </c>
      <c r="K447" s="269">
        <f t="shared" si="278"/>
        <v>1</v>
      </c>
      <c r="L447" s="269">
        <f t="shared" si="279"/>
        <v>1</v>
      </c>
      <c r="M447" s="269">
        <f t="shared" si="280"/>
        <v>0</v>
      </c>
      <c r="N447" s="269">
        <f t="shared" si="281"/>
        <v>0</v>
      </c>
      <c r="O447" s="269">
        <f t="shared" si="282"/>
        <v>0</v>
      </c>
      <c r="P447" s="269">
        <f t="shared" si="283"/>
        <v>0</v>
      </c>
      <c r="Q447" s="269">
        <f t="shared" si="284"/>
        <v>0</v>
      </c>
      <c r="R447" s="269">
        <f t="shared" si="285"/>
        <v>0</v>
      </c>
      <c r="U447" s="250">
        <f t="shared" si="293"/>
        <v>0.24639445387322087</v>
      </c>
      <c r="V447" s="250">
        <f t="shared" si="294"/>
        <v>0.46255366829596162</v>
      </c>
      <c r="W447" s="250">
        <f t="shared" si="295"/>
        <v>0.57609079573310795</v>
      </c>
      <c r="X447" s="250">
        <f t="shared" si="296"/>
        <v>0</v>
      </c>
      <c r="Y447" s="250">
        <f t="shared" si="297"/>
        <v>0</v>
      </c>
      <c r="Z447" s="250">
        <f t="shared" si="298"/>
        <v>0</v>
      </c>
      <c r="AA447" s="250">
        <f t="shared" si="299"/>
        <v>0</v>
      </c>
      <c r="AB447" s="250">
        <f t="shared" si="300"/>
        <v>0</v>
      </c>
      <c r="AC447" s="250">
        <f t="shared" si="301"/>
        <v>0</v>
      </c>
    </row>
    <row r="448" spans="4:29" ht="13.5" customHeight="1" x14ac:dyDescent="0.25">
      <c r="D448" s="82" t="str">
        <f t="shared" si="292"/>
        <v>Beans, dry</v>
      </c>
      <c r="E448" s="2">
        <f>(ProjectedP205_Consumption!K81-E215-E293-E369)</f>
        <v>0.1281404928009128</v>
      </c>
      <c r="F448" s="2">
        <f>(ProjectedP205_Consumption!L81-F215-F293-F369)</f>
        <v>0.18187797864665683</v>
      </c>
      <c r="G448" s="2">
        <f>(ProjectedP205_Consumption!M81-G215-G293-G369)</f>
        <v>0.20321123334083732</v>
      </c>
      <c r="J448" s="269">
        <f t="shared" si="277"/>
        <v>1</v>
      </c>
      <c r="K448" s="269">
        <f t="shared" si="278"/>
        <v>1</v>
      </c>
      <c r="L448" s="269">
        <f t="shared" si="279"/>
        <v>1</v>
      </c>
      <c r="M448" s="269">
        <f t="shared" si="280"/>
        <v>0</v>
      </c>
      <c r="N448" s="269">
        <f t="shared" si="281"/>
        <v>0</v>
      </c>
      <c r="O448" s="269">
        <f t="shared" si="282"/>
        <v>0</v>
      </c>
      <c r="P448" s="269">
        <f t="shared" si="283"/>
        <v>0</v>
      </c>
      <c r="Q448" s="269">
        <f t="shared" si="284"/>
        <v>0</v>
      </c>
      <c r="R448" s="269">
        <f t="shared" si="285"/>
        <v>0</v>
      </c>
      <c r="U448" s="250">
        <f t="shared" si="293"/>
        <v>0.2785662886976365</v>
      </c>
      <c r="V448" s="250">
        <f t="shared" si="294"/>
        <v>0.3953869101014279</v>
      </c>
      <c r="W448" s="250">
        <f t="shared" si="295"/>
        <v>0.44176355074095069</v>
      </c>
      <c r="X448" s="250">
        <f t="shared" si="296"/>
        <v>0</v>
      </c>
      <c r="Y448" s="250">
        <f t="shared" si="297"/>
        <v>0</v>
      </c>
      <c r="Z448" s="250">
        <f t="shared" si="298"/>
        <v>0</v>
      </c>
      <c r="AA448" s="250">
        <f t="shared" si="299"/>
        <v>0</v>
      </c>
      <c r="AB448" s="250">
        <f t="shared" si="300"/>
        <v>0</v>
      </c>
      <c r="AC448" s="250">
        <f t="shared" si="301"/>
        <v>0</v>
      </c>
    </row>
    <row r="449" spans="4:29" ht="13.5" customHeight="1" thickBot="1" x14ac:dyDescent="0.3">
      <c r="D449" s="251" t="s">
        <v>13</v>
      </c>
      <c r="E449" s="251">
        <f>SUM(E418:E448)</f>
        <v>96.800053571602902</v>
      </c>
      <c r="F449" s="251">
        <f>SUM(F418:F448)</f>
        <v>123.34294721245153</v>
      </c>
      <c r="G449" s="251">
        <f>SUM(G418:G448)</f>
        <v>142.78393130447509</v>
      </c>
      <c r="U449" s="7"/>
      <c r="V449" s="7"/>
      <c r="W449" s="7"/>
      <c r="X449" s="7"/>
      <c r="Y449" s="7"/>
      <c r="Z449" s="7"/>
      <c r="AA449" s="7"/>
      <c r="AB449" s="7"/>
      <c r="AC449" s="7"/>
    </row>
    <row r="450" spans="4:29" ht="13.5" customHeight="1" thickTop="1" thickBot="1" x14ac:dyDescent="0.3">
      <c r="D450" s="263" t="s">
        <v>302</v>
      </c>
      <c r="E450" s="263">
        <f>E449/46%</f>
        <v>210.43489906870195</v>
      </c>
      <c r="F450" s="263">
        <f t="shared" ref="F450:G450" si="302">F449/46%</f>
        <v>268.13684176619898</v>
      </c>
      <c r="G450" s="263">
        <f t="shared" si="302"/>
        <v>310.39985066190235</v>
      </c>
      <c r="T450" s="2" t="s">
        <v>303</v>
      </c>
      <c r="U450" s="251">
        <f t="shared" ref="U450:AC450" si="303">SUM(U418:U448)</f>
        <v>210.43489906870195</v>
      </c>
      <c r="V450" s="251">
        <f t="shared" si="303"/>
        <v>268.13684176619904</v>
      </c>
      <c r="W450" s="251">
        <f t="shared" si="303"/>
        <v>310.39985066190241</v>
      </c>
      <c r="X450" s="251">
        <f t="shared" si="303"/>
        <v>0</v>
      </c>
      <c r="Y450" s="251">
        <f t="shared" si="303"/>
        <v>0</v>
      </c>
      <c r="Z450" s="251">
        <f t="shared" si="303"/>
        <v>0</v>
      </c>
      <c r="AA450" s="251">
        <f t="shared" si="303"/>
        <v>0</v>
      </c>
      <c r="AB450" s="251">
        <f t="shared" si="303"/>
        <v>0</v>
      </c>
      <c r="AC450" s="251">
        <f t="shared" si="303"/>
        <v>0</v>
      </c>
    </row>
    <row r="451" spans="4:29" ht="13.5" customHeight="1" thickTop="1" x14ac:dyDescent="0.25"/>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676B-2634-45D2-A180-91375F5AE7DC}">
  <dimension ref="A1:AT448"/>
  <sheetViews>
    <sheetView showGridLines="0" tabSelected="1" topLeftCell="A40" zoomScale="70" zoomScaleNormal="70" workbookViewId="0">
      <selection activeCell="P94" sqref="P94"/>
    </sheetView>
  </sheetViews>
  <sheetFormatPr defaultColWidth="9.26953125" defaultRowHeight="13.5" customHeight="1" x14ac:dyDescent="0.25"/>
  <cols>
    <col min="1" max="1" width="1.7265625" style="7" customWidth="1"/>
    <col min="2" max="2" width="3.54296875" style="7" customWidth="1"/>
    <col min="3" max="3" width="2" style="7" customWidth="1"/>
    <col min="4" max="4" width="53.7265625" style="7" bestFit="1" customWidth="1"/>
    <col min="5" max="19" width="19.7265625" style="7" customWidth="1"/>
    <col min="20" max="20" width="38.7265625" style="7" bestFit="1" customWidth="1"/>
    <col min="21" max="21" width="37.26953125" style="7" bestFit="1" customWidth="1"/>
    <col min="22" max="22" width="35.1796875" style="7" customWidth="1"/>
    <col min="23" max="30" width="19.7265625" style="7" customWidth="1"/>
    <col min="31" max="31" width="23.1796875" style="7" customWidth="1"/>
    <col min="32" max="32" width="20.7265625" style="7" customWidth="1"/>
    <col min="33" max="33" width="23.1796875" style="7" bestFit="1" customWidth="1"/>
    <col min="34" max="34" width="38.7265625" style="7" bestFit="1" customWidth="1"/>
    <col min="35" max="35" width="19.7265625" style="7" customWidth="1"/>
    <col min="36" max="36" width="36.81640625" style="7" customWidth="1"/>
    <col min="37" max="37" width="26.54296875" style="7" customWidth="1"/>
    <col min="38" max="16384" width="9.26953125" style="7"/>
  </cols>
  <sheetData>
    <row r="1" spans="1:42" ht="13.5" customHeight="1" x14ac:dyDescent="0.25">
      <c r="A1" s="5"/>
      <c r="B1" s="5"/>
      <c r="C1" s="5"/>
      <c r="D1" s="6" t="s">
        <v>75</v>
      </c>
      <c r="E1" s="25"/>
    </row>
    <row r="2" spans="1:42" ht="13.5" customHeight="1" x14ac:dyDescent="0.25">
      <c r="A2" s="5"/>
      <c r="B2" s="5"/>
      <c r="C2" s="5"/>
      <c r="D2" s="6"/>
      <c r="E2" s="26" t="s">
        <v>324</v>
      </c>
    </row>
    <row r="3" spans="1:42" ht="13.5" customHeight="1" x14ac:dyDescent="0.25">
      <c r="A3" s="5"/>
      <c r="B3" s="5"/>
      <c r="C3" s="5"/>
      <c r="D3" s="6"/>
      <c r="E3" s="27" t="str">
        <f ca="1">MID(CELL("filename",E3),FIND("]",CELL("filename",E3))+1,256)</f>
        <v>OCP_Crop mix</v>
      </c>
    </row>
    <row r="4" spans="1:42" ht="13.5" customHeight="1" x14ac:dyDescent="0.25">
      <c r="A4" s="5"/>
      <c r="B4" s="5"/>
      <c r="C4" s="5"/>
      <c r="D4" s="6"/>
      <c r="E4" s="25"/>
    </row>
    <row r="5" spans="1:42" s="11" customFormat="1" ht="13.5" customHeight="1" x14ac:dyDescent="0.3">
      <c r="A5" s="8"/>
      <c r="B5" s="8"/>
      <c r="C5" s="8"/>
      <c r="D5" s="9"/>
      <c r="E5" s="10"/>
    </row>
    <row r="6" spans="1:42" s="210" customFormat="1" ht="13.5" customHeight="1" x14ac:dyDescent="0.3">
      <c r="A6" s="207"/>
      <c r="B6" s="207"/>
      <c r="C6" s="207"/>
      <c r="D6" s="208"/>
      <c r="E6" s="209"/>
    </row>
    <row r="7" spans="1:42" s="2" customFormat="1" ht="13.5" customHeight="1" x14ac:dyDescent="0.25">
      <c r="N7" s="7"/>
      <c r="O7" s="7"/>
    </row>
    <row r="8" spans="1:42" ht="13.5" customHeight="1" x14ac:dyDescent="0.3">
      <c r="D8" s="32" t="s">
        <v>334</v>
      </c>
      <c r="E8" s="2"/>
      <c r="F8" s="2"/>
      <c r="G8" s="2"/>
      <c r="H8" s="2"/>
      <c r="I8" s="2"/>
      <c r="J8" s="2"/>
      <c r="K8" s="2"/>
    </row>
    <row r="9" spans="1:42" ht="13.5" customHeight="1" x14ac:dyDescent="0.3">
      <c r="D9" s="33" t="s">
        <v>301</v>
      </c>
      <c r="E9" s="2"/>
      <c r="F9" s="2"/>
      <c r="G9" s="2"/>
      <c r="H9" s="2"/>
      <c r="I9" s="33" t="s">
        <v>335</v>
      </c>
      <c r="J9" s="2"/>
      <c r="K9" s="2"/>
    </row>
    <row r="10" spans="1:42" ht="13.5" customHeight="1" x14ac:dyDescent="0.3">
      <c r="D10" s="2"/>
      <c r="E10" s="333" t="s">
        <v>277</v>
      </c>
      <c r="F10" s="333" t="s">
        <v>278</v>
      </c>
      <c r="G10" s="333" t="s">
        <v>279</v>
      </c>
      <c r="H10" s="2"/>
      <c r="I10" s="333" t="s">
        <v>277</v>
      </c>
      <c r="J10" s="333" t="s">
        <v>278</v>
      </c>
      <c r="K10" s="333" t="s">
        <v>279</v>
      </c>
    </row>
    <row r="11" spans="1:42" ht="13.5" customHeight="1" x14ac:dyDescent="0.3">
      <c r="D11" s="30" t="s">
        <v>15</v>
      </c>
      <c r="E11" s="334">
        <v>2025</v>
      </c>
      <c r="F11" s="334"/>
      <c r="G11" s="334"/>
      <c r="H11" s="2"/>
      <c r="I11" s="334">
        <v>2025</v>
      </c>
      <c r="J11" s="334"/>
      <c r="K11" s="334"/>
    </row>
    <row r="12" spans="1:42" ht="13.5" customHeight="1" x14ac:dyDescent="0.25">
      <c r="D12" s="7" t="str">
        <f>OCP_SalesProduct!D112</f>
        <v>Sorghum</v>
      </c>
      <c r="E12" s="7">
        <f>OCP_SalesProduct!W150+OCP_SalesProduct!W228+OCP_SalesProduct!W304</f>
        <v>1.5414129994336119</v>
      </c>
      <c r="F12" s="7">
        <f>OCP_SalesProduct!Z150+OCP_SalesProduct!Z228+OCP_SalesProduct!Z304</f>
        <v>4.6242389983008358</v>
      </c>
      <c r="G12" s="7">
        <f>OCP_SalesProduct!AC150+OCP_SalesProduct!AC228+OCP_SalesProduct!AC304</f>
        <v>0</v>
      </c>
      <c r="I12" s="335">
        <f>E12/SUM($E12:$G12)</f>
        <v>0.25</v>
      </c>
      <c r="J12" s="335">
        <f t="shared" ref="J12:J42" si="0">F12/SUM($E12:$G12)</f>
        <v>0.75</v>
      </c>
      <c r="K12" s="335">
        <f t="shared" ref="K12:K42" si="1">G12/SUM($E12:$G12)</f>
        <v>0</v>
      </c>
    </row>
    <row r="13" spans="1:42" ht="13.5" customHeight="1" x14ac:dyDescent="0.25">
      <c r="D13" s="7" t="str">
        <f>OCP_SalesProduct!D113</f>
        <v>Sesame seed</v>
      </c>
      <c r="E13" s="7">
        <f>OCP_SalesProduct!W151+OCP_SalesProduct!W229+OCP_SalesProduct!W305</f>
        <v>8.6805345889751226</v>
      </c>
      <c r="F13" s="7">
        <f>OCP_SalesProduct!Z151+OCP_SalesProduct!Z229+OCP_SalesProduct!Z305</f>
        <v>26.041603766925366</v>
      </c>
      <c r="G13" s="7">
        <f>OCP_SalesProduct!AC151+OCP_SalesProduct!AC229+OCP_SalesProduct!AC305</f>
        <v>0</v>
      </c>
      <c r="I13" s="335">
        <f t="shared" ref="I13:I42" si="2">E13/SUM($E13:$G13)</f>
        <v>0.25</v>
      </c>
      <c r="J13" s="335">
        <f t="shared" si="0"/>
        <v>0.75</v>
      </c>
      <c r="K13" s="335">
        <f t="shared" si="1"/>
        <v>0</v>
      </c>
    </row>
    <row r="14" spans="1:42" ht="13.5" customHeight="1" x14ac:dyDescent="0.3">
      <c r="D14" s="7" t="str">
        <f>OCP_SalesProduct!D114</f>
        <v>Groundnuts, excluding shelled</v>
      </c>
      <c r="E14" s="7">
        <f>OCP_SalesProduct!W152+OCP_SalesProduct!W230+OCP_SalesProduct!W306</f>
        <v>11.265419496024933</v>
      </c>
      <c r="F14" s="7">
        <f>OCP_SalesProduct!Z152+OCP_SalesProduct!Z230+OCP_SalesProduct!Z306</f>
        <v>33.796258488074805</v>
      </c>
      <c r="G14" s="7">
        <f>OCP_SalesProduct!AC152+OCP_SalesProduct!AC230+OCP_SalesProduct!AC306</f>
        <v>0</v>
      </c>
      <c r="I14" s="335">
        <f t="shared" si="2"/>
        <v>0.24999999999999997</v>
      </c>
      <c r="J14" s="335">
        <f t="shared" si="0"/>
        <v>0.75</v>
      </c>
      <c r="K14" s="335">
        <f t="shared" si="1"/>
        <v>0</v>
      </c>
      <c r="R14" s="35"/>
      <c r="W14" s="35"/>
      <c r="X14" s="35"/>
      <c r="Y14" s="35"/>
      <c r="Z14" s="35"/>
      <c r="AA14" s="35"/>
      <c r="AB14" s="35"/>
    </row>
    <row r="15" spans="1:42" ht="13.5" customHeight="1" x14ac:dyDescent="0.3">
      <c r="D15" s="7" t="str">
        <f>OCP_SalesProduct!D115</f>
        <v>Millet</v>
      </c>
      <c r="E15" s="7">
        <f>OCP_SalesProduct!W153+OCP_SalesProduct!W231+OCP_SalesProduct!W307</f>
        <v>0.65193410002503827</v>
      </c>
      <c r="F15" s="7">
        <f>OCP_SalesProduct!Z153+OCP_SalesProduct!Z231+OCP_SalesProduct!Z307</f>
        <v>1.9558023000751146</v>
      </c>
      <c r="G15" s="7">
        <f>OCP_SalesProduct!AC153+OCP_SalesProduct!AC231+OCP_SalesProduct!AC307</f>
        <v>0</v>
      </c>
      <c r="I15" s="335">
        <f t="shared" si="2"/>
        <v>0.25</v>
      </c>
      <c r="J15" s="335">
        <f t="shared" si="0"/>
        <v>0.74999999999999989</v>
      </c>
      <c r="K15" s="335">
        <f t="shared" si="1"/>
        <v>0</v>
      </c>
      <c r="R15" s="36"/>
      <c r="W15" s="36"/>
      <c r="X15" s="36"/>
      <c r="Y15" s="36"/>
      <c r="Z15" s="36"/>
      <c r="AA15" s="36"/>
      <c r="AB15" s="36"/>
    </row>
    <row r="16" spans="1:42" ht="13.5" customHeight="1" x14ac:dyDescent="0.3">
      <c r="D16" s="7" t="str">
        <f>OCP_SalesProduct!D116</f>
        <v>Sugar cane</v>
      </c>
      <c r="E16" s="7">
        <f>OCP_SalesProduct!W154+OCP_SalesProduct!W232+OCP_SalesProduct!W308</f>
        <v>0.23966158512104602</v>
      </c>
      <c r="F16" s="7">
        <f>OCP_SalesProduct!Z154+OCP_SalesProduct!Z232+OCP_SalesProduct!Z308</f>
        <v>0.718984755363138</v>
      </c>
      <c r="G16" s="7">
        <f>OCP_SalesProduct!AC154+OCP_SalesProduct!AC232+OCP_SalesProduct!AC308</f>
        <v>0</v>
      </c>
      <c r="H16" s="283"/>
      <c r="I16" s="335">
        <f t="shared" si="2"/>
        <v>0.25</v>
      </c>
      <c r="J16" s="335">
        <f t="shared" si="0"/>
        <v>0.74999999999999989</v>
      </c>
      <c r="K16" s="335">
        <f t="shared" si="1"/>
        <v>0</v>
      </c>
      <c r="L16" s="284"/>
      <c r="M16" s="284"/>
      <c r="N16" s="283"/>
      <c r="O16" s="284"/>
      <c r="R16" s="283"/>
      <c r="S16" s="284"/>
      <c r="T16" s="284"/>
      <c r="U16" s="283"/>
      <c r="V16" s="284"/>
      <c r="W16" s="284"/>
      <c r="X16" s="283"/>
      <c r="Y16" s="284"/>
      <c r="AB16" s="213"/>
      <c r="AD16" s="36"/>
      <c r="AE16" s="213"/>
      <c r="AG16" s="59"/>
      <c r="AJ16" s="59"/>
      <c r="AM16" s="59"/>
      <c r="AP16" s="59"/>
    </row>
    <row r="17" spans="4:44" ht="13.5" customHeight="1" x14ac:dyDescent="0.3">
      <c r="D17" s="7" t="str">
        <f>OCP_SalesProduct!D117</f>
        <v>Melonseed</v>
      </c>
      <c r="E17" s="7">
        <f>OCP_SalesProduct!W155+OCP_SalesProduct!W233+OCP_SalesProduct!W309</f>
        <v>0.12953782464848509</v>
      </c>
      <c r="F17" s="7">
        <f>OCP_SalesProduct!Z155+OCP_SalesProduct!Z233+OCP_SalesProduct!Z309</f>
        <v>0.38861347394545531</v>
      </c>
      <c r="G17" s="7">
        <f>OCP_SalesProduct!AC155+OCP_SalesProduct!AC233+OCP_SalesProduct!AC309</f>
        <v>0</v>
      </c>
      <c r="H17" s="305"/>
      <c r="I17" s="335">
        <f t="shared" si="2"/>
        <v>0.25</v>
      </c>
      <c r="J17" s="335">
        <f t="shared" si="0"/>
        <v>0.75</v>
      </c>
      <c r="K17" s="335">
        <f t="shared" si="1"/>
        <v>0</v>
      </c>
      <c r="L17" s="305"/>
      <c r="M17" s="305"/>
      <c r="N17" s="305"/>
      <c r="O17" s="305"/>
      <c r="P17" s="305"/>
      <c r="Q17" s="289"/>
      <c r="R17" s="214"/>
      <c r="S17" s="214"/>
      <c r="T17" s="214"/>
      <c r="U17" s="214"/>
      <c r="V17" s="214"/>
      <c r="W17" s="214"/>
      <c r="X17" s="214"/>
      <c r="Y17" s="214"/>
      <c r="Z17" s="214"/>
      <c r="AA17" s="214"/>
      <c r="AB17" s="214"/>
      <c r="AC17" s="214"/>
      <c r="AD17" s="214"/>
      <c r="AE17" s="214"/>
      <c r="AF17" s="214"/>
      <c r="AG17" s="214"/>
      <c r="AH17" s="214"/>
      <c r="AI17" s="214"/>
      <c r="AJ17" s="214"/>
      <c r="AK17" s="214"/>
      <c r="AL17" s="214"/>
      <c r="AM17" s="214"/>
      <c r="AN17" s="214"/>
      <c r="AP17" s="59"/>
      <c r="AQ17" s="59"/>
      <c r="AR17" s="59"/>
    </row>
    <row r="18" spans="4:44" ht="13.5" customHeight="1" x14ac:dyDescent="0.25">
      <c r="D18" s="7" t="str">
        <f>OCP_SalesProduct!D118</f>
        <v>Cow peas, dry</v>
      </c>
      <c r="E18" s="7">
        <f>OCP_SalesProduct!W156+OCP_SalesProduct!W234+OCP_SalesProduct!W310</f>
        <v>9.4629337914169456E-2</v>
      </c>
      <c r="F18" s="7">
        <f>OCP_SalesProduct!Z156+OCP_SalesProduct!Z234+OCP_SalesProduct!Z310</f>
        <v>0.28388801374250838</v>
      </c>
      <c r="G18" s="7">
        <f>OCP_SalesProduct!AC156+OCP_SalesProduct!AC234+OCP_SalesProduct!AC310</f>
        <v>0</v>
      </c>
      <c r="H18" s="306"/>
      <c r="I18" s="335">
        <f t="shared" si="2"/>
        <v>0.25</v>
      </c>
      <c r="J18" s="335">
        <f t="shared" si="0"/>
        <v>0.75</v>
      </c>
      <c r="K18" s="335">
        <f t="shared" si="1"/>
        <v>0</v>
      </c>
      <c r="L18" s="306"/>
      <c r="M18" s="306"/>
      <c r="N18" s="306"/>
      <c r="O18" s="306"/>
      <c r="P18" s="306"/>
      <c r="Q18" s="289"/>
      <c r="R18" s="285"/>
      <c r="S18" s="285"/>
      <c r="T18" s="285"/>
      <c r="U18" s="285"/>
      <c r="V18" s="285"/>
      <c r="W18" s="285"/>
      <c r="X18" s="285"/>
      <c r="Y18" s="285"/>
      <c r="Z18" s="285"/>
      <c r="AA18" s="215"/>
      <c r="AB18" s="278"/>
      <c r="AF18" s="59"/>
      <c r="AG18" s="59"/>
      <c r="AH18" s="59"/>
      <c r="AI18" s="59"/>
      <c r="AJ18" s="59"/>
      <c r="AK18" s="59"/>
      <c r="AL18" s="59"/>
      <c r="AM18" s="59"/>
      <c r="AN18" s="59"/>
      <c r="AP18" s="206"/>
      <c r="AQ18" s="206"/>
      <c r="AR18" s="206"/>
    </row>
    <row r="19" spans="4:44" ht="13.5" customHeight="1" x14ac:dyDescent="0.25">
      <c r="D19" s="7" t="str">
        <f>OCP_SalesProduct!D119</f>
        <v>Wheat</v>
      </c>
      <c r="E19" s="7">
        <f>OCP_SalesProduct!W157+OCP_SalesProduct!W235+OCP_SalesProduct!W311</f>
        <v>2.1001853961343713</v>
      </c>
      <c r="F19" s="7">
        <f>OCP_SalesProduct!Z157+OCP_SalesProduct!Z235+OCP_SalesProduct!Z311</f>
        <v>6.3005561884031138</v>
      </c>
      <c r="G19" s="7">
        <f>OCP_SalesProduct!AC157+OCP_SalesProduct!AC235+OCP_SalesProduct!AC311</f>
        <v>0</v>
      </c>
      <c r="H19" s="306"/>
      <c r="I19" s="335">
        <f t="shared" si="2"/>
        <v>0.25</v>
      </c>
      <c r="J19" s="335">
        <f t="shared" si="0"/>
        <v>0.75</v>
      </c>
      <c r="K19" s="335">
        <f t="shared" si="1"/>
        <v>0</v>
      </c>
      <c r="L19" s="306"/>
      <c r="M19" s="306"/>
      <c r="N19" s="306"/>
      <c r="O19" s="306"/>
      <c r="P19" s="306"/>
      <c r="Q19" s="289"/>
      <c r="R19" s="285"/>
      <c r="S19" s="285"/>
      <c r="T19" s="285"/>
      <c r="U19" s="285"/>
      <c r="V19" s="285"/>
      <c r="W19" s="285"/>
      <c r="X19" s="285"/>
      <c r="Y19" s="285"/>
      <c r="Z19" s="285"/>
      <c r="AA19" s="215"/>
      <c r="AB19" s="278"/>
      <c r="AF19" s="59"/>
      <c r="AG19" s="59"/>
      <c r="AH19" s="59"/>
      <c r="AI19" s="59"/>
      <c r="AJ19" s="59"/>
      <c r="AK19" s="59"/>
      <c r="AL19" s="59"/>
      <c r="AM19" s="59"/>
      <c r="AN19" s="59"/>
    </row>
    <row r="20" spans="4:44" ht="13.5" customHeight="1" thickBot="1" x14ac:dyDescent="0.3">
      <c r="D20" s="7" t="str">
        <f>OCP_SalesProduct!D120</f>
        <v>Onions and shallots, dry (excluding dehydrated)</v>
      </c>
      <c r="E20" s="7">
        <f>OCP_SalesProduct!W158+OCP_SalesProduct!W236+OCP_SalesProduct!W312</f>
        <v>7.2174679170328854E-2</v>
      </c>
      <c r="F20" s="7">
        <f>OCP_SalesProduct!Z158+OCP_SalesProduct!Z236+OCP_SalesProduct!Z312</f>
        <v>0.21652403751098656</v>
      </c>
      <c r="G20" s="7">
        <f>OCP_SalesProduct!AC158+OCP_SalesProduct!AC236+OCP_SalesProduct!AC312</f>
        <v>0</v>
      </c>
      <c r="H20" s="306"/>
      <c r="I20" s="335">
        <f t="shared" si="2"/>
        <v>0.25</v>
      </c>
      <c r="J20" s="335">
        <f t="shared" si="0"/>
        <v>0.75</v>
      </c>
      <c r="K20" s="335">
        <f t="shared" si="1"/>
        <v>0</v>
      </c>
      <c r="L20" s="306"/>
      <c r="M20" s="306"/>
      <c r="N20" s="306"/>
      <c r="O20" s="306"/>
      <c r="P20" s="306"/>
      <c r="Q20" s="289"/>
      <c r="R20" s="285"/>
      <c r="S20" s="285"/>
      <c r="T20" s="285"/>
      <c r="U20" s="285"/>
      <c r="V20" s="285"/>
      <c r="W20" s="285"/>
      <c r="X20" s="285"/>
      <c r="Y20" s="285"/>
      <c r="Z20" s="285"/>
      <c r="AA20" s="215"/>
      <c r="AB20" s="278"/>
      <c r="AF20" s="59"/>
      <c r="AG20" s="59"/>
      <c r="AH20" s="59"/>
      <c r="AI20" s="59"/>
      <c r="AJ20" s="59"/>
      <c r="AK20" s="59"/>
      <c r="AL20" s="59"/>
      <c r="AM20" s="59"/>
      <c r="AN20" s="59"/>
    </row>
    <row r="21" spans="4:44" ht="13.5" customHeight="1" thickTop="1" thickBot="1" x14ac:dyDescent="0.3">
      <c r="D21" s="7" t="str">
        <f>OCP_SalesProduct!D121</f>
        <v>Bananas</v>
      </c>
      <c r="E21" s="7">
        <f>OCP_SalesProduct!W159+OCP_SalesProduct!W237+OCP_SalesProduct!W313</f>
        <v>5.4155427707838974E-2</v>
      </c>
      <c r="F21" s="7">
        <f>OCP_SalesProduct!Z159+OCP_SalesProduct!Z237+OCP_SalesProduct!Z313</f>
        <v>0.16246628312351694</v>
      </c>
      <c r="G21" s="7">
        <f>OCP_SalesProduct!AC159+OCP_SalesProduct!AC237+OCP_SalesProduct!AC313</f>
        <v>0</v>
      </c>
      <c r="H21" s="307"/>
      <c r="I21" s="335">
        <f t="shared" si="2"/>
        <v>0.25</v>
      </c>
      <c r="J21" s="335">
        <f t="shared" si="0"/>
        <v>0.75000000000000011</v>
      </c>
      <c r="K21" s="335">
        <f t="shared" si="1"/>
        <v>0</v>
      </c>
      <c r="L21" s="307"/>
      <c r="M21" s="307"/>
      <c r="N21" s="307"/>
      <c r="O21" s="307"/>
      <c r="P21" s="307"/>
      <c r="Q21" s="289"/>
      <c r="R21" s="288"/>
      <c r="S21" s="288"/>
      <c r="T21" s="288"/>
      <c r="U21" s="288"/>
      <c r="V21" s="288"/>
      <c r="W21" s="288"/>
      <c r="X21" s="288"/>
      <c r="Y21" s="288"/>
      <c r="Z21" s="288"/>
      <c r="AA21" s="218"/>
      <c r="AB21" s="279"/>
      <c r="AC21" s="287"/>
      <c r="AD21" s="287"/>
      <c r="AE21" s="287"/>
      <c r="AF21" s="287"/>
      <c r="AG21" s="287"/>
      <c r="AH21" s="287"/>
      <c r="AI21" s="287"/>
      <c r="AJ21" s="287"/>
      <c r="AK21" s="287"/>
      <c r="AL21" s="287"/>
      <c r="AM21" s="287"/>
      <c r="AN21" s="287"/>
    </row>
    <row r="22" spans="4:44" ht="13.5" customHeight="1" thickTop="1" x14ac:dyDescent="0.25">
      <c r="D22" s="7" t="str">
        <f>OCP_SalesProduct!D122</f>
        <v>Mangoes, guavas and mangosteens</v>
      </c>
      <c r="E22" s="7">
        <f>OCP_SalesProduct!W160+OCP_SalesProduct!W238+OCP_SalesProduct!W314</f>
        <v>5.5350507267414382E-2</v>
      </c>
      <c r="F22" s="7">
        <f>OCP_SalesProduct!Z160+OCP_SalesProduct!Z238+OCP_SalesProduct!Z314</f>
        <v>0.16605152180224314</v>
      </c>
      <c r="G22" s="7">
        <f>OCP_SalesProduct!AC160+OCP_SalesProduct!AC238+OCP_SalesProduct!AC314</f>
        <v>0</v>
      </c>
      <c r="H22" s="221"/>
      <c r="I22" s="335">
        <f t="shared" si="2"/>
        <v>0.25</v>
      </c>
      <c r="J22" s="335">
        <f t="shared" si="0"/>
        <v>0.75</v>
      </c>
      <c r="K22" s="335">
        <f t="shared" si="1"/>
        <v>0</v>
      </c>
      <c r="L22" s="221"/>
      <c r="M22" s="221"/>
      <c r="N22" s="221"/>
      <c r="O22" s="221"/>
      <c r="P22" s="221"/>
      <c r="Q22" s="289"/>
      <c r="R22" s="224"/>
      <c r="S22" s="224"/>
      <c r="T22" s="224"/>
      <c r="U22" s="224"/>
      <c r="V22" s="224"/>
      <c r="W22" s="224"/>
      <c r="X22" s="224"/>
      <c r="Y22" s="224"/>
      <c r="Z22" s="221"/>
      <c r="AA22" s="222"/>
      <c r="AB22" s="222"/>
      <c r="AC22" s="222"/>
      <c r="AD22" s="222"/>
      <c r="AE22" s="222"/>
      <c r="AF22" s="222"/>
      <c r="AG22" s="222"/>
    </row>
    <row r="23" spans="4:44" ht="13.5" customHeight="1" x14ac:dyDescent="0.25">
      <c r="D23" s="7" t="str">
        <f>OCP_SalesProduct!D123</f>
        <v>Cantaloupes and other melons</v>
      </c>
      <c r="E23" s="7">
        <f>OCP_SalesProduct!W161+OCP_SalesProduct!W239+OCP_SalesProduct!W315</f>
        <v>5.4256197844223961E-2</v>
      </c>
      <c r="F23" s="7">
        <f>OCP_SalesProduct!Z161+OCP_SalesProduct!Z239+OCP_SalesProduct!Z315</f>
        <v>0.1627685935326719</v>
      </c>
      <c r="G23" s="7">
        <f>OCP_SalesProduct!AC161+OCP_SalesProduct!AC239+OCP_SalesProduct!AC315</f>
        <v>0</v>
      </c>
      <c r="H23" s="221"/>
      <c r="I23" s="335">
        <f t="shared" si="2"/>
        <v>0.25</v>
      </c>
      <c r="J23" s="335">
        <f t="shared" si="0"/>
        <v>0.75000000000000011</v>
      </c>
      <c r="K23" s="335">
        <f t="shared" si="1"/>
        <v>0</v>
      </c>
      <c r="L23" s="221"/>
      <c r="M23" s="221"/>
      <c r="N23" s="221"/>
      <c r="O23" s="221"/>
      <c r="P23" s="221"/>
      <c r="Q23" s="289"/>
      <c r="R23" s="224"/>
      <c r="S23" s="224"/>
      <c r="T23" s="224"/>
      <c r="U23" s="224"/>
      <c r="V23" s="224"/>
      <c r="W23" s="224"/>
      <c r="X23" s="224"/>
      <c r="Y23" s="224"/>
      <c r="Z23" s="221"/>
      <c r="AA23" s="222"/>
      <c r="AB23" s="222"/>
      <c r="AC23" s="222"/>
      <c r="AD23" s="222"/>
      <c r="AE23" s="222"/>
      <c r="AF23" s="222"/>
      <c r="AG23" s="222"/>
    </row>
    <row r="24" spans="4:44" ht="13.5" customHeight="1" x14ac:dyDescent="0.25">
      <c r="D24" s="7" t="str">
        <f>OCP_SalesProduct!D124</f>
        <v>Sunflower seed</v>
      </c>
      <c r="E24" s="7">
        <f>OCP_SalesProduct!W162+OCP_SalesProduct!W240+OCP_SalesProduct!W316</f>
        <v>7.2027878177141208E-2</v>
      </c>
      <c r="F24" s="7">
        <f>OCP_SalesProduct!Z162+OCP_SalesProduct!Z240+OCP_SalesProduct!Z316</f>
        <v>0.21608363453142365</v>
      </c>
      <c r="G24" s="7">
        <f>OCP_SalesProduct!AC162+OCP_SalesProduct!AC240+OCP_SalesProduct!AC316</f>
        <v>0</v>
      </c>
      <c r="H24" s="306"/>
      <c r="I24" s="335">
        <f t="shared" si="2"/>
        <v>0.25</v>
      </c>
      <c r="J24" s="335">
        <f t="shared" si="0"/>
        <v>0.75000000000000011</v>
      </c>
      <c r="K24" s="335">
        <f t="shared" si="1"/>
        <v>0</v>
      </c>
      <c r="L24" s="306"/>
      <c r="M24" s="306"/>
      <c r="N24" s="306"/>
      <c r="O24" s="306"/>
      <c r="P24" s="306"/>
      <c r="Q24" s="289"/>
      <c r="R24" s="59"/>
      <c r="S24" s="59"/>
      <c r="T24" s="59"/>
      <c r="U24" s="59"/>
      <c r="V24" s="59"/>
      <c r="W24" s="59"/>
      <c r="X24" s="59"/>
      <c r="Y24" s="59"/>
      <c r="Z24" s="59"/>
    </row>
    <row r="25" spans="4:44" ht="13.5" customHeight="1" x14ac:dyDescent="0.25">
      <c r="D25" s="7" t="str">
        <f>OCP_SalesProduct!D125</f>
        <v>Cauliflowers and broccoli</v>
      </c>
      <c r="E25" s="7">
        <f>OCP_SalesProduct!W163+OCP_SalesProduct!W241+OCP_SalesProduct!W317</f>
        <v>4.8537648913811342E-2</v>
      </c>
      <c r="F25" s="7">
        <f>OCP_SalesProduct!Z163+OCP_SalesProduct!Z241+OCP_SalesProduct!Z317</f>
        <v>0.14561294674143405</v>
      </c>
      <c r="G25" s="7">
        <f>OCP_SalesProduct!AC163+OCP_SalesProduct!AC241+OCP_SalesProduct!AC317</f>
        <v>0</v>
      </c>
      <c r="H25" s="289"/>
      <c r="I25" s="335">
        <f t="shared" si="2"/>
        <v>0.24999999999999997</v>
      </c>
      <c r="J25" s="335">
        <f t="shared" si="0"/>
        <v>0.75</v>
      </c>
      <c r="K25" s="335">
        <f t="shared" si="1"/>
        <v>0</v>
      </c>
      <c r="L25" s="289"/>
      <c r="M25" s="289"/>
      <c r="N25" s="289"/>
      <c r="O25" s="289"/>
      <c r="P25" s="289"/>
      <c r="Q25" s="289"/>
    </row>
    <row r="26" spans="4:44" ht="13.5" customHeight="1" x14ac:dyDescent="0.3">
      <c r="D26" s="7" t="str">
        <f>OCP_SalesProduct!D126</f>
        <v>Seed cotton, unginned</v>
      </c>
      <c r="E26" s="7">
        <f>OCP_SalesProduct!W164+OCP_SalesProduct!W242+OCP_SalesProduct!W318</f>
        <v>0.28265962168134134</v>
      </c>
      <c r="F26" s="7">
        <f>OCP_SalesProduct!Z164+OCP_SalesProduct!Z242+OCP_SalesProduct!Z318</f>
        <v>0.84797886504402398</v>
      </c>
      <c r="G26" s="7">
        <f>OCP_SalesProduct!AC164+OCP_SalesProduct!AC242+OCP_SalesProduct!AC318</f>
        <v>0</v>
      </c>
      <c r="H26" s="311"/>
      <c r="I26" s="335">
        <f t="shared" si="2"/>
        <v>0.25</v>
      </c>
      <c r="J26" s="335">
        <f t="shared" si="0"/>
        <v>0.75</v>
      </c>
      <c r="K26" s="335">
        <f t="shared" si="1"/>
        <v>0</v>
      </c>
      <c r="L26" s="310"/>
      <c r="M26" s="310"/>
      <c r="N26" s="311"/>
      <c r="O26" s="310"/>
      <c r="P26" s="289"/>
      <c r="Q26" s="289"/>
      <c r="R26" s="283"/>
      <c r="S26" s="284"/>
      <c r="T26" s="284"/>
      <c r="U26" s="283"/>
      <c r="V26" s="284"/>
      <c r="W26" s="284"/>
      <c r="X26" s="283"/>
      <c r="Y26" s="284"/>
      <c r="AB26" s="213"/>
      <c r="AE26" s="213"/>
    </row>
    <row r="27" spans="4:44" ht="13.5" customHeight="1" x14ac:dyDescent="0.3">
      <c r="D27" s="7" t="str">
        <f>OCP_SalesProduct!D127</f>
        <v>Cucumbers and gherkins</v>
      </c>
      <c r="E27" s="7">
        <f>OCP_SalesProduct!W165+OCP_SalesProduct!W243+OCP_SalesProduct!W319</f>
        <v>4.3661366563890795E-2</v>
      </c>
      <c r="F27" s="7">
        <f>OCP_SalesProduct!Z165+OCP_SalesProduct!Z243+OCP_SalesProduct!Z319</f>
        <v>0.13098409969167238</v>
      </c>
      <c r="G27" s="7">
        <f>OCP_SalesProduct!AC165+OCP_SalesProduct!AC243+OCP_SalesProduct!AC319</f>
        <v>0</v>
      </c>
      <c r="H27" s="311"/>
      <c r="I27" s="335">
        <f t="shared" si="2"/>
        <v>0.25</v>
      </c>
      <c r="J27" s="335">
        <f t="shared" si="0"/>
        <v>0.75</v>
      </c>
      <c r="K27" s="335">
        <f t="shared" si="1"/>
        <v>0</v>
      </c>
      <c r="L27" s="310"/>
      <c r="M27" s="310"/>
      <c r="N27" s="311"/>
      <c r="O27" s="310"/>
      <c r="P27" s="289"/>
      <c r="Q27" s="289"/>
      <c r="R27" s="283"/>
      <c r="S27" s="284"/>
      <c r="T27" s="284"/>
      <c r="U27" s="283"/>
      <c r="V27" s="284"/>
      <c r="W27" s="284"/>
      <c r="X27" s="283"/>
      <c r="Y27" s="284"/>
      <c r="AB27" s="213"/>
      <c r="AD27" s="36"/>
      <c r="AE27" s="213"/>
      <c r="AG27" s="59"/>
      <c r="AJ27" s="59"/>
      <c r="AM27" s="59"/>
    </row>
    <row r="28" spans="4:44" ht="13.5" customHeight="1" x14ac:dyDescent="0.3">
      <c r="D28" s="7" t="str">
        <f>OCP_SalesProduct!D128</f>
        <v>Tomatoes</v>
      </c>
      <c r="E28" s="7">
        <f>OCP_SalesProduct!W166+OCP_SalesProduct!W244+OCP_SalesProduct!W320</f>
        <v>4.1277428951172423E-2</v>
      </c>
      <c r="F28" s="7">
        <f>OCP_SalesProduct!Z166+OCP_SalesProduct!Z244+OCP_SalesProduct!Z320</f>
        <v>0.12383228685351728</v>
      </c>
      <c r="G28" s="7">
        <f>OCP_SalesProduct!AC166+OCP_SalesProduct!AC244+OCP_SalesProduct!AC320</f>
        <v>0</v>
      </c>
      <c r="H28" s="305"/>
      <c r="I28" s="335">
        <f t="shared" si="2"/>
        <v>0.25</v>
      </c>
      <c r="J28" s="335">
        <f t="shared" si="0"/>
        <v>0.75000000000000011</v>
      </c>
      <c r="K28" s="335">
        <f t="shared" si="1"/>
        <v>0</v>
      </c>
      <c r="L28" s="305"/>
      <c r="M28" s="305"/>
      <c r="N28" s="305"/>
      <c r="O28" s="305"/>
      <c r="P28" s="305"/>
      <c r="Q28" s="289"/>
      <c r="R28" s="214"/>
      <c r="S28" s="214"/>
      <c r="T28" s="214"/>
      <c r="U28" s="214"/>
      <c r="V28" s="214"/>
      <c r="W28" s="214"/>
      <c r="X28" s="214"/>
      <c r="Y28" s="214"/>
      <c r="Z28" s="214"/>
      <c r="AA28" s="214"/>
      <c r="AB28" s="214"/>
      <c r="AC28" s="214"/>
      <c r="AD28" s="214"/>
      <c r="AE28" s="214"/>
      <c r="AF28" s="214"/>
      <c r="AG28" s="214"/>
      <c r="AH28" s="214"/>
      <c r="AI28" s="214"/>
      <c r="AJ28" s="214"/>
      <c r="AK28" s="214"/>
      <c r="AL28" s="214"/>
      <c r="AM28" s="214"/>
      <c r="AN28" s="214"/>
      <c r="AP28" s="59"/>
    </row>
    <row r="29" spans="4:44" ht="13.5" customHeight="1" x14ac:dyDescent="0.25">
      <c r="D29" s="7" t="str">
        <f>OCP_SalesProduct!D129</f>
        <v>Potatoes</v>
      </c>
      <c r="E29" s="7">
        <f>OCP_SalesProduct!W167+OCP_SalesProduct!W245+OCP_SalesProduct!W321</f>
        <v>3.8185493638248233E-2</v>
      </c>
      <c r="F29" s="7">
        <f>OCP_SalesProduct!Z167+OCP_SalesProduct!Z245+OCP_SalesProduct!Z321</f>
        <v>0.1145564809147447</v>
      </c>
      <c r="G29" s="7">
        <f>OCP_SalesProduct!AC167+OCP_SalesProduct!AC245+OCP_SalesProduct!AC321</f>
        <v>0</v>
      </c>
      <c r="H29" s="306"/>
      <c r="I29" s="335">
        <f t="shared" si="2"/>
        <v>0.25</v>
      </c>
      <c r="J29" s="335">
        <f t="shared" si="0"/>
        <v>0.75</v>
      </c>
      <c r="K29" s="335">
        <f t="shared" si="1"/>
        <v>0</v>
      </c>
      <c r="L29" s="306"/>
      <c r="M29" s="306"/>
      <c r="N29" s="306"/>
      <c r="O29" s="306"/>
      <c r="P29" s="306"/>
      <c r="Q29" s="289"/>
      <c r="R29" s="285"/>
      <c r="S29" s="285"/>
      <c r="T29" s="285"/>
      <c r="U29" s="285"/>
      <c r="V29" s="285"/>
      <c r="W29" s="285"/>
      <c r="X29" s="285"/>
      <c r="Y29" s="285"/>
      <c r="Z29" s="285"/>
      <c r="AA29" s="215"/>
      <c r="AB29" s="278"/>
      <c r="AF29" s="59"/>
      <c r="AG29" s="59"/>
      <c r="AH29" s="59"/>
      <c r="AI29" s="59"/>
      <c r="AJ29" s="59"/>
      <c r="AK29" s="59"/>
      <c r="AL29" s="59"/>
      <c r="AM29" s="59"/>
      <c r="AN29" s="59"/>
      <c r="AP29" s="206"/>
      <c r="AQ29" s="206"/>
      <c r="AR29" s="206"/>
    </row>
    <row r="30" spans="4:44" ht="13.5" customHeight="1" x14ac:dyDescent="0.25">
      <c r="D30" s="7" t="str">
        <f>OCP_SalesProduct!D130</f>
        <v>Pumpkins, squash and gourds</v>
      </c>
      <c r="E30" s="7">
        <f>OCP_SalesProduct!W168+OCP_SalesProduct!W246+OCP_SalesProduct!W322</f>
        <v>3.6218788733759208E-2</v>
      </c>
      <c r="F30" s="7">
        <f>OCP_SalesProduct!Z168+OCP_SalesProduct!Z246+OCP_SalesProduct!Z322</f>
        <v>0.10865636620127761</v>
      </c>
      <c r="G30" s="7">
        <f>OCP_SalesProduct!AC168+OCP_SalesProduct!AC246+OCP_SalesProduct!AC322</f>
        <v>0</v>
      </c>
      <c r="H30" s="306"/>
      <c r="I30" s="335">
        <f t="shared" si="2"/>
        <v>0.25</v>
      </c>
      <c r="J30" s="335">
        <f t="shared" si="0"/>
        <v>0.74999999999999989</v>
      </c>
      <c r="K30" s="335">
        <f t="shared" si="1"/>
        <v>0</v>
      </c>
      <c r="L30" s="306"/>
      <c r="M30" s="306"/>
      <c r="N30" s="306"/>
      <c r="O30" s="306"/>
      <c r="P30" s="306"/>
      <c r="Q30" s="289"/>
      <c r="R30" s="285"/>
      <c r="S30" s="285"/>
      <c r="T30" s="285"/>
      <c r="U30" s="285"/>
      <c r="V30" s="285"/>
      <c r="W30" s="285"/>
      <c r="X30" s="285"/>
      <c r="Y30" s="285"/>
      <c r="Z30" s="285"/>
      <c r="AA30" s="215"/>
      <c r="AB30" s="278"/>
      <c r="AF30" s="59"/>
      <c r="AG30" s="59"/>
      <c r="AH30" s="59"/>
      <c r="AI30" s="59"/>
      <c r="AJ30" s="59"/>
      <c r="AK30" s="59"/>
      <c r="AL30" s="59"/>
      <c r="AM30" s="59"/>
      <c r="AN30" s="59"/>
    </row>
    <row r="31" spans="4:44" ht="13.5" customHeight="1" thickBot="1" x14ac:dyDescent="0.3">
      <c r="D31" s="7" t="str">
        <f>OCP_SalesProduct!D131</f>
        <v>Dates</v>
      </c>
      <c r="E31" s="7">
        <f>OCP_SalesProduct!W169+OCP_SalesProduct!W247+OCP_SalesProduct!W323</f>
        <v>3.7175883863931752E-2</v>
      </c>
      <c r="F31" s="7">
        <f>OCP_SalesProduct!Z169+OCP_SalesProduct!Z247+OCP_SalesProduct!Z323</f>
        <v>0.11152765159179526</v>
      </c>
      <c r="G31" s="7">
        <f>OCP_SalesProduct!AC169+OCP_SalesProduct!AC247+OCP_SalesProduct!AC323</f>
        <v>0</v>
      </c>
      <c r="H31" s="306"/>
      <c r="I31" s="335">
        <f t="shared" si="2"/>
        <v>0.25</v>
      </c>
      <c r="J31" s="335">
        <f t="shared" si="0"/>
        <v>0.75</v>
      </c>
      <c r="K31" s="335">
        <f t="shared" si="1"/>
        <v>0</v>
      </c>
      <c r="L31" s="306"/>
      <c r="M31" s="306"/>
      <c r="N31" s="306"/>
      <c r="O31" s="306"/>
      <c r="P31" s="306"/>
      <c r="Q31" s="289"/>
      <c r="R31" s="285"/>
      <c r="S31" s="285"/>
      <c r="T31" s="285"/>
      <c r="U31" s="285"/>
      <c r="V31" s="285"/>
      <c r="W31" s="285"/>
      <c r="X31" s="285"/>
      <c r="Y31" s="285"/>
      <c r="Z31" s="285"/>
      <c r="AA31" s="215"/>
      <c r="AB31" s="278"/>
      <c r="AF31" s="59"/>
      <c r="AG31" s="59"/>
      <c r="AH31" s="59"/>
      <c r="AI31" s="59"/>
      <c r="AJ31" s="59"/>
      <c r="AK31" s="59"/>
      <c r="AL31" s="59"/>
      <c r="AM31" s="59"/>
      <c r="AN31" s="59"/>
    </row>
    <row r="32" spans="4:44" ht="13.5" customHeight="1" thickTop="1" thickBot="1" x14ac:dyDescent="0.3">
      <c r="D32" s="7" t="str">
        <f>OCP_SalesProduct!D132</f>
        <v>Pomelos and grapefruits</v>
      </c>
      <c r="E32" s="7">
        <f>OCP_SalesProduct!W170+OCP_SalesProduct!W248+OCP_SalesProduct!W324</f>
        <v>3.7310633748724495E-2</v>
      </c>
      <c r="F32" s="7">
        <f>OCP_SalesProduct!Z170+OCP_SalesProduct!Z248+OCP_SalesProduct!Z324</f>
        <v>0.11193190124617348</v>
      </c>
      <c r="G32" s="7">
        <f>OCP_SalesProduct!AC170+OCP_SalesProduct!AC248+OCP_SalesProduct!AC324</f>
        <v>0</v>
      </c>
      <c r="H32" s="307"/>
      <c r="I32" s="335">
        <f t="shared" si="2"/>
        <v>0.25</v>
      </c>
      <c r="J32" s="335">
        <f t="shared" si="0"/>
        <v>0.75</v>
      </c>
      <c r="K32" s="335">
        <f t="shared" si="1"/>
        <v>0</v>
      </c>
      <c r="L32" s="307"/>
      <c r="M32" s="307"/>
      <c r="N32" s="307"/>
      <c r="O32" s="307"/>
      <c r="P32" s="307"/>
      <c r="Q32" s="289"/>
      <c r="R32" s="288"/>
      <c r="S32" s="288"/>
      <c r="T32" s="288"/>
      <c r="U32" s="288"/>
      <c r="V32" s="288"/>
      <c r="W32" s="288"/>
      <c r="X32" s="288"/>
      <c r="Y32" s="288"/>
      <c r="Z32" s="288"/>
      <c r="AA32" s="218"/>
      <c r="AB32" s="279"/>
      <c r="AC32" s="287"/>
      <c r="AD32" s="287"/>
      <c r="AE32" s="287"/>
      <c r="AF32" s="287"/>
      <c r="AG32" s="287"/>
      <c r="AH32" s="287"/>
      <c r="AI32" s="287"/>
      <c r="AJ32" s="287"/>
      <c r="AK32" s="287"/>
      <c r="AL32" s="287"/>
      <c r="AM32" s="287"/>
      <c r="AN32" s="287"/>
    </row>
    <row r="33" spans="2:36" ht="13.5" customHeight="1" thickTop="1" x14ac:dyDescent="0.25">
      <c r="D33" s="7" t="str">
        <f>OCP_SalesProduct!D133</f>
        <v>Okra</v>
      </c>
      <c r="E33" s="7">
        <f>OCP_SalesProduct!W171+OCP_SalesProduct!W249+OCP_SalesProduct!W325</f>
        <v>3.0553212803599211E-2</v>
      </c>
      <c r="F33" s="7">
        <f>OCP_SalesProduct!Z171+OCP_SalesProduct!Z249+OCP_SalesProduct!Z325</f>
        <v>9.1659638410797648E-2</v>
      </c>
      <c r="G33" s="7">
        <f>OCP_SalesProduct!AC171+OCP_SalesProduct!AC249+OCP_SalesProduct!AC325</f>
        <v>0</v>
      </c>
      <c r="H33" s="221"/>
      <c r="I33" s="335">
        <f t="shared" si="2"/>
        <v>0.24999999999999997</v>
      </c>
      <c r="J33" s="335">
        <f t="shared" si="0"/>
        <v>0.75</v>
      </c>
      <c r="K33" s="335">
        <f t="shared" si="1"/>
        <v>0</v>
      </c>
      <c r="L33" s="221"/>
      <c r="M33" s="221"/>
      <c r="N33" s="221"/>
      <c r="O33" s="221"/>
      <c r="P33" s="221"/>
      <c r="Q33" s="221"/>
      <c r="R33" s="224"/>
      <c r="S33" s="224"/>
      <c r="U33" s="59"/>
      <c r="V33" s="222"/>
      <c r="W33" s="222"/>
      <c r="X33" s="222"/>
      <c r="Y33" s="222"/>
      <c r="Z33" s="222"/>
      <c r="AA33" s="222"/>
      <c r="AB33" s="222"/>
      <c r="AC33" s="215"/>
      <c r="AD33" s="215"/>
      <c r="AE33" s="215"/>
      <c r="AF33" s="222"/>
      <c r="AG33" s="222"/>
    </row>
    <row r="34" spans="2:36" ht="13.5" customHeight="1" x14ac:dyDescent="0.25">
      <c r="D34" s="7" t="str">
        <f>OCP_SalesProduct!D134</f>
        <v>Lemons and limes</v>
      </c>
      <c r="E34" s="7">
        <f>OCP_SalesProduct!W172+OCP_SalesProduct!W250+OCP_SalesProduct!W326</f>
        <v>3.5930864411283882E-2</v>
      </c>
      <c r="F34" s="7">
        <f>OCP_SalesProduct!Z172+OCP_SalesProduct!Z250+OCP_SalesProduct!Z326</f>
        <v>0.10779259323385165</v>
      </c>
      <c r="G34" s="7">
        <f>OCP_SalesProduct!AC172+OCP_SalesProduct!AC250+OCP_SalesProduct!AC326</f>
        <v>0</v>
      </c>
      <c r="H34" s="289"/>
      <c r="I34" s="335">
        <f t="shared" si="2"/>
        <v>0.25</v>
      </c>
      <c r="J34" s="335">
        <f t="shared" si="0"/>
        <v>0.75</v>
      </c>
      <c r="K34" s="335">
        <f t="shared" si="1"/>
        <v>0</v>
      </c>
      <c r="L34" s="221"/>
      <c r="M34" s="221"/>
      <c r="N34" s="221"/>
      <c r="O34" s="221"/>
      <c r="P34" s="221"/>
      <c r="Q34" s="221"/>
      <c r="R34" s="224"/>
      <c r="S34" s="224"/>
      <c r="T34" s="224"/>
      <c r="U34" s="224"/>
      <c r="V34" s="224"/>
      <c r="X34" s="59"/>
      <c r="Y34" s="222"/>
      <c r="Z34" s="222"/>
      <c r="AA34" s="222"/>
      <c r="AB34" s="222"/>
      <c r="AC34" s="222"/>
      <c r="AD34" s="222"/>
      <c r="AE34" s="222"/>
      <c r="AF34" s="222"/>
      <c r="AG34" s="222"/>
      <c r="AH34" s="222"/>
      <c r="AI34" s="222"/>
      <c r="AJ34" s="222"/>
    </row>
    <row r="35" spans="2:36" ht="13.5" customHeight="1" x14ac:dyDescent="0.25">
      <c r="D35" s="7" t="str">
        <f>OCP_SalesProduct!D135</f>
        <v>Green garlic</v>
      </c>
      <c r="E35" s="7">
        <f>OCP_SalesProduct!W173+OCP_SalesProduct!W251+OCP_SalesProduct!W327</f>
        <v>4.3285626835324595E-2</v>
      </c>
      <c r="F35" s="7">
        <f>OCP_SalesProduct!Z173+OCP_SalesProduct!Z251+OCP_SalesProduct!Z327</f>
        <v>0.1298568805059738</v>
      </c>
      <c r="G35" s="7">
        <f>OCP_SalesProduct!AC173+OCP_SalesProduct!AC251+OCP_SalesProduct!AC327</f>
        <v>0</v>
      </c>
      <c r="H35" s="289"/>
      <c r="I35" s="335">
        <f t="shared" si="2"/>
        <v>0.25</v>
      </c>
      <c r="J35" s="335">
        <f t="shared" si="0"/>
        <v>0.75000000000000011</v>
      </c>
      <c r="K35" s="335">
        <f t="shared" si="1"/>
        <v>0</v>
      </c>
      <c r="L35" s="221"/>
      <c r="M35" s="221"/>
      <c r="N35" s="221"/>
      <c r="O35" s="221"/>
      <c r="P35" s="221"/>
      <c r="Q35" s="221"/>
      <c r="R35" s="224"/>
      <c r="S35" s="224"/>
      <c r="T35" s="224"/>
      <c r="U35" s="224"/>
      <c r="V35" s="224"/>
      <c r="X35" s="59"/>
      <c r="Y35" s="222"/>
      <c r="Z35" s="222"/>
      <c r="AA35" s="222"/>
      <c r="AB35" s="222"/>
      <c r="AC35" s="222"/>
      <c r="AD35" s="222"/>
      <c r="AE35" s="222"/>
      <c r="AF35" s="222"/>
      <c r="AG35" s="222"/>
      <c r="AH35" s="222"/>
      <c r="AI35" s="222"/>
      <c r="AJ35" s="222"/>
    </row>
    <row r="36" spans="2:36" ht="13.5" customHeight="1" x14ac:dyDescent="0.35">
      <c r="B36" s="51"/>
      <c r="C36" s="51"/>
      <c r="D36" s="7" t="str">
        <f>OCP_SalesProduct!D136</f>
        <v>Sweet potatoes</v>
      </c>
      <c r="E36" s="7">
        <f>OCP_SalesProduct!W174+OCP_SalesProduct!W252+OCP_SalesProduct!W328</f>
        <v>2.8918846194504296E-2</v>
      </c>
      <c r="F36" s="7">
        <f>OCP_SalesProduct!Z174+OCP_SalesProduct!Z252+OCP_SalesProduct!Z328</f>
        <v>8.6756538583512899E-2</v>
      </c>
      <c r="G36" s="7">
        <f>OCP_SalesProduct!AC174+OCP_SalesProduct!AC252+OCP_SalesProduct!AC328</f>
        <v>0</v>
      </c>
      <c r="H36" s="289"/>
      <c r="I36" s="335">
        <f t="shared" si="2"/>
        <v>0.24999999999999997</v>
      </c>
      <c r="J36" s="335">
        <f t="shared" si="0"/>
        <v>0.75</v>
      </c>
      <c r="K36" s="335">
        <f t="shared" si="1"/>
        <v>0</v>
      </c>
      <c r="L36" s="221"/>
      <c r="M36" s="221"/>
      <c r="N36" s="221"/>
      <c r="O36" s="221"/>
      <c r="P36" s="221"/>
      <c r="Q36" s="221"/>
      <c r="R36" s="224"/>
      <c r="S36" s="224"/>
      <c r="T36" s="224"/>
      <c r="U36" s="224"/>
      <c r="V36" s="224"/>
      <c r="X36" s="59"/>
      <c r="Y36" s="222"/>
      <c r="Z36" s="222"/>
      <c r="AA36" s="222"/>
      <c r="AB36" s="222"/>
      <c r="AC36" s="222"/>
      <c r="AD36" s="222"/>
      <c r="AE36" s="222"/>
      <c r="AF36" s="222"/>
      <c r="AG36" s="222"/>
      <c r="AH36" s="222"/>
      <c r="AI36" s="222"/>
      <c r="AJ36" s="222"/>
    </row>
    <row r="37" spans="2:36" ht="13.5" customHeight="1" x14ac:dyDescent="0.3">
      <c r="D37" s="7" t="str">
        <f>OCP_SalesProduct!D137</f>
        <v>Other pulses n.e.c.</v>
      </c>
      <c r="E37" s="7">
        <f>OCP_SalesProduct!W175+OCP_SalesProduct!W253+OCP_SalesProduct!W329</f>
        <v>0.4242535988696311</v>
      </c>
      <c r="F37" s="7">
        <f>OCP_SalesProduct!Z175+OCP_SalesProduct!Z253+OCP_SalesProduct!Z329</f>
        <v>1.2727607966088934</v>
      </c>
      <c r="G37" s="7">
        <f>OCP_SalesProduct!AC175+OCP_SalesProduct!AC253+OCP_SalesProduct!AC329</f>
        <v>0</v>
      </c>
      <c r="H37" s="289"/>
      <c r="I37" s="335">
        <f t="shared" si="2"/>
        <v>0.25</v>
      </c>
      <c r="J37" s="335">
        <f t="shared" si="0"/>
        <v>0.75000000000000011</v>
      </c>
      <c r="K37" s="335">
        <f t="shared" si="1"/>
        <v>0</v>
      </c>
      <c r="L37" s="221"/>
      <c r="M37" s="221"/>
      <c r="N37" s="221"/>
      <c r="O37" s="221"/>
      <c r="P37" s="221"/>
      <c r="Q37" s="221"/>
      <c r="R37" s="224"/>
      <c r="S37" s="224"/>
      <c r="T37" s="224"/>
      <c r="U37" s="224"/>
      <c r="V37" s="224"/>
      <c r="X37" s="59"/>
      <c r="Y37" s="223"/>
      <c r="Z37" s="221"/>
      <c r="AA37" s="221"/>
      <c r="AB37" s="223"/>
      <c r="AC37" s="221"/>
      <c r="AD37" s="221"/>
      <c r="AE37" s="221"/>
      <c r="AF37" s="59"/>
      <c r="AG37" s="59"/>
      <c r="AH37" s="59"/>
      <c r="AI37" s="59"/>
      <c r="AJ37" s="59"/>
    </row>
    <row r="38" spans="2:36" ht="13.5" customHeight="1" x14ac:dyDescent="0.3">
      <c r="D38" s="7" t="str">
        <f>OCP_SalesProduct!D138</f>
        <v>Other vegetables, fresh n.e.c.</v>
      </c>
      <c r="E38" s="7">
        <f>OCP_SalesProduct!W176+OCP_SalesProduct!W254+OCP_SalesProduct!W330</f>
        <v>2.5131539759784601E-2</v>
      </c>
      <c r="F38" s="7">
        <f>OCP_SalesProduct!Z176+OCP_SalesProduct!Z254+OCP_SalesProduct!Z330</f>
        <v>7.53946192793538E-2</v>
      </c>
      <c r="G38" s="7">
        <f>OCP_SalesProduct!AC176+OCP_SalesProduct!AC254+OCP_SalesProduct!AC330</f>
        <v>0</v>
      </c>
      <c r="H38" s="221"/>
      <c r="I38" s="335">
        <f t="shared" si="2"/>
        <v>0.25</v>
      </c>
      <c r="J38" s="335">
        <f t="shared" si="0"/>
        <v>0.75</v>
      </c>
      <c r="K38" s="335">
        <f t="shared" si="1"/>
        <v>0</v>
      </c>
      <c r="L38" s="221"/>
      <c r="M38" s="221"/>
      <c r="N38" s="221"/>
      <c r="O38" s="221"/>
      <c r="P38" s="221"/>
      <c r="Q38" s="289"/>
      <c r="R38" s="59"/>
      <c r="S38" s="223"/>
      <c r="T38" s="224"/>
      <c r="U38" s="224"/>
      <c r="V38" s="223"/>
      <c r="W38" s="224"/>
      <c r="X38" s="224"/>
      <c r="Y38" s="224"/>
      <c r="Z38" s="59"/>
      <c r="AA38" s="59"/>
      <c r="AB38" s="59"/>
      <c r="AC38" s="59"/>
      <c r="AD38" s="59"/>
    </row>
    <row r="39" spans="2:36" ht="13.5" customHeight="1" x14ac:dyDescent="0.3">
      <c r="D39" s="7" t="str">
        <f>OCP_SalesProduct!D139</f>
        <v>Other fruits, n.e.c.</v>
      </c>
      <c r="E39" s="7">
        <f>OCP_SalesProduct!W177+OCP_SalesProduct!W255+OCP_SalesProduct!W331</f>
        <v>2.5009489524941163E-2</v>
      </c>
      <c r="F39" s="7">
        <f>OCP_SalesProduct!Z177+OCP_SalesProduct!Z255+OCP_SalesProduct!Z331</f>
        <v>7.5028468574823481E-2</v>
      </c>
      <c r="G39" s="7">
        <f>OCP_SalesProduct!AC177+OCP_SalesProduct!AC255+OCP_SalesProduct!AC331</f>
        <v>0</v>
      </c>
      <c r="H39" s="221"/>
      <c r="I39" s="335">
        <f t="shared" si="2"/>
        <v>0.25</v>
      </c>
      <c r="J39" s="335">
        <f t="shared" si="0"/>
        <v>0.74999999999999989</v>
      </c>
      <c r="K39" s="335">
        <f t="shared" si="1"/>
        <v>0</v>
      </c>
      <c r="L39" s="221"/>
      <c r="M39" s="221"/>
      <c r="N39" s="221"/>
      <c r="O39" s="221"/>
      <c r="P39" s="221"/>
      <c r="Q39" s="289"/>
      <c r="R39" s="59"/>
      <c r="S39" s="223"/>
      <c r="T39" s="224"/>
      <c r="U39" s="224"/>
      <c r="V39" s="223"/>
      <c r="W39" s="224"/>
      <c r="X39" s="224"/>
      <c r="Y39" s="224"/>
      <c r="Z39" s="59"/>
      <c r="AA39" s="59"/>
      <c r="AB39" s="59"/>
      <c r="AC39" s="59"/>
      <c r="AD39" s="59"/>
    </row>
    <row r="40" spans="2:36" ht="13.5" customHeight="1" x14ac:dyDescent="0.3">
      <c r="D40" s="7" t="str">
        <f>OCP_SalesProduct!D140</f>
        <v>Broad beans and horse beans, dry</v>
      </c>
      <c r="E40" s="7">
        <f>OCP_SalesProduct!W178+OCP_SalesProduct!W256+OCP_SalesProduct!W332</f>
        <v>2.0940361456921255E-2</v>
      </c>
      <c r="F40" s="7">
        <f>OCP_SalesProduct!Z178+OCP_SalesProduct!Z256+OCP_SalesProduct!Z332</f>
        <v>6.2821084370763766E-2</v>
      </c>
      <c r="G40" s="7">
        <f>OCP_SalesProduct!AC178+OCP_SalesProduct!AC256+OCP_SalesProduct!AC332</f>
        <v>0</v>
      </c>
      <c r="H40" s="221"/>
      <c r="I40" s="335">
        <f t="shared" si="2"/>
        <v>0.25</v>
      </c>
      <c r="J40" s="335">
        <f t="shared" si="0"/>
        <v>0.75</v>
      </c>
      <c r="K40" s="335">
        <f t="shared" si="1"/>
        <v>0</v>
      </c>
      <c r="L40" s="221"/>
      <c r="M40" s="221"/>
      <c r="N40" s="221"/>
      <c r="O40" s="221"/>
      <c r="P40" s="221"/>
      <c r="Q40" s="289"/>
      <c r="R40" s="59"/>
      <c r="S40" s="223"/>
      <c r="T40" s="224"/>
      <c r="U40" s="224"/>
      <c r="V40" s="223"/>
      <c r="W40" s="224"/>
      <c r="X40" s="224"/>
      <c r="Y40" s="224"/>
      <c r="Z40" s="59"/>
      <c r="AA40" s="59"/>
      <c r="AB40" s="59"/>
      <c r="AC40" s="59"/>
      <c r="AD40" s="59"/>
    </row>
    <row r="41" spans="2:36" ht="13.5" customHeight="1" x14ac:dyDescent="0.3">
      <c r="D41" s="7" t="str">
        <f>OCP_SalesProduct!D141</f>
        <v>Chick peas, dry</v>
      </c>
      <c r="E41" s="7">
        <f>OCP_SalesProduct!W179+OCP_SalesProduct!W257+OCP_SalesProduct!W333</f>
        <v>1.772155524974265E-2</v>
      </c>
      <c r="F41" s="7">
        <f>OCP_SalesProduct!Z179+OCP_SalesProduct!Z257+OCP_SalesProduct!Z333</f>
        <v>5.3164665749227957E-2</v>
      </c>
      <c r="G41" s="7">
        <f>OCP_SalesProduct!AC179+OCP_SalesProduct!AC257+OCP_SalesProduct!AC333</f>
        <v>0</v>
      </c>
      <c r="H41" s="221"/>
      <c r="I41" s="335">
        <f t="shared" si="2"/>
        <v>0.25</v>
      </c>
      <c r="J41" s="335">
        <f t="shared" si="0"/>
        <v>0.75000000000000011</v>
      </c>
      <c r="K41" s="335">
        <f t="shared" si="1"/>
        <v>0</v>
      </c>
      <c r="L41" s="221"/>
      <c r="M41" s="221"/>
      <c r="N41" s="221"/>
      <c r="O41" s="221"/>
      <c r="P41" s="221"/>
      <c r="Q41" s="289"/>
      <c r="R41" s="59"/>
      <c r="S41" s="223"/>
      <c r="T41" s="224"/>
      <c r="U41" s="224"/>
      <c r="V41" s="223"/>
      <c r="W41" s="224"/>
      <c r="X41" s="224"/>
      <c r="Y41" s="224"/>
      <c r="Z41" s="59"/>
      <c r="AA41" s="59"/>
      <c r="AB41" s="59"/>
      <c r="AC41" s="59"/>
      <c r="AD41" s="59"/>
    </row>
    <row r="42" spans="2:36" ht="13.5" customHeight="1" x14ac:dyDescent="0.25">
      <c r="D42" s="7" t="str">
        <f>OCP_SalesProduct!D142</f>
        <v>Beans, dry</v>
      </c>
      <c r="E42" s="7">
        <f>OCP_SalesProduct!W180+OCP_SalesProduct!W258+OCP_SalesProduct!W334</f>
        <v>2.0439632091743057E-2</v>
      </c>
      <c r="F42" s="7">
        <f>OCP_SalesProduct!Z180+OCP_SalesProduct!Z258+OCP_SalesProduct!Z334</f>
        <v>6.1318896275229171E-2</v>
      </c>
      <c r="G42" s="7">
        <f>OCP_SalesProduct!AC180+OCP_SalesProduct!AC258+OCP_SalesProduct!AC334</f>
        <v>0</v>
      </c>
      <c r="H42" s="313"/>
      <c r="I42" s="335">
        <f t="shared" si="2"/>
        <v>0.25</v>
      </c>
      <c r="J42" s="335">
        <f t="shared" si="0"/>
        <v>0.75</v>
      </c>
      <c r="K42" s="335">
        <f t="shared" si="1"/>
        <v>0</v>
      </c>
      <c r="L42" s="313"/>
      <c r="M42" s="313"/>
      <c r="N42" s="313"/>
      <c r="O42" s="313"/>
      <c r="P42" s="313"/>
      <c r="Q42" s="289"/>
      <c r="R42" s="210"/>
      <c r="S42" s="210"/>
      <c r="T42" s="210"/>
      <c r="U42" s="210"/>
      <c r="V42" s="210"/>
      <c r="W42" s="210"/>
      <c r="X42" s="210"/>
      <c r="Y42" s="210"/>
      <c r="Z42" s="210"/>
      <c r="AA42" s="210"/>
      <c r="AB42" s="210"/>
      <c r="AC42" s="210"/>
      <c r="AD42" s="210"/>
    </row>
    <row r="43" spans="2:36" ht="13.5" customHeight="1" x14ac:dyDescent="0.3">
      <c r="E43" s="306">
        <f>SUM(E12:E42)</f>
        <v>26.248491611736078</v>
      </c>
      <c r="F43" s="306">
        <f t="shared" ref="F43:G43" si="3">SUM(F12:F42)</f>
        <v>78.745474835208285</v>
      </c>
      <c r="G43" s="306">
        <f t="shared" si="3"/>
        <v>0</v>
      </c>
      <c r="H43" s="221"/>
      <c r="L43" s="221"/>
      <c r="M43" s="221"/>
      <c r="N43" s="221"/>
      <c r="O43" s="221"/>
      <c r="P43" s="221"/>
      <c r="Q43" s="289"/>
      <c r="R43" s="59"/>
      <c r="S43" s="223"/>
      <c r="T43" s="224"/>
      <c r="U43" s="224"/>
      <c r="V43" s="223"/>
      <c r="W43" s="224"/>
      <c r="X43" s="224"/>
      <c r="Y43" s="224"/>
      <c r="Z43" s="59"/>
      <c r="AA43" s="59"/>
      <c r="AB43" s="59"/>
      <c r="AC43" s="59"/>
      <c r="AD43" s="59"/>
    </row>
    <row r="44" spans="2:36" ht="13.5" customHeight="1" x14ac:dyDescent="0.3">
      <c r="E44" s="306"/>
      <c r="F44" s="306"/>
      <c r="G44" s="306"/>
      <c r="H44" s="221"/>
      <c r="I44" s="33" t="s">
        <v>335</v>
      </c>
      <c r="J44" s="2"/>
      <c r="K44" s="2"/>
      <c r="L44" s="221"/>
      <c r="M44" s="221"/>
      <c r="N44" s="221"/>
      <c r="O44" s="221"/>
      <c r="P44" s="221"/>
      <c r="Q44" s="289"/>
      <c r="R44" s="59"/>
      <c r="S44" s="223"/>
      <c r="T44" s="224"/>
      <c r="U44" s="224"/>
      <c r="V44" s="223"/>
      <c r="W44" s="224"/>
      <c r="X44" s="224"/>
      <c r="Y44" s="224"/>
      <c r="Z44" s="59"/>
      <c r="AA44" s="59"/>
      <c r="AB44" s="59"/>
      <c r="AC44" s="59"/>
      <c r="AD44" s="59"/>
    </row>
    <row r="45" spans="2:36" ht="13.5" customHeight="1" x14ac:dyDescent="0.3">
      <c r="D45" s="2"/>
      <c r="E45" s="333" t="s">
        <v>277</v>
      </c>
      <c r="F45" s="333" t="s">
        <v>278</v>
      </c>
      <c r="G45" s="333" t="s">
        <v>279</v>
      </c>
      <c r="H45" s="221"/>
      <c r="I45" s="333" t="s">
        <v>277</v>
      </c>
      <c r="J45" s="333" t="s">
        <v>278</v>
      </c>
      <c r="K45" s="333" t="s">
        <v>279</v>
      </c>
      <c r="L45" s="221"/>
      <c r="M45" s="221"/>
      <c r="N45" s="221"/>
      <c r="O45" s="221"/>
      <c r="P45" s="221"/>
      <c r="Q45" s="289"/>
      <c r="R45" s="59"/>
      <c r="S45" s="223"/>
      <c r="T45" s="224"/>
      <c r="U45" s="224"/>
      <c r="V45" s="223"/>
      <c r="W45" s="224"/>
      <c r="X45" s="224"/>
      <c r="Y45" s="224"/>
      <c r="Z45" s="59"/>
      <c r="AA45" s="59"/>
      <c r="AB45" s="59"/>
      <c r="AC45" s="59"/>
      <c r="AD45" s="59"/>
    </row>
    <row r="46" spans="2:36" ht="13.5" customHeight="1" x14ac:dyDescent="0.3">
      <c r="D46" s="30" t="s">
        <v>15</v>
      </c>
      <c r="E46" s="334">
        <v>2025</v>
      </c>
      <c r="F46" s="334"/>
      <c r="G46" s="334"/>
      <c r="H46" s="313"/>
      <c r="I46" s="334">
        <v>2025</v>
      </c>
      <c r="J46" s="334"/>
      <c r="K46" s="334"/>
      <c r="L46" s="313"/>
      <c r="M46" s="313"/>
      <c r="N46" s="313"/>
      <c r="O46" s="313"/>
      <c r="P46" s="313"/>
      <c r="Q46" s="289"/>
      <c r="R46" s="210"/>
      <c r="S46" s="210"/>
      <c r="T46" s="210"/>
      <c r="U46" s="210"/>
      <c r="V46" s="210"/>
      <c r="W46" s="210"/>
      <c r="X46" s="210"/>
      <c r="Y46" s="210"/>
      <c r="Z46" s="210"/>
      <c r="AA46" s="210"/>
      <c r="AB46" s="210"/>
      <c r="AC46" s="210"/>
      <c r="AD46" s="210"/>
    </row>
    <row r="47" spans="2:36" ht="13.5" customHeight="1" x14ac:dyDescent="0.3">
      <c r="D47" s="7" t="str">
        <f>OCPMarketShares!D35</f>
        <v>Sorghum</v>
      </c>
      <c r="E47" s="306">
        <f>OCP_SalesProduct!W185+OCP_SalesProduct!W263+OCP_SalesProduct!W304</f>
        <v>1.6860969426435897</v>
      </c>
      <c r="F47" s="306">
        <f>OCP_SalesProduct!Z185+OCP_SalesProduct!Z263+OCP_SalesProduct!Z339</f>
        <v>5.0582908279307688</v>
      </c>
      <c r="G47" s="306">
        <f>OCP_SalesProduct!AC185+OCP_SalesProduct!AC263+OCP_SalesProduct!AC339</f>
        <v>0</v>
      </c>
      <c r="H47" s="221"/>
      <c r="I47" s="335">
        <f>E47/SUM($E47:$G47)</f>
        <v>0.25</v>
      </c>
      <c r="J47" s="335">
        <f t="shared" ref="J47" si="4">F47/SUM($E47:$G47)</f>
        <v>0.75</v>
      </c>
      <c r="K47" s="335">
        <f t="shared" ref="K47" si="5">G47/SUM($E47:$G47)</f>
        <v>0</v>
      </c>
      <c r="L47" s="221"/>
      <c r="M47" s="221"/>
      <c r="N47" s="221"/>
      <c r="O47" s="221"/>
      <c r="P47" s="221"/>
      <c r="Q47" s="289"/>
      <c r="R47" s="59"/>
      <c r="S47" s="223"/>
      <c r="T47" s="224"/>
      <c r="U47" s="224"/>
      <c r="V47" s="223"/>
      <c r="W47" s="224"/>
      <c r="X47" s="224"/>
      <c r="Y47" s="224"/>
      <c r="Z47" s="59"/>
      <c r="AA47" s="59"/>
      <c r="AB47" s="59"/>
      <c r="AC47" s="59"/>
      <c r="AD47" s="59"/>
    </row>
    <row r="48" spans="2:36" ht="13.5" customHeight="1" x14ac:dyDescent="0.3">
      <c r="D48" s="7" t="str">
        <f>OCPMarketShares!D36</f>
        <v>Sesame seed</v>
      </c>
      <c r="E48" s="306">
        <f>OCP_SalesProduct!W186+OCP_SalesProduct!W264+OCP_SalesProduct!W305</f>
        <v>9.0469055828014078</v>
      </c>
      <c r="F48" s="306">
        <f>OCP_SalesProduct!Z186+OCP_SalesProduct!Z264+OCP_SalesProduct!Z340</f>
        <v>29.733584353990281</v>
      </c>
      <c r="G48" s="306">
        <f>OCP_SalesProduct!AC186+OCP_SalesProduct!AC264+OCP_SalesProduct!AC340</f>
        <v>0</v>
      </c>
      <c r="H48" s="221"/>
      <c r="I48" s="335">
        <f t="shared" ref="I48:I77" si="6">E48/SUM($E48:$G48)</f>
        <v>0.23328497390174691</v>
      </c>
      <c r="J48" s="335">
        <f t="shared" ref="J48:J77" si="7">F48/SUM($E48:$G48)</f>
        <v>0.76671502609825304</v>
      </c>
      <c r="K48" s="335">
        <f t="shared" ref="K48:K77" si="8">G48/SUM($E48:$G48)</f>
        <v>0</v>
      </c>
      <c r="L48" s="221"/>
      <c r="M48" s="221"/>
      <c r="N48" s="221"/>
      <c r="O48" s="221"/>
      <c r="P48" s="221"/>
      <c r="Q48" s="289"/>
      <c r="R48" s="59"/>
      <c r="S48" s="223"/>
      <c r="T48" s="224"/>
      <c r="U48" s="224"/>
      <c r="V48" s="223"/>
      <c r="W48" s="224"/>
      <c r="X48" s="224"/>
      <c r="Y48" s="224"/>
      <c r="Z48" s="59"/>
      <c r="AA48" s="59"/>
      <c r="AB48" s="59"/>
      <c r="AC48" s="59"/>
      <c r="AD48" s="59"/>
    </row>
    <row r="49" spans="2:36" ht="13.5" customHeight="1" x14ac:dyDescent="0.3">
      <c r="D49" s="7" t="str">
        <f>OCPMarketShares!D37</f>
        <v>Groundnuts, excluding shelled</v>
      </c>
      <c r="E49" s="306">
        <f>OCP_SalesProduct!W187+OCP_SalesProduct!W265+OCP_SalesProduct!W306</f>
        <v>11.740888246748039</v>
      </c>
      <c r="F49" s="306">
        <f>OCP_SalesProduct!Z187+OCP_SalesProduct!Z265+OCP_SalesProduct!Z341</f>
        <v>38.5876350626571</v>
      </c>
      <c r="G49" s="306">
        <f>OCP_SalesProduct!AC187+OCP_SalesProduct!AC265+OCP_SalesProduct!AC341</f>
        <v>0</v>
      </c>
      <c r="H49" s="221"/>
      <c r="I49" s="335">
        <f t="shared" si="6"/>
        <v>0.23328497390174691</v>
      </c>
      <c r="J49" s="335">
        <f t="shared" si="7"/>
        <v>0.76671502609825304</v>
      </c>
      <c r="K49" s="335">
        <f t="shared" si="8"/>
        <v>0</v>
      </c>
      <c r="L49" s="221"/>
      <c r="M49" s="221"/>
      <c r="N49" s="221"/>
      <c r="O49" s="221"/>
      <c r="P49" s="221"/>
      <c r="Q49" s="289"/>
      <c r="R49" s="59"/>
      <c r="S49" s="223"/>
      <c r="T49" s="224"/>
      <c r="U49" s="224"/>
      <c r="V49" s="223"/>
      <c r="W49" s="224"/>
      <c r="X49" s="224"/>
      <c r="Y49" s="224"/>
      <c r="Z49" s="59"/>
      <c r="AA49" s="59"/>
      <c r="AB49" s="59"/>
      <c r="AC49" s="59"/>
      <c r="AD49" s="59"/>
    </row>
    <row r="50" spans="2:36" ht="13.5" customHeight="1" x14ac:dyDescent="0.3">
      <c r="D50" s="7" t="str">
        <f>OCPMarketShares!D38</f>
        <v>Millet</v>
      </c>
      <c r="E50" s="306">
        <f>OCP_SalesProduct!W188+OCP_SalesProduct!W266+OCP_SalesProduct!W307</f>
        <v>0.67444520318344559</v>
      </c>
      <c r="F50" s="306">
        <f>OCP_SalesProduct!Z188+OCP_SalesProduct!Z266+OCP_SalesProduct!Z342</f>
        <v>2.0233356095503368</v>
      </c>
      <c r="G50" s="306">
        <f>OCP_SalesProduct!AC188+OCP_SalesProduct!AC266+OCP_SalesProduct!AC342</f>
        <v>0</v>
      </c>
      <c r="H50" s="221"/>
      <c r="I50" s="335">
        <f t="shared" si="6"/>
        <v>0.25</v>
      </c>
      <c r="J50" s="335">
        <f t="shared" si="7"/>
        <v>0.75</v>
      </c>
      <c r="K50" s="335">
        <f t="shared" si="8"/>
        <v>0</v>
      </c>
      <c r="L50" s="221"/>
      <c r="M50" s="221"/>
      <c r="N50" s="221"/>
      <c r="O50" s="221"/>
      <c r="P50" s="221"/>
      <c r="Q50" s="289"/>
      <c r="R50" s="59"/>
      <c r="S50" s="223"/>
      <c r="T50" s="224"/>
      <c r="U50" s="224"/>
      <c r="V50" s="223"/>
      <c r="W50" s="224"/>
      <c r="X50" s="224"/>
      <c r="Y50" s="224"/>
      <c r="Z50" s="59"/>
      <c r="AA50" s="59"/>
      <c r="AB50" s="59"/>
      <c r="AC50" s="59"/>
      <c r="AD50" s="59"/>
    </row>
    <row r="51" spans="2:36" ht="13.5" customHeight="1" x14ac:dyDescent="0.25">
      <c r="D51" s="7" t="str">
        <f>OCPMarketShares!D39</f>
        <v>Sugar cane</v>
      </c>
      <c r="E51" s="306">
        <f>OCP_SalesProduct!W189+OCP_SalesProduct!W267+OCP_SalesProduct!W308</f>
        <v>0.40372505941329945</v>
      </c>
      <c r="F51" s="306">
        <f>OCP_SalesProduct!Z189+OCP_SalesProduct!Z267+OCP_SalesProduct!Z343</f>
        <v>1.4894965047980955</v>
      </c>
      <c r="G51" s="306">
        <f>OCP_SalesProduct!AC189+OCP_SalesProduct!AC267+OCP_SalesProduct!AC343</f>
        <v>0</v>
      </c>
      <c r="H51" s="313"/>
      <c r="I51" s="335">
        <f t="shared" si="6"/>
        <v>0.21324765523757788</v>
      </c>
      <c r="J51" s="335">
        <f t="shared" si="7"/>
        <v>0.78675234476242206</v>
      </c>
      <c r="K51" s="335">
        <f t="shared" si="8"/>
        <v>0</v>
      </c>
      <c r="L51" s="313"/>
      <c r="M51" s="313"/>
      <c r="N51" s="313"/>
      <c r="O51" s="313"/>
      <c r="P51" s="313"/>
      <c r="Q51" s="289"/>
      <c r="R51" s="210"/>
      <c r="S51" s="210"/>
      <c r="T51" s="210"/>
      <c r="U51" s="210"/>
      <c r="V51" s="210"/>
      <c r="W51" s="210"/>
      <c r="X51" s="210"/>
      <c r="Y51" s="210"/>
      <c r="Z51" s="210"/>
      <c r="AA51" s="210"/>
      <c r="AB51" s="210"/>
      <c r="AC51" s="210"/>
      <c r="AD51" s="210"/>
    </row>
    <row r="52" spans="2:36" ht="13.5" customHeight="1" x14ac:dyDescent="0.3">
      <c r="D52" s="7" t="str">
        <f>OCPMarketShares!D40</f>
        <v>Melonseed</v>
      </c>
      <c r="E52" s="306">
        <f>OCP_SalesProduct!W190+OCP_SalesProduct!W268+OCP_SalesProduct!W309</f>
        <v>0.21821463763608673</v>
      </c>
      <c r="F52" s="306">
        <f>OCP_SalesProduct!Z190+OCP_SalesProduct!Z268+OCP_SalesProduct!Z344</f>
        <v>0.80507744683243965</v>
      </c>
      <c r="G52" s="306">
        <f>OCP_SalesProduct!AC190+OCP_SalesProduct!AC268+OCP_SalesProduct!AC344</f>
        <v>0</v>
      </c>
      <c r="H52" s="221"/>
      <c r="I52" s="335">
        <f t="shared" si="6"/>
        <v>0.21324765523757785</v>
      </c>
      <c r="J52" s="335">
        <f t="shared" si="7"/>
        <v>0.78675234476242206</v>
      </c>
      <c r="K52" s="335">
        <f t="shared" si="8"/>
        <v>0</v>
      </c>
      <c r="L52" s="221"/>
      <c r="M52" s="221"/>
      <c r="N52" s="221"/>
      <c r="O52" s="221"/>
      <c r="P52" s="221"/>
      <c r="Q52" s="289"/>
      <c r="R52" s="59"/>
      <c r="S52" s="223"/>
      <c r="T52" s="224"/>
      <c r="U52" s="224"/>
      <c r="V52" s="223"/>
      <c r="W52" s="224"/>
      <c r="X52" s="224"/>
      <c r="Y52" s="224"/>
      <c r="Z52" s="59"/>
      <c r="AA52" s="59"/>
      <c r="AB52" s="59"/>
      <c r="AC52" s="59"/>
      <c r="AD52" s="59"/>
    </row>
    <row r="53" spans="2:36" ht="13.5" customHeight="1" x14ac:dyDescent="0.3">
      <c r="D53" s="7" t="str">
        <f>OCPMarketShares!D41</f>
        <v>Cow peas, dry</v>
      </c>
      <c r="E53" s="306">
        <f>OCP_SalesProduct!W191+OCP_SalesProduct!W269+OCP_SalesProduct!W310</f>
        <v>0.18327055726807226</v>
      </c>
      <c r="F53" s="306">
        <f>OCP_SalesProduct!Z191+OCP_SalesProduct!Z269+OCP_SalesProduct!Z345</f>
        <v>0.69174881110344222</v>
      </c>
      <c r="G53" s="306">
        <f>OCP_SalesProduct!AC191+OCP_SalesProduct!AC269+OCP_SalesProduct!AC345</f>
        <v>0</v>
      </c>
      <c r="H53" s="221"/>
      <c r="I53" s="335">
        <f t="shared" si="6"/>
        <v>0.20944742927137072</v>
      </c>
      <c r="J53" s="335">
        <f t="shared" si="7"/>
        <v>0.79055257072862928</v>
      </c>
      <c r="K53" s="335">
        <f t="shared" si="8"/>
        <v>0</v>
      </c>
      <c r="L53" s="221"/>
      <c r="M53" s="221"/>
      <c r="N53" s="221"/>
      <c r="O53" s="221"/>
      <c r="P53" s="221"/>
      <c r="Q53" s="289"/>
      <c r="R53" s="59"/>
      <c r="S53" s="223"/>
      <c r="T53" s="224"/>
      <c r="U53" s="224"/>
      <c r="V53" s="223"/>
      <c r="W53" s="224"/>
      <c r="X53" s="224"/>
      <c r="Y53" s="224"/>
      <c r="Z53" s="59"/>
      <c r="AA53" s="59"/>
      <c r="AB53" s="59"/>
      <c r="AC53" s="59"/>
      <c r="AD53" s="59"/>
    </row>
    <row r="54" spans="2:36" ht="13.5" customHeight="1" x14ac:dyDescent="0.3">
      <c r="D54" s="7" t="str">
        <f>OCPMarketShares!D42</f>
        <v>Wheat</v>
      </c>
      <c r="E54" s="306">
        <f>OCP_SalesProduct!W192+OCP_SalesProduct!W270+OCP_SalesProduct!W311</f>
        <v>2.5471678504434259</v>
      </c>
      <c r="F54" s="306">
        <f>OCP_SalesProduct!Z192+OCP_SalesProduct!Z270+OCP_SalesProduct!Z346</f>
        <v>7.6415035513302776</v>
      </c>
      <c r="G54" s="306">
        <f>OCP_SalesProduct!AC192+OCP_SalesProduct!AC270+OCP_SalesProduct!AC346</f>
        <v>0</v>
      </c>
      <c r="H54" s="221"/>
      <c r="I54" s="335">
        <f t="shared" si="6"/>
        <v>0.25</v>
      </c>
      <c r="J54" s="335">
        <f t="shared" si="7"/>
        <v>0.75</v>
      </c>
      <c r="K54" s="335">
        <f t="shared" si="8"/>
        <v>0</v>
      </c>
      <c r="L54" s="221"/>
      <c r="M54" s="221"/>
      <c r="N54" s="221"/>
      <c r="O54" s="221"/>
      <c r="P54" s="221"/>
      <c r="Q54" s="289"/>
      <c r="R54" s="59"/>
      <c r="S54" s="223"/>
      <c r="T54" s="224"/>
      <c r="U54" s="224"/>
      <c r="V54" s="223"/>
      <c r="W54" s="224"/>
      <c r="X54" s="224"/>
      <c r="Y54" s="224"/>
      <c r="Z54" s="59"/>
      <c r="AA54" s="59"/>
      <c r="AB54" s="59"/>
      <c r="AC54" s="59"/>
      <c r="AD54" s="59"/>
    </row>
    <row r="55" spans="2:36" ht="13.5" customHeight="1" x14ac:dyDescent="0.3">
      <c r="D55" s="7" t="str">
        <f>OCPMarketShares!D43</f>
        <v>Onions and shallots, dry (excluding dehydrated)</v>
      </c>
      <c r="E55" s="306">
        <f>OCP_SalesProduct!W193+OCP_SalesProduct!W271+OCP_SalesProduct!W312</f>
        <v>0.31324027128162141</v>
      </c>
      <c r="F55" s="306">
        <f>OCP_SalesProduct!Z193+OCP_SalesProduct!Z271+OCP_SalesProduct!Z347</f>
        <v>0.93972081384486406</v>
      </c>
      <c r="G55" s="306">
        <f>OCP_SalesProduct!AC193+OCP_SalesProduct!AC271+OCP_SalesProduct!AC347</f>
        <v>0</v>
      </c>
      <c r="H55" s="289"/>
      <c r="I55" s="335">
        <f t="shared" si="6"/>
        <v>0.25000000000000006</v>
      </c>
      <c r="J55" s="335">
        <f t="shared" si="7"/>
        <v>0.75</v>
      </c>
      <c r="K55" s="335">
        <f t="shared" si="8"/>
        <v>0</v>
      </c>
      <c r="L55" s="307"/>
      <c r="M55" s="307"/>
      <c r="N55" s="221"/>
      <c r="O55" s="221"/>
      <c r="P55" s="221"/>
      <c r="Q55" s="221"/>
      <c r="R55" s="224"/>
      <c r="S55" s="224"/>
      <c r="T55" s="224"/>
      <c r="U55" s="224"/>
      <c r="V55" s="224"/>
      <c r="X55" s="59"/>
      <c r="Y55" s="223"/>
      <c r="Z55" s="224"/>
      <c r="AA55" s="224"/>
      <c r="AB55" s="223"/>
      <c r="AC55" s="224"/>
      <c r="AD55" s="224"/>
      <c r="AE55" s="224"/>
      <c r="AF55" s="59"/>
      <c r="AG55" s="59"/>
      <c r="AH55" s="59"/>
      <c r="AI55" s="59"/>
      <c r="AJ55" s="59"/>
    </row>
    <row r="56" spans="2:36" ht="13.5" customHeight="1" x14ac:dyDescent="0.3">
      <c r="D56" s="7" t="str">
        <f>OCPMarketShares!D44</f>
        <v>Bananas</v>
      </c>
      <c r="E56" s="306">
        <f>OCP_SalesProduct!W194+OCP_SalesProduct!W272+OCP_SalesProduct!W313</f>
        <v>0.23503617974583951</v>
      </c>
      <c r="F56" s="306">
        <f>OCP_SalesProduct!Z194+OCP_SalesProduct!Z272+OCP_SalesProduct!Z348</f>
        <v>0.70510853923751859</v>
      </c>
      <c r="G56" s="306">
        <f>OCP_SalesProduct!AC194+OCP_SalesProduct!AC272+OCP_SalesProduct!AC348</f>
        <v>0</v>
      </c>
      <c r="H56" s="289"/>
      <c r="I56" s="335">
        <f t="shared" si="6"/>
        <v>0.25</v>
      </c>
      <c r="J56" s="335">
        <f t="shared" si="7"/>
        <v>0.75000000000000011</v>
      </c>
      <c r="K56" s="335">
        <f t="shared" si="8"/>
        <v>0</v>
      </c>
      <c r="L56" s="307"/>
      <c r="M56" s="307"/>
      <c r="N56" s="221"/>
      <c r="O56" s="221"/>
      <c r="P56" s="221"/>
      <c r="Q56" s="221"/>
      <c r="R56" s="224"/>
      <c r="S56" s="224"/>
      <c r="T56" s="224"/>
      <c r="U56" s="224"/>
      <c r="V56" s="224"/>
      <c r="X56" s="59"/>
      <c r="Y56" s="223"/>
      <c r="Z56" s="224"/>
      <c r="AA56" s="224"/>
      <c r="AB56" s="223"/>
      <c r="AC56" s="224"/>
      <c r="AD56" s="224"/>
      <c r="AE56" s="224"/>
      <c r="AF56" s="59"/>
      <c r="AG56" s="59"/>
      <c r="AH56" s="59"/>
      <c r="AI56" s="59"/>
      <c r="AJ56" s="59"/>
    </row>
    <row r="57" spans="2:36" ht="13.5" customHeight="1" x14ac:dyDescent="0.3">
      <c r="D57" s="7" t="str">
        <f>OCPMarketShares!D45</f>
        <v>Mangoes, guavas and mangosteens</v>
      </c>
      <c r="E57" s="306">
        <f>OCP_SalesProduct!W195+OCP_SalesProduct!W273+OCP_SalesProduct!W314</f>
        <v>0.24022286086098632</v>
      </c>
      <c r="F57" s="306">
        <f>OCP_SalesProduct!Z195+OCP_SalesProduct!Z273+OCP_SalesProduct!Z349</f>
        <v>0.72066858258295896</v>
      </c>
      <c r="G57" s="306">
        <f>OCP_SalesProduct!AC195+OCP_SalesProduct!AC273+OCP_SalesProduct!AC349</f>
        <v>0</v>
      </c>
      <c r="H57" s="289"/>
      <c r="I57" s="335">
        <f t="shared" si="6"/>
        <v>0.25</v>
      </c>
      <c r="J57" s="335">
        <f t="shared" si="7"/>
        <v>0.75</v>
      </c>
      <c r="K57" s="335">
        <f t="shared" si="8"/>
        <v>0</v>
      </c>
      <c r="L57" s="307"/>
      <c r="M57" s="307"/>
      <c r="N57" s="221"/>
      <c r="O57" s="221"/>
      <c r="P57" s="221"/>
      <c r="Q57" s="221"/>
      <c r="R57" s="224"/>
      <c r="S57" s="224"/>
      <c r="T57" s="224"/>
      <c r="U57" s="224"/>
      <c r="V57" s="224"/>
      <c r="X57" s="59"/>
      <c r="Y57" s="223"/>
      <c r="Z57" s="224"/>
      <c r="AA57" s="224"/>
      <c r="AB57" s="223"/>
      <c r="AC57" s="224"/>
      <c r="AD57" s="224"/>
      <c r="AE57" s="224"/>
      <c r="AF57" s="59"/>
      <c r="AG57" s="59"/>
      <c r="AH57" s="59"/>
      <c r="AI57" s="59"/>
      <c r="AJ57" s="59"/>
    </row>
    <row r="58" spans="2:36" ht="13.5" customHeight="1" x14ac:dyDescent="0.35">
      <c r="B58" s="51"/>
      <c r="C58" s="51"/>
      <c r="D58" s="7" t="str">
        <f>OCPMarketShares!D46</f>
        <v>Cantaloupes and other melons</v>
      </c>
      <c r="E58" s="306">
        <f>OCP_SalesProduct!W196+OCP_SalesProduct!W274+OCP_SalesProduct!W315</f>
        <v>0.23547352515867923</v>
      </c>
      <c r="F58" s="306">
        <f>OCP_SalesProduct!Z196+OCP_SalesProduct!Z274+OCP_SalesProduct!Z350</f>
        <v>0.70642057547603765</v>
      </c>
      <c r="G58" s="306">
        <f>OCP_SalesProduct!AC196+OCP_SalesProduct!AC274+OCP_SalesProduct!AC350</f>
        <v>0</v>
      </c>
      <c r="H58" s="289"/>
      <c r="I58" s="335">
        <f t="shared" si="6"/>
        <v>0.25</v>
      </c>
      <c r="J58" s="335">
        <f t="shared" si="7"/>
        <v>0.75</v>
      </c>
      <c r="K58" s="335">
        <f t="shared" si="8"/>
        <v>0</v>
      </c>
      <c r="L58" s="307"/>
      <c r="M58" s="307"/>
      <c r="N58" s="221"/>
      <c r="O58" s="221"/>
      <c r="P58" s="221"/>
      <c r="Q58" s="221"/>
      <c r="R58" s="224"/>
      <c r="S58" s="224"/>
      <c r="T58" s="224"/>
      <c r="U58" s="224"/>
      <c r="V58" s="224"/>
      <c r="X58" s="59"/>
      <c r="Y58" s="223"/>
      <c r="Z58" s="224"/>
      <c r="AA58" s="224"/>
      <c r="AB58" s="223"/>
      <c r="AC58" s="224"/>
      <c r="AD58" s="224"/>
      <c r="AE58" s="224"/>
      <c r="AF58" s="59"/>
      <c r="AG58" s="59"/>
      <c r="AH58" s="59"/>
      <c r="AI58" s="59"/>
      <c r="AJ58" s="59"/>
    </row>
    <row r="59" spans="2:36" ht="13.5" customHeight="1" x14ac:dyDescent="0.3">
      <c r="D59" s="7" t="str">
        <f>OCPMarketShares!D47</f>
        <v>Sunflower seed</v>
      </c>
      <c r="E59" s="306">
        <f>OCP_SalesProduct!W197+OCP_SalesProduct!W275+OCP_SalesProduct!W316</f>
        <v>0.14849788771861863</v>
      </c>
      <c r="F59" s="306">
        <f>OCP_SalesProduct!Z197+OCP_SalesProduct!Z275+OCP_SalesProduct!Z351</f>
        <v>0.44549366315585587</v>
      </c>
      <c r="G59" s="306">
        <f>OCP_SalesProduct!AC197+OCP_SalesProduct!AC275+OCP_SalesProduct!AC351</f>
        <v>0</v>
      </c>
      <c r="H59" s="289"/>
      <c r="I59" s="335">
        <f t="shared" si="6"/>
        <v>0.25</v>
      </c>
      <c r="J59" s="335">
        <f t="shared" si="7"/>
        <v>0.75</v>
      </c>
      <c r="K59" s="335">
        <f t="shared" si="8"/>
        <v>0</v>
      </c>
      <c r="L59" s="221"/>
      <c r="M59" s="221"/>
      <c r="N59" s="221"/>
      <c r="O59" s="221"/>
      <c r="P59" s="221"/>
      <c r="Q59" s="221"/>
      <c r="R59" s="224"/>
      <c r="S59" s="224"/>
      <c r="T59" s="224"/>
      <c r="U59" s="224"/>
      <c r="V59" s="224"/>
      <c r="X59" s="59"/>
      <c r="Y59" s="223"/>
      <c r="Z59" s="224"/>
      <c r="AA59" s="224"/>
      <c r="AB59" s="223"/>
      <c r="AC59" s="224"/>
      <c r="AD59" s="224"/>
      <c r="AE59" s="224"/>
      <c r="AF59" s="59"/>
      <c r="AG59" s="59"/>
      <c r="AH59" s="59"/>
      <c r="AI59" s="59"/>
      <c r="AJ59" s="59"/>
    </row>
    <row r="60" spans="2:36" ht="13.5" customHeight="1" x14ac:dyDescent="0.3">
      <c r="D60" s="7" t="str">
        <f>OCPMarketShares!D48</f>
        <v>Cauliflowers and broccoli</v>
      </c>
      <c r="E60" s="306">
        <f>OCP_SalesProduct!W198+OCP_SalesProduct!W276+OCP_SalesProduct!W317</f>
        <v>0.2106548513676626</v>
      </c>
      <c r="F60" s="306">
        <f>OCP_SalesProduct!Z198+OCP_SalesProduct!Z276+OCP_SalesProduct!Z352</f>
        <v>0.6319645541029878</v>
      </c>
      <c r="G60" s="306">
        <f>OCP_SalesProduct!AC198+OCP_SalesProduct!AC276+OCP_SalesProduct!AC352</f>
        <v>0</v>
      </c>
      <c r="H60" s="221"/>
      <c r="I60" s="335">
        <f t="shared" si="6"/>
        <v>0.25</v>
      </c>
      <c r="J60" s="335">
        <f t="shared" si="7"/>
        <v>0.75</v>
      </c>
      <c r="K60" s="335">
        <f t="shared" si="8"/>
        <v>0</v>
      </c>
      <c r="L60" s="221"/>
      <c r="M60" s="221"/>
      <c r="N60" s="221"/>
      <c r="O60" s="221"/>
      <c r="P60" s="221"/>
      <c r="Q60" s="289"/>
      <c r="R60" s="59"/>
      <c r="S60" s="223"/>
      <c r="T60" s="224"/>
      <c r="U60" s="224"/>
      <c r="V60" s="223"/>
      <c r="W60" s="224"/>
      <c r="X60" s="224"/>
      <c r="Y60" s="224"/>
      <c r="Z60" s="59"/>
      <c r="AA60" s="59"/>
      <c r="AB60" s="59"/>
      <c r="AC60" s="59"/>
      <c r="AD60" s="59"/>
    </row>
    <row r="61" spans="2:36" ht="13.5" customHeight="1" x14ac:dyDescent="0.3">
      <c r="D61" s="7" t="str">
        <f>OCPMarketShares!D49</f>
        <v>Seed cotton, unginned</v>
      </c>
      <c r="E61" s="306">
        <f>OCP_SalesProduct!W199+OCP_SalesProduct!W277+OCP_SalesProduct!W318</f>
        <v>0.34826390641153843</v>
      </c>
      <c r="F61" s="306">
        <f>OCP_SalesProduct!Z199+OCP_SalesProduct!Z277+OCP_SalesProduct!Z353</f>
        <v>1.2013002696892201</v>
      </c>
      <c r="G61" s="306">
        <f>OCP_SalesProduct!AC199+OCP_SalesProduct!AC277+OCP_SalesProduct!AC353</f>
        <v>0</v>
      </c>
      <c r="H61" s="221"/>
      <c r="I61" s="335">
        <f t="shared" si="6"/>
        <v>0.22474958558211594</v>
      </c>
      <c r="J61" s="335">
        <f t="shared" si="7"/>
        <v>0.775250414417884</v>
      </c>
      <c r="K61" s="335">
        <f t="shared" si="8"/>
        <v>0</v>
      </c>
      <c r="L61" s="221"/>
      <c r="M61" s="221"/>
      <c r="N61" s="221"/>
      <c r="O61" s="221"/>
      <c r="P61" s="221"/>
      <c r="Q61" s="289"/>
      <c r="R61" s="59"/>
      <c r="S61" s="223"/>
      <c r="T61" s="224"/>
      <c r="U61" s="224"/>
      <c r="V61" s="223"/>
      <c r="W61" s="224"/>
      <c r="X61" s="224"/>
      <c r="Y61" s="224"/>
      <c r="Z61" s="59"/>
      <c r="AA61" s="59"/>
      <c r="AB61" s="59"/>
      <c r="AC61" s="59"/>
      <c r="AD61" s="59"/>
    </row>
    <row r="62" spans="2:36" ht="13.5" customHeight="1" x14ac:dyDescent="0.3">
      <c r="D62" s="7" t="str">
        <f>OCPMarketShares!D50</f>
        <v>Cucumbers and gherkins</v>
      </c>
      <c r="E62" s="306">
        <f>OCP_SalesProduct!W200+OCP_SalesProduct!W278+OCP_SalesProduct!W319</f>
        <v>0.36138232555239014</v>
      </c>
      <c r="F62" s="306">
        <f>OCP_SalesProduct!Z200+OCP_SalesProduct!Z278+OCP_SalesProduct!Z354</f>
        <v>1.0841469766571703</v>
      </c>
      <c r="G62" s="306">
        <f>OCP_SalesProduct!AC200+OCP_SalesProduct!AC278+OCP_SalesProduct!AC354</f>
        <v>0</v>
      </c>
      <c r="H62" s="221"/>
      <c r="I62" s="335">
        <f t="shared" si="6"/>
        <v>0.25</v>
      </c>
      <c r="J62" s="335">
        <f t="shared" si="7"/>
        <v>0.74999999999999989</v>
      </c>
      <c r="K62" s="335">
        <f t="shared" si="8"/>
        <v>0</v>
      </c>
      <c r="L62" s="221"/>
      <c r="M62" s="221"/>
      <c r="N62" s="221"/>
      <c r="O62" s="221"/>
      <c r="P62" s="221"/>
      <c r="Q62" s="289"/>
      <c r="R62" s="59"/>
      <c r="S62" s="223"/>
      <c r="T62" s="224"/>
      <c r="U62" s="224"/>
      <c r="V62" s="223"/>
      <c r="W62" s="224"/>
      <c r="X62" s="224"/>
      <c r="Y62" s="224"/>
      <c r="Z62" s="59"/>
      <c r="AA62" s="59"/>
      <c r="AB62" s="59"/>
      <c r="AC62" s="59"/>
      <c r="AD62" s="59"/>
    </row>
    <row r="63" spans="2:36" ht="13.5" customHeight="1" x14ac:dyDescent="0.3">
      <c r="D63" s="7" t="str">
        <f>OCPMarketShares!D51</f>
        <v>Tomatoes</v>
      </c>
      <c r="E63" s="306">
        <f>OCP_SalesProduct!W201+OCP_SalesProduct!W279+OCP_SalesProduct!W320</f>
        <v>0.17914527907993177</v>
      </c>
      <c r="F63" s="306">
        <f>OCP_SalesProduct!Z201+OCP_SalesProduct!Z279+OCP_SalesProduct!Z355</f>
        <v>0.53743583723979538</v>
      </c>
      <c r="G63" s="306">
        <f>OCP_SalesProduct!AC201+OCP_SalesProduct!AC279+OCP_SalesProduct!AC355</f>
        <v>0</v>
      </c>
      <c r="H63" s="221"/>
      <c r="I63" s="335">
        <f t="shared" si="6"/>
        <v>0.25</v>
      </c>
      <c r="J63" s="335">
        <f t="shared" si="7"/>
        <v>0.75000000000000011</v>
      </c>
      <c r="K63" s="335">
        <f t="shared" si="8"/>
        <v>0</v>
      </c>
      <c r="L63" s="305"/>
      <c r="M63" s="221"/>
      <c r="N63" s="221"/>
      <c r="O63" s="221"/>
      <c r="P63" s="221"/>
      <c r="Q63" s="289"/>
      <c r="R63" s="59"/>
      <c r="S63" s="223"/>
      <c r="T63" s="224"/>
      <c r="U63" s="224"/>
      <c r="V63" s="223"/>
      <c r="W63" s="224"/>
      <c r="X63" s="224"/>
      <c r="Y63" s="224"/>
      <c r="Z63" s="59"/>
      <c r="AA63" s="59"/>
      <c r="AB63" s="59"/>
      <c r="AC63" s="59"/>
      <c r="AD63" s="59"/>
    </row>
    <row r="64" spans="2:36" ht="13.5" customHeight="1" x14ac:dyDescent="0.25">
      <c r="D64" s="7" t="str">
        <f>OCPMarketShares!D52</f>
        <v>Potatoes</v>
      </c>
      <c r="E64" s="306">
        <f>OCP_SalesProduct!W202+OCP_SalesProduct!W280+OCP_SalesProduct!W321</f>
        <v>0.18827936872019865</v>
      </c>
      <c r="F64" s="306">
        <f>OCP_SalesProduct!Z202+OCP_SalesProduct!Z280+OCP_SalesProduct!Z356</f>
        <v>0.56483810616059582</v>
      </c>
      <c r="G64" s="306">
        <f>OCP_SalesProduct!AC202+OCP_SalesProduct!AC280+OCP_SalesProduct!AC356</f>
        <v>0</v>
      </c>
      <c r="H64" s="313"/>
      <c r="I64" s="335">
        <f t="shared" si="6"/>
        <v>0.25000000000000006</v>
      </c>
      <c r="J64" s="335">
        <f t="shared" si="7"/>
        <v>0.74999999999999989</v>
      </c>
      <c r="K64" s="335">
        <f t="shared" si="8"/>
        <v>0</v>
      </c>
      <c r="L64" s="306"/>
      <c r="M64" s="313"/>
      <c r="N64" s="313"/>
      <c r="O64" s="313"/>
      <c r="P64" s="313"/>
      <c r="Q64" s="289"/>
      <c r="R64" s="210"/>
      <c r="S64" s="210"/>
      <c r="T64" s="210"/>
      <c r="U64" s="210"/>
      <c r="V64" s="210"/>
      <c r="W64" s="210"/>
      <c r="X64" s="210"/>
      <c r="Y64" s="210"/>
      <c r="Z64" s="210"/>
      <c r="AA64" s="210"/>
      <c r="AB64" s="210"/>
      <c r="AC64" s="210"/>
      <c r="AD64" s="210"/>
    </row>
    <row r="65" spans="4:36" ht="13.5" customHeight="1" x14ac:dyDescent="0.3">
      <c r="D65" s="7" t="str">
        <f>OCPMarketShares!D53</f>
        <v>Pumpkins, squash and gourds</v>
      </c>
      <c r="E65" s="306">
        <f>OCP_SalesProduct!W203+OCP_SalesProduct!W281+OCP_SalesProduct!W322</f>
        <v>7.5059932294098922E-2</v>
      </c>
      <c r="F65" s="306">
        <f>OCP_SalesProduct!Z203+OCP_SalesProduct!Z281+OCP_SalesProduct!Z357</f>
        <v>0.22517979688229675</v>
      </c>
      <c r="G65" s="306">
        <f>OCP_SalesProduct!AC203+OCP_SalesProduct!AC281+OCP_SalesProduct!AC357</f>
        <v>0</v>
      </c>
      <c r="H65" s="221"/>
      <c r="I65" s="335">
        <f t="shared" si="6"/>
        <v>0.25</v>
      </c>
      <c r="J65" s="335">
        <f t="shared" si="7"/>
        <v>0.75</v>
      </c>
      <c r="K65" s="335">
        <f t="shared" si="8"/>
        <v>0</v>
      </c>
      <c r="L65" s="306"/>
      <c r="M65" s="221"/>
      <c r="N65" s="221"/>
      <c r="O65" s="221"/>
      <c r="P65" s="221"/>
      <c r="Q65" s="289"/>
      <c r="R65" s="59"/>
      <c r="S65" s="223"/>
      <c r="T65" s="224"/>
      <c r="U65" s="224"/>
      <c r="V65" s="223"/>
      <c r="W65" s="224"/>
      <c r="X65" s="224"/>
      <c r="Y65" s="224"/>
      <c r="Z65" s="59"/>
      <c r="AA65" s="59"/>
      <c r="AB65" s="59"/>
      <c r="AC65" s="59"/>
      <c r="AD65" s="59"/>
    </row>
    <row r="66" spans="4:36" ht="13.5" customHeight="1" x14ac:dyDescent="0.3">
      <c r="D66" s="7" t="str">
        <f>OCPMarketShares!D54</f>
        <v>Dates</v>
      </c>
      <c r="E66" s="306">
        <f>OCP_SalesProduct!W204+OCP_SalesProduct!W282+OCP_SalesProduct!W323</f>
        <v>0.16134445044349163</v>
      </c>
      <c r="F66" s="306">
        <f>OCP_SalesProduct!Z204+OCP_SalesProduct!Z282+OCP_SalesProduct!Z358</f>
        <v>0.48403335133047487</v>
      </c>
      <c r="G66" s="306">
        <f>OCP_SalesProduct!AC204+OCP_SalesProduct!AC282+OCP_SalesProduct!AC358</f>
        <v>0</v>
      </c>
      <c r="H66" s="221"/>
      <c r="I66" s="335">
        <f t="shared" si="6"/>
        <v>0.25</v>
      </c>
      <c r="J66" s="335">
        <f t="shared" si="7"/>
        <v>0.75</v>
      </c>
      <c r="K66" s="335">
        <f t="shared" si="8"/>
        <v>0</v>
      </c>
      <c r="L66" s="306"/>
      <c r="M66" s="221"/>
      <c r="N66" s="221"/>
      <c r="O66" s="221"/>
      <c r="P66" s="221"/>
      <c r="Q66" s="289"/>
      <c r="R66" s="59"/>
      <c r="S66" s="223"/>
      <c r="T66" s="224"/>
      <c r="U66" s="224"/>
      <c r="V66" s="223"/>
      <c r="W66" s="224"/>
      <c r="X66" s="224"/>
      <c r="Y66" s="224"/>
      <c r="Z66" s="59"/>
      <c r="AA66" s="59"/>
      <c r="AB66" s="59"/>
      <c r="AC66" s="59"/>
      <c r="AD66" s="59"/>
    </row>
    <row r="67" spans="4:36" ht="13.5" customHeight="1" x14ac:dyDescent="0.3">
      <c r="D67" s="7" t="str">
        <f>OCPMarketShares!D55</f>
        <v>Pomelos and grapefruits</v>
      </c>
      <c r="E67" s="306">
        <f>OCP_SalesProduct!W205+OCP_SalesProduct!W283+OCP_SalesProduct!W324</f>
        <v>0.16192926898307997</v>
      </c>
      <c r="F67" s="306">
        <f>OCP_SalesProduct!Z205+OCP_SalesProduct!Z283+OCP_SalesProduct!Z359</f>
        <v>0.4857878069492399</v>
      </c>
      <c r="G67" s="306">
        <f>OCP_SalesProduct!AC205+OCP_SalesProduct!AC283+OCP_SalesProduct!AC359</f>
        <v>0</v>
      </c>
      <c r="H67" s="221"/>
      <c r="I67" s="335">
        <f t="shared" si="6"/>
        <v>0.25</v>
      </c>
      <c r="J67" s="335">
        <f t="shared" si="7"/>
        <v>0.75</v>
      </c>
      <c r="K67" s="335">
        <f t="shared" si="8"/>
        <v>0</v>
      </c>
      <c r="L67" s="307"/>
      <c r="M67" s="221"/>
      <c r="N67" s="221"/>
      <c r="O67" s="221"/>
      <c r="P67" s="221"/>
      <c r="Q67" s="289"/>
      <c r="R67" s="59"/>
      <c r="S67" s="223"/>
      <c r="T67" s="224"/>
      <c r="U67" s="224"/>
      <c r="V67" s="223"/>
      <c r="W67" s="224"/>
      <c r="X67" s="224"/>
      <c r="Y67" s="224"/>
      <c r="Z67" s="59"/>
      <c r="AA67" s="59"/>
      <c r="AB67" s="59"/>
      <c r="AC67" s="59"/>
      <c r="AD67" s="59"/>
    </row>
    <row r="68" spans="4:36" ht="13.5" customHeight="1" x14ac:dyDescent="0.25">
      <c r="D68" s="7" t="str">
        <f>OCPMarketShares!D56</f>
        <v>Okra</v>
      </c>
      <c r="E68" s="306">
        <f>OCP_SalesProduct!W206+OCP_SalesProduct!W284+OCP_SalesProduct!W325</f>
        <v>0.13260185950447528</v>
      </c>
      <c r="F68" s="306">
        <f>OCP_SalesProduct!Z206+OCP_SalesProduct!Z284+OCP_SalesProduct!Z360</f>
        <v>0.39780557851342585</v>
      </c>
      <c r="G68" s="306">
        <f>OCP_SalesProduct!AC206+OCP_SalesProduct!AC284+OCP_SalesProduct!AC360</f>
        <v>0</v>
      </c>
      <c r="H68" s="313"/>
      <c r="I68" s="335">
        <f t="shared" si="6"/>
        <v>0.25</v>
      </c>
      <c r="J68" s="335">
        <f t="shared" si="7"/>
        <v>0.75</v>
      </c>
      <c r="K68" s="335">
        <f t="shared" si="8"/>
        <v>0</v>
      </c>
      <c r="L68" s="313"/>
      <c r="M68" s="313"/>
      <c r="N68" s="313"/>
      <c r="O68" s="313"/>
      <c r="P68" s="313"/>
      <c r="Q68" s="289"/>
      <c r="R68" s="210"/>
      <c r="S68" s="210"/>
      <c r="T68" s="210"/>
      <c r="U68" s="210"/>
      <c r="V68" s="210"/>
      <c r="W68" s="210"/>
      <c r="X68" s="210"/>
      <c r="Y68" s="210"/>
      <c r="Z68" s="210"/>
      <c r="AA68" s="210"/>
      <c r="AB68" s="210"/>
      <c r="AC68" s="210"/>
      <c r="AD68" s="210"/>
    </row>
    <row r="69" spans="4:36" ht="13.5" customHeight="1" x14ac:dyDescent="0.3">
      <c r="D69" s="7" t="str">
        <f>OCPMarketShares!D57</f>
        <v>Lemons and limes</v>
      </c>
      <c r="E69" s="306">
        <f>OCP_SalesProduct!W207+OCP_SalesProduct!W285+OCP_SalesProduct!W326</f>
        <v>0.15594102869529156</v>
      </c>
      <c r="F69" s="306">
        <f>OCP_SalesProduct!Z207+OCP_SalesProduct!Z285+OCP_SalesProduct!Z361</f>
        <v>0.4678230860858747</v>
      </c>
      <c r="G69" s="306">
        <f>OCP_SalesProduct!AC207+OCP_SalesProduct!AC285+OCP_SalesProduct!AC361</f>
        <v>0</v>
      </c>
      <c r="H69" s="221"/>
      <c r="I69" s="335">
        <f t="shared" si="6"/>
        <v>0.25</v>
      </c>
      <c r="J69" s="335">
        <f t="shared" si="7"/>
        <v>0.75</v>
      </c>
      <c r="K69" s="335">
        <f t="shared" si="8"/>
        <v>0</v>
      </c>
      <c r="L69" s="221"/>
      <c r="M69" s="221"/>
      <c r="N69" s="221"/>
      <c r="O69" s="221"/>
      <c r="P69" s="221"/>
      <c r="Q69" s="289"/>
      <c r="R69" s="59"/>
      <c r="S69" s="223"/>
      <c r="T69" s="224"/>
      <c r="U69" s="224"/>
      <c r="V69" s="223"/>
      <c r="W69" s="224"/>
      <c r="X69" s="224"/>
      <c r="Y69" s="224"/>
      <c r="Z69" s="59"/>
      <c r="AA69" s="59"/>
      <c r="AB69" s="59"/>
      <c r="AC69" s="59"/>
      <c r="AD69" s="59"/>
    </row>
    <row r="70" spans="4:36" ht="13.5" customHeight="1" x14ac:dyDescent="0.3">
      <c r="D70" s="7" t="str">
        <f>OCPMarketShares!D58</f>
        <v>Green garlic</v>
      </c>
      <c r="E70" s="306">
        <f>OCP_SalesProduct!W208+OCP_SalesProduct!W286+OCP_SalesProduct!W327</f>
        <v>0.18786091809973926</v>
      </c>
      <c r="F70" s="306">
        <f>OCP_SalesProduct!Z208+OCP_SalesProduct!Z286+OCP_SalesProduct!Z362</f>
        <v>0.56358275429921778</v>
      </c>
      <c r="G70" s="306">
        <f>OCP_SalesProduct!AC208+OCP_SalesProduct!AC286+OCP_SalesProduct!AC362</f>
        <v>0</v>
      </c>
      <c r="H70" s="221"/>
      <c r="I70" s="335">
        <f t="shared" si="6"/>
        <v>0.25</v>
      </c>
      <c r="J70" s="335">
        <f t="shared" si="7"/>
        <v>0.75</v>
      </c>
      <c r="K70" s="335">
        <f t="shared" si="8"/>
        <v>0</v>
      </c>
      <c r="L70" s="221"/>
      <c r="M70" s="221"/>
      <c r="N70" s="221"/>
      <c r="O70" s="221"/>
      <c r="P70" s="221"/>
      <c r="Q70" s="289"/>
      <c r="R70" s="59"/>
      <c r="S70" s="223"/>
      <c r="T70" s="224"/>
      <c r="U70" s="224"/>
      <c r="V70" s="223"/>
      <c r="W70" s="224"/>
      <c r="X70" s="224"/>
      <c r="Y70" s="224"/>
      <c r="Z70" s="59"/>
      <c r="AA70" s="59"/>
      <c r="AB70" s="59"/>
      <c r="AC70" s="59"/>
      <c r="AD70" s="59"/>
    </row>
    <row r="71" spans="4:36" ht="13.5" customHeight="1" x14ac:dyDescent="0.3">
      <c r="D71" s="7" t="str">
        <f>OCPMarketShares!D59</f>
        <v>Sweet potatoes</v>
      </c>
      <c r="E71" s="306">
        <f>OCP_SalesProduct!W209+OCP_SalesProduct!W287+OCP_SalesProduct!W328</f>
        <v>0.14258875784609526</v>
      </c>
      <c r="F71" s="306">
        <f>OCP_SalesProduct!Z209+OCP_SalesProduct!Z287+OCP_SalesProduct!Z363</f>
        <v>0.42776627353828572</v>
      </c>
      <c r="G71" s="306">
        <f>OCP_SalesProduct!AC209+OCP_SalesProduct!AC287+OCP_SalesProduct!AC363</f>
        <v>0</v>
      </c>
      <c r="H71" s="221"/>
      <c r="I71" s="335">
        <f t="shared" si="6"/>
        <v>0.25</v>
      </c>
      <c r="J71" s="335">
        <f t="shared" si="7"/>
        <v>0.74999999999999989</v>
      </c>
      <c r="K71" s="335">
        <f t="shared" si="8"/>
        <v>0</v>
      </c>
      <c r="L71" s="221"/>
      <c r="M71" s="221"/>
      <c r="N71" s="221"/>
      <c r="O71" s="221"/>
      <c r="P71" s="221"/>
      <c r="Q71" s="289"/>
      <c r="R71" s="59"/>
      <c r="S71" s="223"/>
      <c r="T71" s="224"/>
      <c r="U71" s="224"/>
      <c r="V71" s="223"/>
      <c r="W71" s="224"/>
      <c r="X71" s="224"/>
      <c r="Y71" s="224"/>
      <c r="Z71" s="59"/>
      <c r="AA71" s="59"/>
      <c r="AB71" s="59"/>
      <c r="AC71" s="59"/>
      <c r="AD71" s="59"/>
    </row>
    <row r="72" spans="4:36" ht="13.5" customHeight="1" x14ac:dyDescent="0.3">
      <c r="D72" s="7" t="str">
        <f>OCPMarketShares!D60</f>
        <v>Other pulses n.e.c.</v>
      </c>
      <c r="E72" s="306">
        <f>OCP_SalesProduct!W210+OCP_SalesProduct!W288+OCP_SalesProduct!W329</f>
        <v>0.42612962656120479</v>
      </c>
      <c r="F72" s="306">
        <f>OCP_SalesProduct!Z210+OCP_SalesProduct!Z288+OCP_SalesProduct!Z364</f>
        <v>1.3835865638142733</v>
      </c>
      <c r="G72" s="306">
        <f>OCP_SalesProduct!AC210+OCP_SalesProduct!AC288+OCP_SalesProduct!AC364</f>
        <v>0</v>
      </c>
      <c r="H72" s="221"/>
      <c r="I72" s="335">
        <f t="shared" si="6"/>
        <v>0.2354676544462985</v>
      </c>
      <c r="J72" s="335">
        <f t="shared" si="7"/>
        <v>0.76453234555370153</v>
      </c>
      <c r="K72" s="335">
        <f t="shared" si="8"/>
        <v>0</v>
      </c>
      <c r="L72" s="221"/>
      <c r="M72" s="221"/>
      <c r="N72" s="221"/>
      <c r="O72" s="221"/>
      <c r="P72" s="221"/>
      <c r="Q72" s="289"/>
      <c r="R72" s="59"/>
      <c r="S72" s="223"/>
      <c r="T72" s="224"/>
      <c r="U72" s="224"/>
      <c r="V72" s="223"/>
      <c r="W72" s="224"/>
      <c r="X72" s="224"/>
      <c r="Y72" s="224"/>
      <c r="Z72" s="59"/>
      <c r="AA72" s="59"/>
      <c r="AB72" s="59"/>
      <c r="AC72" s="59"/>
      <c r="AD72" s="59"/>
    </row>
    <row r="73" spans="4:36" ht="13.5" customHeight="1" x14ac:dyDescent="0.3">
      <c r="D73" s="7" t="str">
        <f>OCPMarketShares!D61</f>
        <v>Other vegetables, fresh n.e.c.</v>
      </c>
      <c r="E73" s="306">
        <f>OCP_SalesProduct!W211+OCP_SalesProduct!W289+OCP_SalesProduct!W330</f>
        <v>0.10907163596116215</v>
      </c>
      <c r="F73" s="306">
        <f>OCP_SalesProduct!Z211+OCP_SalesProduct!Z289+OCP_SalesProduct!Z365</f>
        <v>0.32721490788348645</v>
      </c>
      <c r="G73" s="306">
        <f>OCP_SalesProduct!AC211+OCP_SalesProduct!AC289+OCP_SalesProduct!AC365</f>
        <v>0</v>
      </c>
      <c r="H73" s="221"/>
      <c r="I73" s="335">
        <f t="shared" si="6"/>
        <v>0.25</v>
      </c>
      <c r="J73" s="335">
        <f t="shared" si="7"/>
        <v>0.75</v>
      </c>
      <c r="K73" s="335">
        <f t="shared" si="8"/>
        <v>0</v>
      </c>
      <c r="L73" s="305"/>
      <c r="M73" s="221"/>
      <c r="N73" s="221"/>
      <c r="O73" s="221"/>
      <c r="P73" s="221"/>
      <c r="Q73" s="289"/>
      <c r="R73" s="59"/>
      <c r="S73" s="223"/>
      <c r="T73" s="224"/>
      <c r="U73" s="224"/>
      <c r="V73" s="223"/>
      <c r="W73" s="224"/>
      <c r="X73" s="224"/>
      <c r="Y73" s="224"/>
      <c r="Z73" s="59"/>
      <c r="AA73" s="59"/>
      <c r="AB73" s="59"/>
      <c r="AC73" s="59"/>
      <c r="AD73" s="59"/>
    </row>
    <row r="74" spans="4:36" ht="13.5" customHeight="1" x14ac:dyDescent="0.25">
      <c r="D74" s="7" t="str">
        <f>OCPMarketShares!D62</f>
        <v>Other fruits, n.e.c.</v>
      </c>
      <c r="E74" s="306">
        <f>OCP_SalesProduct!W212+OCP_SalesProduct!W290+OCP_SalesProduct!W331</f>
        <v>0.10854193428306919</v>
      </c>
      <c r="F74" s="306">
        <f>OCP_SalesProduct!Z212+OCP_SalesProduct!Z290+OCP_SalesProduct!Z366</f>
        <v>0.32562580284920756</v>
      </c>
      <c r="G74" s="306">
        <f>OCP_SalesProduct!AC212+OCP_SalesProduct!AC290+OCP_SalesProduct!AC366</f>
        <v>0</v>
      </c>
      <c r="H74" s="313"/>
      <c r="I74" s="335">
        <f t="shared" si="6"/>
        <v>0.25</v>
      </c>
      <c r="J74" s="335">
        <f t="shared" si="7"/>
        <v>0.75</v>
      </c>
      <c r="K74" s="335">
        <f t="shared" si="8"/>
        <v>0</v>
      </c>
      <c r="L74" s="306"/>
      <c r="M74" s="313"/>
      <c r="N74" s="313"/>
      <c r="O74" s="313"/>
      <c r="P74" s="313"/>
      <c r="Q74" s="289"/>
      <c r="R74" s="210"/>
      <c r="S74" s="210"/>
      <c r="T74" s="210"/>
      <c r="U74" s="210"/>
      <c r="V74" s="210"/>
      <c r="W74" s="210"/>
      <c r="X74" s="210"/>
      <c r="Y74" s="210"/>
      <c r="Z74" s="210"/>
      <c r="AA74" s="210"/>
      <c r="AB74" s="210"/>
      <c r="AC74" s="210"/>
      <c r="AD74" s="210"/>
    </row>
    <row r="75" spans="4:36" ht="13.5" customHeight="1" x14ac:dyDescent="0.3">
      <c r="D75" s="7" t="str">
        <f>OCPMarketShares!D63</f>
        <v>Broad beans and horse beans, dry</v>
      </c>
      <c r="E75" s="306">
        <f>OCP_SalesProduct!W213+OCP_SalesProduct!W291+OCP_SalesProduct!W332</f>
        <v>5.0118284707564742E-2</v>
      </c>
      <c r="F75" s="306">
        <f>OCP_SalesProduct!Z213+OCP_SalesProduct!Z291+OCP_SalesProduct!Z367</f>
        <v>0.15035485412269425</v>
      </c>
      <c r="G75" s="306">
        <f>OCP_SalesProduct!AC213+OCP_SalesProduct!AC291+OCP_SalesProduct!AC367</f>
        <v>0</v>
      </c>
      <c r="H75" s="221"/>
      <c r="I75" s="335">
        <f t="shared" si="6"/>
        <v>0.24999999999999997</v>
      </c>
      <c r="J75" s="335">
        <f t="shared" si="7"/>
        <v>0.75</v>
      </c>
      <c r="K75" s="335">
        <f t="shared" si="8"/>
        <v>0</v>
      </c>
      <c r="L75" s="306"/>
      <c r="M75" s="221"/>
      <c r="N75" s="221"/>
      <c r="O75" s="221"/>
      <c r="P75" s="221"/>
      <c r="Q75" s="289"/>
      <c r="R75" s="59"/>
      <c r="S75" s="223"/>
      <c r="T75" s="224"/>
      <c r="U75" s="224"/>
      <c r="V75" s="223"/>
      <c r="Z75" s="59"/>
      <c r="AA75" s="59"/>
      <c r="AB75" s="59"/>
      <c r="AC75" s="59"/>
      <c r="AD75" s="59"/>
    </row>
    <row r="76" spans="4:36" ht="13.5" customHeight="1" x14ac:dyDescent="0.3">
      <c r="D76" s="7" t="str">
        <f>OCPMarketShares!D64</f>
        <v>Chick peas, dry</v>
      </c>
      <c r="E76" s="306">
        <f>OCP_SalesProduct!W214+OCP_SalesProduct!W292+OCP_SalesProduct!W333</f>
        <v>4.2414451789411681E-2</v>
      </c>
      <c r="F76" s="306">
        <f>OCP_SalesProduct!Z214+OCP_SalesProduct!Z292+OCP_SalesProduct!Z368</f>
        <v>0.12724335536823503</v>
      </c>
      <c r="G76" s="306">
        <f>OCP_SalesProduct!AC214+OCP_SalesProduct!AC292+OCP_SalesProduct!AC368</f>
        <v>0</v>
      </c>
      <c r="H76" s="221"/>
      <c r="I76" s="335">
        <f t="shared" si="6"/>
        <v>0.25</v>
      </c>
      <c r="J76" s="335">
        <f t="shared" si="7"/>
        <v>0.74999999999999989</v>
      </c>
      <c r="K76" s="335">
        <f t="shared" si="8"/>
        <v>0</v>
      </c>
      <c r="L76" s="306"/>
      <c r="M76" s="221"/>
      <c r="N76" s="221"/>
      <c r="O76" s="221"/>
      <c r="P76" s="221"/>
      <c r="Q76" s="289"/>
      <c r="R76" s="59"/>
      <c r="S76" s="223"/>
      <c r="T76" s="224"/>
      <c r="U76" s="224"/>
      <c r="V76" s="223"/>
      <c r="Z76" s="59"/>
      <c r="AA76" s="59"/>
      <c r="AB76" s="59"/>
      <c r="AC76" s="59"/>
      <c r="AD76" s="59"/>
    </row>
    <row r="77" spans="4:36" ht="13.5" customHeight="1" x14ac:dyDescent="0.3">
      <c r="D77" s="7" t="str">
        <f>OCPMarketShares!D65</f>
        <v>Beans, dry</v>
      </c>
      <c r="E77" s="306">
        <f>OCP_SalesProduct!W215+OCP_SalesProduct!W293+OCP_SalesProduct!W334</f>
        <v>3.2524662716364484E-2</v>
      </c>
      <c r="F77" s="306">
        <f>OCP_SalesProduct!Z215+OCP_SalesProduct!Z293+OCP_SalesProduct!Z369</f>
        <v>9.757398814909346E-2</v>
      </c>
      <c r="G77" s="306">
        <f>OCP_SalesProduct!AC215+OCP_SalesProduct!AC293+OCP_SalesProduct!AC369</f>
        <v>0</v>
      </c>
      <c r="H77" s="221"/>
      <c r="I77" s="335">
        <f t="shared" si="6"/>
        <v>0.25</v>
      </c>
      <c r="J77" s="335">
        <f t="shared" si="7"/>
        <v>0.75</v>
      </c>
      <c r="K77" s="335">
        <f t="shared" si="8"/>
        <v>0</v>
      </c>
      <c r="L77" s="307"/>
      <c r="M77" s="221"/>
      <c r="N77" s="221"/>
      <c r="O77" s="221"/>
      <c r="P77" s="221"/>
      <c r="Q77" s="289"/>
      <c r="R77" s="59"/>
      <c r="S77" s="223"/>
      <c r="T77" s="224"/>
      <c r="U77" s="224"/>
      <c r="V77" s="223"/>
      <c r="Z77" s="59"/>
      <c r="AA77" s="59"/>
      <c r="AB77" s="59"/>
      <c r="AC77" s="59"/>
      <c r="AD77" s="59"/>
    </row>
    <row r="78" spans="4:36" ht="13.5" customHeight="1" x14ac:dyDescent="0.3">
      <c r="E78" s="306">
        <f>SUM(E47:E77)</f>
        <v>30.747037347919893</v>
      </c>
      <c r="F78" s="306">
        <f t="shared" ref="F78:G78" si="9">SUM(F47:F77)</f>
        <v>99.031348206125543</v>
      </c>
      <c r="G78" s="306">
        <f t="shared" si="9"/>
        <v>0</v>
      </c>
      <c r="H78" s="221"/>
      <c r="I78" s="221"/>
      <c r="J78" s="221"/>
      <c r="K78" s="221"/>
      <c r="L78" s="221"/>
      <c r="M78" s="221"/>
      <c r="N78" s="221"/>
      <c r="O78" s="221"/>
      <c r="P78" s="221"/>
      <c r="Q78" s="289"/>
      <c r="R78" s="59"/>
      <c r="S78" s="223"/>
      <c r="T78" s="224"/>
      <c r="U78" s="224"/>
      <c r="V78" s="223"/>
      <c r="Z78" s="59"/>
      <c r="AA78" s="59"/>
      <c r="AB78" s="59"/>
      <c r="AC78" s="59"/>
      <c r="AD78" s="59"/>
    </row>
    <row r="79" spans="4:36" ht="13.5" customHeight="1" x14ac:dyDescent="0.3">
      <c r="E79" s="289"/>
      <c r="F79" s="289"/>
      <c r="G79" s="289"/>
      <c r="H79" s="289"/>
      <c r="I79" s="289"/>
      <c r="J79" s="289"/>
      <c r="K79" s="307"/>
      <c r="L79" s="307"/>
      <c r="M79" s="307"/>
      <c r="N79" s="221"/>
      <c r="O79" s="221"/>
      <c r="P79" s="221"/>
      <c r="Q79" s="221"/>
      <c r="R79" s="224"/>
      <c r="S79" s="224"/>
      <c r="T79" s="224"/>
      <c r="U79" s="224"/>
      <c r="V79" s="224"/>
      <c r="X79" s="59"/>
      <c r="Y79" s="223"/>
      <c r="Z79" s="224"/>
      <c r="AA79" s="224"/>
      <c r="AB79" s="223"/>
      <c r="AF79" s="59"/>
      <c r="AG79" s="59"/>
      <c r="AH79" s="59"/>
      <c r="AI79" s="59"/>
      <c r="AJ79" s="59"/>
    </row>
    <row r="80" spans="4:36" ht="13.5" customHeight="1" x14ac:dyDescent="0.3">
      <c r="D80" s="7" t="s">
        <v>336</v>
      </c>
      <c r="E80" s="289" t="s">
        <v>15</v>
      </c>
      <c r="F80" s="289" t="s">
        <v>285</v>
      </c>
      <c r="G80" s="289" t="s">
        <v>337</v>
      </c>
      <c r="H80" s="289"/>
      <c r="I80" s="289"/>
      <c r="J80" s="289"/>
      <c r="K80" s="307"/>
      <c r="L80" s="307"/>
      <c r="M80" s="307"/>
      <c r="N80" s="221"/>
      <c r="O80" s="221"/>
      <c r="P80" s="221"/>
      <c r="Q80" s="221"/>
      <c r="R80" s="224"/>
      <c r="S80" s="224"/>
      <c r="T80" s="224"/>
      <c r="U80" s="224"/>
      <c r="V80" s="224"/>
      <c r="X80" s="59"/>
      <c r="Y80" s="223"/>
      <c r="Z80" s="224"/>
      <c r="AA80" s="224"/>
      <c r="AB80" s="223"/>
      <c r="AF80" s="59"/>
      <c r="AG80" s="59"/>
      <c r="AH80" s="59"/>
      <c r="AI80" s="59"/>
      <c r="AJ80" s="59"/>
    </row>
    <row r="81" spans="2:36" ht="13.5" customHeight="1" x14ac:dyDescent="0.35">
      <c r="B81" s="51"/>
      <c r="C81" s="51"/>
      <c r="D81" s="7" t="str">
        <f>D47</f>
        <v>Sorghum</v>
      </c>
      <c r="E81" s="289">
        <f>SUM(E12:G12)</f>
        <v>6.1656519977344475</v>
      </c>
      <c r="F81" s="289">
        <f>SUM(E47:G47)</f>
        <v>6.7443877705743587</v>
      </c>
      <c r="G81" s="289">
        <f>F81-E81</f>
        <v>0.57873577283991118</v>
      </c>
      <c r="H81" s="289"/>
      <c r="I81" s="289"/>
      <c r="J81" s="289"/>
      <c r="K81" s="307"/>
      <c r="L81" s="307"/>
      <c r="M81" s="307"/>
      <c r="N81" s="221"/>
      <c r="O81" s="221"/>
      <c r="P81" s="221"/>
      <c r="Q81" s="221"/>
      <c r="R81" s="224"/>
      <c r="S81" s="224"/>
      <c r="T81" s="224"/>
      <c r="U81" s="224"/>
      <c r="V81" s="224"/>
      <c r="X81" s="59"/>
      <c r="Y81" s="223"/>
      <c r="Z81" s="224"/>
      <c r="AA81" s="224"/>
      <c r="AB81" s="223"/>
      <c r="AC81" s="224"/>
      <c r="AD81" s="224"/>
      <c r="AE81" s="224"/>
      <c r="AF81" s="59"/>
      <c r="AG81" s="59"/>
      <c r="AH81" s="59"/>
      <c r="AI81" s="59"/>
      <c r="AJ81" s="59"/>
    </row>
    <row r="82" spans="2:36" ht="13.5" customHeight="1" x14ac:dyDescent="0.3">
      <c r="D82" s="7" t="str">
        <f t="shared" ref="D82:D112" si="10">D48</f>
        <v>Sesame seed</v>
      </c>
      <c r="E82" s="289">
        <f t="shared" ref="E82:E111" si="11">SUM(E13:G13)</f>
        <v>34.722138355900491</v>
      </c>
      <c r="F82" s="289">
        <f t="shared" ref="F82:F111" si="12">SUM(E48:G48)</f>
        <v>38.780489936791689</v>
      </c>
      <c r="G82" s="289">
        <f t="shared" ref="G82:G111" si="13">F82-E82</f>
        <v>4.0583515808911983</v>
      </c>
      <c r="H82" s="289"/>
      <c r="I82" s="289"/>
      <c r="J82" s="289"/>
      <c r="K82" s="307"/>
      <c r="L82" s="307"/>
      <c r="M82" s="307"/>
      <c r="N82" s="221"/>
      <c r="O82" s="221"/>
      <c r="P82" s="221"/>
      <c r="Q82" s="221"/>
      <c r="R82" s="224"/>
      <c r="S82" s="224"/>
      <c r="T82" s="224"/>
      <c r="U82" s="224"/>
      <c r="V82" s="224"/>
      <c r="X82" s="59"/>
      <c r="Y82" s="223"/>
      <c r="Z82" s="224"/>
      <c r="AA82" s="224"/>
      <c r="AB82" s="223"/>
      <c r="AC82" s="224"/>
      <c r="AD82" s="224"/>
      <c r="AE82" s="224"/>
      <c r="AF82" s="59"/>
      <c r="AG82" s="59"/>
      <c r="AH82" s="59"/>
      <c r="AI82" s="59"/>
      <c r="AJ82" s="59"/>
    </row>
    <row r="83" spans="2:36" ht="13.5" customHeight="1" x14ac:dyDescent="0.3">
      <c r="D83" s="7" t="str">
        <f t="shared" si="10"/>
        <v>Groundnuts, excluding shelled</v>
      </c>
      <c r="E83" s="289">
        <f t="shared" si="11"/>
        <v>45.061677984099738</v>
      </c>
      <c r="F83" s="289">
        <f t="shared" si="12"/>
        <v>50.328523309405142</v>
      </c>
      <c r="G83" s="289">
        <f t="shared" si="13"/>
        <v>5.2668453253054039</v>
      </c>
      <c r="H83" s="221"/>
      <c r="I83" s="304"/>
      <c r="J83" s="221"/>
      <c r="K83" s="221"/>
      <c r="L83" s="221"/>
      <c r="M83" s="221"/>
      <c r="N83" s="221"/>
      <c r="O83" s="221"/>
      <c r="P83" s="221"/>
      <c r="Q83" s="289"/>
      <c r="R83" s="59"/>
      <c r="S83" s="223"/>
      <c r="T83" s="224"/>
      <c r="U83" s="224"/>
      <c r="V83" s="223"/>
      <c r="W83" s="224"/>
      <c r="X83" s="224"/>
      <c r="Y83" s="224"/>
      <c r="Z83" s="59"/>
      <c r="AA83" s="59"/>
      <c r="AB83" s="59"/>
      <c r="AC83" s="59"/>
      <c r="AD83" s="59"/>
    </row>
    <row r="84" spans="2:36" ht="13.5" customHeight="1" x14ac:dyDescent="0.3">
      <c r="D84" s="7" t="str">
        <f t="shared" si="10"/>
        <v>Millet</v>
      </c>
      <c r="E84" s="289">
        <f t="shared" si="11"/>
        <v>2.6077364001001531</v>
      </c>
      <c r="F84" s="289">
        <f t="shared" si="12"/>
        <v>2.6977808127337823</v>
      </c>
      <c r="G84" s="289">
        <f t="shared" si="13"/>
        <v>9.0044412633629278E-2</v>
      </c>
      <c r="H84" s="221"/>
      <c r="I84" s="309"/>
      <c r="J84" s="221"/>
      <c r="K84" s="221"/>
      <c r="L84" s="221"/>
      <c r="M84" s="221"/>
      <c r="N84" s="221"/>
      <c r="O84" s="221"/>
      <c r="P84" s="221"/>
      <c r="Q84" s="289"/>
      <c r="R84" s="59"/>
      <c r="S84" s="223"/>
      <c r="T84" s="224"/>
      <c r="U84" s="224"/>
      <c r="V84" s="223"/>
      <c r="W84" s="224"/>
      <c r="X84" s="224"/>
      <c r="Y84" s="224"/>
      <c r="Z84" s="59"/>
      <c r="AA84" s="59"/>
      <c r="AB84" s="59"/>
      <c r="AC84" s="59"/>
      <c r="AD84" s="59"/>
    </row>
    <row r="85" spans="2:36" ht="13.5" customHeight="1" x14ac:dyDescent="0.3">
      <c r="D85" s="7" t="str">
        <f t="shared" si="10"/>
        <v>Sugar cane</v>
      </c>
      <c r="E85" s="289">
        <f t="shared" si="11"/>
        <v>0.95864634048418407</v>
      </c>
      <c r="F85" s="289">
        <f t="shared" si="12"/>
        <v>1.893221564211395</v>
      </c>
      <c r="G85" s="289">
        <f t="shared" si="13"/>
        <v>0.93457522372721091</v>
      </c>
      <c r="H85" s="221"/>
      <c r="I85" s="309"/>
      <c r="J85" s="221"/>
      <c r="K85" s="221"/>
      <c r="L85" s="221"/>
      <c r="M85" s="221"/>
      <c r="N85" s="221"/>
      <c r="O85" s="221"/>
      <c r="P85" s="221"/>
      <c r="Q85" s="289"/>
      <c r="R85" s="59"/>
      <c r="S85" s="223"/>
      <c r="T85" s="224"/>
      <c r="U85" s="224"/>
      <c r="V85" s="223"/>
      <c r="W85" s="224"/>
      <c r="X85" s="224"/>
      <c r="Y85" s="224"/>
      <c r="Z85" s="59"/>
      <c r="AA85" s="59"/>
      <c r="AB85" s="59"/>
      <c r="AC85" s="59"/>
      <c r="AD85" s="59"/>
    </row>
    <row r="86" spans="2:36" ht="13.5" customHeight="1" x14ac:dyDescent="0.3">
      <c r="D86" s="7" t="str">
        <f t="shared" si="10"/>
        <v>Melonseed</v>
      </c>
      <c r="E86" s="289">
        <f t="shared" si="11"/>
        <v>0.51815129859394038</v>
      </c>
      <c r="F86" s="289">
        <f t="shared" si="12"/>
        <v>1.0232920844685265</v>
      </c>
      <c r="G86" s="289">
        <f t="shared" si="13"/>
        <v>0.50514078587458611</v>
      </c>
      <c r="H86" s="221"/>
      <c r="I86" s="304"/>
      <c r="J86" s="305"/>
      <c r="K86" s="305"/>
      <c r="L86" s="305"/>
      <c r="M86" s="221"/>
      <c r="N86" s="221"/>
      <c r="O86" s="221"/>
      <c r="P86" s="221"/>
      <c r="Q86" s="289"/>
      <c r="R86" s="59"/>
      <c r="S86" s="223"/>
      <c r="T86" s="224"/>
      <c r="U86" s="224"/>
      <c r="V86" s="223"/>
      <c r="W86" s="224"/>
      <c r="X86" s="224"/>
      <c r="Y86" s="224"/>
      <c r="Z86" s="59"/>
      <c r="AA86" s="59"/>
      <c r="AB86" s="59"/>
      <c r="AC86" s="59"/>
      <c r="AD86" s="59"/>
    </row>
    <row r="87" spans="2:36" ht="13.5" customHeight="1" x14ac:dyDescent="0.25">
      <c r="D87" s="7" t="str">
        <f t="shared" si="10"/>
        <v>Cow peas, dry</v>
      </c>
      <c r="E87" s="289">
        <f t="shared" si="11"/>
        <v>0.37851735165667783</v>
      </c>
      <c r="F87" s="289">
        <f t="shared" si="12"/>
        <v>0.87501936837151451</v>
      </c>
      <c r="G87" s="289">
        <f t="shared" si="13"/>
        <v>0.49650201671483668</v>
      </c>
      <c r="H87" s="313"/>
      <c r="I87" s="306"/>
      <c r="J87" s="313"/>
      <c r="K87" s="313"/>
      <c r="L87" s="313"/>
      <c r="M87" s="313"/>
      <c r="N87" s="313"/>
      <c r="O87" s="313"/>
      <c r="P87" s="313"/>
      <c r="Q87" s="289"/>
      <c r="R87" s="210"/>
      <c r="S87" s="210"/>
      <c r="T87" s="210"/>
      <c r="U87" s="210"/>
      <c r="V87" s="210"/>
      <c r="W87" s="210"/>
      <c r="X87" s="210"/>
      <c r="Y87" s="210"/>
      <c r="Z87" s="210"/>
      <c r="AA87" s="210"/>
      <c r="AB87" s="210"/>
      <c r="AC87" s="210"/>
      <c r="AD87" s="210"/>
    </row>
    <row r="88" spans="2:36" ht="13.5" customHeight="1" x14ac:dyDescent="0.3">
      <c r="D88" s="7" t="str">
        <f t="shared" si="10"/>
        <v>Wheat</v>
      </c>
      <c r="E88" s="289">
        <f t="shared" si="11"/>
        <v>8.4007415845374851</v>
      </c>
      <c r="F88" s="289">
        <f t="shared" si="12"/>
        <v>10.188671401773703</v>
      </c>
      <c r="G88" s="289">
        <f t="shared" si="13"/>
        <v>1.7879298172362184</v>
      </c>
      <c r="H88" s="221"/>
      <c r="I88" s="306"/>
      <c r="J88" s="313"/>
      <c r="K88" s="313"/>
      <c r="L88" s="313"/>
      <c r="M88" s="221"/>
      <c r="N88" s="221"/>
      <c r="O88" s="221"/>
      <c r="P88" s="221"/>
      <c r="Q88" s="289"/>
      <c r="R88" s="59"/>
      <c r="S88" s="223"/>
      <c r="T88" s="224"/>
      <c r="U88" s="224"/>
      <c r="V88" s="223"/>
      <c r="W88" s="224"/>
      <c r="X88" s="224"/>
      <c r="Y88" s="224"/>
      <c r="Z88" s="59"/>
      <c r="AA88" s="59"/>
      <c r="AB88" s="59"/>
      <c r="AC88" s="59"/>
      <c r="AD88" s="59"/>
    </row>
    <row r="89" spans="2:36" ht="13.5" customHeight="1" x14ac:dyDescent="0.3">
      <c r="D89" s="7" t="str">
        <f t="shared" si="10"/>
        <v>Onions and shallots, dry (excluding dehydrated)</v>
      </c>
      <c r="E89" s="289">
        <f t="shared" si="11"/>
        <v>0.28869871668131541</v>
      </c>
      <c r="F89" s="289">
        <f t="shared" si="12"/>
        <v>1.2529610851264854</v>
      </c>
      <c r="G89" s="289">
        <f t="shared" si="13"/>
        <v>0.96426236844516999</v>
      </c>
      <c r="H89" s="221"/>
      <c r="I89" s="306"/>
      <c r="J89" s="313"/>
      <c r="K89" s="313"/>
      <c r="L89" s="313"/>
      <c r="M89" s="221"/>
      <c r="N89" s="221"/>
      <c r="O89" s="221"/>
      <c r="P89" s="221"/>
      <c r="Q89" s="289"/>
      <c r="R89" s="59"/>
      <c r="S89" s="223"/>
      <c r="T89" s="224"/>
      <c r="U89" s="224"/>
      <c r="V89" s="223"/>
      <c r="W89" s="224"/>
      <c r="X89" s="224"/>
      <c r="Y89" s="224"/>
      <c r="Z89" s="59"/>
      <c r="AA89" s="59"/>
      <c r="AB89" s="59"/>
      <c r="AC89" s="59"/>
      <c r="AD89" s="59"/>
    </row>
    <row r="90" spans="2:36" ht="13.5" customHeight="1" x14ac:dyDescent="0.3">
      <c r="D90" s="7" t="str">
        <f t="shared" si="10"/>
        <v>Bananas</v>
      </c>
      <c r="E90" s="289">
        <f t="shared" si="11"/>
        <v>0.2166217108313559</v>
      </c>
      <c r="F90" s="289">
        <f t="shared" si="12"/>
        <v>0.94014471898335805</v>
      </c>
      <c r="G90" s="289">
        <f t="shared" si="13"/>
        <v>0.7235230081520021</v>
      </c>
      <c r="H90" s="221"/>
      <c r="I90" s="289"/>
      <c r="J90" s="307"/>
      <c r="K90" s="307"/>
      <c r="L90" s="307"/>
      <c r="M90" s="221"/>
      <c r="N90" s="221"/>
      <c r="O90" s="221"/>
      <c r="P90" s="221"/>
      <c r="Q90" s="289"/>
      <c r="R90" s="59"/>
      <c r="S90" s="223"/>
      <c r="T90" s="224"/>
      <c r="U90" s="224"/>
      <c r="V90" s="223"/>
      <c r="W90" s="224"/>
      <c r="X90" s="224"/>
      <c r="Y90" s="224"/>
      <c r="Z90" s="59"/>
      <c r="AA90" s="59"/>
      <c r="AB90" s="59"/>
      <c r="AC90" s="59"/>
      <c r="AD90" s="59"/>
    </row>
    <row r="91" spans="2:36" ht="13.5" customHeight="1" x14ac:dyDescent="0.3">
      <c r="D91" s="7" t="str">
        <f t="shared" si="10"/>
        <v>Mangoes, guavas and mangosteens</v>
      </c>
      <c r="E91" s="289">
        <f t="shared" si="11"/>
        <v>0.22140202906965753</v>
      </c>
      <c r="F91" s="289">
        <f t="shared" si="12"/>
        <v>0.96089144344394528</v>
      </c>
      <c r="G91" s="289">
        <f t="shared" si="13"/>
        <v>0.73948941437428772</v>
      </c>
      <c r="H91" s="313"/>
      <c r="I91" s="308"/>
      <c r="J91" s="313"/>
      <c r="K91" s="313"/>
      <c r="L91" s="313"/>
      <c r="M91" s="313"/>
      <c r="N91" s="313"/>
      <c r="O91" s="313"/>
      <c r="P91" s="313"/>
      <c r="Q91" s="289"/>
      <c r="R91" s="210"/>
      <c r="S91" s="210"/>
      <c r="T91" s="210"/>
      <c r="U91" s="210"/>
      <c r="V91" s="210"/>
      <c r="W91" s="210"/>
      <c r="X91" s="210"/>
      <c r="Y91" s="210"/>
      <c r="Z91" s="210"/>
      <c r="AA91" s="210"/>
      <c r="AB91" s="210"/>
      <c r="AC91" s="210"/>
      <c r="AD91" s="210"/>
    </row>
    <row r="92" spans="2:36" ht="13.5" customHeight="1" x14ac:dyDescent="0.3">
      <c r="D92" s="7" t="str">
        <f t="shared" si="10"/>
        <v>Cantaloupes and other melons</v>
      </c>
      <c r="E92" s="289">
        <f t="shared" si="11"/>
        <v>0.21702479137689584</v>
      </c>
      <c r="F92" s="289">
        <f t="shared" si="12"/>
        <v>0.9418941006347169</v>
      </c>
      <c r="G92" s="289">
        <f t="shared" si="13"/>
        <v>0.72486930925782112</v>
      </c>
      <c r="H92" s="221"/>
      <c r="I92" s="221"/>
      <c r="J92" s="221"/>
      <c r="K92" s="221"/>
      <c r="L92" s="221"/>
      <c r="M92" s="221"/>
      <c r="N92" s="221"/>
      <c r="O92" s="221"/>
      <c r="P92" s="221"/>
      <c r="Q92" s="289"/>
      <c r="R92" s="59"/>
      <c r="S92" s="223"/>
      <c r="T92" s="224"/>
      <c r="U92" s="224"/>
      <c r="V92" s="223"/>
      <c r="W92" s="224"/>
      <c r="X92" s="224"/>
      <c r="Y92" s="224"/>
      <c r="Z92" s="59"/>
      <c r="AA92" s="59"/>
      <c r="AB92" s="59"/>
      <c r="AC92" s="59"/>
      <c r="AD92" s="59"/>
    </row>
    <row r="93" spans="2:36" ht="13.5" customHeight="1" x14ac:dyDescent="0.3">
      <c r="D93" s="7" t="str">
        <f t="shared" si="10"/>
        <v>Sunflower seed</v>
      </c>
      <c r="E93" s="289">
        <f t="shared" si="11"/>
        <v>0.28811151270856483</v>
      </c>
      <c r="F93" s="289">
        <f t="shared" si="12"/>
        <v>0.59399155087447453</v>
      </c>
      <c r="G93" s="289">
        <f t="shared" si="13"/>
        <v>0.3058800381659097</v>
      </c>
      <c r="H93" s="221"/>
      <c r="I93" s="304"/>
      <c r="J93" s="221"/>
      <c r="K93" s="221"/>
      <c r="L93" s="221"/>
      <c r="M93" s="221"/>
      <c r="N93" s="221"/>
      <c r="O93" s="221"/>
      <c r="P93" s="221"/>
      <c r="Q93" s="289"/>
      <c r="R93" s="59"/>
      <c r="S93" s="223"/>
      <c r="T93" s="224"/>
      <c r="U93" s="224"/>
      <c r="V93" s="223"/>
      <c r="W93" s="224"/>
      <c r="X93" s="224"/>
      <c r="Y93" s="224"/>
      <c r="Z93" s="59"/>
      <c r="AA93" s="59"/>
      <c r="AB93" s="59"/>
      <c r="AC93" s="59"/>
      <c r="AD93" s="59"/>
    </row>
    <row r="94" spans="2:36" ht="13.5" customHeight="1" x14ac:dyDescent="0.3">
      <c r="D94" s="7" t="str">
        <f t="shared" si="10"/>
        <v>Cauliflowers and broccoli</v>
      </c>
      <c r="E94" s="289">
        <f t="shared" si="11"/>
        <v>0.19415059565524539</v>
      </c>
      <c r="F94" s="289">
        <f t="shared" si="12"/>
        <v>0.8426194054706504</v>
      </c>
      <c r="G94" s="289">
        <f t="shared" si="13"/>
        <v>0.648468809815405</v>
      </c>
      <c r="H94" s="221"/>
      <c r="I94" s="309"/>
      <c r="J94" s="221"/>
      <c r="K94" s="221"/>
      <c r="L94" s="221"/>
      <c r="M94" s="221"/>
      <c r="N94" s="221"/>
      <c r="O94" s="221"/>
      <c r="P94" s="221"/>
      <c r="Q94" s="289"/>
      <c r="R94" s="59"/>
      <c r="S94" s="223"/>
      <c r="T94" s="224"/>
      <c r="U94" s="224"/>
      <c r="V94" s="223"/>
      <c r="W94" s="224"/>
      <c r="X94" s="224"/>
      <c r="Y94" s="224"/>
      <c r="Z94" s="59"/>
      <c r="AA94" s="59"/>
      <c r="AB94" s="59"/>
      <c r="AC94" s="59"/>
      <c r="AD94" s="59"/>
    </row>
    <row r="95" spans="2:36" ht="13.5" customHeight="1" x14ac:dyDescent="0.3">
      <c r="D95" s="7" t="str">
        <f t="shared" si="10"/>
        <v>Seed cotton, unginned</v>
      </c>
      <c r="E95" s="289">
        <f t="shared" si="11"/>
        <v>1.1306384867253654</v>
      </c>
      <c r="F95" s="289">
        <f t="shared" si="12"/>
        <v>1.5495641761007586</v>
      </c>
      <c r="G95" s="289">
        <f t="shared" si="13"/>
        <v>0.41892568937539321</v>
      </c>
      <c r="H95" s="221"/>
      <c r="I95" s="221"/>
      <c r="J95" s="221"/>
      <c r="K95" s="221"/>
      <c r="L95" s="221"/>
      <c r="M95" s="221"/>
      <c r="N95" s="221"/>
      <c r="O95" s="221"/>
      <c r="P95" s="221"/>
      <c r="Q95" s="289"/>
      <c r="R95" s="59"/>
      <c r="S95" s="223"/>
      <c r="T95" s="224"/>
      <c r="U95" s="224"/>
      <c r="V95" s="223"/>
      <c r="W95" s="224"/>
      <c r="X95" s="224"/>
      <c r="Y95" s="224"/>
      <c r="Z95" s="59"/>
      <c r="AA95" s="59"/>
      <c r="AB95" s="59"/>
      <c r="AC95" s="59"/>
      <c r="AD95" s="59"/>
    </row>
    <row r="96" spans="2:36" ht="13.5" customHeight="1" x14ac:dyDescent="0.3">
      <c r="D96" s="7" t="str">
        <f t="shared" si="10"/>
        <v>Cucumbers and gherkins</v>
      </c>
      <c r="E96" s="289">
        <f t="shared" si="11"/>
        <v>0.17464546625556318</v>
      </c>
      <c r="F96" s="289">
        <f t="shared" si="12"/>
        <v>1.4455293022095606</v>
      </c>
      <c r="G96" s="289">
        <f t="shared" si="13"/>
        <v>1.2708838359539973</v>
      </c>
      <c r="H96" s="221"/>
      <c r="I96" s="304"/>
      <c r="J96" s="305"/>
      <c r="K96" s="305"/>
      <c r="L96" s="305"/>
      <c r="M96" s="221"/>
      <c r="N96" s="221"/>
      <c r="O96" s="221"/>
      <c r="P96" s="221"/>
      <c r="Q96" s="289"/>
      <c r="R96" s="59"/>
      <c r="S96" s="223"/>
      <c r="T96" s="224"/>
      <c r="U96" s="224"/>
      <c r="V96" s="223"/>
      <c r="W96" s="224"/>
      <c r="X96" s="224"/>
      <c r="Y96" s="224"/>
      <c r="Z96" s="59"/>
      <c r="AA96" s="59"/>
      <c r="AB96" s="59"/>
      <c r="AC96" s="59"/>
      <c r="AD96" s="59"/>
    </row>
    <row r="97" spans="2:46" ht="13.5" customHeight="1" x14ac:dyDescent="0.25">
      <c r="D97" s="7" t="str">
        <f t="shared" si="10"/>
        <v>Tomatoes</v>
      </c>
      <c r="E97" s="289">
        <f t="shared" si="11"/>
        <v>0.16510971580468969</v>
      </c>
      <c r="F97" s="289">
        <f t="shared" si="12"/>
        <v>0.7165811163197271</v>
      </c>
      <c r="G97" s="289">
        <f t="shared" si="13"/>
        <v>0.5514714005150374</v>
      </c>
      <c r="H97" s="313"/>
      <c r="I97" s="306"/>
      <c r="J97" s="313"/>
      <c r="K97" s="313"/>
      <c r="L97" s="313"/>
      <c r="M97" s="313"/>
      <c r="N97" s="313"/>
      <c r="O97" s="313"/>
      <c r="P97" s="313"/>
      <c r="Q97" s="289"/>
      <c r="R97" s="210"/>
      <c r="S97" s="210"/>
      <c r="T97" s="210"/>
      <c r="U97" s="210"/>
      <c r="V97" s="210"/>
      <c r="W97" s="210"/>
      <c r="X97" s="210"/>
      <c r="Y97" s="210"/>
      <c r="Z97" s="210"/>
      <c r="AA97" s="210"/>
      <c r="AB97" s="210"/>
      <c r="AC97" s="210"/>
      <c r="AD97" s="210"/>
    </row>
    <row r="98" spans="2:46" ht="13.5" customHeight="1" x14ac:dyDescent="0.3">
      <c r="D98" s="7" t="str">
        <f t="shared" si="10"/>
        <v>Potatoes</v>
      </c>
      <c r="E98" s="289">
        <f t="shared" si="11"/>
        <v>0.15274197455299293</v>
      </c>
      <c r="F98" s="289">
        <f t="shared" si="12"/>
        <v>0.7531174748807945</v>
      </c>
      <c r="G98" s="289">
        <f t="shared" si="13"/>
        <v>0.60037550032780151</v>
      </c>
      <c r="H98" s="221"/>
      <c r="I98" s="306"/>
      <c r="J98" s="313"/>
      <c r="K98" s="313"/>
      <c r="L98" s="313"/>
      <c r="M98" s="221"/>
      <c r="N98" s="221"/>
      <c r="O98" s="221"/>
      <c r="P98" s="221"/>
      <c r="Q98" s="289"/>
      <c r="R98" s="59"/>
      <c r="S98" s="223"/>
      <c r="T98" s="224"/>
      <c r="U98" s="224"/>
      <c r="V98" s="223"/>
      <c r="W98" s="224"/>
      <c r="X98" s="224"/>
      <c r="Y98" s="224"/>
      <c r="Z98" s="59"/>
      <c r="AA98" s="59"/>
      <c r="AB98" s="59"/>
      <c r="AC98" s="59"/>
      <c r="AD98" s="59"/>
    </row>
    <row r="99" spans="2:46" ht="13.5" customHeight="1" x14ac:dyDescent="0.3">
      <c r="D99" s="7" t="str">
        <f t="shared" si="10"/>
        <v>Pumpkins, squash and gourds</v>
      </c>
      <c r="E99" s="289">
        <f t="shared" si="11"/>
        <v>0.14487515493503683</v>
      </c>
      <c r="F99" s="289">
        <f t="shared" si="12"/>
        <v>0.30023972917639569</v>
      </c>
      <c r="G99" s="289">
        <f t="shared" si="13"/>
        <v>0.15536457424135885</v>
      </c>
      <c r="H99" s="221"/>
      <c r="I99" s="306"/>
      <c r="J99" s="313"/>
      <c r="K99" s="313"/>
      <c r="L99" s="313"/>
      <c r="M99" s="221"/>
      <c r="N99" s="221"/>
      <c r="O99" s="221"/>
      <c r="P99" s="221"/>
      <c r="Q99" s="289"/>
      <c r="R99" s="59"/>
      <c r="S99" s="223"/>
      <c r="T99" s="224"/>
      <c r="U99" s="224"/>
      <c r="V99" s="223"/>
      <c r="W99" s="224"/>
      <c r="X99" s="224"/>
      <c r="Y99" s="224"/>
      <c r="Z99" s="59"/>
      <c r="AA99" s="59"/>
      <c r="AB99" s="59"/>
      <c r="AC99" s="59"/>
      <c r="AD99" s="59"/>
    </row>
    <row r="100" spans="2:46" ht="13.5" customHeight="1" x14ac:dyDescent="0.3">
      <c r="D100" s="7" t="str">
        <f t="shared" si="10"/>
        <v>Dates</v>
      </c>
      <c r="E100" s="289">
        <f t="shared" si="11"/>
        <v>0.14870353545572701</v>
      </c>
      <c r="F100" s="289">
        <f t="shared" si="12"/>
        <v>0.64537780177396653</v>
      </c>
      <c r="G100" s="289">
        <f t="shared" si="13"/>
        <v>0.49667426631823952</v>
      </c>
      <c r="H100" s="221"/>
      <c r="I100" s="289"/>
      <c r="J100" s="307"/>
      <c r="K100" s="307"/>
      <c r="L100" s="307"/>
      <c r="M100" s="221"/>
      <c r="N100" s="221"/>
      <c r="O100" s="221"/>
      <c r="P100" s="221"/>
      <c r="Q100" s="289"/>
      <c r="R100" s="59"/>
      <c r="S100" s="223"/>
      <c r="T100" s="224"/>
      <c r="U100" s="224"/>
      <c r="V100" s="223"/>
      <c r="W100" s="224"/>
      <c r="X100" s="224"/>
      <c r="Y100" s="224"/>
      <c r="Z100" s="59"/>
      <c r="AA100" s="59"/>
      <c r="AB100" s="59"/>
      <c r="AC100" s="59"/>
      <c r="AD100" s="59"/>
    </row>
    <row r="101" spans="2:46" ht="12.75" customHeight="1" x14ac:dyDescent="0.25">
      <c r="D101" s="7" t="str">
        <f t="shared" si="10"/>
        <v>Pomelos and grapefruits</v>
      </c>
      <c r="E101" s="289">
        <f t="shared" si="11"/>
        <v>0.14924253499489798</v>
      </c>
      <c r="F101" s="289">
        <f t="shared" si="12"/>
        <v>0.64771707593231986</v>
      </c>
      <c r="G101" s="289">
        <f t="shared" si="13"/>
        <v>0.49847454093742188</v>
      </c>
      <c r="H101" s="313"/>
      <c r="I101" s="313"/>
      <c r="J101" s="313"/>
      <c r="K101" s="313"/>
      <c r="L101" s="313"/>
      <c r="M101" s="313"/>
      <c r="N101" s="313"/>
      <c r="O101" s="313"/>
      <c r="P101" s="313"/>
      <c r="Q101" s="289"/>
      <c r="R101" s="210"/>
      <c r="S101" s="210"/>
      <c r="T101" s="210"/>
      <c r="U101" s="210"/>
      <c r="V101" s="210"/>
      <c r="W101" s="210"/>
      <c r="X101" s="210"/>
      <c r="Y101" s="210"/>
      <c r="Z101" s="210"/>
      <c r="AA101" s="210"/>
      <c r="AB101" s="210"/>
      <c r="AC101" s="210"/>
      <c r="AD101" s="210"/>
    </row>
    <row r="102" spans="2:46" ht="13.5" customHeight="1" x14ac:dyDescent="0.25">
      <c r="D102" s="7" t="str">
        <f t="shared" si="10"/>
        <v>Okra</v>
      </c>
      <c r="E102" s="289">
        <f t="shared" si="11"/>
        <v>0.12221285121439686</v>
      </c>
      <c r="F102" s="289">
        <f t="shared" si="12"/>
        <v>0.53040743801790113</v>
      </c>
      <c r="G102" s="289">
        <f t="shared" si="13"/>
        <v>0.40819458680350429</v>
      </c>
      <c r="H102" s="289"/>
      <c r="I102" s="289"/>
      <c r="J102" s="289"/>
      <c r="K102" s="289"/>
      <c r="L102" s="289"/>
      <c r="M102" s="289"/>
      <c r="N102" s="289"/>
      <c r="O102" s="289"/>
      <c r="P102" s="289"/>
      <c r="Q102" s="289"/>
    </row>
    <row r="103" spans="2:46" ht="13.5" customHeight="1" x14ac:dyDescent="0.25">
      <c r="D103" s="7" t="str">
        <f t="shared" si="10"/>
        <v>Lemons and limes</v>
      </c>
      <c r="E103" s="289">
        <f t="shared" si="11"/>
        <v>0.14372345764513553</v>
      </c>
      <c r="F103" s="289">
        <f t="shared" si="12"/>
        <v>0.62376411478116622</v>
      </c>
      <c r="G103" s="289">
        <f t="shared" si="13"/>
        <v>0.48004065713603072</v>
      </c>
      <c r="H103" s="289"/>
      <c r="I103" s="289"/>
      <c r="J103" s="289"/>
      <c r="K103" s="289"/>
      <c r="L103" s="289"/>
      <c r="M103" s="289"/>
      <c r="N103" s="289"/>
      <c r="O103" s="289"/>
      <c r="P103" s="289"/>
      <c r="Q103" s="289"/>
    </row>
    <row r="104" spans="2:46" ht="13.5" customHeight="1" x14ac:dyDescent="0.35">
      <c r="B104" s="51"/>
      <c r="C104" s="51"/>
      <c r="D104" s="7" t="str">
        <f t="shared" si="10"/>
        <v>Green garlic</v>
      </c>
      <c r="E104" s="289">
        <f t="shared" si="11"/>
        <v>0.17314250734129838</v>
      </c>
      <c r="F104" s="289">
        <f t="shared" si="12"/>
        <v>0.75144367239895704</v>
      </c>
      <c r="G104" s="289">
        <f t="shared" si="13"/>
        <v>0.57830116505765861</v>
      </c>
      <c r="H104" s="289"/>
      <c r="I104" s="289"/>
      <c r="J104" s="289"/>
      <c r="K104" s="289"/>
      <c r="L104" s="289"/>
      <c r="M104" s="289"/>
      <c r="N104" s="289"/>
      <c r="O104" s="289"/>
      <c r="P104" s="289"/>
      <c r="Q104" s="289"/>
    </row>
    <row r="105" spans="2:46" ht="13.5" customHeight="1" x14ac:dyDescent="0.3">
      <c r="D105" s="7" t="str">
        <f t="shared" si="10"/>
        <v>Sweet potatoes</v>
      </c>
      <c r="E105" s="289">
        <f t="shared" si="11"/>
        <v>0.1156753847780172</v>
      </c>
      <c r="F105" s="289">
        <f t="shared" si="12"/>
        <v>0.57035503138438104</v>
      </c>
      <c r="G105" s="289">
        <f t="shared" si="13"/>
        <v>0.45467964660636384</v>
      </c>
      <c r="H105" s="289"/>
      <c r="I105" s="289"/>
      <c r="J105" s="289"/>
      <c r="K105" s="289"/>
      <c r="L105" s="289"/>
      <c r="M105" s="289"/>
      <c r="N105" s="289"/>
      <c r="O105" s="289"/>
      <c r="P105" s="289"/>
      <c r="Q105" s="289"/>
      <c r="Y105" s="35"/>
    </row>
    <row r="106" spans="2:46" ht="13.5" customHeight="1" x14ac:dyDescent="0.25">
      <c r="D106" s="7" t="str">
        <f t="shared" si="10"/>
        <v>Other pulses n.e.c.</v>
      </c>
      <c r="E106" s="289">
        <f t="shared" si="11"/>
        <v>1.6970143954785244</v>
      </c>
      <c r="F106" s="289">
        <f t="shared" si="12"/>
        <v>1.8097161903754779</v>
      </c>
      <c r="G106" s="289">
        <f t="shared" si="13"/>
        <v>0.11270179489695353</v>
      </c>
      <c r="H106" s="289"/>
      <c r="I106" s="289"/>
      <c r="J106" s="289"/>
      <c r="K106" s="289"/>
      <c r="L106" s="289"/>
      <c r="M106" s="289"/>
      <c r="N106" s="289"/>
      <c r="O106" s="289"/>
      <c r="P106" s="289"/>
      <c r="Q106" s="289"/>
    </row>
    <row r="107" spans="2:46" ht="13.5" customHeight="1" x14ac:dyDescent="0.25">
      <c r="D107" s="7" t="str">
        <f t="shared" si="10"/>
        <v>Other vegetables, fresh n.e.c.</v>
      </c>
      <c r="E107" s="289">
        <f t="shared" si="11"/>
        <v>0.1005261590391384</v>
      </c>
      <c r="F107" s="289">
        <f t="shared" si="12"/>
        <v>0.4362865438446486</v>
      </c>
      <c r="G107" s="289">
        <f t="shared" si="13"/>
        <v>0.33576038480551018</v>
      </c>
      <c r="H107" s="314"/>
      <c r="I107" s="314"/>
      <c r="J107" s="314"/>
      <c r="K107" s="314"/>
      <c r="L107" s="314"/>
      <c r="M107" s="314"/>
      <c r="N107" s="306"/>
      <c r="O107" s="314"/>
      <c r="P107" s="314"/>
      <c r="Q107" s="289"/>
      <c r="R107" s="59"/>
      <c r="V107" s="235"/>
      <c r="W107" s="235"/>
      <c r="X107" s="235"/>
      <c r="Y107" s="235"/>
      <c r="Z107" s="235"/>
      <c r="AA107" s="235"/>
      <c r="AB107" s="235"/>
      <c r="AC107" s="235"/>
      <c r="AD107" s="235"/>
      <c r="AR107" s="59"/>
    </row>
    <row r="108" spans="2:46" ht="13.5" customHeight="1" x14ac:dyDescent="0.3">
      <c r="D108" s="7" t="str">
        <f t="shared" si="10"/>
        <v>Other fruits, n.e.c.</v>
      </c>
      <c r="E108" s="289">
        <f t="shared" si="11"/>
        <v>0.10003795809976465</v>
      </c>
      <c r="F108" s="289">
        <f t="shared" si="12"/>
        <v>0.43416773713227674</v>
      </c>
      <c r="G108" s="289">
        <f t="shared" si="13"/>
        <v>0.33412977903251206</v>
      </c>
      <c r="H108" s="315"/>
      <c r="I108" s="315"/>
      <c r="J108" s="315"/>
      <c r="K108" s="315"/>
      <c r="L108" s="315"/>
      <c r="M108" s="315"/>
      <c r="N108" s="315"/>
      <c r="O108" s="315"/>
      <c r="P108" s="315"/>
      <c r="Q108" s="316"/>
      <c r="R108" s="59"/>
      <c r="S108" s="59"/>
      <c r="T108" s="59"/>
      <c r="V108" s="291"/>
      <c r="W108" s="291"/>
      <c r="X108" s="291"/>
      <c r="Y108" s="291"/>
      <c r="Z108" s="291"/>
      <c r="AA108" s="291"/>
      <c r="AB108" s="291"/>
      <c r="AC108" s="291"/>
      <c r="AD108" s="291"/>
      <c r="AE108" s="47"/>
      <c r="AR108" s="238"/>
    </row>
    <row r="109" spans="2:46" ht="13.5" customHeight="1" x14ac:dyDescent="0.25">
      <c r="D109" s="7" t="str">
        <f t="shared" si="10"/>
        <v>Broad beans and horse beans, dry</v>
      </c>
      <c r="E109" s="289">
        <f t="shared" si="11"/>
        <v>8.3761445827685022E-2</v>
      </c>
      <c r="F109" s="289">
        <f t="shared" si="12"/>
        <v>0.200473138830259</v>
      </c>
      <c r="G109" s="289">
        <f t="shared" si="13"/>
        <v>0.11671169300257397</v>
      </c>
      <c r="H109" s="317"/>
      <c r="I109" s="317"/>
      <c r="J109" s="317"/>
      <c r="K109" s="317"/>
      <c r="L109" s="317"/>
      <c r="M109" s="317"/>
      <c r="N109" s="317"/>
      <c r="O109" s="317"/>
      <c r="P109" s="317"/>
      <c r="Q109" s="318"/>
      <c r="R109" s="293"/>
      <c r="S109" s="293"/>
      <c r="T109" s="293"/>
      <c r="V109" s="292"/>
      <c r="W109" s="292"/>
      <c r="X109" s="292"/>
      <c r="Y109" s="292"/>
      <c r="Z109" s="292"/>
      <c r="AA109" s="292"/>
      <c r="AB109" s="292"/>
      <c r="AC109" s="292"/>
      <c r="AD109" s="292"/>
      <c r="AE109" s="293"/>
      <c r="AR109" s="59"/>
      <c r="AT109" s="59"/>
    </row>
    <row r="110" spans="2:46" ht="13.5" customHeight="1" x14ac:dyDescent="0.25">
      <c r="D110" s="7" t="str">
        <f t="shared" si="10"/>
        <v>Chick peas, dry</v>
      </c>
      <c r="E110" s="289">
        <f t="shared" si="11"/>
        <v>7.08862209989706E-2</v>
      </c>
      <c r="F110" s="289">
        <f t="shared" si="12"/>
        <v>0.16965780715764672</v>
      </c>
      <c r="G110" s="289">
        <f t="shared" si="13"/>
        <v>9.8771586158676122E-2</v>
      </c>
      <c r="H110" s="317"/>
      <c r="I110" s="317"/>
      <c r="J110" s="317"/>
      <c r="K110" s="317"/>
      <c r="L110" s="317"/>
      <c r="M110" s="317"/>
      <c r="N110" s="317"/>
      <c r="O110" s="317"/>
      <c r="P110" s="317"/>
      <c r="Q110" s="318"/>
      <c r="R110" s="293"/>
      <c r="S110" s="293"/>
      <c r="T110" s="293"/>
      <c r="V110" s="292"/>
      <c r="W110" s="292"/>
      <c r="X110" s="292"/>
      <c r="Y110" s="292"/>
      <c r="Z110" s="292"/>
      <c r="AA110" s="292"/>
      <c r="AB110" s="292"/>
      <c r="AC110" s="292"/>
      <c r="AD110" s="292"/>
      <c r="AE110" s="293"/>
      <c r="AR110" s="59"/>
    </row>
    <row r="111" spans="2:46" ht="13.5" customHeight="1" x14ac:dyDescent="0.25">
      <c r="D111" s="7" t="str">
        <f t="shared" si="10"/>
        <v>Beans, dry</v>
      </c>
      <c r="E111" s="289">
        <f t="shared" si="11"/>
        <v>8.1758528366972227E-2</v>
      </c>
      <c r="F111" s="289">
        <f t="shared" si="12"/>
        <v>0.13009865086545794</v>
      </c>
      <c r="G111" s="289">
        <f t="shared" si="13"/>
        <v>4.834012249848571E-2</v>
      </c>
      <c r="H111" s="317"/>
      <c r="I111" s="317"/>
      <c r="J111" s="317"/>
      <c r="K111" s="317"/>
      <c r="L111" s="317"/>
      <c r="M111" s="317"/>
      <c r="N111" s="317"/>
      <c r="O111" s="317"/>
      <c r="P111" s="317"/>
      <c r="Q111" s="318"/>
      <c r="R111" s="293"/>
      <c r="S111" s="293"/>
      <c r="T111" s="293"/>
      <c r="V111" s="292"/>
      <c r="W111" s="292"/>
      <c r="X111" s="292"/>
      <c r="Y111" s="292"/>
      <c r="Z111" s="292"/>
      <c r="AA111" s="292"/>
      <c r="AB111" s="292"/>
      <c r="AC111" s="292"/>
      <c r="AD111" s="292"/>
      <c r="AE111" s="293"/>
    </row>
    <row r="112" spans="2:46" ht="13.5" customHeight="1" x14ac:dyDescent="0.25">
      <c r="E112" s="317"/>
      <c r="F112" s="317"/>
      <c r="G112" s="317"/>
      <c r="H112" s="317"/>
      <c r="I112" s="317"/>
      <c r="J112" s="317"/>
      <c r="K112" s="317"/>
      <c r="L112" s="317"/>
      <c r="M112" s="317"/>
      <c r="N112" s="317"/>
      <c r="O112" s="317"/>
      <c r="P112" s="317"/>
      <c r="Q112" s="318"/>
      <c r="R112" s="293"/>
      <c r="S112" s="293"/>
      <c r="T112" s="293"/>
      <c r="V112" s="292"/>
      <c r="W112" s="292"/>
      <c r="X112" s="292"/>
      <c r="Y112" s="292"/>
      <c r="Z112" s="292"/>
      <c r="AA112" s="292"/>
      <c r="AB112" s="292"/>
      <c r="AC112" s="292"/>
      <c r="AD112" s="292"/>
      <c r="AE112" s="293"/>
    </row>
    <row r="113" spans="4:31" ht="13.5" customHeight="1" x14ac:dyDescent="0.25">
      <c r="D113" s="289"/>
      <c r="E113" s="317"/>
      <c r="F113" s="317"/>
      <c r="G113" s="317" t="s">
        <v>64</v>
      </c>
      <c r="H113" s="289">
        <f>G82+G87+G88+G91+G92</f>
        <v>7.8071421384743624</v>
      </c>
      <c r="I113" s="317"/>
      <c r="J113" s="317"/>
      <c r="K113" s="317"/>
      <c r="L113" s="317"/>
      <c r="M113" s="317"/>
      <c r="N113" s="317"/>
      <c r="O113" s="317"/>
      <c r="P113" s="317"/>
      <c r="Q113" s="318"/>
      <c r="R113" s="293"/>
      <c r="S113" s="293"/>
      <c r="T113" s="293"/>
      <c r="V113" s="292"/>
      <c r="W113" s="292"/>
      <c r="X113" s="292"/>
      <c r="Y113" s="292"/>
      <c r="Z113" s="292"/>
      <c r="AA113" s="292"/>
      <c r="AB113" s="292"/>
      <c r="AC113" s="292"/>
      <c r="AD113" s="292"/>
      <c r="AE113" s="293"/>
    </row>
    <row r="114" spans="4:31" ht="13.5" customHeight="1" x14ac:dyDescent="0.25">
      <c r="D114" s="289"/>
      <c r="E114" s="317"/>
      <c r="F114" s="317"/>
      <c r="G114" s="317"/>
      <c r="H114" s="317"/>
      <c r="I114" s="317"/>
      <c r="J114" s="317"/>
      <c r="K114" s="317"/>
      <c r="L114" s="317"/>
      <c r="M114" s="317"/>
      <c r="N114" s="317"/>
      <c r="O114" s="317"/>
      <c r="P114" s="317"/>
      <c r="Q114" s="318"/>
      <c r="R114" s="293"/>
      <c r="S114" s="293"/>
      <c r="T114" s="293"/>
      <c r="V114" s="292"/>
      <c r="W114" s="292"/>
      <c r="X114" s="292"/>
      <c r="Y114" s="292"/>
      <c r="Z114" s="292"/>
      <c r="AA114" s="292"/>
      <c r="AB114" s="292"/>
      <c r="AC114" s="292"/>
      <c r="AD114" s="292"/>
      <c r="AE114" s="293"/>
    </row>
    <row r="115" spans="4:31" ht="13.5" customHeight="1" x14ac:dyDescent="0.25">
      <c r="D115" s="289"/>
      <c r="E115" s="317"/>
      <c r="F115" s="317"/>
      <c r="G115" s="317"/>
      <c r="H115" s="317"/>
      <c r="I115" s="317"/>
      <c r="J115" s="317"/>
      <c r="K115" s="317"/>
      <c r="L115" s="317"/>
      <c r="M115" s="317"/>
      <c r="N115" s="317"/>
      <c r="O115" s="317"/>
      <c r="P115" s="317"/>
      <c r="Q115" s="318"/>
      <c r="R115" s="293"/>
      <c r="S115" s="293"/>
      <c r="T115" s="293"/>
      <c r="V115" s="292"/>
      <c r="W115" s="292"/>
      <c r="X115" s="292"/>
      <c r="Y115" s="292"/>
      <c r="Z115" s="292"/>
      <c r="AA115" s="292"/>
      <c r="AB115" s="292"/>
      <c r="AC115" s="292"/>
      <c r="AD115" s="292"/>
      <c r="AE115" s="293"/>
    </row>
    <row r="116" spans="4:31" ht="13.5" customHeight="1" x14ac:dyDescent="0.25">
      <c r="D116" s="289"/>
      <c r="E116" s="317"/>
      <c r="F116" s="317"/>
      <c r="G116" s="317"/>
      <c r="H116" s="317"/>
      <c r="I116" s="317"/>
      <c r="J116" s="317"/>
      <c r="K116" s="317"/>
      <c r="L116" s="317"/>
      <c r="M116" s="317"/>
      <c r="N116" s="317"/>
      <c r="O116" s="317"/>
      <c r="P116" s="317"/>
      <c r="Q116" s="318"/>
      <c r="R116" s="293"/>
      <c r="S116" s="293"/>
      <c r="T116" s="293"/>
      <c r="V116" s="292"/>
      <c r="W116" s="292"/>
      <c r="X116" s="292"/>
      <c r="Y116" s="292"/>
      <c r="Z116" s="292"/>
      <c r="AA116" s="292"/>
      <c r="AB116" s="292"/>
      <c r="AC116" s="292"/>
      <c r="AD116" s="292"/>
      <c r="AE116" s="293"/>
    </row>
    <row r="117" spans="4:31" ht="13.5" customHeight="1" x14ac:dyDescent="0.25">
      <c r="D117" s="289"/>
      <c r="E117" s="317"/>
      <c r="F117" s="317"/>
      <c r="G117" s="317"/>
      <c r="H117" s="317"/>
      <c r="I117" s="317"/>
      <c r="J117" s="317"/>
      <c r="K117" s="317"/>
      <c r="L117" s="317"/>
      <c r="M117" s="317"/>
      <c r="N117" s="317"/>
      <c r="O117" s="317"/>
      <c r="P117" s="317"/>
      <c r="Q117" s="318"/>
      <c r="R117" s="293"/>
      <c r="S117" s="293"/>
      <c r="T117" s="293"/>
      <c r="V117" s="292"/>
      <c r="W117" s="292"/>
      <c r="X117" s="292"/>
      <c r="Y117" s="292"/>
      <c r="Z117" s="292"/>
      <c r="AA117" s="292"/>
      <c r="AB117" s="292"/>
      <c r="AC117" s="292"/>
      <c r="AD117" s="292"/>
      <c r="AE117" s="293"/>
    </row>
    <row r="118" spans="4:31" ht="13.5" customHeight="1" x14ac:dyDescent="0.25">
      <c r="D118" s="289"/>
      <c r="E118" s="317"/>
      <c r="F118" s="317"/>
      <c r="G118" s="317"/>
      <c r="H118" s="317"/>
      <c r="I118" s="317"/>
      <c r="J118" s="317"/>
      <c r="K118" s="317"/>
      <c r="L118" s="317"/>
      <c r="M118" s="317"/>
      <c r="N118" s="317"/>
      <c r="O118" s="317"/>
      <c r="P118" s="317"/>
      <c r="Q118" s="318"/>
      <c r="R118" s="293"/>
      <c r="S118" s="293"/>
      <c r="T118" s="293"/>
      <c r="V118" s="292"/>
      <c r="W118" s="292"/>
      <c r="X118" s="292"/>
      <c r="Y118" s="292"/>
      <c r="Z118" s="292"/>
      <c r="AA118" s="292"/>
      <c r="AB118" s="292"/>
      <c r="AC118" s="292"/>
      <c r="AD118" s="292"/>
      <c r="AE118" s="293"/>
    </row>
    <row r="119" spans="4:31" ht="13.5" customHeight="1" x14ac:dyDescent="0.25">
      <c r="D119" s="289"/>
      <c r="E119" s="317"/>
      <c r="F119" s="317"/>
      <c r="G119" s="317"/>
      <c r="H119" s="317"/>
      <c r="I119" s="317"/>
      <c r="J119" s="317"/>
      <c r="K119" s="317"/>
      <c r="L119" s="317"/>
      <c r="M119" s="317"/>
      <c r="N119" s="317"/>
      <c r="O119" s="317"/>
      <c r="P119" s="317"/>
      <c r="Q119" s="318"/>
      <c r="R119" s="293"/>
      <c r="S119" s="293"/>
      <c r="T119" s="293"/>
      <c r="V119" s="292"/>
      <c r="W119" s="292"/>
      <c r="X119" s="292"/>
      <c r="Y119" s="292"/>
      <c r="Z119" s="292"/>
      <c r="AA119" s="292"/>
      <c r="AB119" s="292"/>
      <c r="AC119" s="292"/>
      <c r="AD119" s="292"/>
      <c r="AE119" s="293"/>
    </row>
    <row r="120" spans="4:31" ht="13.5" customHeight="1" x14ac:dyDescent="0.25">
      <c r="D120" s="289"/>
      <c r="E120" s="317"/>
      <c r="F120" s="317"/>
      <c r="G120" s="317"/>
      <c r="H120" s="317"/>
      <c r="I120" s="317"/>
      <c r="J120" s="317"/>
      <c r="K120" s="317"/>
      <c r="L120" s="317"/>
      <c r="M120" s="317"/>
      <c r="N120" s="317"/>
      <c r="O120" s="317"/>
      <c r="P120" s="317"/>
      <c r="Q120" s="318"/>
      <c r="R120" s="293"/>
      <c r="S120" s="293"/>
      <c r="T120" s="293"/>
      <c r="V120" s="292"/>
      <c r="W120" s="292"/>
      <c r="X120" s="292"/>
      <c r="Y120" s="292"/>
      <c r="Z120" s="292"/>
      <c r="AA120" s="292"/>
      <c r="AB120" s="292"/>
      <c r="AC120" s="292"/>
      <c r="AD120" s="292"/>
      <c r="AE120" s="293"/>
    </row>
    <row r="121" spans="4:31" ht="13.5" customHeight="1" x14ac:dyDescent="0.25">
      <c r="D121" s="289"/>
      <c r="E121" s="317"/>
      <c r="F121" s="317"/>
      <c r="G121" s="317"/>
      <c r="H121" s="317"/>
      <c r="I121" s="317"/>
      <c r="J121" s="317"/>
      <c r="K121" s="317"/>
      <c r="L121" s="317"/>
      <c r="M121" s="317"/>
      <c r="N121" s="317"/>
      <c r="O121" s="317"/>
      <c r="P121" s="317"/>
      <c r="Q121" s="318"/>
      <c r="R121" s="293"/>
      <c r="S121" s="293"/>
      <c r="T121" s="293"/>
      <c r="V121" s="292"/>
      <c r="W121" s="292"/>
      <c r="X121" s="292"/>
      <c r="Y121" s="292"/>
      <c r="Z121" s="292"/>
      <c r="AA121" s="292"/>
      <c r="AB121" s="292"/>
      <c r="AC121" s="292"/>
      <c r="AD121" s="292"/>
      <c r="AE121" s="293"/>
    </row>
    <row r="122" spans="4:31" ht="13.5" customHeight="1" x14ac:dyDescent="0.25">
      <c r="D122" s="289"/>
      <c r="E122" s="317"/>
      <c r="F122" s="317"/>
      <c r="G122" s="317"/>
      <c r="H122" s="317"/>
      <c r="I122" s="317"/>
      <c r="J122" s="317"/>
      <c r="K122" s="317"/>
      <c r="L122" s="317"/>
      <c r="M122" s="317"/>
      <c r="N122" s="317"/>
      <c r="O122" s="317"/>
      <c r="P122" s="317"/>
      <c r="Q122" s="318"/>
      <c r="R122" s="293"/>
      <c r="S122" s="293"/>
      <c r="T122" s="293"/>
      <c r="V122" s="292"/>
      <c r="W122" s="292"/>
      <c r="X122" s="292"/>
      <c r="Y122" s="292"/>
      <c r="Z122" s="292"/>
      <c r="AA122" s="292"/>
      <c r="AB122" s="292"/>
      <c r="AC122" s="292"/>
      <c r="AD122" s="292"/>
      <c r="AE122" s="293"/>
    </row>
    <row r="123" spans="4:31" ht="13.5" customHeight="1" x14ac:dyDescent="0.25">
      <c r="D123" s="289"/>
      <c r="E123" s="317"/>
      <c r="F123" s="317"/>
      <c r="G123" s="317"/>
      <c r="H123" s="317"/>
      <c r="I123" s="317"/>
      <c r="J123" s="317"/>
      <c r="K123" s="317"/>
      <c r="L123" s="317"/>
      <c r="M123" s="317"/>
      <c r="N123" s="317"/>
      <c r="O123" s="317"/>
      <c r="P123" s="317"/>
      <c r="Q123" s="318"/>
      <c r="R123" s="293"/>
      <c r="S123" s="293"/>
      <c r="T123" s="293"/>
      <c r="V123" s="292"/>
      <c r="W123" s="292"/>
      <c r="X123" s="292"/>
      <c r="Y123" s="292"/>
      <c r="Z123" s="292"/>
      <c r="AA123" s="292"/>
      <c r="AB123" s="292"/>
      <c r="AC123" s="292"/>
      <c r="AD123" s="292"/>
      <c r="AE123" s="293"/>
    </row>
    <row r="124" spans="4:31" ht="13.5" customHeight="1" x14ac:dyDescent="0.25">
      <c r="D124" s="289"/>
      <c r="E124" s="317"/>
      <c r="F124" s="317"/>
      <c r="G124" s="317"/>
      <c r="H124" s="317"/>
      <c r="I124" s="317"/>
      <c r="J124" s="317"/>
      <c r="K124" s="317"/>
      <c r="L124" s="317"/>
      <c r="M124" s="317"/>
      <c r="N124" s="317"/>
      <c r="O124" s="317"/>
      <c r="P124" s="317"/>
      <c r="Q124" s="318"/>
      <c r="R124" s="293"/>
      <c r="S124" s="293"/>
      <c r="T124" s="293"/>
      <c r="V124" s="292"/>
      <c r="W124" s="292"/>
      <c r="X124" s="292"/>
      <c r="Y124" s="292"/>
      <c r="Z124" s="292"/>
      <c r="AA124" s="292"/>
      <c r="AB124" s="292"/>
      <c r="AC124" s="292"/>
      <c r="AD124" s="292"/>
      <c r="AE124" s="293"/>
    </row>
    <row r="125" spans="4:31" ht="13.5" customHeight="1" x14ac:dyDescent="0.25">
      <c r="D125" s="289"/>
      <c r="E125" s="317"/>
      <c r="F125" s="317"/>
      <c r="G125" s="317"/>
      <c r="H125" s="317"/>
      <c r="I125" s="317"/>
      <c r="J125" s="317"/>
      <c r="K125" s="317"/>
      <c r="L125" s="317"/>
      <c r="M125" s="317"/>
      <c r="N125" s="317"/>
      <c r="O125" s="317"/>
      <c r="P125" s="317"/>
      <c r="Q125" s="318"/>
      <c r="R125" s="293"/>
      <c r="S125" s="293"/>
      <c r="T125" s="293"/>
      <c r="V125" s="292"/>
      <c r="W125" s="292"/>
      <c r="X125" s="292"/>
      <c r="Y125" s="292"/>
      <c r="Z125" s="292"/>
      <c r="AA125" s="292"/>
      <c r="AB125" s="292"/>
      <c r="AC125" s="292"/>
      <c r="AD125" s="292"/>
      <c r="AE125" s="293"/>
    </row>
    <row r="126" spans="4:31" ht="13.5" customHeight="1" x14ac:dyDescent="0.25">
      <c r="D126" s="289"/>
      <c r="E126" s="317"/>
      <c r="F126" s="317"/>
      <c r="G126" s="317"/>
      <c r="H126" s="317"/>
      <c r="I126" s="317"/>
      <c r="J126" s="317"/>
      <c r="K126" s="317"/>
      <c r="L126" s="317"/>
      <c r="M126" s="317"/>
      <c r="N126" s="317"/>
      <c r="O126" s="317"/>
      <c r="P126" s="317"/>
      <c r="Q126" s="318"/>
      <c r="R126" s="293"/>
      <c r="S126" s="293"/>
      <c r="T126" s="293"/>
      <c r="V126" s="292"/>
      <c r="W126" s="292"/>
      <c r="X126" s="292"/>
      <c r="Y126" s="292"/>
      <c r="Z126" s="292"/>
      <c r="AA126" s="292"/>
      <c r="AB126" s="292"/>
      <c r="AC126" s="292"/>
      <c r="AD126" s="292"/>
      <c r="AE126" s="293"/>
    </row>
    <row r="127" spans="4:31" ht="13.5" customHeight="1" x14ac:dyDescent="0.25">
      <c r="D127" s="289"/>
      <c r="E127" s="317"/>
      <c r="F127" s="317"/>
      <c r="G127" s="317"/>
      <c r="H127" s="317"/>
      <c r="I127" s="317"/>
      <c r="J127" s="317"/>
      <c r="K127" s="317"/>
      <c r="L127" s="317"/>
      <c r="M127" s="317"/>
      <c r="N127" s="317"/>
      <c r="O127" s="317"/>
      <c r="P127" s="317"/>
      <c r="Q127" s="318"/>
      <c r="R127" s="293"/>
      <c r="S127" s="293"/>
      <c r="T127" s="293"/>
      <c r="V127" s="292"/>
      <c r="W127" s="292"/>
      <c r="X127" s="292"/>
      <c r="Y127" s="292"/>
      <c r="Z127" s="292"/>
      <c r="AA127" s="292"/>
      <c r="AB127" s="292"/>
      <c r="AC127" s="292"/>
      <c r="AD127" s="292"/>
      <c r="AE127" s="293"/>
    </row>
    <row r="128" spans="4:31" ht="13.5" customHeight="1" x14ac:dyDescent="0.25">
      <c r="D128" s="289"/>
      <c r="E128" s="317"/>
      <c r="F128" s="317"/>
      <c r="G128" s="317"/>
      <c r="H128" s="317"/>
      <c r="I128" s="317"/>
      <c r="J128" s="317"/>
      <c r="K128" s="317"/>
      <c r="L128" s="317"/>
      <c r="M128" s="317"/>
      <c r="N128" s="317"/>
      <c r="O128" s="317"/>
      <c r="P128" s="317"/>
      <c r="Q128" s="318"/>
      <c r="R128" s="293"/>
      <c r="S128" s="293"/>
      <c r="T128" s="293"/>
      <c r="V128" s="292"/>
      <c r="W128" s="292"/>
      <c r="X128" s="292"/>
      <c r="Y128" s="292"/>
      <c r="Z128" s="292"/>
      <c r="AA128" s="292"/>
      <c r="AB128" s="292"/>
      <c r="AC128" s="292"/>
      <c r="AD128" s="292"/>
      <c r="AE128" s="293"/>
    </row>
    <row r="129" spans="2:31" ht="13.5" customHeight="1" x14ac:dyDescent="0.25">
      <c r="D129" s="289"/>
      <c r="E129" s="317"/>
      <c r="F129" s="317"/>
      <c r="G129" s="317"/>
      <c r="H129" s="317"/>
      <c r="I129" s="317"/>
      <c r="J129" s="317"/>
      <c r="K129" s="317"/>
      <c r="L129" s="317"/>
      <c r="M129" s="317"/>
      <c r="N129" s="317"/>
      <c r="O129" s="317"/>
      <c r="P129" s="317"/>
      <c r="Q129" s="318"/>
      <c r="R129" s="293"/>
      <c r="S129" s="293"/>
      <c r="T129" s="293"/>
      <c r="V129" s="292"/>
      <c r="W129" s="292"/>
      <c r="X129" s="292"/>
      <c r="Y129" s="292"/>
      <c r="Z129" s="292"/>
      <c r="AA129" s="292"/>
      <c r="AB129" s="292"/>
      <c r="AC129" s="292"/>
      <c r="AD129" s="292"/>
      <c r="AE129" s="293"/>
    </row>
    <row r="130" spans="2:31" ht="13.5" customHeight="1" x14ac:dyDescent="0.25">
      <c r="D130" s="289"/>
      <c r="E130" s="317"/>
      <c r="F130" s="317"/>
      <c r="G130" s="317"/>
      <c r="H130" s="317"/>
      <c r="I130" s="317"/>
      <c r="J130" s="317"/>
      <c r="K130" s="317"/>
      <c r="L130" s="317"/>
      <c r="M130" s="317"/>
      <c r="N130" s="317"/>
      <c r="O130" s="317"/>
      <c r="P130" s="317"/>
      <c r="Q130" s="318"/>
      <c r="R130" s="293"/>
      <c r="S130" s="293"/>
      <c r="T130" s="293"/>
      <c r="V130" s="292"/>
      <c r="W130" s="292"/>
      <c r="X130" s="292"/>
      <c r="Y130" s="292"/>
      <c r="Z130" s="292"/>
      <c r="AA130" s="292"/>
      <c r="AB130" s="292"/>
      <c r="AC130" s="292"/>
      <c r="AD130" s="292"/>
      <c r="AE130" s="293"/>
    </row>
    <row r="131" spans="2:31" ht="13.5" customHeight="1" x14ac:dyDescent="0.25">
      <c r="D131" s="289"/>
      <c r="E131" s="317"/>
      <c r="F131" s="317"/>
      <c r="G131" s="317"/>
      <c r="H131" s="317"/>
      <c r="I131" s="317"/>
      <c r="J131" s="317"/>
      <c r="K131" s="317"/>
      <c r="L131" s="317"/>
      <c r="M131" s="317"/>
      <c r="N131" s="317"/>
      <c r="O131" s="317"/>
      <c r="P131" s="317"/>
      <c r="Q131" s="318"/>
      <c r="R131" s="293"/>
      <c r="S131" s="293"/>
      <c r="T131" s="293"/>
      <c r="V131" s="292"/>
      <c r="W131" s="292"/>
      <c r="X131" s="292"/>
      <c r="Y131" s="292"/>
      <c r="Z131" s="292"/>
      <c r="AA131" s="292"/>
      <c r="AB131" s="292"/>
      <c r="AC131" s="292"/>
      <c r="AD131" s="292"/>
      <c r="AE131" s="293"/>
    </row>
    <row r="132" spans="2:31" ht="13.5" customHeight="1" x14ac:dyDescent="0.25">
      <c r="D132" s="289"/>
      <c r="E132" s="317"/>
      <c r="F132" s="317"/>
      <c r="G132" s="317"/>
      <c r="H132" s="317"/>
      <c r="I132" s="317"/>
      <c r="J132" s="317"/>
      <c r="K132" s="317"/>
      <c r="L132" s="317"/>
      <c r="M132" s="317"/>
      <c r="N132" s="317"/>
      <c r="O132" s="317"/>
      <c r="P132" s="317"/>
      <c r="Q132" s="318"/>
      <c r="R132" s="293"/>
      <c r="S132" s="293"/>
      <c r="T132" s="293"/>
      <c r="V132" s="292"/>
      <c r="W132" s="292"/>
      <c r="X132" s="292"/>
      <c r="Y132" s="292"/>
      <c r="Z132" s="292"/>
      <c r="AA132" s="292"/>
      <c r="AB132" s="292"/>
      <c r="AC132" s="292"/>
      <c r="AD132" s="292"/>
      <c r="AE132" s="293"/>
    </row>
    <row r="133" spans="2:31" ht="13.5" customHeight="1" x14ac:dyDescent="0.25">
      <c r="D133" s="289"/>
      <c r="E133" s="317"/>
      <c r="F133" s="317"/>
      <c r="G133" s="317"/>
      <c r="H133" s="317"/>
      <c r="I133" s="317"/>
      <c r="J133" s="317"/>
      <c r="K133" s="317"/>
      <c r="L133" s="317"/>
      <c r="M133" s="317"/>
      <c r="N133" s="317"/>
      <c r="O133" s="317"/>
      <c r="P133" s="317"/>
      <c r="Q133" s="318"/>
      <c r="R133" s="293"/>
      <c r="S133" s="293"/>
      <c r="T133" s="293"/>
      <c r="V133" s="292"/>
      <c r="W133" s="292"/>
      <c r="X133" s="292"/>
      <c r="Y133" s="292"/>
      <c r="Z133" s="292"/>
      <c r="AA133" s="292"/>
      <c r="AB133" s="292"/>
      <c r="AC133" s="292"/>
      <c r="AD133" s="292"/>
      <c r="AE133" s="293"/>
    </row>
    <row r="134" spans="2:31" ht="13.5" customHeight="1" x14ac:dyDescent="0.25">
      <c r="D134" s="289"/>
      <c r="E134" s="317"/>
      <c r="F134" s="317"/>
      <c r="G134" s="317"/>
      <c r="H134" s="317"/>
      <c r="I134" s="317"/>
      <c r="J134" s="317"/>
      <c r="K134" s="317"/>
      <c r="L134" s="317"/>
      <c r="M134" s="317"/>
      <c r="N134" s="317"/>
      <c r="O134" s="317"/>
      <c r="P134" s="317"/>
      <c r="Q134" s="318"/>
      <c r="R134" s="293"/>
      <c r="S134" s="293"/>
      <c r="T134" s="293"/>
      <c r="V134" s="292"/>
      <c r="W134" s="292"/>
      <c r="X134" s="292"/>
      <c r="Y134" s="292"/>
      <c r="Z134" s="292"/>
      <c r="AA134" s="292"/>
      <c r="AB134" s="292"/>
      <c r="AC134" s="292"/>
      <c r="AD134" s="292"/>
      <c r="AE134" s="293"/>
    </row>
    <row r="135" spans="2:31" ht="13.5" customHeight="1" x14ac:dyDescent="0.25">
      <c r="D135" s="289"/>
      <c r="E135" s="317"/>
      <c r="F135" s="317"/>
      <c r="G135" s="317"/>
      <c r="H135" s="317"/>
      <c r="I135" s="317"/>
      <c r="J135" s="317"/>
      <c r="K135" s="317"/>
      <c r="L135" s="317"/>
      <c r="M135" s="317"/>
      <c r="N135" s="317"/>
      <c r="O135" s="317"/>
      <c r="P135" s="317"/>
      <c r="Q135" s="318"/>
      <c r="R135" s="293"/>
      <c r="S135" s="293"/>
      <c r="T135" s="293"/>
      <c r="V135" s="292"/>
      <c r="W135" s="292"/>
      <c r="X135" s="292"/>
      <c r="Y135" s="292"/>
      <c r="Z135" s="292"/>
      <c r="AA135" s="292"/>
      <c r="AB135" s="292"/>
      <c r="AC135" s="292"/>
      <c r="AD135" s="292"/>
      <c r="AE135" s="293"/>
    </row>
    <row r="136" spans="2:31" ht="13.5" customHeight="1" x14ac:dyDescent="0.25">
      <c r="D136" s="289"/>
      <c r="E136" s="317"/>
      <c r="F136" s="317"/>
      <c r="G136" s="317"/>
      <c r="H136" s="317"/>
      <c r="I136" s="317"/>
      <c r="J136" s="317"/>
      <c r="K136" s="317"/>
      <c r="L136" s="317"/>
      <c r="M136" s="317"/>
      <c r="N136" s="317"/>
      <c r="O136" s="317"/>
      <c r="P136" s="317"/>
      <c r="Q136" s="318"/>
      <c r="R136" s="293"/>
      <c r="S136" s="293"/>
      <c r="T136" s="293"/>
      <c r="V136" s="292"/>
      <c r="W136" s="292"/>
      <c r="X136" s="292"/>
      <c r="Y136" s="292"/>
      <c r="Z136" s="292"/>
      <c r="AA136" s="292"/>
      <c r="AB136" s="292"/>
      <c r="AC136" s="292"/>
      <c r="AD136" s="292"/>
      <c r="AE136" s="293"/>
    </row>
    <row r="137" spans="2:31" ht="13.5" customHeight="1" x14ac:dyDescent="0.25">
      <c r="D137" s="289"/>
      <c r="E137" s="317"/>
      <c r="F137" s="317"/>
      <c r="G137" s="317"/>
      <c r="H137" s="317"/>
      <c r="I137" s="317"/>
      <c r="J137" s="317"/>
      <c r="K137" s="317"/>
      <c r="L137" s="317"/>
      <c r="M137" s="317"/>
      <c r="N137" s="317"/>
      <c r="O137" s="317"/>
      <c r="P137" s="317"/>
      <c r="Q137" s="318"/>
      <c r="R137" s="293"/>
      <c r="S137" s="293"/>
      <c r="T137" s="293"/>
      <c r="V137" s="292"/>
      <c r="W137" s="292"/>
      <c r="X137" s="292"/>
      <c r="Y137" s="292"/>
      <c r="Z137" s="292"/>
      <c r="AA137" s="292"/>
      <c r="AB137" s="292"/>
      <c r="AC137" s="292"/>
      <c r="AD137" s="292"/>
      <c r="AE137" s="293"/>
    </row>
    <row r="138" spans="2:31" ht="13.5" customHeight="1" x14ac:dyDescent="0.25">
      <c r="D138" s="289"/>
      <c r="E138" s="317"/>
      <c r="F138" s="317"/>
      <c r="G138" s="317"/>
      <c r="H138" s="317"/>
      <c r="I138" s="317"/>
      <c r="J138" s="317"/>
      <c r="K138" s="317"/>
      <c r="L138" s="317"/>
      <c r="M138" s="317"/>
      <c r="N138" s="317"/>
      <c r="O138" s="317"/>
      <c r="P138" s="317"/>
      <c r="Q138" s="318"/>
      <c r="R138" s="293"/>
      <c r="S138" s="293"/>
      <c r="T138" s="293"/>
      <c r="V138" s="292"/>
      <c r="W138" s="292"/>
      <c r="X138" s="292"/>
      <c r="Y138" s="292"/>
      <c r="Z138" s="292"/>
      <c r="AA138" s="292"/>
      <c r="AB138" s="292"/>
      <c r="AC138" s="292"/>
      <c r="AD138" s="292"/>
      <c r="AE138" s="293"/>
    </row>
    <row r="139" spans="2:31" ht="13.5" customHeight="1" x14ac:dyDescent="0.25">
      <c r="D139" s="289"/>
      <c r="E139" s="317"/>
      <c r="F139" s="317"/>
      <c r="G139" s="317"/>
      <c r="H139" s="317"/>
      <c r="I139" s="317"/>
      <c r="J139" s="317"/>
      <c r="K139" s="317"/>
      <c r="L139" s="317"/>
      <c r="M139" s="317"/>
      <c r="N139" s="317"/>
      <c r="O139" s="317"/>
      <c r="P139" s="317"/>
      <c r="Q139" s="318"/>
      <c r="R139" s="293"/>
      <c r="S139" s="293"/>
      <c r="T139" s="293"/>
      <c r="V139" s="292"/>
      <c r="W139" s="292"/>
      <c r="X139" s="292"/>
      <c r="Y139" s="292"/>
      <c r="Z139" s="292"/>
      <c r="AA139" s="292"/>
      <c r="AB139" s="292"/>
      <c r="AC139" s="292"/>
      <c r="AD139" s="292"/>
      <c r="AE139" s="293"/>
    </row>
    <row r="140" spans="2:31" ht="13.5" customHeight="1" x14ac:dyDescent="0.25">
      <c r="D140" s="289"/>
      <c r="E140" s="221"/>
      <c r="F140" s="221"/>
      <c r="G140" s="221"/>
      <c r="H140" s="221"/>
      <c r="I140" s="289"/>
      <c r="J140" s="319"/>
      <c r="K140" s="218"/>
      <c r="L140" s="218"/>
      <c r="M140" s="218"/>
      <c r="N140" s="289"/>
      <c r="O140" s="289"/>
      <c r="P140" s="289"/>
      <c r="Q140" s="289"/>
    </row>
    <row r="141" spans="2:31" ht="13.5" customHeight="1" x14ac:dyDescent="0.35">
      <c r="B141" s="51"/>
      <c r="D141" s="312"/>
      <c r="E141" s="289"/>
      <c r="F141" s="289"/>
      <c r="G141" s="289"/>
      <c r="H141" s="289"/>
      <c r="I141" s="289"/>
      <c r="J141" s="319"/>
      <c r="K141" s="319"/>
      <c r="L141" s="319"/>
      <c r="M141" s="319"/>
      <c r="N141" s="289"/>
      <c r="O141" s="289"/>
      <c r="P141" s="289"/>
      <c r="Q141" s="289"/>
    </row>
    <row r="142" spans="2:31" ht="13.5" customHeight="1" x14ac:dyDescent="0.25">
      <c r="D142" s="289"/>
      <c r="E142" s="289"/>
      <c r="F142" s="289"/>
      <c r="G142" s="289"/>
      <c r="H142" s="289"/>
      <c r="I142" s="289"/>
      <c r="J142" s="319"/>
      <c r="K142" s="319"/>
      <c r="L142" s="319"/>
      <c r="M142" s="319"/>
      <c r="N142" s="289"/>
      <c r="O142" s="289"/>
      <c r="P142" s="289"/>
      <c r="Q142" s="289"/>
    </row>
    <row r="143" spans="2:31" ht="13.5" customHeight="1" x14ac:dyDescent="0.3">
      <c r="D143" s="304"/>
      <c r="E143" s="319"/>
      <c r="F143" s="319"/>
      <c r="G143" s="319"/>
      <c r="H143" s="289"/>
      <c r="I143" s="304"/>
      <c r="J143" s="320"/>
      <c r="K143" s="321"/>
      <c r="L143" s="289"/>
      <c r="M143" s="289"/>
      <c r="N143" s="289"/>
      <c r="O143" s="289"/>
      <c r="P143" s="289"/>
      <c r="Q143" s="289"/>
      <c r="U143" s="294"/>
    </row>
    <row r="144" spans="2:31" ht="13.5" customHeight="1" x14ac:dyDescent="0.3">
      <c r="D144" s="309"/>
      <c r="E144" s="319"/>
      <c r="F144" s="319"/>
      <c r="G144" s="319"/>
      <c r="H144" s="289"/>
      <c r="I144" s="309"/>
      <c r="J144" s="309"/>
      <c r="K144" s="289"/>
      <c r="L144" s="289"/>
      <c r="M144" s="289"/>
      <c r="N144" s="289"/>
      <c r="O144" s="289"/>
      <c r="P144" s="289"/>
      <c r="Q144" s="289"/>
      <c r="U144" s="36"/>
    </row>
    <row r="145" spans="4:30" ht="13.5" customHeight="1" x14ac:dyDescent="0.25">
      <c r="D145" s="289"/>
      <c r="E145" s="319"/>
      <c r="F145" s="319"/>
      <c r="G145" s="319"/>
      <c r="H145" s="289"/>
      <c r="I145" s="289"/>
      <c r="J145" s="314"/>
      <c r="K145" s="314"/>
      <c r="L145" s="314"/>
      <c r="M145" s="314"/>
      <c r="N145" s="314"/>
      <c r="O145" s="314"/>
      <c r="P145" s="314"/>
      <c r="Q145" s="314"/>
      <c r="R145" s="235"/>
      <c r="S145" s="235"/>
      <c r="T145" s="59"/>
      <c r="U145" s="235"/>
      <c r="V145" s="235"/>
      <c r="W145" s="235"/>
      <c r="X145" s="235"/>
      <c r="Y145" s="235"/>
      <c r="Z145" s="235"/>
      <c r="AA145" s="235"/>
      <c r="AB145" s="235"/>
      <c r="AC145" s="235"/>
    </row>
    <row r="146" spans="4:30" ht="13.5" customHeight="1" x14ac:dyDescent="0.3">
      <c r="D146" s="304"/>
      <c r="E146" s="322"/>
      <c r="F146" s="322"/>
      <c r="G146" s="322"/>
      <c r="H146" s="289"/>
      <c r="I146" s="323"/>
      <c r="J146" s="315"/>
      <c r="K146" s="315"/>
      <c r="L146" s="315"/>
      <c r="M146" s="315"/>
      <c r="N146" s="315"/>
      <c r="O146" s="315"/>
      <c r="P146" s="315"/>
      <c r="Q146" s="315"/>
      <c r="R146" s="245"/>
      <c r="S146" s="245"/>
      <c r="T146" s="246"/>
      <c r="U146" s="244"/>
      <c r="V146" s="244"/>
      <c r="W146" s="244"/>
      <c r="X146" s="244"/>
      <c r="Y146" s="244"/>
      <c r="Z146" s="244"/>
      <c r="AA146" s="244"/>
      <c r="AB146" s="244"/>
      <c r="AC146" s="244"/>
      <c r="AD146" s="248"/>
    </row>
    <row r="147" spans="4:30" ht="13.5" customHeight="1" x14ac:dyDescent="0.25">
      <c r="D147" s="289"/>
      <c r="E147" s="324"/>
      <c r="F147" s="324"/>
      <c r="G147" s="324"/>
      <c r="H147" s="289"/>
      <c r="I147" s="325"/>
      <c r="J147" s="326"/>
      <c r="K147" s="326"/>
      <c r="L147" s="326"/>
      <c r="M147" s="326"/>
      <c r="N147" s="326"/>
      <c r="O147" s="326"/>
      <c r="P147" s="326"/>
      <c r="Q147" s="326"/>
      <c r="R147" s="269"/>
      <c r="S147" s="249"/>
      <c r="T147" s="224"/>
      <c r="U147" s="271"/>
      <c r="V147" s="271"/>
      <c r="W147" s="271"/>
      <c r="X147" s="271"/>
      <c r="Y147" s="271"/>
      <c r="Z147" s="271"/>
      <c r="AA147" s="271"/>
      <c r="AB147" s="271"/>
      <c r="AC147" s="271"/>
    </row>
    <row r="148" spans="4:30" ht="13.5" customHeight="1" x14ac:dyDescent="0.25">
      <c r="D148" s="289"/>
      <c r="E148" s="324"/>
      <c r="F148" s="324"/>
      <c r="G148" s="324"/>
      <c r="H148" s="289"/>
      <c r="I148" s="325"/>
      <c r="J148" s="326"/>
      <c r="K148" s="326"/>
      <c r="L148" s="326"/>
      <c r="M148" s="326"/>
      <c r="N148" s="326"/>
      <c r="O148" s="326"/>
      <c r="P148" s="326"/>
      <c r="Q148" s="326"/>
      <c r="R148" s="269"/>
      <c r="S148" s="249"/>
      <c r="T148" s="224"/>
      <c r="U148" s="271"/>
      <c r="V148" s="271"/>
      <c r="W148" s="271"/>
      <c r="X148" s="271"/>
      <c r="Y148" s="271"/>
      <c r="Z148" s="271"/>
      <c r="AA148" s="271"/>
      <c r="AB148" s="271"/>
      <c r="AC148" s="271"/>
    </row>
    <row r="149" spans="4:30" ht="13.5" customHeight="1" x14ac:dyDescent="0.25">
      <c r="D149" s="289"/>
      <c r="E149" s="324"/>
      <c r="F149" s="324"/>
      <c r="G149" s="324"/>
      <c r="H149" s="289"/>
      <c r="I149" s="325"/>
      <c r="J149" s="326"/>
      <c r="K149" s="326"/>
      <c r="L149" s="326"/>
      <c r="M149" s="326"/>
      <c r="N149" s="326"/>
      <c r="O149" s="326"/>
      <c r="P149" s="326"/>
      <c r="Q149" s="326"/>
      <c r="R149" s="269"/>
      <c r="S149" s="249"/>
      <c r="T149" s="224"/>
      <c r="U149" s="271"/>
      <c r="V149" s="271"/>
      <c r="W149" s="271"/>
      <c r="X149" s="271"/>
      <c r="Y149" s="271"/>
      <c r="Z149" s="271"/>
      <c r="AA149" s="271"/>
      <c r="AB149" s="271"/>
      <c r="AC149" s="271"/>
    </row>
    <row r="150" spans="4:30" ht="13.5" customHeight="1" x14ac:dyDescent="0.25">
      <c r="D150" s="289"/>
      <c r="E150" s="324"/>
      <c r="F150" s="324"/>
      <c r="G150" s="324"/>
      <c r="H150" s="289"/>
      <c r="I150" s="325"/>
      <c r="J150" s="326"/>
      <c r="K150" s="326"/>
      <c r="L150" s="326"/>
      <c r="M150" s="326"/>
      <c r="N150" s="326"/>
      <c r="O150" s="326"/>
      <c r="P150" s="326"/>
      <c r="Q150" s="326"/>
      <c r="R150" s="269"/>
      <c r="S150" s="249"/>
      <c r="T150" s="224"/>
      <c r="U150" s="271"/>
      <c r="V150" s="271"/>
      <c r="W150" s="271"/>
      <c r="X150" s="271"/>
      <c r="Y150" s="271"/>
      <c r="Z150" s="271"/>
      <c r="AA150" s="271"/>
      <c r="AB150" s="271"/>
      <c r="AC150" s="271"/>
    </row>
    <row r="151" spans="4:30" ht="13.5" customHeight="1" x14ac:dyDescent="0.25">
      <c r="D151" s="289"/>
      <c r="E151" s="324"/>
      <c r="F151" s="324"/>
      <c r="G151" s="324"/>
      <c r="H151" s="289"/>
      <c r="I151" s="325"/>
      <c r="J151" s="326"/>
      <c r="K151" s="326"/>
      <c r="L151" s="326"/>
      <c r="M151" s="326"/>
      <c r="N151" s="326"/>
      <c r="O151" s="326"/>
      <c r="P151" s="326"/>
      <c r="Q151" s="326"/>
      <c r="R151" s="269"/>
      <c r="S151" s="249"/>
      <c r="T151" s="224"/>
      <c r="U151" s="271"/>
      <c r="V151" s="271"/>
      <c r="W151" s="271"/>
      <c r="X151" s="271"/>
      <c r="Y151" s="271"/>
      <c r="Z151" s="271"/>
      <c r="AA151" s="271"/>
      <c r="AB151" s="271"/>
      <c r="AC151" s="271"/>
    </row>
    <row r="152" spans="4:30" ht="13.5" customHeight="1" x14ac:dyDescent="0.25">
      <c r="D152" s="289"/>
      <c r="E152" s="324"/>
      <c r="F152" s="324"/>
      <c r="G152" s="324"/>
      <c r="H152" s="289"/>
      <c r="I152" s="325"/>
      <c r="J152" s="326"/>
      <c r="K152" s="326"/>
      <c r="L152" s="326"/>
      <c r="M152" s="326"/>
      <c r="N152" s="326"/>
      <c r="O152" s="326"/>
      <c r="P152" s="326"/>
      <c r="Q152" s="326"/>
      <c r="R152" s="269"/>
      <c r="S152" s="249"/>
      <c r="T152" s="224"/>
      <c r="U152" s="271"/>
      <c r="V152" s="271"/>
      <c r="W152" s="271"/>
      <c r="X152" s="271"/>
      <c r="Y152" s="271"/>
      <c r="Z152" s="271"/>
      <c r="AA152" s="271"/>
      <c r="AB152" s="271"/>
      <c r="AC152" s="271"/>
    </row>
    <row r="153" spans="4:30" ht="13.5" customHeight="1" x14ac:dyDescent="0.25">
      <c r="D153" s="289"/>
      <c r="E153" s="324"/>
      <c r="F153" s="324"/>
      <c r="G153" s="324"/>
      <c r="H153" s="289"/>
      <c r="I153" s="325"/>
      <c r="J153" s="326"/>
      <c r="K153" s="326"/>
      <c r="L153" s="326"/>
      <c r="M153" s="326"/>
      <c r="N153" s="326"/>
      <c r="O153" s="326"/>
      <c r="P153" s="326"/>
      <c r="Q153" s="326"/>
      <c r="R153" s="269"/>
      <c r="S153" s="249"/>
      <c r="T153" s="224"/>
      <c r="U153" s="271"/>
      <c r="V153" s="271"/>
      <c r="W153" s="271"/>
      <c r="X153" s="271"/>
      <c r="Y153" s="271"/>
      <c r="Z153" s="271"/>
      <c r="AA153" s="271"/>
      <c r="AB153" s="271"/>
      <c r="AC153" s="271"/>
    </row>
    <row r="154" spans="4:30" ht="13.5" customHeight="1" x14ac:dyDescent="0.25">
      <c r="D154" s="289"/>
      <c r="E154" s="324"/>
      <c r="F154" s="324"/>
      <c r="G154" s="324"/>
      <c r="H154" s="289"/>
      <c r="I154" s="325"/>
      <c r="J154" s="326"/>
      <c r="K154" s="326"/>
      <c r="L154" s="326"/>
      <c r="M154" s="326"/>
      <c r="N154" s="326"/>
      <c r="O154" s="326"/>
      <c r="P154" s="326"/>
      <c r="Q154" s="326"/>
      <c r="R154" s="269"/>
      <c r="S154" s="249"/>
      <c r="T154" s="224"/>
      <c r="U154" s="271"/>
      <c r="V154" s="271"/>
      <c r="W154" s="271"/>
      <c r="X154" s="271"/>
      <c r="Y154" s="271"/>
      <c r="Z154" s="271"/>
      <c r="AA154" s="271"/>
      <c r="AB154" s="271"/>
      <c r="AC154" s="271"/>
    </row>
    <row r="155" spans="4:30" ht="13.5" customHeight="1" x14ac:dyDescent="0.25">
      <c r="D155" s="289"/>
      <c r="E155" s="324"/>
      <c r="F155" s="324"/>
      <c r="G155" s="324"/>
      <c r="H155" s="289"/>
      <c r="I155" s="325"/>
      <c r="J155" s="326"/>
      <c r="K155" s="326"/>
      <c r="L155" s="326"/>
      <c r="M155" s="326"/>
      <c r="N155" s="326"/>
      <c r="O155" s="326"/>
      <c r="P155" s="326"/>
      <c r="Q155" s="326"/>
      <c r="R155" s="269"/>
      <c r="S155" s="249"/>
      <c r="T155" s="224"/>
      <c r="U155" s="271"/>
      <c r="V155" s="271"/>
      <c r="W155" s="271"/>
      <c r="X155" s="271"/>
      <c r="Y155" s="271"/>
      <c r="Z155" s="271"/>
      <c r="AA155" s="271"/>
      <c r="AB155" s="271"/>
      <c r="AC155" s="271"/>
    </row>
    <row r="156" spans="4:30" ht="13.5" customHeight="1" x14ac:dyDescent="0.25">
      <c r="D156" s="289"/>
      <c r="E156" s="324"/>
      <c r="F156" s="324"/>
      <c r="G156" s="324"/>
      <c r="H156" s="289"/>
      <c r="I156" s="325"/>
      <c r="J156" s="326"/>
      <c r="K156" s="326"/>
      <c r="L156" s="326"/>
      <c r="M156" s="326"/>
      <c r="N156" s="326"/>
      <c r="O156" s="326"/>
      <c r="P156" s="326"/>
      <c r="Q156" s="326"/>
      <c r="R156" s="269"/>
      <c r="S156" s="249"/>
      <c r="T156" s="224"/>
      <c r="U156" s="271"/>
      <c r="V156" s="271"/>
      <c r="W156" s="271"/>
      <c r="X156" s="271"/>
      <c r="Y156" s="271"/>
      <c r="Z156" s="271"/>
      <c r="AA156" s="271"/>
      <c r="AB156" s="271"/>
      <c r="AC156" s="271"/>
    </row>
    <row r="157" spans="4:30" ht="13.5" customHeight="1" x14ac:dyDescent="0.25">
      <c r="D157" s="289"/>
      <c r="E157" s="324"/>
      <c r="F157" s="324"/>
      <c r="G157" s="324"/>
      <c r="H157" s="289"/>
      <c r="I157" s="325"/>
      <c r="J157" s="326"/>
      <c r="K157" s="326"/>
      <c r="L157" s="326"/>
      <c r="M157" s="326"/>
      <c r="N157" s="326"/>
      <c r="O157" s="326"/>
      <c r="P157" s="326"/>
      <c r="Q157" s="326"/>
      <c r="R157" s="269"/>
      <c r="S157" s="249"/>
      <c r="T157" s="224"/>
      <c r="U157" s="271"/>
      <c r="V157" s="271"/>
      <c r="W157" s="271"/>
      <c r="X157" s="271"/>
      <c r="Y157" s="271"/>
      <c r="Z157" s="271"/>
      <c r="AA157" s="271"/>
      <c r="AB157" s="271"/>
      <c r="AC157" s="271"/>
    </row>
    <row r="158" spans="4:30" ht="13.5" customHeight="1" x14ac:dyDescent="0.25">
      <c r="D158" s="289"/>
      <c r="E158" s="324"/>
      <c r="F158" s="324"/>
      <c r="G158" s="324"/>
      <c r="H158" s="289"/>
      <c r="I158" s="325"/>
      <c r="J158" s="326"/>
      <c r="K158" s="326"/>
      <c r="L158" s="326"/>
      <c r="M158" s="326"/>
      <c r="N158" s="326"/>
      <c r="O158" s="326"/>
      <c r="P158" s="326"/>
      <c r="Q158" s="326"/>
      <c r="R158" s="269"/>
      <c r="S158" s="249"/>
      <c r="T158" s="224"/>
      <c r="U158" s="271"/>
      <c r="V158" s="271"/>
      <c r="W158" s="271"/>
      <c r="X158" s="271"/>
      <c r="Y158" s="271"/>
      <c r="Z158" s="271"/>
      <c r="AA158" s="271"/>
      <c r="AB158" s="271"/>
      <c r="AC158" s="271"/>
    </row>
    <row r="159" spans="4:30" ht="13.5" customHeight="1" x14ac:dyDescent="0.25">
      <c r="D159" s="289"/>
      <c r="E159" s="324"/>
      <c r="F159" s="324"/>
      <c r="G159" s="324"/>
      <c r="H159" s="289"/>
      <c r="I159" s="325"/>
      <c r="J159" s="326"/>
      <c r="K159" s="326"/>
      <c r="L159" s="326"/>
      <c r="M159" s="326"/>
      <c r="N159" s="326"/>
      <c r="O159" s="326"/>
      <c r="P159" s="326"/>
      <c r="Q159" s="326"/>
      <c r="R159" s="269"/>
      <c r="S159" s="249"/>
      <c r="T159" s="224"/>
      <c r="U159" s="271"/>
      <c r="V159" s="271"/>
      <c r="W159" s="271"/>
      <c r="X159" s="271"/>
      <c r="Y159" s="271"/>
      <c r="Z159" s="271"/>
      <c r="AA159" s="271"/>
      <c r="AB159" s="271"/>
      <c r="AC159" s="271"/>
    </row>
    <row r="160" spans="4:30" ht="13.5" customHeight="1" x14ac:dyDescent="0.25">
      <c r="D160" s="289"/>
      <c r="E160" s="324"/>
      <c r="F160" s="324"/>
      <c r="G160" s="324"/>
      <c r="H160" s="289"/>
      <c r="I160" s="325"/>
      <c r="J160" s="326"/>
      <c r="K160" s="326"/>
      <c r="L160" s="326"/>
      <c r="M160" s="326"/>
      <c r="N160" s="326"/>
      <c r="O160" s="326"/>
      <c r="P160" s="326"/>
      <c r="Q160" s="326"/>
      <c r="R160" s="269"/>
      <c r="S160" s="249"/>
      <c r="T160" s="224"/>
      <c r="U160" s="271"/>
      <c r="V160" s="271"/>
      <c r="W160" s="271"/>
      <c r="X160" s="271"/>
      <c r="Y160" s="271"/>
      <c r="Z160" s="271"/>
      <c r="AA160" s="271"/>
      <c r="AB160" s="271"/>
      <c r="AC160" s="271"/>
    </row>
    <row r="161" spans="4:29" ht="13.5" customHeight="1" x14ac:dyDescent="0.25">
      <c r="D161" s="289"/>
      <c r="E161" s="324"/>
      <c r="F161" s="324"/>
      <c r="G161" s="324"/>
      <c r="H161" s="289"/>
      <c r="I161" s="325"/>
      <c r="J161" s="326"/>
      <c r="K161" s="326"/>
      <c r="L161" s="326"/>
      <c r="M161" s="326"/>
      <c r="N161" s="326"/>
      <c r="O161" s="326"/>
      <c r="P161" s="326"/>
      <c r="Q161" s="326"/>
      <c r="R161" s="269"/>
      <c r="S161" s="249"/>
      <c r="T161" s="224"/>
      <c r="U161" s="271"/>
      <c r="V161" s="271"/>
      <c r="W161" s="271"/>
      <c r="X161" s="271"/>
      <c r="Y161" s="271"/>
      <c r="Z161" s="271"/>
      <c r="AA161" s="271"/>
      <c r="AB161" s="271"/>
      <c r="AC161" s="271"/>
    </row>
    <row r="162" spans="4:29" ht="13.5" customHeight="1" x14ac:dyDescent="0.25">
      <c r="D162" s="289"/>
      <c r="E162" s="324"/>
      <c r="F162" s="324"/>
      <c r="G162" s="324"/>
      <c r="H162" s="289"/>
      <c r="I162" s="325"/>
      <c r="J162" s="326"/>
      <c r="K162" s="326"/>
      <c r="L162" s="326"/>
      <c r="M162" s="326"/>
      <c r="N162" s="326"/>
      <c r="O162" s="326"/>
      <c r="P162" s="326"/>
      <c r="Q162" s="326"/>
      <c r="R162" s="269"/>
      <c r="S162" s="249"/>
      <c r="T162" s="224"/>
      <c r="U162" s="271"/>
      <c r="V162" s="271"/>
      <c r="W162" s="271"/>
      <c r="X162" s="271"/>
      <c r="Y162" s="271"/>
      <c r="Z162" s="271"/>
      <c r="AA162" s="271"/>
      <c r="AB162" s="271"/>
      <c r="AC162" s="271"/>
    </row>
    <row r="163" spans="4:29" ht="13.5" customHeight="1" x14ac:dyDescent="0.25">
      <c r="D163" s="289"/>
      <c r="E163" s="324"/>
      <c r="F163" s="324"/>
      <c r="G163" s="324"/>
      <c r="H163" s="289"/>
      <c r="I163" s="325"/>
      <c r="J163" s="326"/>
      <c r="K163" s="326"/>
      <c r="L163" s="326"/>
      <c r="M163" s="326"/>
      <c r="N163" s="326"/>
      <c r="O163" s="326"/>
      <c r="P163" s="326"/>
      <c r="Q163" s="326"/>
      <c r="R163" s="269"/>
      <c r="S163" s="249"/>
      <c r="T163" s="224"/>
      <c r="U163" s="271"/>
      <c r="V163" s="271"/>
      <c r="W163" s="271"/>
      <c r="X163" s="271"/>
      <c r="Y163" s="271"/>
      <c r="Z163" s="271"/>
      <c r="AA163" s="271"/>
      <c r="AB163" s="271"/>
      <c r="AC163" s="271"/>
    </row>
    <row r="164" spans="4:29" ht="13.5" customHeight="1" x14ac:dyDescent="0.25">
      <c r="D164" s="289"/>
      <c r="E164" s="324"/>
      <c r="F164" s="324"/>
      <c r="G164" s="324"/>
      <c r="H164" s="289"/>
      <c r="I164" s="325"/>
      <c r="J164" s="326"/>
      <c r="K164" s="326"/>
      <c r="L164" s="326"/>
      <c r="M164" s="326"/>
      <c r="N164" s="326"/>
      <c r="O164" s="326"/>
      <c r="P164" s="326"/>
      <c r="Q164" s="326"/>
      <c r="R164" s="269"/>
      <c r="S164" s="249"/>
      <c r="T164" s="224"/>
      <c r="U164" s="271"/>
      <c r="V164" s="271"/>
      <c r="W164" s="271"/>
      <c r="X164" s="271"/>
      <c r="Y164" s="271"/>
      <c r="Z164" s="271"/>
      <c r="AA164" s="271"/>
      <c r="AB164" s="271"/>
      <c r="AC164" s="271"/>
    </row>
    <row r="165" spans="4:29" ht="13.5" customHeight="1" x14ac:dyDescent="0.25">
      <c r="D165" s="289"/>
      <c r="E165" s="324"/>
      <c r="F165" s="324"/>
      <c r="G165" s="324"/>
      <c r="H165" s="289"/>
      <c r="I165" s="325"/>
      <c r="J165" s="326"/>
      <c r="K165" s="326"/>
      <c r="L165" s="326"/>
      <c r="M165" s="326"/>
      <c r="N165" s="326"/>
      <c r="O165" s="326"/>
      <c r="P165" s="326"/>
      <c r="Q165" s="326"/>
      <c r="R165" s="269"/>
      <c r="S165" s="249"/>
      <c r="T165" s="221"/>
      <c r="U165" s="271"/>
      <c r="V165" s="271"/>
      <c r="W165" s="271"/>
      <c r="X165" s="271"/>
      <c r="Y165" s="271"/>
      <c r="Z165" s="271"/>
      <c r="AA165" s="271"/>
      <c r="AB165" s="271"/>
      <c r="AC165" s="271"/>
    </row>
    <row r="166" spans="4:29" ht="13.5" customHeight="1" x14ac:dyDescent="0.25">
      <c r="D166" s="289"/>
      <c r="E166" s="324"/>
      <c r="F166" s="324"/>
      <c r="G166" s="324"/>
      <c r="H166" s="289"/>
      <c r="I166" s="325"/>
      <c r="J166" s="326"/>
      <c r="K166" s="326"/>
      <c r="L166" s="326"/>
      <c r="M166" s="326"/>
      <c r="N166" s="326"/>
      <c r="O166" s="326"/>
      <c r="P166" s="326"/>
      <c r="Q166" s="326"/>
      <c r="R166" s="269"/>
      <c r="S166" s="249"/>
      <c r="T166" s="221"/>
      <c r="U166" s="271"/>
      <c r="V166" s="271"/>
      <c r="W166" s="271"/>
      <c r="X166" s="271"/>
      <c r="Y166" s="271"/>
      <c r="Z166" s="271"/>
      <c r="AA166" s="271"/>
      <c r="AB166" s="271"/>
      <c r="AC166" s="271"/>
    </row>
    <row r="167" spans="4:29" ht="13.5" customHeight="1" x14ac:dyDescent="0.25">
      <c r="D167" s="289"/>
      <c r="E167" s="324"/>
      <c r="F167" s="324"/>
      <c r="G167" s="324"/>
      <c r="H167" s="289"/>
      <c r="I167" s="325"/>
      <c r="J167" s="326"/>
      <c r="K167" s="326"/>
      <c r="L167" s="326"/>
      <c r="M167" s="326"/>
      <c r="N167" s="326"/>
      <c r="O167" s="326"/>
      <c r="P167" s="326"/>
      <c r="Q167" s="326"/>
      <c r="R167" s="269"/>
      <c r="S167" s="249"/>
      <c r="T167" s="221"/>
      <c r="U167" s="271"/>
      <c r="V167" s="271"/>
      <c r="W167" s="271"/>
      <c r="X167" s="271"/>
      <c r="Y167" s="271"/>
      <c r="Z167" s="271"/>
      <c r="AA167" s="271"/>
      <c r="AB167" s="271"/>
      <c r="AC167" s="271"/>
    </row>
    <row r="168" spans="4:29" ht="13.5" customHeight="1" x14ac:dyDescent="0.25">
      <c r="D168" s="289"/>
      <c r="E168" s="324"/>
      <c r="F168" s="324"/>
      <c r="G168" s="324"/>
      <c r="H168" s="289"/>
      <c r="I168" s="325"/>
      <c r="J168" s="326"/>
      <c r="K168" s="326"/>
      <c r="L168" s="326"/>
      <c r="M168" s="326"/>
      <c r="N168" s="326"/>
      <c r="O168" s="326"/>
      <c r="P168" s="326"/>
      <c r="Q168" s="326"/>
      <c r="R168" s="269"/>
      <c r="S168" s="249"/>
      <c r="T168" s="221"/>
      <c r="U168" s="271"/>
      <c r="V168" s="271"/>
      <c r="W168" s="271"/>
      <c r="X168" s="271"/>
      <c r="Y168" s="271"/>
      <c r="Z168" s="271"/>
      <c r="AA168" s="271"/>
      <c r="AB168" s="271"/>
      <c r="AC168" s="271"/>
    </row>
    <row r="169" spans="4:29" ht="13.5" customHeight="1" x14ac:dyDescent="0.25">
      <c r="D169" s="289"/>
      <c r="E169" s="324"/>
      <c r="F169" s="324"/>
      <c r="G169" s="324"/>
      <c r="H169" s="289"/>
      <c r="I169" s="325"/>
      <c r="J169" s="326"/>
      <c r="K169" s="326"/>
      <c r="L169" s="326"/>
      <c r="M169" s="326"/>
      <c r="N169" s="326"/>
      <c r="O169" s="326"/>
      <c r="P169" s="326"/>
      <c r="Q169" s="326"/>
      <c r="R169" s="269"/>
      <c r="S169" s="249"/>
      <c r="T169" s="221"/>
      <c r="U169" s="271"/>
      <c r="V169" s="271"/>
      <c r="W169" s="271"/>
      <c r="X169" s="271"/>
      <c r="Y169" s="271"/>
      <c r="Z169" s="271"/>
      <c r="AA169" s="271"/>
      <c r="AB169" s="271"/>
      <c r="AC169" s="271"/>
    </row>
    <row r="170" spans="4:29" ht="13.5" customHeight="1" x14ac:dyDescent="0.25">
      <c r="D170" s="289"/>
      <c r="E170" s="324"/>
      <c r="F170" s="324"/>
      <c r="G170" s="324"/>
      <c r="H170" s="289"/>
      <c r="I170" s="325"/>
      <c r="J170" s="326"/>
      <c r="K170" s="326"/>
      <c r="L170" s="326"/>
      <c r="M170" s="326"/>
      <c r="N170" s="326"/>
      <c r="O170" s="326"/>
      <c r="P170" s="326"/>
      <c r="Q170" s="326"/>
      <c r="R170" s="269"/>
      <c r="S170" s="249"/>
      <c r="T170" s="221"/>
      <c r="U170" s="271"/>
      <c r="V170" s="271"/>
      <c r="W170" s="271"/>
      <c r="X170" s="271"/>
      <c r="Y170" s="271"/>
      <c r="Z170" s="271"/>
      <c r="AA170" s="271"/>
      <c r="AB170" s="271"/>
      <c r="AC170" s="271"/>
    </row>
    <row r="171" spans="4:29" ht="13.5" customHeight="1" x14ac:dyDescent="0.25">
      <c r="D171" s="289"/>
      <c r="E171" s="324"/>
      <c r="F171" s="324"/>
      <c r="G171" s="324"/>
      <c r="H171" s="289"/>
      <c r="I171" s="325"/>
      <c r="J171" s="326"/>
      <c r="K171" s="326"/>
      <c r="L171" s="326"/>
      <c r="M171" s="326"/>
      <c r="N171" s="326"/>
      <c r="O171" s="326"/>
      <c r="P171" s="326"/>
      <c r="Q171" s="326"/>
      <c r="R171" s="269"/>
      <c r="S171" s="249"/>
      <c r="T171" s="221"/>
      <c r="U171" s="271"/>
      <c r="V171" s="271"/>
      <c r="W171" s="271"/>
      <c r="X171" s="271"/>
      <c r="Y171" s="271"/>
      <c r="Z171" s="271"/>
      <c r="AA171" s="271"/>
      <c r="AB171" s="271"/>
      <c r="AC171" s="271"/>
    </row>
    <row r="172" spans="4:29" ht="13.5" customHeight="1" x14ac:dyDescent="0.25">
      <c r="D172" s="289"/>
      <c r="E172" s="324"/>
      <c r="F172" s="324"/>
      <c r="G172" s="324"/>
      <c r="H172" s="289"/>
      <c r="I172" s="325"/>
      <c r="J172" s="326"/>
      <c r="K172" s="326"/>
      <c r="L172" s="326"/>
      <c r="M172" s="326"/>
      <c r="N172" s="326"/>
      <c r="O172" s="326"/>
      <c r="P172" s="326"/>
      <c r="Q172" s="326"/>
      <c r="R172" s="269"/>
      <c r="S172" s="249"/>
      <c r="T172" s="221"/>
      <c r="U172" s="271"/>
      <c r="V172" s="271"/>
      <c r="W172" s="271"/>
      <c r="X172" s="271"/>
      <c r="Y172" s="271"/>
      <c r="Z172" s="271"/>
      <c r="AA172" s="271"/>
      <c r="AB172" s="271"/>
      <c r="AC172" s="271"/>
    </row>
    <row r="173" spans="4:29" ht="13.5" customHeight="1" x14ac:dyDescent="0.25">
      <c r="D173" s="289"/>
      <c r="E173" s="324"/>
      <c r="F173" s="324"/>
      <c r="G173" s="324"/>
      <c r="H173" s="289"/>
      <c r="I173" s="325"/>
      <c r="J173" s="326"/>
      <c r="K173" s="326"/>
      <c r="L173" s="326"/>
      <c r="M173" s="326"/>
      <c r="N173" s="326"/>
      <c r="O173" s="326"/>
      <c r="P173" s="326"/>
      <c r="Q173" s="326"/>
      <c r="R173" s="269"/>
      <c r="S173" s="249"/>
      <c r="T173" s="221"/>
      <c r="U173" s="271"/>
      <c r="V173" s="271"/>
      <c r="W173" s="271"/>
      <c r="X173" s="271"/>
      <c r="Y173" s="271"/>
      <c r="Z173" s="271"/>
      <c r="AA173" s="271"/>
      <c r="AB173" s="271"/>
      <c r="AC173" s="271"/>
    </row>
    <row r="174" spans="4:29" ht="13.5" customHeight="1" x14ac:dyDescent="0.25">
      <c r="D174" s="289"/>
      <c r="E174" s="324"/>
      <c r="F174" s="324"/>
      <c r="G174" s="324"/>
      <c r="H174" s="289"/>
      <c r="I174" s="325"/>
      <c r="J174" s="326"/>
      <c r="K174" s="326"/>
      <c r="L174" s="326"/>
      <c r="M174" s="326"/>
      <c r="N174" s="326"/>
      <c r="O174" s="326"/>
      <c r="P174" s="326"/>
      <c r="Q174" s="326"/>
      <c r="R174" s="269"/>
      <c r="S174" s="249"/>
      <c r="T174" s="221"/>
      <c r="U174" s="271"/>
      <c r="V174" s="271"/>
      <c r="W174" s="271"/>
      <c r="X174" s="271"/>
      <c r="Y174" s="271"/>
      <c r="Z174" s="271"/>
      <c r="AA174" s="271"/>
      <c r="AB174" s="271"/>
      <c r="AC174" s="271"/>
    </row>
    <row r="175" spans="4:29" ht="13.5" customHeight="1" x14ac:dyDescent="0.25">
      <c r="D175" s="289"/>
      <c r="E175" s="324"/>
      <c r="F175" s="324"/>
      <c r="G175" s="324"/>
      <c r="H175" s="289"/>
      <c r="I175" s="325"/>
      <c r="J175" s="326"/>
      <c r="K175" s="326"/>
      <c r="L175" s="326"/>
      <c r="M175" s="326"/>
      <c r="N175" s="326"/>
      <c r="O175" s="326"/>
      <c r="P175" s="326"/>
      <c r="Q175" s="326"/>
      <c r="R175" s="269"/>
      <c r="S175" s="249"/>
      <c r="T175" s="221"/>
      <c r="U175" s="271"/>
      <c r="V175" s="271"/>
      <c r="W175" s="271"/>
      <c r="X175" s="271"/>
      <c r="Y175" s="271"/>
      <c r="Z175" s="271"/>
      <c r="AA175" s="271"/>
      <c r="AB175" s="271"/>
      <c r="AC175" s="271"/>
    </row>
    <row r="176" spans="4:29" ht="13.5" customHeight="1" x14ac:dyDescent="0.25">
      <c r="D176" s="289"/>
      <c r="E176" s="324"/>
      <c r="F176" s="324"/>
      <c r="G176" s="324"/>
      <c r="H176" s="289"/>
      <c r="I176" s="325"/>
      <c r="J176" s="326"/>
      <c r="K176" s="326"/>
      <c r="L176" s="326"/>
      <c r="M176" s="326"/>
      <c r="N176" s="326"/>
      <c r="O176" s="326"/>
      <c r="P176" s="326"/>
      <c r="Q176" s="326"/>
      <c r="R176" s="269"/>
      <c r="S176" s="249"/>
      <c r="T176" s="221"/>
      <c r="U176" s="271"/>
      <c r="V176" s="271"/>
      <c r="W176" s="271"/>
      <c r="X176" s="271"/>
      <c r="Y176" s="271"/>
      <c r="Z176" s="271"/>
      <c r="AA176" s="271"/>
      <c r="AB176" s="271"/>
      <c r="AC176" s="271"/>
    </row>
    <row r="177" spans="4:29" ht="13.5" customHeight="1" x14ac:dyDescent="0.25">
      <c r="D177" s="289"/>
      <c r="E177" s="324"/>
      <c r="F177" s="324"/>
      <c r="G177" s="324"/>
      <c r="H177" s="289"/>
      <c r="I177" s="325"/>
      <c r="J177" s="326"/>
      <c r="K177" s="326"/>
      <c r="L177" s="326"/>
      <c r="M177" s="326"/>
      <c r="N177" s="326"/>
      <c r="O177" s="326"/>
      <c r="P177" s="326"/>
      <c r="Q177" s="326"/>
      <c r="R177" s="269"/>
      <c r="S177" s="249"/>
      <c r="T177" s="221"/>
      <c r="U177" s="271"/>
      <c r="V177" s="271"/>
      <c r="W177" s="271"/>
      <c r="X177" s="271"/>
      <c r="Y177" s="271"/>
      <c r="Z177" s="271"/>
      <c r="AA177" s="271"/>
      <c r="AB177" s="271"/>
      <c r="AC177" s="271"/>
    </row>
    <row r="178" spans="4:29" ht="13.5" customHeight="1" x14ac:dyDescent="0.25">
      <c r="D178" s="289"/>
      <c r="E178" s="319"/>
      <c r="F178" s="319"/>
      <c r="G178" s="319"/>
      <c r="H178" s="289"/>
      <c r="I178" s="325"/>
      <c r="J178" s="325"/>
      <c r="K178" s="289"/>
      <c r="L178" s="289"/>
      <c r="M178" s="289"/>
      <c r="N178" s="289"/>
      <c r="O178" s="289"/>
      <c r="P178" s="289"/>
      <c r="Q178" s="289"/>
    </row>
    <row r="179" spans="4:29" ht="13.5" customHeight="1" thickBot="1" x14ac:dyDescent="0.3">
      <c r="D179" s="289"/>
      <c r="E179" s="319"/>
      <c r="F179" s="319"/>
      <c r="G179" s="319"/>
      <c r="H179" s="289"/>
      <c r="I179" s="325"/>
      <c r="J179" s="325"/>
      <c r="K179" s="289"/>
      <c r="L179" s="289"/>
      <c r="M179" s="289"/>
      <c r="N179" s="289"/>
      <c r="O179" s="289"/>
      <c r="P179" s="289"/>
      <c r="Q179" s="289"/>
      <c r="T179" s="59"/>
      <c r="U179" s="298"/>
      <c r="V179" s="298"/>
      <c r="W179" s="298"/>
      <c r="X179" s="298"/>
      <c r="Y179" s="298"/>
      <c r="Z179" s="298"/>
      <c r="AA179" s="298"/>
      <c r="AB179" s="298"/>
      <c r="AC179" s="298"/>
    </row>
    <row r="180" spans="4:29" ht="13.5" customHeight="1" thickTop="1" x14ac:dyDescent="0.25">
      <c r="D180" s="289"/>
      <c r="E180" s="289"/>
      <c r="F180" s="289"/>
      <c r="G180" s="289"/>
      <c r="H180" s="289"/>
      <c r="I180" s="289"/>
      <c r="J180" s="289"/>
      <c r="K180" s="289"/>
      <c r="L180" s="289"/>
      <c r="M180" s="289"/>
      <c r="N180" s="289"/>
      <c r="O180" s="325"/>
      <c r="P180" s="325"/>
      <c r="Q180" s="289"/>
    </row>
    <row r="181" spans="4:29" ht="13.5" customHeight="1" x14ac:dyDescent="0.3">
      <c r="D181" s="304"/>
      <c r="E181" s="322"/>
      <c r="F181" s="322"/>
      <c r="G181" s="322"/>
      <c r="H181" s="289"/>
      <c r="I181" s="325"/>
      <c r="J181" s="315"/>
      <c r="K181" s="315"/>
      <c r="L181" s="315"/>
      <c r="M181" s="315"/>
      <c r="N181" s="315"/>
      <c r="O181" s="315"/>
      <c r="P181" s="315"/>
      <c r="Q181" s="315"/>
      <c r="R181" s="245"/>
      <c r="S181" s="245"/>
      <c r="T181" s="246"/>
      <c r="U181" s="244"/>
      <c r="V181" s="244"/>
      <c r="W181" s="244"/>
      <c r="X181" s="244"/>
      <c r="Y181" s="244"/>
      <c r="Z181" s="244"/>
      <c r="AA181" s="244"/>
      <c r="AB181" s="244"/>
      <c r="AC181" s="244"/>
    </row>
    <row r="182" spans="4:29" ht="13.5" customHeight="1" x14ac:dyDescent="0.25">
      <c r="D182" s="289"/>
      <c r="E182" s="324"/>
      <c r="F182" s="324"/>
      <c r="G182" s="324"/>
      <c r="H182" s="289"/>
      <c r="I182" s="325"/>
      <c r="J182" s="326"/>
      <c r="K182" s="326"/>
      <c r="L182" s="326"/>
      <c r="M182" s="326"/>
      <c r="N182" s="326"/>
      <c r="O182" s="326"/>
      <c r="P182" s="326"/>
      <c r="Q182" s="326"/>
      <c r="R182" s="269"/>
      <c r="S182" s="249"/>
      <c r="T182" s="224"/>
      <c r="U182" s="271"/>
      <c r="V182" s="271"/>
      <c r="W182" s="271"/>
      <c r="X182" s="271"/>
      <c r="Y182" s="271"/>
      <c r="Z182" s="271"/>
      <c r="AA182" s="271"/>
      <c r="AB182" s="271"/>
      <c r="AC182" s="271"/>
    </row>
    <row r="183" spans="4:29" ht="13.5" customHeight="1" x14ac:dyDescent="0.25">
      <c r="D183" s="289"/>
      <c r="E183" s="324"/>
      <c r="F183" s="324"/>
      <c r="G183" s="324"/>
      <c r="H183" s="289"/>
      <c r="I183" s="325"/>
      <c r="J183" s="326"/>
      <c r="K183" s="326"/>
      <c r="L183" s="326"/>
      <c r="M183" s="326"/>
      <c r="N183" s="326"/>
      <c r="O183" s="326"/>
      <c r="P183" s="326"/>
      <c r="Q183" s="326"/>
      <c r="R183" s="269"/>
      <c r="S183" s="249"/>
      <c r="T183" s="224"/>
      <c r="U183" s="271"/>
      <c r="V183" s="271"/>
      <c r="W183" s="271"/>
      <c r="X183" s="271"/>
      <c r="Y183" s="271"/>
      <c r="Z183" s="271"/>
      <c r="AA183" s="271"/>
      <c r="AB183" s="271"/>
      <c r="AC183" s="271"/>
    </row>
    <row r="184" spans="4:29" ht="13.5" customHeight="1" x14ac:dyDescent="0.25">
      <c r="D184" s="289"/>
      <c r="E184" s="324"/>
      <c r="F184" s="324"/>
      <c r="G184" s="324"/>
      <c r="H184" s="289"/>
      <c r="I184" s="325"/>
      <c r="J184" s="326"/>
      <c r="K184" s="326"/>
      <c r="L184" s="326"/>
      <c r="M184" s="326"/>
      <c r="N184" s="326"/>
      <c r="O184" s="326"/>
      <c r="P184" s="326"/>
      <c r="Q184" s="326"/>
      <c r="R184" s="269"/>
      <c r="S184" s="249"/>
      <c r="T184" s="224"/>
      <c r="U184" s="271"/>
      <c r="V184" s="271"/>
      <c r="W184" s="271"/>
      <c r="X184" s="271"/>
      <c r="Y184" s="271"/>
      <c r="Z184" s="271"/>
      <c r="AA184" s="271"/>
      <c r="AB184" s="271"/>
      <c r="AC184" s="271"/>
    </row>
    <row r="185" spans="4:29" ht="13.5" customHeight="1" x14ac:dyDescent="0.25">
      <c r="D185" s="289"/>
      <c r="E185" s="324"/>
      <c r="F185" s="324"/>
      <c r="G185" s="324"/>
      <c r="H185" s="289"/>
      <c r="I185" s="325"/>
      <c r="J185" s="326"/>
      <c r="K185" s="326"/>
      <c r="L185" s="326"/>
      <c r="M185" s="326"/>
      <c r="N185" s="326"/>
      <c r="O185" s="326"/>
      <c r="P185" s="326"/>
      <c r="Q185" s="326"/>
      <c r="R185" s="269"/>
      <c r="S185" s="249"/>
      <c r="T185" s="224"/>
      <c r="U185" s="271"/>
      <c r="V185" s="271"/>
      <c r="W185" s="271"/>
      <c r="X185" s="271"/>
      <c r="Y185" s="271"/>
      <c r="Z185" s="271"/>
      <c r="AA185" s="271"/>
      <c r="AB185" s="271"/>
      <c r="AC185" s="271"/>
    </row>
    <row r="186" spans="4:29" ht="13.5" customHeight="1" x14ac:dyDescent="0.25">
      <c r="D186" s="289"/>
      <c r="E186" s="324"/>
      <c r="F186" s="324"/>
      <c r="G186" s="324"/>
      <c r="H186" s="289"/>
      <c r="I186" s="325"/>
      <c r="J186" s="326"/>
      <c r="K186" s="326"/>
      <c r="L186" s="326"/>
      <c r="M186" s="326"/>
      <c r="N186" s="326"/>
      <c r="O186" s="326"/>
      <c r="P186" s="326"/>
      <c r="Q186" s="326"/>
      <c r="R186" s="269"/>
      <c r="S186" s="249"/>
      <c r="T186" s="224"/>
      <c r="U186" s="271"/>
      <c r="V186" s="271"/>
      <c r="W186" s="271"/>
      <c r="X186" s="271"/>
      <c r="Y186" s="271"/>
      <c r="Z186" s="271"/>
      <c r="AA186" s="271"/>
      <c r="AB186" s="271"/>
      <c r="AC186" s="271"/>
    </row>
    <row r="187" spans="4:29" ht="13.5" customHeight="1" x14ac:dyDescent="0.25">
      <c r="D187" s="289"/>
      <c r="E187" s="324"/>
      <c r="F187" s="324"/>
      <c r="G187" s="324"/>
      <c r="H187" s="289"/>
      <c r="I187" s="325"/>
      <c r="J187" s="326"/>
      <c r="K187" s="326"/>
      <c r="L187" s="326"/>
      <c r="M187" s="326"/>
      <c r="N187" s="326"/>
      <c r="O187" s="326"/>
      <c r="P187" s="326"/>
      <c r="Q187" s="326"/>
      <c r="R187" s="269"/>
      <c r="S187" s="249"/>
      <c r="T187" s="224"/>
      <c r="U187" s="271"/>
      <c r="V187" s="271"/>
      <c r="W187" s="271"/>
      <c r="X187" s="271"/>
      <c r="Y187" s="271"/>
      <c r="Z187" s="271"/>
      <c r="AA187" s="271"/>
      <c r="AB187" s="271"/>
      <c r="AC187" s="271"/>
    </row>
    <row r="188" spans="4:29" ht="13.5" customHeight="1" x14ac:dyDescent="0.25">
      <c r="D188" s="289"/>
      <c r="E188" s="324"/>
      <c r="F188" s="324"/>
      <c r="G188" s="324"/>
      <c r="H188" s="289"/>
      <c r="I188" s="325"/>
      <c r="J188" s="326"/>
      <c r="K188" s="326"/>
      <c r="L188" s="326"/>
      <c r="M188" s="326"/>
      <c r="N188" s="326"/>
      <c r="O188" s="326"/>
      <c r="P188" s="326"/>
      <c r="Q188" s="326"/>
      <c r="R188" s="269"/>
      <c r="S188" s="249"/>
      <c r="T188" s="224"/>
      <c r="U188" s="271"/>
      <c r="V188" s="271"/>
      <c r="W188" s="271"/>
      <c r="X188" s="271"/>
      <c r="Y188" s="271"/>
      <c r="Z188" s="271"/>
      <c r="AA188" s="271"/>
      <c r="AB188" s="271"/>
      <c r="AC188" s="271"/>
    </row>
    <row r="189" spans="4:29" ht="13.5" customHeight="1" x14ac:dyDescent="0.25">
      <c r="D189" s="289"/>
      <c r="E189" s="324"/>
      <c r="F189" s="324"/>
      <c r="G189" s="324"/>
      <c r="H189" s="289"/>
      <c r="I189" s="325"/>
      <c r="J189" s="326"/>
      <c r="K189" s="326"/>
      <c r="L189" s="326"/>
      <c r="M189" s="326"/>
      <c r="N189" s="326"/>
      <c r="O189" s="326"/>
      <c r="P189" s="326"/>
      <c r="Q189" s="326"/>
      <c r="R189" s="269"/>
      <c r="S189" s="249"/>
      <c r="T189" s="224"/>
      <c r="U189" s="271"/>
      <c r="V189" s="271"/>
      <c r="W189" s="271"/>
      <c r="X189" s="271"/>
      <c r="Y189" s="271"/>
      <c r="Z189" s="271"/>
      <c r="AA189" s="271"/>
      <c r="AB189" s="271"/>
      <c r="AC189" s="271"/>
    </row>
    <row r="190" spans="4:29" ht="13.5" customHeight="1" x14ac:dyDescent="0.25">
      <c r="D190" s="289"/>
      <c r="E190" s="324"/>
      <c r="F190" s="324"/>
      <c r="G190" s="324"/>
      <c r="H190" s="289"/>
      <c r="I190" s="325"/>
      <c r="J190" s="326"/>
      <c r="K190" s="326"/>
      <c r="L190" s="326"/>
      <c r="M190" s="326"/>
      <c r="N190" s="326"/>
      <c r="O190" s="326"/>
      <c r="P190" s="326"/>
      <c r="Q190" s="326"/>
      <c r="R190" s="269"/>
      <c r="S190" s="249"/>
      <c r="T190" s="224"/>
      <c r="U190" s="271"/>
      <c r="V190" s="271"/>
      <c r="W190" s="271"/>
      <c r="X190" s="271"/>
      <c r="Y190" s="271"/>
      <c r="Z190" s="271"/>
      <c r="AA190" s="271"/>
      <c r="AB190" s="271"/>
      <c r="AC190" s="271"/>
    </row>
    <row r="191" spans="4:29" ht="13.5" customHeight="1" x14ac:dyDescent="0.25">
      <c r="D191" s="289"/>
      <c r="E191" s="324"/>
      <c r="F191" s="324"/>
      <c r="G191" s="324"/>
      <c r="H191" s="289"/>
      <c r="I191" s="325"/>
      <c r="J191" s="326"/>
      <c r="K191" s="326"/>
      <c r="L191" s="326"/>
      <c r="M191" s="326"/>
      <c r="N191" s="326"/>
      <c r="O191" s="326"/>
      <c r="P191" s="326"/>
      <c r="Q191" s="326"/>
      <c r="R191" s="269"/>
      <c r="S191" s="249"/>
      <c r="T191" s="224"/>
      <c r="U191" s="271"/>
      <c r="V191" s="271"/>
      <c r="W191" s="271"/>
      <c r="X191" s="271"/>
      <c r="Y191" s="271"/>
      <c r="Z191" s="271"/>
      <c r="AA191" s="271"/>
      <c r="AB191" s="271"/>
      <c r="AC191" s="271"/>
    </row>
    <row r="192" spans="4:29" ht="13.5" customHeight="1" x14ac:dyDescent="0.25">
      <c r="D192" s="289"/>
      <c r="E192" s="324"/>
      <c r="F192" s="324"/>
      <c r="G192" s="324"/>
      <c r="H192" s="289"/>
      <c r="I192" s="325"/>
      <c r="J192" s="326"/>
      <c r="K192" s="326"/>
      <c r="L192" s="326"/>
      <c r="M192" s="326"/>
      <c r="N192" s="326"/>
      <c r="O192" s="326"/>
      <c r="P192" s="326"/>
      <c r="Q192" s="326"/>
      <c r="R192" s="269"/>
      <c r="S192" s="249"/>
      <c r="T192" s="224"/>
      <c r="U192" s="271"/>
      <c r="V192" s="271"/>
      <c r="W192" s="271"/>
      <c r="X192" s="271"/>
      <c r="Y192" s="271"/>
      <c r="Z192" s="271"/>
      <c r="AA192" s="271"/>
      <c r="AB192" s="271"/>
      <c r="AC192" s="271"/>
    </row>
    <row r="193" spans="4:29" ht="13.5" customHeight="1" x14ac:dyDescent="0.25">
      <c r="D193" s="289"/>
      <c r="E193" s="324"/>
      <c r="F193" s="324"/>
      <c r="G193" s="324"/>
      <c r="H193" s="289"/>
      <c r="I193" s="325"/>
      <c r="J193" s="326"/>
      <c r="K193" s="326"/>
      <c r="L193" s="326"/>
      <c r="M193" s="326"/>
      <c r="N193" s="326"/>
      <c r="O193" s="326"/>
      <c r="P193" s="326"/>
      <c r="Q193" s="326"/>
      <c r="R193" s="269"/>
      <c r="S193" s="249"/>
      <c r="T193" s="224"/>
      <c r="U193" s="271"/>
      <c r="V193" s="271"/>
      <c r="W193" s="271"/>
      <c r="X193" s="271"/>
      <c r="Y193" s="271"/>
      <c r="Z193" s="271"/>
      <c r="AA193" s="271"/>
      <c r="AB193" s="271"/>
      <c r="AC193" s="271"/>
    </row>
    <row r="194" spans="4:29" ht="13.5" customHeight="1" x14ac:dyDescent="0.25">
      <c r="D194" s="289"/>
      <c r="E194" s="324"/>
      <c r="F194" s="324"/>
      <c r="G194" s="324"/>
      <c r="H194" s="289"/>
      <c r="I194" s="325"/>
      <c r="J194" s="326"/>
      <c r="K194" s="326"/>
      <c r="L194" s="326"/>
      <c r="M194" s="326"/>
      <c r="N194" s="326"/>
      <c r="O194" s="326"/>
      <c r="P194" s="326"/>
      <c r="Q194" s="326"/>
      <c r="R194" s="269"/>
      <c r="S194" s="249"/>
      <c r="T194" s="224"/>
      <c r="U194" s="271"/>
      <c r="V194" s="271"/>
      <c r="W194" s="271"/>
      <c r="X194" s="271"/>
      <c r="Y194" s="271"/>
      <c r="Z194" s="271"/>
      <c r="AA194" s="271"/>
      <c r="AB194" s="271"/>
      <c r="AC194" s="271"/>
    </row>
    <row r="195" spans="4:29" ht="13.5" customHeight="1" x14ac:dyDescent="0.25">
      <c r="D195" s="289"/>
      <c r="E195" s="324"/>
      <c r="F195" s="324"/>
      <c r="G195" s="324"/>
      <c r="H195" s="289"/>
      <c r="I195" s="325"/>
      <c r="J195" s="326"/>
      <c r="K195" s="326"/>
      <c r="L195" s="326"/>
      <c r="M195" s="326"/>
      <c r="N195" s="326"/>
      <c r="O195" s="326"/>
      <c r="P195" s="326"/>
      <c r="Q195" s="326"/>
      <c r="R195" s="269"/>
      <c r="S195" s="249"/>
      <c r="T195" s="224"/>
      <c r="U195" s="271"/>
      <c r="V195" s="271"/>
      <c r="W195" s="271"/>
      <c r="X195" s="271"/>
      <c r="Y195" s="271"/>
      <c r="Z195" s="271"/>
      <c r="AA195" s="271"/>
      <c r="AB195" s="271"/>
      <c r="AC195" s="271"/>
    </row>
    <row r="196" spans="4:29" ht="13.5" customHeight="1" x14ac:dyDescent="0.25">
      <c r="D196" s="289"/>
      <c r="E196" s="324"/>
      <c r="F196" s="324"/>
      <c r="G196" s="324"/>
      <c r="H196" s="289"/>
      <c r="I196" s="325"/>
      <c r="J196" s="326"/>
      <c r="K196" s="326"/>
      <c r="L196" s="326"/>
      <c r="M196" s="326"/>
      <c r="N196" s="326"/>
      <c r="O196" s="326"/>
      <c r="P196" s="326"/>
      <c r="Q196" s="326"/>
      <c r="R196" s="269"/>
      <c r="S196" s="249"/>
      <c r="T196" s="224"/>
      <c r="U196" s="271"/>
      <c r="V196" s="271"/>
      <c r="W196" s="271"/>
      <c r="X196" s="271"/>
      <c r="Y196" s="271"/>
      <c r="Z196" s="271"/>
      <c r="AA196" s="271"/>
      <c r="AB196" s="271"/>
      <c r="AC196" s="271"/>
    </row>
    <row r="197" spans="4:29" ht="13.5" customHeight="1" x14ac:dyDescent="0.25">
      <c r="D197" s="289"/>
      <c r="E197" s="324"/>
      <c r="F197" s="324"/>
      <c r="G197" s="324"/>
      <c r="H197" s="289"/>
      <c r="I197" s="325"/>
      <c r="J197" s="326"/>
      <c r="K197" s="326"/>
      <c r="L197" s="326"/>
      <c r="M197" s="326"/>
      <c r="N197" s="326"/>
      <c r="O197" s="326"/>
      <c r="P197" s="326"/>
      <c r="Q197" s="326"/>
      <c r="R197" s="269"/>
      <c r="S197" s="249"/>
      <c r="T197" s="224"/>
      <c r="U197" s="271"/>
      <c r="V197" s="271"/>
      <c r="W197" s="271"/>
      <c r="X197" s="271"/>
      <c r="Y197" s="271"/>
      <c r="Z197" s="271"/>
      <c r="AA197" s="271"/>
      <c r="AB197" s="271"/>
      <c r="AC197" s="271"/>
    </row>
    <row r="198" spans="4:29" ht="13.5" customHeight="1" x14ac:dyDescent="0.25">
      <c r="D198" s="289"/>
      <c r="E198" s="324"/>
      <c r="F198" s="324"/>
      <c r="G198" s="324"/>
      <c r="H198" s="289"/>
      <c r="I198" s="325"/>
      <c r="J198" s="326"/>
      <c r="K198" s="326"/>
      <c r="L198" s="326"/>
      <c r="M198" s="326"/>
      <c r="N198" s="326"/>
      <c r="O198" s="326"/>
      <c r="P198" s="326"/>
      <c r="Q198" s="326"/>
      <c r="R198" s="269"/>
      <c r="S198" s="249"/>
      <c r="T198" s="224"/>
      <c r="U198" s="271"/>
      <c r="V198" s="271"/>
      <c r="W198" s="271"/>
      <c r="X198" s="271"/>
      <c r="Y198" s="271"/>
      <c r="Z198" s="271"/>
      <c r="AA198" s="271"/>
      <c r="AB198" s="271"/>
      <c r="AC198" s="271"/>
    </row>
    <row r="199" spans="4:29" ht="13.5" customHeight="1" x14ac:dyDescent="0.25">
      <c r="D199" s="289"/>
      <c r="E199" s="324"/>
      <c r="F199" s="324"/>
      <c r="G199" s="324"/>
      <c r="H199" s="289"/>
      <c r="I199" s="325"/>
      <c r="J199" s="326"/>
      <c r="K199" s="326"/>
      <c r="L199" s="326"/>
      <c r="M199" s="326"/>
      <c r="N199" s="326"/>
      <c r="O199" s="326"/>
      <c r="P199" s="326"/>
      <c r="Q199" s="326"/>
      <c r="R199" s="269"/>
      <c r="S199" s="249"/>
      <c r="T199" s="224"/>
      <c r="U199" s="271"/>
      <c r="V199" s="271"/>
      <c r="W199" s="271"/>
      <c r="X199" s="271"/>
      <c r="Y199" s="271"/>
      <c r="Z199" s="271"/>
      <c r="AA199" s="271"/>
      <c r="AB199" s="271"/>
      <c r="AC199" s="271"/>
    </row>
    <row r="200" spans="4:29" ht="13.5" customHeight="1" x14ac:dyDescent="0.25">
      <c r="D200" s="289"/>
      <c r="E200" s="324"/>
      <c r="F200" s="324"/>
      <c r="G200" s="324"/>
      <c r="H200" s="289"/>
      <c r="I200" s="325"/>
      <c r="J200" s="326"/>
      <c r="K200" s="326"/>
      <c r="L200" s="326"/>
      <c r="M200" s="326"/>
      <c r="N200" s="326"/>
      <c r="O200" s="326"/>
      <c r="P200" s="326"/>
      <c r="Q200" s="326"/>
      <c r="R200" s="269"/>
      <c r="S200" s="249"/>
      <c r="T200" s="221"/>
      <c r="U200" s="271"/>
      <c r="V200" s="271"/>
      <c r="W200" s="271"/>
      <c r="X200" s="271"/>
      <c r="Y200" s="271"/>
      <c r="Z200" s="271"/>
      <c r="AA200" s="271"/>
      <c r="AB200" s="271"/>
      <c r="AC200" s="271"/>
    </row>
    <row r="201" spans="4:29" ht="13.5" customHeight="1" x14ac:dyDescent="0.25">
      <c r="D201" s="289"/>
      <c r="E201" s="324"/>
      <c r="F201" s="324"/>
      <c r="G201" s="324"/>
      <c r="H201" s="289"/>
      <c r="I201" s="325"/>
      <c r="J201" s="326"/>
      <c r="K201" s="326"/>
      <c r="L201" s="326"/>
      <c r="M201" s="326"/>
      <c r="N201" s="326"/>
      <c r="O201" s="326"/>
      <c r="P201" s="326"/>
      <c r="Q201" s="326"/>
      <c r="R201" s="269"/>
      <c r="S201" s="249"/>
      <c r="T201" s="221"/>
      <c r="U201" s="271"/>
      <c r="V201" s="271"/>
      <c r="W201" s="271"/>
      <c r="X201" s="271"/>
      <c r="Y201" s="271"/>
      <c r="Z201" s="271"/>
      <c r="AA201" s="271"/>
      <c r="AB201" s="271"/>
      <c r="AC201" s="271"/>
    </row>
    <row r="202" spans="4:29" ht="13.5" customHeight="1" x14ac:dyDescent="0.25">
      <c r="D202" s="289"/>
      <c r="E202" s="324"/>
      <c r="F202" s="324"/>
      <c r="G202" s="324"/>
      <c r="H202" s="289"/>
      <c r="I202" s="325"/>
      <c r="J202" s="326"/>
      <c r="K202" s="326"/>
      <c r="L202" s="326"/>
      <c r="M202" s="326"/>
      <c r="N202" s="326"/>
      <c r="O202" s="326"/>
      <c r="P202" s="326"/>
      <c r="Q202" s="326"/>
      <c r="R202" s="269"/>
      <c r="S202" s="249"/>
      <c r="T202" s="221"/>
      <c r="U202" s="271"/>
      <c r="V202" s="271"/>
      <c r="W202" s="271"/>
      <c r="X202" s="271"/>
      <c r="Y202" s="271"/>
      <c r="Z202" s="271"/>
      <c r="AA202" s="271"/>
      <c r="AB202" s="271"/>
      <c r="AC202" s="271"/>
    </row>
    <row r="203" spans="4:29" ht="13.5" customHeight="1" x14ac:dyDescent="0.25">
      <c r="D203" s="289"/>
      <c r="E203" s="324"/>
      <c r="F203" s="324"/>
      <c r="G203" s="324"/>
      <c r="H203" s="289"/>
      <c r="I203" s="325"/>
      <c r="J203" s="326"/>
      <c r="K203" s="326"/>
      <c r="L203" s="326"/>
      <c r="M203" s="326"/>
      <c r="N203" s="326"/>
      <c r="O203" s="326"/>
      <c r="P203" s="326"/>
      <c r="Q203" s="326"/>
      <c r="R203" s="269"/>
      <c r="S203" s="249"/>
      <c r="T203" s="221"/>
      <c r="U203" s="271"/>
      <c r="V203" s="271"/>
      <c r="W203" s="271"/>
      <c r="X203" s="271"/>
      <c r="Y203" s="271"/>
      <c r="Z203" s="271"/>
      <c r="AA203" s="271"/>
      <c r="AB203" s="271"/>
      <c r="AC203" s="271"/>
    </row>
    <row r="204" spans="4:29" ht="13.5" customHeight="1" x14ac:dyDescent="0.25">
      <c r="D204" s="289"/>
      <c r="E204" s="324"/>
      <c r="F204" s="324"/>
      <c r="G204" s="324"/>
      <c r="H204" s="289"/>
      <c r="I204" s="325"/>
      <c r="J204" s="326"/>
      <c r="K204" s="326"/>
      <c r="L204" s="326"/>
      <c r="M204" s="326"/>
      <c r="N204" s="326"/>
      <c r="O204" s="326"/>
      <c r="P204" s="326"/>
      <c r="Q204" s="326"/>
      <c r="R204" s="269"/>
      <c r="S204" s="249"/>
      <c r="T204" s="221"/>
      <c r="U204" s="271"/>
      <c r="V204" s="271"/>
      <c r="W204" s="271"/>
      <c r="X204" s="271"/>
      <c r="Y204" s="271"/>
      <c r="Z204" s="271"/>
      <c r="AA204" s="271"/>
      <c r="AB204" s="271"/>
      <c r="AC204" s="271"/>
    </row>
    <row r="205" spans="4:29" ht="13.5" customHeight="1" x14ac:dyDescent="0.25">
      <c r="D205" s="289"/>
      <c r="E205" s="324"/>
      <c r="F205" s="324"/>
      <c r="G205" s="324"/>
      <c r="H205" s="289"/>
      <c r="I205" s="325"/>
      <c r="J205" s="326"/>
      <c r="K205" s="326"/>
      <c r="L205" s="326"/>
      <c r="M205" s="326"/>
      <c r="N205" s="326"/>
      <c r="O205" s="326"/>
      <c r="P205" s="326"/>
      <c r="Q205" s="326"/>
      <c r="R205" s="269"/>
      <c r="S205" s="249"/>
      <c r="T205" s="221"/>
      <c r="U205" s="271"/>
      <c r="V205" s="271"/>
      <c r="W205" s="271"/>
      <c r="X205" s="271"/>
      <c r="Y205" s="271"/>
      <c r="Z205" s="271"/>
      <c r="AA205" s="271"/>
      <c r="AB205" s="271"/>
      <c r="AC205" s="271"/>
    </row>
    <row r="206" spans="4:29" ht="13.5" customHeight="1" x14ac:dyDescent="0.25">
      <c r="D206" s="289"/>
      <c r="E206" s="324"/>
      <c r="F206" s="324"/>
      <c r="G206" s="324"/>
      <c r="H206" s="289"/>
      <c r="I206" s="325"/>
      <c r="J206" s="326"/>
      <c r="K206" s="326"/>
      <c r="L206" s="326"/>
      <c r="M206" s="326"/>
      <c r="N206" s="326"/>
      <c r="O206" s="326"/>
      <c r="P206" s="326"/>
      <c r="Q206" s="326"/>
      <c r="R206" s="269"/>
      <c r="S206" s="249"/>
      <c r="T206" s="221"/>
      <c r="U206" s="271"/>
      <c r="V206" s="271"/>
      <c r="W206" s="271"/>
      <c r="X206" s="271"/>
      <c r="Y206" s="271"/>
      <c r="Z206" s="271"/>
      <c r="AA206" s="271"/>
      <c r="AB206" s="271"/>
      <c r="AC206" s="271"/>
    </row>
    <row r="207" spans="4:29" ht="13.5" customHeight="1" x14ac:dyDescent="0.25">
      <c r="D207" s="289"/>
      <c r="E207" s="324"/>
      <c r="F207" s="324"/>
      <c r="G207" s="324"/>
      <c r="H207" s="289"/>
      <c r="I207" s="325"/>
      <c r="J207" s="326"/>
      <c r="K207" s="326"/>
      <c r="L207" s="326"/>
      <c r="M207" s="326"/>
      <c r="N207" s="326"/>
      <c r="O207" s="326"/>
      <c r="P207" s="326"/>
      <c r="Q207" s="326"/>
      <c r="R207" s="269"/>
      <c r="S207" s="249"/>
      <c r="T207" s="221"/>
      <c r="U207" s="271"/>
      <c r="V207" s="271"/>
      <c r="W207" s="271"/>
      <c r="X207" s="271"/>
      <c r="Y207" s="271"/>
      <c r="Z207" s="271"/>
      <c r="AA207" s="271"/>
      <c r="AB207" s="271"/>
      <c r="AC207" s="271"/>
    </row>
    <row r="208" spans="4:29" ht="13.5" customHeight="1" x14ac:dyDescent="0.25">
      <c r="D208" s="289"/>
      <c r="E208" s="324"/>
      <c r="F208" s="324"/>
      <c r="G208" s="324"/>
      <c r="H208" s="289"/>
      <c r="I208" s="325"/>
      <c r="J208" s="326"/>
      <c r="K208" s="326"/>
      <c r="L208" s="326"/>
      <c r="M208" s="326"/>
      <c r="N208" s="326"/>
      <c r="O208" s="326"/>
      <c r="P208" s="326"/>
      <c r="Q208" s="326"/>
      <c r="R208" s="269"/>
      <c r="S208" s="249"/>
      <c r="T208" s="221"/>
      <c r="U208" s="271"/>
      <c r="V208" s="271"/>
      <c r="W208" s="271"/>
      <c r="X208" s="271"/>
      <c r="Y208" s="271"/>
      <c r="Z208" s="271"/>
      <c r="AA208" s="271"/>
      <c r="AB208" s="271"/>
      <c r="AC208" s="271"/>
    </row>
    <row r="209" spans="2:29" ht="13.5" customHeight="1" x14ac:dyDescent="0.25">
      <c r="D209" s="289"/>
      <c r="E209" s="324"/>
      <c r="F209" s="324"/>
      <c r="G209" s="324"/>
      <c r="H209" s="289"/>
      <c r="I209" s="325"/>
      <c r="J209" s="326"/>
      <c r="K209" s="326"/>
      <c r="L209" s="326"/>
      <c r="M209" s="326"/>
      <c r="N209" s="326"/>
      <c r="O209" s="326"/>
      <c r="P209" s="326"/>
      <c r="Q209" s="326"/>
      <c r="R209" s="269"/>
      <c r="S209" s="249"/>
      <c r="T209" s="221"/>
      <c r="U209" s="271"/>
      <c r="V209" s="271"/>
      <c r="W209" s="271"/>
      <c r="X209" s="271"/>
      <c r="Y209" s="271"/>
      <c r="Z209" s="271"/>
      <c r="AA209" s="271"/>
      <c r="AB209" s="271"/>
      <c r="AC209" s="271"/>
    </row>
    <row r="210" spans="2:29" ht="13.5" customHeight="1" x14ac:dyDescent="0.25">
      <c r="D210" s="289"/>
      <c r="E210" s="324"/>
      <c r="F210" s="324"/>
      <c r="G210" s="324"/>
      <c r="H210" s="289"/>
      <c r="I210" s="325"/>
      <c r="J210" s="326"/>
      <c r="K210" s="326"/>
      <c r="L210" s="326"/>
      <c r="M210" s="326"/>
      <c r="N210" s="326"/>
      <c r="O210" s="326"/>
      <c r="P210" s="326"/>
      <c r="Q210" s="326"/>
      <c r="R210" s="269"/>
      <c r="S210" s="249"/>
      <c r="T210" s="221"/>
      <c r="U210" s="271"/>
      <c r="V210" s="271"/>
      <c r="W210" s="271"/>
      <c r="X210" s="271"/>
      <c r="Y210" s="271"/>
      <c r="Z210" s="271"/>
      <c r="AA210" s="271"/>
      <c r="AB210" s="271"/>
      <c r="AC210" s="271"/>
    </row>
    <row r="211" spans="2:29" ht="13.5" customHeight="1" x14ac:dyDescent="0.25">
      <c r="D211" s="289"/>
      <c r="E211" s="324"/>
      <c r="F211" s="324"/>
      <c r="G211" s="324"/>
      <c r="H211" s="289"/>
      <c r="I211" s="325"/>
      <c r="J211" s="326"/>
      <c r="K211" s="326"/>
      <c r="L211" s="326"/>
      <c r="M211" s="326"/>
      <c r="N211" s="326"/>
      <c r="O211" s="326"/>
      <c r="P211" s="326"/>
      <c r="Q211" s="326"/>
      <c r="R211" s="269"/>
      <c r="S211" s="249"/>
      <c r="T211" s="221"/>
      <c r="U211" s="271"/>
      <c r="V211" s="271"/>
      <c r="W211" s="271"/>
      <c r="X211" s="271"/>
      <c r="Y211" s="271"/>
      <c r="Z211" s="271"/>
      <c r="AA211" s="271"/>
      <c r="AB211" s="271"/>
      <c r="AC211" s="271"/>
    </row>
    <row r="212" spans="2:29" ht="13.5" customHeight="1" x14ac:dyDescent="0.25">
      <c r="D212" s="289"/>
      <c r="E212" s="324"/>
      <c r="F212" s="324"/>
      <c r="G212" s="324"/>
      <c r="H212" s="289"/>
      <c r="I212" s="325"/>
      <c r="J212" s="326"/>
      <c r="K212" s="326"/>
      <c r="L212" s="326"/>
      <c r="M212" s="326"/>
      <c r="N212" s="326"/>
      <c r="O212" s="326"/>
      <c r="P212" s="326"/>
      <c r="Q212" s="326"/>
      <c r="R212" s="269"/>
      <c r="S212" s="249"/>
      <c r="T212" s="221"/>
      <c r="U212" s="271"/>
      <c r="V212" s="271"/>
      <c r="W212" s="271"/>
      <c r="X212" s="271"/>
      <c r="Y212" s="271"/>
      <c r="Z212" s="271"/>
      <c r="AA212" s="271"/>
      <c r="AB212" s="271"/>
      <c r="AC212" s="271"/>
    </row>
    <row r="213" spans="2:29" ht="13.5" customHeight="1" x14ac:dyDescent="0.25">
      <c r="D213" s="289"/>
      <c r="E213" s="319"/>
      <c r="F213" s="319"/>
      <c r="G213" s="319"/>
      <c r="H213" s="289"/>
      <c r="I213" s="325"/>
      <c r="J213" s="327"/>
      <c r="K213" s="327"/>
      <c r="L213" s="327"/>
      <c r="M213" s="327"/>
      <c r="N213" s="327"/>
      <c r="O213" s="327"/>
      <c r="P213" s="327"/>
      <c r="Q213" s="327"/>
      <c r="R213" s="249"/>
    </row>
    <row r="214" spans="2:29" ht="13.5" customHeight="1" thickBot="1" x14ac:dyDescent="0.3">
      <c r="D214" s="289"/>
      <c r="E214" s="328"/>
      <c r="F214" s="328"/>
      <c r="G214" s="328"/>
      <c r="H214" s="289"/>
      <c r="I214" s="325"/>
      <c r="J214" s="325"/>
      <c r="K214" s="289"/>
      <c r="L214" s="289"/>
      <c r="M214" s="289"/>
      <c r="N214" s="289"/>
      <c r="O214" s="289"/>
      <c r="P214" s="289"/>
      <c r="Q214" s="289"/>
      <c r="T214" s="59"/>
      <c r="U214" s="298"/>
      <c r="V214" s="298"/>
      <c r="W214" s="298"/>
      <c r="X214" s="298"/>
      <c r="Y214" s="298"/>
      <c r="Z214" s="298"/>
      <c r="AA214" s="298"/>
      <c r="AB214" s="298"/>
      <c r="AC214" s="298"/>
    </row>
    <row r="215" spans="2:29" ht="13.5" customHeight="1" thickTop="1" x14ac:dyDescent="0.25">
      <c r="D215" s="289"/>
      <c r="E215" s="289"/>
      <c r="F215" s="289"/>
      <c r="G215" s="289"/>
      <c r="H215" s="289"/>
      <c r="I215" s="289"/>
      <c r="J215" s="289"/>
      <c r="K215" s="289"/>
      <c r="L215" s="289"/>
      <c r="M215" s="289"/>
      <c r="N215" s="289"/>
      <c r="O215" s="329"/>
      <c r="P215" s="325"/>
      <c r="Q215" s="289"/>
    </row>
    <row r="216" spans="2:29" ht="13.5" customHeight="1" x14ac:dyDescent="0.25">
      <c r="D216" s="306"/>
      <c r="E216" s="330"/>
      <c r="F216" s="331"/>
      <c r="G216" s="331"/>
      <c r="H216" s="331"/>
      <c r="I216" s="331"/>
      <c r="J216" s="331"/>
      <c r="K216" s="331"/>
      <c r="L216" s="331"/>
      <c r="M216" s="331"/>
      <c r="N216" s="289"/>
      <c r="O216" s="332"/>
      <c r="P216" s="332"/>
      <c r="Q216" s="289"/>
    </row>
    <row r="217" spans="2:29" ht="13.5" customHeight="1" x14ac:dyDescent="0.25">
      <c r="D217" s="306"/>
      <c r="E217" s="330"/>
      <c r="F217" s="331"/>
      <c r="G217" s="331"/>
      <c r="H217" s="331"/>
      <c r="I217" s="331"/>
      <c r="J217" s="331"/>
      <c r="K217" s="331"/>
      <c r="L217" s="331"/>
      <c r="M217" s="331"/>
      <c r="N217" s="289"/>
      <c r="O217" s="332"/>
      <c r="P217" s="332"/>
      <c r="Q217" s="289"/>
    </row>
    <row r="218" spans="2:29" ht="13.5" customHeight="1" x14ac:dyDescent="0.25">
      <c r="D218" s="289"/>
      <c r="E218" s="331"/>
      <c r="F218" s="331"/>
      <c r="G218" s="331"/>
      <c r="H218" s="331"/>
      <c r="I218" s="331"/>
      <c r="J218" s="331"/>
      <c r="K218" s="331"/>
      <c r="L218" s="331"/>
      <c r="M218" s="331"/>
      <c r="N218" s="289"/>
      <c r="O218" s="332"/>
      <c r="P218" s="332"/>
      <c r="Q218" s="289"/>
    </row>
    <row r="219" spans="2:29" ht="13.5" customHeight="1" x14ac:dyDescent="0.35">
      <c r="B219" s="51"/>
      <c r="D219" s="312"/>
      <c r="E219" s="289"/>
      <c r="F219" s="289"/>
      <c r="G219" s="289"/>
      <c r="H219" s="289"/>
      <c r="I219" s="289"/>
      <c r="J219" s="289"/>
      <c r="K219" s="289"/>
      <c r="L219" s="289"/>
      <c r="M219" s="289"/>
      <c r="N219" s="289"/>
      <c r="O219" s="289"/>
      <c r="P219" s="289"/>
      <c r="Q219" s="289"/>
    </row>
    <row r="220" spans="2:29" ht="13.5" customHeight="1" x14ac:dyDescent="0.25">
      <c r="D220" s="289"/>
      <c r="E220" s="289"/>
      <c r="F220" s="289"/>
      <c r="G220" s="289"/>
      <c r="H220" s="289"/>
      <c r="I220" s="289"/>
      <c r="J220" s="289"/>
      <c r="K220" s="289"/>
      <c r="L220" s="289"/>
      <c r="M220" s="289"/>
      <c r="N220" s="289"/>
      <c r="O220" s="289"/>
      <c r="P220" s="289"/>
      <c r="Q220" s="289"/>
    </row>
    <row r="221" spans="2:29" ht="13.5" customHeight="1" x14ac:dyDescent="0.3">
      <c r="D221" s="304"/>
      <c r="E221" s="289"/>
      <c r="F221" s="289"/>
      <c r="G221" s="289"/>
      <c r="H221" s="289"/>
      <c r="I221" s="289"/>
      <c r="J221" s="320"/>
      <c r="K221" s="321"/>
      <c r="L221" s="289"/>
      <c r="M221" s="289"/>
      <c r="N221" s="289"/>
      <c r="O221" s="289"/>
      <c r="P221" s="289"/>
      <c r="Q221" s="289"/>
      <c r="U221" s="294"/>
    </row>
    <row r="222" spans="2:29" ht="13.5" customHeight="1" x14ac:dyDescent="0.3">
      <c r="D222" s="309"/>
      <c r="E222" s="289"/>
      <c r="F222" s="289"/>
      <c r="G222" s="289"/>
      <c r="H222" s="289"/>
      <c r="I222" s="289"/>
      <c r="J222" s="309"/>
      <c r="K222" s="289"/>
      <c r="L222" s="289"/>
      <c r="M222" s="289"/>
      <c r="N222" s="289"/>
      <c r="O222" s="289"/>
      <c r="P222" s="289"/>
      <c r="Q222" s="289"/>
      <c r="U222" s="36"/>
    </row>
    <row r="223" spans="2:29" ht="13.5" customHeight="1" x14ac:dyDescent="0.25">
      <c r="D223" s="289"/>
      <c r="E223" s="289"/>
      <c r="F223" s="289"/>
      <c r="G223" s="289"/>
      <c r="H223" s="289"/>
      <c r="I223" s="289"/>
      <c r="J223" s="314"/>
      <c r="K223" s="314"/>
      <c r="L223" s="314"/>
      <c r="M223" s="314"/>
      <c r="N223" s="314"/>
      <c r="O223" s="314"/>
      <c r="P223" s="314"/>
      <c r="Q223" s="314"/>
      <c r="R223" s="235"/>
      <c r="S223" s="235"/>
      <c r="T223" s="59"/>
      <c r="U223" s="235"/>
      <c r="V223" s="235"/>
      <c r="W223" s="235"/>
      <c r="X223" s="235"/>
      <c r="Y223" s="235"/>
      <c r="Z223" s="235"/>
      <c r="AA223" s="235"/>
      <c r="AB223" s="235"/>
      <c r="AC223" s="235"/>
    </row>
    <row r="224" spans="2:29" ht="13.5" customHeight="1" x14ac:dyDescent="0.3">
      <c r="D224" s="304"/>
      <c r="E224" s="305"/>
      <c r="F224" s="305"/>
      <c r="G224" s="305"/>
      <c r="H224" s="289"/>
      <c r="I224" s="289"/>
      <c r="J224" s="315"/>
      <c r="K224" s="315"/>
      <c r="L224" s="315"/>
      <c r="M224" s="315"/>
      <c r="N224" s="315"/>
      <c r="O224" s="315"/>
      <c r="P224" s="315"/>
      <c r="Q224" s="315"/>
      <c r="R224" s="245"/>
      <c r="S224" s="245"/>
      <c r="T224" s="246"/>
      <c r="U224" s="244"/>
      <c r="V224" s="244"/>
      <c r="W224" s="244"/>
      <c r="X224" s="244"/>
      <c r="Y224" s="244"/>
      <c r="Z224" s="244"/>
      <c r="AA224" s="244"/>
      <c r="AB224" s="244"/>
      <c r="AC224" s="244"/>
    </row>
    <row r="225" spans="4:29" ht="13.5" customHeight="1" x14ac:dyDescent="0.25">
      <c r="D225" s="289"/>
      <c r="E225" s="324"/>
      <c r="F225" s="324"/>
      <c r="G225" s="324"/>
      <c r="H225" s="289"/>
      <c r="I225" s="325"/>
      <c r="J225" s="326"/>
      <c r="K225" s="326"/>
      <c r="L225" s="326"/>
      <c r="M225" s="326"/>
      <c r="N225" s="326"/>
      <c r="O225" s="326"/>
      <c r="P225" s="326"/>
      <c r="Q225" s="326"/>
      <c r="R225" s="269"/>
      <c r="S225" s="249"/>
      <c r="T225" s="224"/>
      <c r="U225" s="271"/>
      <c r="V225" s="271"/>
      <c r="W225" s="271"/>
      <c r="X225" s="271"/>
      <c r="Y225" s="271"/>
      <c r="Z225" s="271"/>
      <c r="AA225" s="271"/>
      <c r="AB225" s="271"/>
      <c r="AC225" s="271"/>
    </row>
    <row r="226" spans="4:29" ht="13.5" customHeight="1" x14ac:dyDescent="0.25">
      <c r="D226" s="289"/>
      <c r="E226" s="324"/>
      <c r="F226" s="324"/>
      <c r="G226" s="324"/>
      <c r="H226" s="289"/>
      <c r="I226" s="325"/>
      <c r="J226" s="326"/>
      <c r="K226" s="326"/>
      <c r="L226" s="326"/>
      <c r="M226" s="326"/>
      <c r="N226" s="326"/>
      <c r="O226" s="326"/>
      <c r="P226" s="326"/>
      <c r="Q226" s="326"/>
      <c r="R226" s="269"/>
      <c r="S226" s="249"/>
      <c r="T226" s="224"/>
      <c r="U226" s="271"/>
      <c r="V226" s="271"/>
      <c r="W226" s="271"/>
      <c r="X226" s="271"/>
      <c r="Y226" s="271"/>
      <c r="Z226" s="271"/>
      <c r="AA226" s="271"/>
      <c r="AB226" s="271"/>
      <c r="AC226" s="271"/>
    </row>
    <row r="227" spans="4:29" ht="13.5" customHeight="1" x14ac:dyDescent="0.25">
      <c r="D227" s="289"/>
      <c r="E227" s="324"/>
      <c r="F227" s="324"/>
      <c r="G227" s="324"/>
      <c r="H227" s="289"/>
      <c r="I227" s="325"/>
      <c r="J227" s="326"/>
      <c r="K227" s="326"/>
      <c r="L227" s="326"/>
      <c r="M227" s="326"/>
      <c r="N227" s="326"/>
      <c r="O227" s="326"/>
      <c r="P227" s="326"/>
      <c r="Q227" s="326"/>
      <c r="R227" s="269"/>
      <c r="S227" s="249"/>
      <c r="T227" s="224"/>
      <c r="U227" s="271"/>
      <c r="V227" s="271"/>
      <c r="W227" s="271"/>
      <c r="X227" s="271"/>
      <c r="Y227" s="271"/>
      <c r="Z227" s="271"/>
      <c r="AA227" s="271"/>
      <c r="AB227" s="271"/>
      <c r="AC227" s="271"/>
    </row>
    <row r="228" spans="4:29" ht="13.5" customHeight="1" x14ac:dyDescent="0.25">
      <c r="D228" s="289"/>
      <c r="E228" s="324"/>
      <c r="F228" s="324"/>
      <c r="G228" s="324"/>
      <c r="H228" s="289"/>
      <c r="I228" s="325"/>
      <c r="J228" s="326"/>
      <c r="K228" s="326"/>
      <c r="L228" s="326"/>
      <c r="M228" s="326"/>
      <c r="N228" s="326"/>
      <c r="O228" s="326"/>
      <c r="P228" s="326"/>
      <c r="Q228" s="326"/>
      <c r="R228" s="269"/>
      <c r="S228" s="249"/>
      <c r="T228" s="224"/>
      <c r="U228" s="271"/>
      <c r="V228" s="271"/>
      <c r="W228" s="271"/>
      <c r="X228" s="271"/>
      <c r="Y228" s="271"/>
      <c r="Z228" s="271"/>
      <c r="AA228" s="271"/>
      <c r="AB228" s="271"/>
      <c r="AC228" s="271"/>
    </row>
    <row r="229" spans="4:29" ht="13.5" customHeight="1" x14ac:dyDescent="0.25">
      <c r="D229" s="289"/>
      <c r="E229" s="324"/>
      <c r="F229" s="324"/>
      <c r="G229" s="324"/>
      <c r="H229" s="289"/>
      <c r="I229" s="325"/>
      <c r="J229" s="326"/>
      <c r="K229" s="326"/>
      <c r="L229" s="326"/>
      <c r="M229" s="326"/>
      <c r="N229" s="326"/>
      <c r="O229" s="326"/>
      <c r="P229" s="326"/>
      <c r="Q229" s="326"/>
      <c r="R229" s="269"/>
      <c r="S229" s="249"/>
      <c r="T229" s="224"/>
      <c r="U229" s="271"/>
      <c r="V229" s="271"/>
      <c r="W229" s="271"/>
      <c r="X229" s="271"/>
      <c r="Y229" s="271"/>
      <c r="Z229" s="271"/>
      <c r="AA229" s="271"/>
      <c r="AB229" s="271"/>
      <c r="AC229" s="271"/>
    </row>
    <row r="230" spans="4:29" ht="13.5" customHeight="1" x14ac:dyDescent="0.25">
      <c r="D230" s="289"/>
      <c r="E230" s="324"/>
      <c r="F230" s="324"/>
      <c r="G230" s="324"/>
      <c r="H230" s="289"/>
      <c r="I230" s="325"/>
      <c r="J230" s="326"/>
      <c r="K230" s="326"/>
      <c r="L230" s="326"/>
      <c r="M230" s="326"/>
      <c r="N230" s="326"/>
      <c r="O230" s="326"/>
      <c r="P230" s="326"/>
      <c r="Q230" s="326"/>
      <c r="R230" s="269"/>
      <c r="S230" s="249"/>
      <c r="T230" s="224"/>
      <c r="U230" s="271"/>
      <c r="V230" s="271"/>
      <c r="W230" s="271"/>
      <c r="X230" s="271"/>
      <c r="Y230" s="271"/>
      <c r="Z230" s="271"/>
      <c r="AA230" s="271"/>
      <c r="AB230" s="271"/>
      <c r="AC230" s="271"/>
    </row>
    <row r="231" spans="4:29" ht="13.5" customHeight="1" x14ac:dyDescent="0.25">
      <c r="D231" s="289"/>
      <c r="E231" s="324"/>
      <c r="F231" s="324"/>
      <c r="G231" s="324"/>
      <c r="H231" s="289"/>
      <c r="I231" s="325"/>
      <c r="J231" s="326"/>
      <c r="K231" s="326"/>
      <c r="L231" s="326"/>
      <c r="M231" s="326"/>
      <c r="N231" s="326"/>
      <c r="O231" s="326"/>
      <c r="P231" s="326"/>
      <c r="Q231" s="326"/>
      <c r="R231" s="269"/>
      <c r="S231" s="249"/>
      <c r="T231" s="224"/>
      <c r="U231" s="271"/>
      <c r="V231" s="271"/>
      <c r="W231" s="271"/>
      <c r="X231" s="271"/>
      <c r="Y231" s="271"/>
      <c r="Z231" s="271"/>
      <c r="AA231" s="271"/>
      <c r="AB231" s="271"/>
      <c r="AC231" s="271"/>
    </row>
    <row r="232" spans="4:29" ht="13.5" customHeight="1" x14ac:dyDescent="0.25">
      <c r="D232" s="289"/>
      <c r="E232" s="324"/>
      <c r="F232" s="324"/>
      <c r="G232" s="324"/>
      <c r="H232" s="289"/>
      <c r="I232" s="325"/>
      <c r="J232" s="326"/>
      <c r="K232" s="326"/>
      <c r="L232" s="326"/>
      <c r="M232" s="326"/>
      <c r="N232" s="326"/>
      <c r="O232" s="326"/>
      <c r="P232" s="326"/>
      <c r="Q232" s="326"/>
      <c r="R232" s="269"/>
      <c r="S232" s="249"/>
      <c r="T232" s="224"/>
      <c r="U232" s="271"/>
      <c r="V232" s="271"/>
      <c r="W232" s="271"/>
      <c r="X232" s="271"/>
      <c r="Y232" s="271"/>
      <c r="Z232" s="271"/>
      <c r="AA232" s="271"/>
      <c r="AB232" s="271"/>
      <c r="AC232" s="271"/>
    </row>
    <row r="233" spans="4:29" ht="13.5" customHeight="1" x14ac:dyDescent="0.25">
      <c r="D233" s="289"/>
      <c r="E233" s="324"/>
      <c r="F233" s="324"/>
      <c r="G233" s="324"/>
      <c r="H233" s="289"/>
      <c r="I233" s="325"/>
      <c r="J233" s="326"/>
      <c r="K233" s="326"/>
      <c r="L233" s="326"/>
      <c r="M233" s="326"/>
      <c r="N233" s="326"/>
      <c r="O233" s="326"/>
      <c r="P233" s="326"/>
      <c r="Q233" s="326"/>
      <c r="R233" s="269"/>
      <c r="S233" s="249"/>
      <c r="T233" s="224"/>
      <c r="U233" s="271"/>
      <c r="V233" s="271"/>
      <c r="W233" s="271"/>
      <c r="X233" s="271"/>
      <c r="Y233" s="271"/>
      <c r="Z233" s="271"/>
      <c r="AA233" s="271"/>
      <c r="AB233" s="271"/>
      <c r="AC233" s="271"/>
    </row>
    <row r="234" spans="4:29" ht="13.5" customHeight="1" x14ac:dyDescent="0.25">
      <c r="D234" s="289"/>
      <c r="E234" s="324"/>
      <c r="F234" s="324"/>
      <c r="G234" s="324"/>
      <c r="H234" s="289"/>
      <c r="I234" s="325"/>
      <c r="J234" s="326"/>
      <c r="K234" s="326"/>
      <c r="L234" s="326"/>
      <c r="M234" s="326"/>
      <c r="N234" s="326"/>
      <c r="O234" s="326"/>
      <c r="P234" s="326"/>
      <c r="Q234" s="326"/>
      <c r="R234" s="269"/>
      <c r="S234" s="249"/>
      <c r="T234" s="224"/>
      <c r="U234" s="271"/>
      <c r="V234" s="271"/>
      <c r="W234" s="271"/>
      <c r="X234" s="271"/>
      <c r="Y234" s="271"/>
      <c r="Z234" s="271"/>
      <c r="AA234" s="271"/>
      <c r="AB234" s="271"/>
      <c r="AC234" s="271"/>
    </row>
    <row r="235" spans="4:29" ht="13.5" customHeight="1" x14ac:dyDescent="0.25">
      <c r="D235" s="289"/>
      <c r="E235" s="324"/>
      <c r="F235" s="324"/>
      <c r="G235" s="324"/>
      <c r="H235" s="289"/>
      <c r="I235" s="325"/>
      <c r="J235" s="326"/>
      <c r="K235" s="326"/>
      <c r="L235" s="326"/>
      <c r="M235" s="326"/>
      <c r="N235" s="326"/>
      <c r="O235" s="326"/>
      <c r="P235" s="326"/>
      <c r="Q235" s="326"/>
      <c r="R235" s="269"/>
      <c r="S235" s="249"/>
      <c r="T235" s="224"/>
      <c r="U235" s="271"/>
      <c r="V235" s="271"/>
      <c r="W235" s="271"/>
      <c r="X235" s="271"/>
      <c r="Y235" s="271"/>
      <c r="Z235" s="271"/>
      <c r="AA235" s="271"/>
      <c r="AB235" s="271"/>
      <c r="AC235" s="271"/>
    </row>
    <row r="236" spans="4:29" ht="13.5" customHeight="1" x14ac:dyDescent="0.25">
      <c r="D236" s="289"/>
      <c r="E236" s="324"/>
      <c r="F236" s="324"/>
      <c r="G236" s="324"/>
      <c r="H236" s="289"/>
      <c r="I236" s="325"/>
      <c r="J236" s="326"/>
      <c r="K236" s="326"/>
      <c r="L236" s="326"/>
      <c r="M236" s="326"/>
      <c r="N236" s="326"/>
      <c r="O236" s="326"/>
      <c r="P236" s="326"/>
      <c r="Q236" s="326"/>
      <c r="R236" s="269"/>
      <c r="S236" s="249"/>
      <c r="T236" s="224"/>
      <c r="U236" s="271"/>
      <c r="V236" s="271"/>
      <c r="W236" s="271"/>
      <c r="X236" s="271"/>
      <c r="Y236" s="271"/>
      <c r="Z236" s="271"/>
      <c r="AA236" s="271"/>
      <c r="AB236" s="271"/>
      <c r="AC236" s="271"/>
    </row>
    <row r="237" spans="4:29" ht="13.5" customHeight="1" x14ac:dyDescent="0.25">
      <c r="D237" s="289"/>
      <c r="E237" s="324"/>
      <c r="F237" s="324"/>
      <c r="G237" s="324"/>
      <c r="H237" s="289"/>
      <c r="I237" s="325"/>
      <c r="J237" s="326"/>
      <c r="K237" s="326"/>
      <c r="L237" s="326"/>
      <c r="M237" s="326"/>
      <c r="N237" s="326"/>
      <c r="O237" s="326"/>
      <c r="P237" s="326"/>
      <c r="Q237" s="326"/>
      <c r="R237" s="269"/>
      <c r="S237" s="249"/>
      <c r="T237" s="224"/>
      <c r="U237" s="271"/>
      <c r="V237" s="271"/>
      <c r="W237" s="271"/>
      <c r="X237" s="271"/>
      <c r="Y237" s="271"/>
      <c r="Z237" s="271"/>
      <c r="AA237" s="271"/>
      <c r="AB237" s="271"/>
      <c r="AC237" s="271"/>
    </row>
    <row r="238" spans="4:29" ht="13.5" customHeight="1" x14ac:dyDescent="0.25">
      <c r="D238" s="289"/>
      <c r="E238" s="324"/>
      <c r="F238" s="324"/>
      <c r="G238" s="324"/>
      <c r="H238" s="289"/>
      <c r="I238" s="325"/>
      <c r="J238" s="326"/>
      <c r="K238" s="326"/>
      <c r="L238" s="326"/>
      <c r="M238" s="326"/>
      <c r="N238" s="326"/>
      <c r="O238" s="326"/>
      <c r="P238" s="326"/>
      <c r="Q238" s="326"/>
      <c r="R238" s="269"/>
      <c r="S238" s="249"/>
      <c r="T238" s="224"/>
      <c r="U238" s="271"/>
      <c r="V238" s="271"/>
      <c r="W238" s="271"/>
      <c r="X238" s="271"/>
      <c r="Y238" s="271"/>
      <c r="Z238" s="271"/>
      <c r="AA238" s="271"/>
      <c r="AB238" s="271"/>
      <c r="AC238" s="271"/>
    </row>
    <row r="239" spans="4:29" ht="13.5" customHeight="1" x14ac:dyDescent="0.25">
      <c r="D239" s="289"/>
      <c r="E239" s="324"/>
      <c r="F239" s="324"/>
      <c r="G239" s="324"/>
      <c r="H239" s="289"/>
      <c r="I239" s="325"/>
      <c r="J239" s="326"/>
      <c r="K239" s="326"/>
      <c r="L239" s="326"/>
      <c r="M239" s="326"/>
      <c r="N239" s="326"/>
      <c r="O239" s="326"/>
      <c r="P239" s="326"/>
      <c r="Q239" s="326"/>
      <c r="R239" s="269"/>
      <c r="S239" s="249"/>
      <c r="T239" s="224"/>
      <c r="U239" s="271"/>
      <c r="V239" s="271"/>
      <c r="W239" s="271"/>
      <c r="X239" s="271"/>
      <c r="Y239" s="271"/>
      <c r="Z239" s="271"/>
      <c r="AA239" s="271"/>
      <c r="AB239" s="271"/>
      <c r="AC239" s="271"/>
    </row>
    <row r="240" spans="4:29" ht="13.5" customHeight="1" x14ac:dyDescent="0.25">
      <c r="E240" s="296"/>
      <c r="F240" s="296"/>
      <c r="G240" s="296"/>
      <c r="I240" s="157"/>
      <c r="J240" s="269"/>
      <c r="K240" s="269"/>
      <c r="L240" s="269"/>
      <c r="M240" s="269"/>
      <c r="N240" s="269"/>
      <c r="O240" s="269"/>
      <c r="P240" s="269"/>
      <c r="Q240" s="269"/>
      <c r="R240" s="269"/>
      <c r="S240" s="249"/>
      <c r="T240" s="224"/>
      <c r="U240" s="271"/>
      <c r="V240" s="271"/>
      <c r="W240" s="271"/>
      <c r="X240" s="271"/>
      <c r="Y240" s="271"/>
      <c r="Z240" s="271"/>
      <c r="AA240" s="271"/>
      <c r="AB240" s="271"/>
      <c r="AC240" s="271"/>
    </row>
    <row r="241" spans="4:29" ht="13.5" customHeight="1" x14ac:dyDescent="0.25">
      <c r="E241" s="296"/>
      <c r="F241" s="296"/>
      <c r="G241" s="296"/>
      <c r="I241" s="157"/>
      <c r="J241" s="269"/>
      <c r="K241" s="269"/>
      <c r="L241" s="269"/>
      <c r="M241" s="269"/>
      <c r="N241" s="269"/>
      <c r="O241" s="269"/>
      <c r="P241" s="269"/>
      <c r="Q241" s="269"/>
      <c r="R241" s="269"/>
      <c r="S241" s="249"/>
      <c r="T241" s="224"/>
      <c r="U241" s="271"/>
      <c r="V241" s="271"/>
      <c r="W241" s="271"/>
      <c r="X241" s="271"/>
      <c r="Y241" s="271"/>
      <c r="Z241" s="271"/>
      <c r="AA241" s="271"/>
      <c r="AB241" s="271"/>
      <c r="AC241" s="271"/>
    </row>
    <row r="242" spans="4:29" ht="13.5" customHeight="1" x14ac:dyDescent="0.25">
      <c r="E242" s="296"/>
      <c r="F242" s="296"/>
      <c r="G242" s="296"/>
      <c r="I242" s="157"/>
      <c r="J242" s="269"/>
      <c r="K242" s="269"/>
      <c r="L242" s="269"/>
      <c r="M242" s="269"/>
      <c r="N242" s="269"/>
      <c r="O242" s="269"/>
      <c r="P242" s="269"/>
      <c r="Q242" s="269"/>
      <c r="R242" s="269"/>
      <c r="S242" s="249"/>
      <c r="T242" s="224"/>
      <c r="U242" s="271"/>
      <c r="V242" s="271"/>
      <c r="W242" s="271"/>
      <c r="X242" s="271"/>
      <c r="Y242" s="271"/>
      <c r="Z242" s="271"/>
      <c r="AA242" s="271"/>
      <c r="AB242" s="271"/>
      <c r="AC242" s="271"/>
    </row>
    <row r="243" spans="4:29" ht="13.5" customHeight="1" x14ac:dyDescent="0.25">
      <c r="E243" s="296"/>
      <c r="F243" s="296"/>
      <c r="G243" s="296"/>
      <c r="I243" s="157"/>
      <c r="J243" s="269"/>
      <c r="K243" s="269"/>
      <c r="L243" s="269"/>
      <c r="M243" s="269"/>
      <c r="N243" s="269"/>
      <c r="O243" s="269"/>
      <c r="P243" s="269"/>
      <c r="Q243" s="269"/>
      <c r="R243" s="269"/>
      <c r="S243" s="249"/>
      <c r="T243" s="221"/>
      <c r="U243" s="271"/>
      <c r="V243" s="271"/>
      <c r="W243" s="271"/>
      <c r="X243" s="271"/>
      <c r="Y243" s="271"/>
      <c r="Z243" s="271"/>
      <c r="AA243" s="271"/>
      <c r="AB243" s="271"/>
      <c r="AC243" s="271"/>
    </row>
    <row r="244" spans="4:29" ht="13.5" customHeight="1" x14ac:dyDescent="0.25">
      <c r="E244" s="296"/>
      <c r="F244" s="296"/>
      <c r="G244" s="296"/>
      <c r="I244" s="157"/>
      <c r="J244" s="269"/>
      <c r="K244" s="269"/>
      <c r="L244" s="269"/>
      <c r="M244" s="269"/>
      <c r="N244" s="269"/>
      <c r="O244" s="269"/>
      <c r="P244" s="269"/>
      <c r="Q244" s="269"/>
      <c r="R244" s="269"/>
      <c r="S244" s="249"/>
      <c r="T244" s="221"/>
      <c r="U244" s="271"/>
      <c r="V244" s="271"/>
      <c r="W244" s="271"/>
      <c r="X244" s="271"/>
      <c r="Y244" s="271"/>
      <c r="Z244" s="271"/>
      <c r="AA244" s="271"/>
      <c r="AB244" s="271"/>
      <c r="AC244" s="271"/>
    </row>
    <row r="245" spans="4:29" ht="13.5" customHeight="1" x14ac:dyDescent="0.25">
      <c r="E245" s="296"/>
      <c r="F245" s="296"/>
      <c r="G245" s="296"/>
      <c r="I245" s="157"/>
      <c r="J245" s="269"/>
      <c r="K245" s="269"/>
      <c r="L245" s="269"/>
      <c r="M245" s="269"/>
      <c r="N245" s="269"/>
      <c r="O245" s="269"/>
      <c r="P245" s="269"/>
      <c r="Q245" s="269"/>
      <c r="R245" s="269"/>
      <c r="S245" s="249"/>
      <c r="T245" s="221"/>
      <c r="U245" s="271"/>
      <c r="V245" s="271"/>
      <c r="W245" s="271"/>
      <c r="X245" s="271"/>
      <c r="Y245" s="271"/>
      <c r="Z245" s="271"/>
      <c r="AA245" s="271"/>
      <c r="AB245" s="271"/>
      <c r="AC245" s="271"/>
    </row>
    <row r="246" spans="4:29" ht="13.5" customHeight="1" x14ac:dyDescent="0.25">
      <c r="E246" s="296"/>
      <c r="F246" s="296"/>
      <c r="G246" s="296"/>
      <c r="I246" s="157"/>
      <c r="J246" s="269"/>
      <c r="K246" s="269"/>
      <c r="L246" s="269"/>
      <c r="M246" s="269"/>
      <c r="N246" s="269"/>
      <c r="O246" s="269"/>
      <c r="P246" s="269"/>
      <c r="Q246" s="269"/>
      <c r="R246" s="269"/>
      <c r="S246" s="249"/>
      <c r="T246" s="221"/>
      <c r="U246" s="271"/>
      <c r="V246" s="271"/>
      <c r="W246" s="271"/>
      <c r="X246" s="271"/>
      <c r="Y246" s="271"/>
      <c r="Z246" s="271"/>
      <c r="AA246" s="271"/>
      <c r="AB246" s="271"/>
      <c r="AC246" s="271"/>
    </row>
    <row r="247" spans="4:29" ht="13.5" customHeight="1" x14ac:dyDescent="0.25">
      <c r="E247" s="296"/>
      <c r="F247" s="296"/>
      <c r="G247" s="296"/>
      <c r="I247" s="157"/>
      <c r="J247" s="269"/>
      <c r="K247" s="269"/>
      <c r="L247" s="269"/>
      <c r="M247" s="269"/>
      <c r="N247" s="269"/>
      <c r="O247" s="269"/>
      <c r="P247" s="269"/>
      <c r="Q247" s="269"/>
      <c r="R247" s="269"/>
      <c r="S247" s="249"/>
      <c r="T247" s="221"/>
      <c r="U247" s="271"/>
      <c r="V247" s="271"/>
      <c r="W247" s="271"/>
      <c r="X247" s="271"/>
      <c r="Y247" s="271"/>
      <c r="Z247" s="271"/>
      <c r="AA247" s="271"/>
      <c r="AB247" s="271"/>
      <c r="AC247" s="271"/>
    </row>
    <row r="248" spans="4:29" ht="13.5" customHeight="1" x14ac:dyDescent="0.25">
      <c r="E248" s="296"/>
      <c r="F248" s="296"/>
      <c r="G248" s="296"/>
      <c r="I248" s="157"/>
      <c r="J248" s="269"/>
      <c r="K248" s="269"/>
      <c r="L248" s="269"/>
      <c r="M248" s="269"/>
      <c r="N248" s="269"/>
      <c r="O248" s="269"/>
      <c r="P248" s="269"/>
      <c r="Q248" s="269"/>
      <c r="R248" s="269"/>
      <c r="S248" s="249"/>
      <c r="T248" s="221"/>
      <c r="U248" s="271"/>
      <c r="V248" s="271"/>
      <c r="W248" s="271"/>
      <c r="X248" s="271"/>
      <c r="Y248" s="271"/>
      <c r="Z248" s="271"/>
      <c r="AA248" s="271"/>
      <c r="AB248" s="271"/>
      <c r="AC248" s="271"/>
    </row>
    <row r="249" spans="4:29" ht="13.5" customHeight="1" x14ac:dyDescent="0.25">
      <c r="E249" s="296"/>
      <c r="F249" s="296"/>
      <c r="G249" s="296"/>
      <c r="I249" s="157"/>
      <c r="J249" s="269"/>
      <c r="K249" s="269"/>
      <c r="L249" s="269"/>
      <c r="M249" s="269"/>
      <c r="N249" s="269"/>
      <c r="O249" s="269"/>
      <c r="P249" s="269"/>
      <c r="Q249" s="269"/>
      <c r="R249" s="269"/>
      <c r="S249" s="249"/>
      <c r="T249" s="221"/>
      <c r="U249" s="271"/>
      <c r="V249" s="271"/>
      <c r="W249" s="271"/>
      <c r="X249" s="271"/>
      <c r="Y249" s="271"/>
      <c r="Z249" s="271"/>
      <c r="AA249" s="271"/>
      <c r="AB249" s="271"/>
      <c r="AC249" s="271"/>
    </row>
    <row r="250" spans="4:29" ht="13.5" customHeight="1" x14ac:dyDescent="0.25">
      <c r="E250" s="296"/>
      <c r="F250" s="296"/>
      <c r="G250" s="296"/>
      <c r="I250" s="157"/>
      <c r="J250" s="269"/>
      <c r="K250" s="269"/>
      <c r="L250" s="269"/>
      <c r="M250" s="269"/>
      <c r="N250" s="269"/>
      <c r="O250" s="269"/>
      <c r="P250" s="269"/>
      <c r="Q250" s="269"/>
      <c r="R250" s="269"/>
      <c r="S250" s="249"/>
      <c r="T250" s="221"/>
      <c r="U250" s="271"/>
      <c r="V250" s="271"/>
      <c r="W250" s="271"/>
      <c r="X250" s="271"/>
      <c r="Y250" s="271"/>
      <c r="Z250" s="271"/>
      <c r="AA250" s="271"/>
      <c r="AB250" s="271"/>
      <c r="AC250" s="271"/>
    </row>
    <row r="251" spans="4:29" ht="13.5" customHeight="1" x14ac:dyDescent="0.25">
      <c r="E251" s="296"/>
      <c r="F251" s="296"/>
      <c r="G251" s="296"/>
      <c r="I251" s="157"/>
      <c r="J251" s="269"/>
      <c r="K251" s="269"/>
      <c r="L251" s="269"/>
      <c r="M251" s="269"/>
      <c r="N251" s="269"/>
      <c r="O251" s="269"/>
      <c r="P251" s="269"/>
      <c r="Q251" s="269"/>
      <c r="R251" s="269"/>
      <c r="S251" s="249"/>
      <c r="T251" s="221"/>
      <c r="U251" s="271"/>
      <c r="V251" s="271"/>
      <c r="W251" s="271"/>
      <c r="X251" s="271"/>
      <c r="Y251" s="271"/>
      <c r="Z251" s="271"/>
      <c r="AA251" s="271"/>
      <c r="AB251" s="271"/>
      <c r="AC251" s="271"/>
    </row>
    <row r="252" spans="4:29" ht="13.5" customHeight="1" x14ac:dyDescent="0.25">
      <c r="E252" s="296"/>
      <c r="F252" s="296"/>
      <c r="G252" s="296"/>
      <c r="I252" s="157"/>
      <c r="J252" s="269"/>
      <c r="K252" s="269"/>
      <c r="L252" s="269"/>
      <c r="M252" s="269"/>
      <c r="N252" s="269"/>
      <c r="O252" s="269"/>
      <c r="P252" s="269"/>
      <c r="Q252" s="269"/>
      <c r="R252" s="269"/>
      <c r="S252" s="249"/>
      <c r="T252" s="221"/>
      <c r="U252" s="271"/>
      <c r="V252" s="271"/>
      <c r="W252" s="271"/>
      <c r="X252" s="271"/>
      <c r="Y252" s="271"/>
      <c r="Z252" s="271"/>
      <c r="AA252" s="271"/>
      <c r="AB252" s="271"/>
      <c r="AC252" s="271"/>
    </row>
    <row r="253" spans="4:29" ht="13.5" customHeight="1" x14ac:dyDescent="0.25">
      <c r="E253" s="296"/>
      <c r="F253" s="296"/>
      <c r="G253" s="296"/>
      <c r="I253" s="157"/>
      <c r="J253" s="269"/>
      <c r="K253" s="269"/>
      <c r="L253" s="269"/>
      <c r="M253" s="269"/>
      <c r="N253" s="269"/>
      <c r="O253" s="269"/>
      <c r="P253" s="269"/>
      <c r="Q253" s="269"/>
      <c r="R253" s="269"/>
      <c r="S253" s="249"/>
      <c r="T253" s="221"/>
      <c r="U253" s="271"/>
      <c r="V253" s="271"/>
      <c r="W253" s="271"/>
      <c r="X253" s="271"/>
      <c r="Y253" s="271"/>
      <c r="Z253" s="271"/>
      <c r="AA253" s="271"/>
      <c r="AB253" s="271"/>
      <c r="AC253" s="271"/>
    </row>
    <row r="254" spans="4:29" ht="13.5" customHeight="1" x14ac:dyDescent="0.25">
      <c r="E254" s="296"/>
      <c r="F254" s="296"/>
      <c r="G254" s="296"/>
      <c r="I254" s="157"/>
      <c r="J254" s="269"/>
      <c r="K254" s="269"/>
      <c r="L254" s="269"/>
      <c r="M254" s="269"/>
      <c r="N254" s="269"/>
      <c r="O254" s="269"/>
      <c r="P254" s="269"/>
      <c r="Q254" s="269"/>
      <c r="R254" s="269"/>
      <c r="S254" s="249"/>
      <c r="T254" s="221"/>
      <c r="U254" s="271"/>
      <c r="V254" s="271"/>
      <c r="W254" s="271"/>
      <c r="X254" s="271"/>
      <c r="Y254" s="271"/>
      <c r="Z254" s="271"/>
      <c r="AA254" s="271"/>
      <c r="AB254" s="271"/>
      <c r="AC254" s="271"/>
    </row>
    <row r="255" spans="4:29" ht="13.5" customHeight="1" thickBot="1" x14ac:dyDescent="0.3">
      <c r="E255" s="296"/>
      <c r="F255" s="296"/>
      <c r="G255" s="296"/>
      <c r="I255" s="157"/>
      <c r="J255" s="269"/>
      <c r="K255" s="269"/>
      <c r="L255" s="269"/>
      <c r="M255" s="269"/>
      <c r="N255" s="269"/>
      <c r="O255" s="269"/>
      <c r="P255" s="269"/>
      <c r="Q255" s="269"/>
      <c r="R255" s="269"/>
      <c r="S255" s="249"/>
      <c r="T255" s="221"/>
      <c r="U255" s="271"/>
      <c r="V255" s="271"/>
      <c r="W255" s="271"/>
      <c r="X255" s="271"/>
      <c r="Y255" s="271"/>
      <c r="Z255" s="271"/>
      <c r="AA255" s="271"/>
      <c r="AB255" s="271"/>
      <c r="AC255" s="271"/>
    </row>
    <row r="256" spans="4:29" ht="13.5" customHeight="1" thickTop="1" thickBot="1" x14ac:dyDescent="0.3">
      <c r="D256" s="286"/>
      <c r="E256" s="297"/>
      <c r="F256" s="297"/>
      <c r="G256" s="297"/>
      <c r="I256" s="157"/>
      <c r="J256" s="157"/>
    </row>
    <row r="257" spans="4:29" ht="13.5" customHeight="1" thickTop="1" thickBot="1" x14ac:dyDescent="0.3">
      <c r="D257" s="286"/>
      <c r="E257" s="299"/>
      <c r="F257" s="299"/>
      <c r="G257" s="299"/>
      <c r="I257" s="157"/>
      <c r="J257" s="157"/>
      <c r="T257" s="59"/>
      <c r="U257" s="298"/>
      <c r="V257" s="298"/>
      <c r="W257" s="298"/>
      <c r="X257" s="298"/>
      <c r="Y257" s="298"/>
      <c r="Z257" s="298"/>
      <c r="AA257" s="298"/>
      <c r="AB257" s="298"/>
      <c r="AC257" s="298"/>
    </row>
    <row r="258" spans="4:29" ht="13.5" customHeight="1" thickTop="1" x14ac:dyDescent="0.25">
      <c r="I258" s="157"/>
      <c r="J258" s="157"/>
    </row>
    <row r="259" spans="4:29" ht="13.5" customHeight="1" x14ac:dyDescent="0.3">
      <c r="D259" s="35"/>
      <c r="E259" s="214"/>
      <c r="F259" s="214"/>
      <c r="G259" s="214"/>
      <c r="I259" s="157"/>
      <c r="J259" s="245"/>
      <c r="K259" s="245"/>
      <c r="L259" s="245"/>
      <c r="M259" s="245"/>
      <c r="N259" s="245"/>
      <c r="O259" s="245"/>
      <c r="P259" s="245"/>
      <c r="Q259" s="245"/>
      <c r="R259" s="245"/>
      <c r="S259" s="245"/>
      <c r="T259" s="246"/>
      <c r="U259" s="244"/>
      <c r="V259" s="244"/>
      <c r="W259" s="244"/>
      <c r="X259" s="244"/>
      <c r="Y259" s="244"/>
      <c r="Z259" s="244"/>
      <c r="AA259" s="244"/>
      <c r="AB259" s="244"/>
      <c r="AC259" s="244"/>
    </row>
    <row r="260" spans="4:29" ht="13.5" customHeight="1" x14ac:dyDescent="0.25">
      <c r="E260" s="296"/>
      <c r="F260" s="296"/>
      <c r="G260" s="296"/>
      <c r="I260" s="157"/>
      <c r="J260" s="269"/>
      <c r="K260" s="269"/>
      <c r="L260" s="269"/>
      <c r="M260" s="269"/>
      <c r="N260" s="269"/>
      <c r="O260" s="269"/>
      <c r="P260" s="269"/>
      <c r="Q260" s="269"/>
      <c r="R260" s="269"/>
      <c r="S260" s="249"/>
      <c r="T260" s="224"/>
      <c r="U260" s="271"/>
      <c r="V260" s="271"/>
      <c r="W260" s="271"/>
      <c r="X260" s="271"/>
      <c r="Y260" s="271"/>
      <c r="Z260" s="271"/>
      <c r="AA260" s="271"/>
      <c r="AB260" s="271"/>
      <c r="AC260" s="271"/>
    </row>
    <row r="261" spans="4:29" ht="13.5" customHeight="1" x14ac:dyDescent="0.25">
      <c r="E261" s="296"/>
      <c r="F261" s="296"/>
      <c r="G261" s="296"/>
      <c r="I261" s="157"/>
      <c r="J261" s="269"/>
      <c r="K261" s="269"/>
      <c r="L261" s="269"/>
      <c r="M261" s="269"/>
      <c r="N261" s="269"/>
      <c r="O261" s="269"/>
      <c r="P261" s="269"/>
      <c r="Q261" s="269"/>
      <c r="R261" s="269"/>
      <c r="S261" s="249"/>
      <c r="T261" s="224"/>
      <c r="U261" s="271"/>
      <c r="V261" s="271"/>
      <c r="W261" s="271"/>
      <c r="X261" s="271"/>
      <c r="Y261" s="271"/>
      <c r="Z261" s="271"/>
      <c r="AA261" s="271"/>
      <c r="AB261" s="271"/>
      <c r="AC261" s="271"/>
    </row>
    <row r="262" spans="4:29" ht="13.5" customHeight="1" x14ac:dyDescent="0.25">
      <c r="E262" s="296"/>
      <c r="F262" s="296"/>
      <c r="G262" s="296"/>
      <c r="I262" s="157"/>
      <c r="J262" s="269"/>
      <c r="K262" s="269"/>
      <c r="L262" s="269"/>
      <c r="M262" s="269"/>
      <c r="N262" s="269"/>
      <c r="O262" s="269"/>
      <c r="P262" s="269"/>
      <c r="Q262" s="269"/>
      <c r="R262" s="269"/>
      <c r="S262" s="249"/>
      <c r="T262" s="224"/>
      <c r="U262" s="271"/>
      <c r="V262" s="271"/>
      <c r="W262" s="271"/>
      <c r="X262" s="271"/>
      <c r="Y262" s="271"/>
      <c r="Z262" s="271"/>
      <c r="AA262" s="271"/>
      <c r="AB262" s="271"/>
      <c r="AC262" s="271"/>
    </row>
    <row r="263" spans="4:29" ht="13.5" customHeight="1" x14ac:dyDescent="0.25">
      <c r="E263" s="296"/>
      <c r="F263" s="296"/>
      <c r="G263" s="296"/>
      <c r="I263" s="157"/>
      <c r="J263" s="269"/>
      <c r="K263" s="269"/>
      <c r="L263" s="269"/>
      <c r="M263" s="269"/>
      <c r="N263" s="269"/>
      <c r="O263" s="269"/>
      <c r="P263" s="269"/>
      <c r="Q263" s="269"/>
      <c r="R263" s="269"/>
      <c r="S263" s="249"/>
      <c r="T263" s="224"/>
      <c r="U263" s="271"/>
      <c r="V263" s="271"/>
      <c r="W263" s="271"/>
      <c r="X263" s="271"/>
      <c r="Y263" s="271"/>
      <c r="Z263" s="271"/>
      <c r="AA263" s="271"/>
      <c r="AB263" s="271"/>
      <c r="AC263" s="271"/>
    </row>
    <row r="264" spans="4:29" ht="13.5" customHeight="1" x14ac:dyDescent="0.25">
      <c r="E264" s="296"/>
      <c r="F264" s="296"/>
      <c r="G264" s="296"/>
      <c r="I264" s="157"/>
      <c r="J264" s="269"/>
      <c r="K264" s="269"/>
      <c r="L264" s="269"/>
      <c r="M264" s="269"/>
      <c r="N264" s="269"/>
      <c r="O264" s="269"/>
      <c r="P264" s="269"/>
      <c r="Q264" s="269"/>
      <c r="R264" s="269"/>
      <c r="S264" s="249"/>
      <c r="T264" s="224"/>
      <c r="U264" s="271"/>
      <c r="V264" s="271"/>
      <c r="W264" s="271"/>
      <c r="X264" s="271"/>
      <c r="Y264" s="271"/>
      <c r="Z264" s="271"/>
      <c r="AA264" s="271"/>
      <c r="AB264" s="271"/>
      <c r="AC264" s="271"/>
    </row>
    <row r="265" spans="4:29" ht="13.5" customHeight="1" x14ac:dyDescent="0.25">
      <c r="E265" s="296"/>
      <c r="F265" s="296"/>
      <c r="G265" s="296"/>
      <c r="I265" s="157"/>
      <c r="J265" s="269"/>
      <c r="K265" s="269"/>
      <c r="L265" s="269"/>
      <c r="M265" s="269"/>
      <c r="N265" s="269"/>
      <c r="O265" s="269"/>
      <c r="P265" s="269"/>
      <c r="Q265" s="269"/>
      <c r="R265" s="269"/>
      <c r="S265" s="249"/>
      <c r="T265" s="224"/>
      <c r="U265" s="271"/>
      <c r="V265" s="271"/>
      <c r="W265" s="271"/>
      <c r="X265" s="271"/>
      <c r="Y265" s="271"/>
      <c r="Z265" s="271"/>
      <c r="AA265" s="271"/>
      <c r="AB265" s="271"/>
      <c r="AC265" s="271"/>
    </row>
    <row r="266" spans="4:29" ht="13.5" customHeight="1" x14ac:dyDescent="0.25">
      <c r="E266" s="296"/>
      <c r="F266" s="296"/>
      <c r="G266" s="296"/>
      <c r="I266" s="157"/>
      <c r="J266" s="269"/>
      <c r="K266" s="269"/>
      <c r="L266" s="269"/>
      <c r="M266" s="269"/>
      <c r="N266" s="269"/>
      <c r="O266" s="269"/>
      <c r="P266" s="269"/>
      <c r="Q266" s="269"/>
      <c r="R266" s="269"/>
      <c r="S266" s="249"/>
      <c r="T266" s="224"/>
      <c r="U266" s="271"/>
      <c r="V266" s="271"/>
      <c r="W266" s="271"/>
      <c r="X266" s="271"/>
      <c r="Y266" s="271"/>
      <c r="Z266" s="271"/>
      <c r="AA266" s="271"/>
      <c r="AB266" s="271"/>
      <c r="AC266" s="271"/>
    </row>
    <row r="267" spans="4:29" ht="13.5" customHeight="1" x14ac:dyDescent="0.25">
      <c r="E267" s="296"/>
      <c r="F267" s="296"/>
      <c r="G267" s="296"/>
      <c r="I267" s="157"/>
      <c r="J267" s="269"/>
      <c r="K267" s="269"/>
      <c r="L267" s="269"/>
      <c r="M267" s="269"/>
      <c r="N267" s="269"/>
      <c r="O267" s="269"/>
      <c r="P267" s="269"/>
      <c r="Q267" s="269"/>
      <c r="R267" s="269"/>
      <c r="S267" s="249"/>
      <c r="T267" s="224"/>
      <c r="U267" s="271"/>
      <c r="V267" s="271"/>
      <c r="W267" s="271"/>
      <c r="X267" s="271"/>
      <c r="Y267" s="271"/>
      <c r="Z267" s="271"/>
      <c r="AA267" s="271"/>
      <c r="AB267" s="271"/>
      <c r="AC267" s="271"/>
    </row>
    <row r="268" spans="4:29" ht="13.5" customHeight="1" x14ac:dyDescent="0.25">
      <c r="E268" s="296"/>
      <c r="F268" s="296"/>
      <c r="G268" s="296"/>
      <c r="I268" s="157"/>
      <c r="J268" s="269"/>
      <c r="K268" s="269"/>
      <c r="L268" s="269"/>
      <c r="M268" s="269"/>
      <c r="N268" s="269"/>
      <c r="O268" s="269"/>
      <c r="P268" s="269"/>
      <c r="Q268" s="269"/>
      <c r="R268" s="269"/>
      <c r="S268" s="249"/>
      <c r="T268" s="224"/>
      <c r="U268" s="271"/>
      <c r="V268" s="271"/>
      <c r="W268" s="271"/>
      <c r="X268" s="271"/>
      <c r="Y268" s="271"/>
      <c r="Z268" s="271"/>
      <c r="AA268" s="271"/>
      <c r="AB268" s="271"/>
      <c r="AC268" s="271"/>
    </row>
    <row r="269" spans="4:29" ht="13.5" customHeight="1" x14ac:dyDescent="0.25">
      <c r="E269" s="296"/>
      <c r="F269" s="296"/>
      <c r="G269" s="296"/>
      <c r="I269" s="157"/>
      <c r="J269" s="269"/>
      <c r="K269" s="269"/>
      <c r="L269" s="269"/>
      <c r="M269" s="269"/>
      <c r="N269" s="269"/>
      <c r="O269" s="269"/>
      <c r="P269" s="269"/>
      <c r="Q269" s="269"/>
      <c r="R269" s="269"/>
      <c r="S269" s="249"/>
      <c r="T269" s="224"/>
      <c r="U269" s="271"/>
      <c r="V269" s="271"/>
      <c r="W269" s="271"/>
      <c r="X269" s="271"/>
      <c r="Y269" s="271"/>
      <c r="Z269" s="271"/>
      <c r="AA269" s="271"/>
      <c r="AB269" s="271"/>
      <c r="AC269" s="271"/>
    </row>
    <row r="270" spans="4:29" ht="13.5" customHeight="1" x14ac:dyDescent="0.25">
      <c r="E270" s="296"/>
      <c r="F270" s="296"/>
      <c r="G270" s="296"/>
      <c r="I270" s="157"/>
      <c r="J270" s="269"/>
      <c r="K270" s="269"/>
      <c r="L270" s="269"/>
      <c r="M270" s="269"/>
      <c r="N270" s="269"/>
      <c r="O270" s="269"/>
      <c r="P270" s="269"/>
      <c r="Q270" s="269"/>
      <c r="R270" s="269"/>
      <c r="S270" s="249"/>
      <c r="T270" s="224"/>
      <c r="U270" s="271"/>
      <c r="V270" s="271"/>
      <c r="W270" s="271"/>
      <c r="X270" s="271"/>
      <c r="Y270" s="271"/>
      <c r="Z270" s="271"/>
      <c r="AA270" s="271"/>
      <c r="AB270" s="271"/>
      <c r="AC270" s="271"/>
    </row>
    <row r="271" spans="4:29" ht="13.5" customHeight="1" x14ac:dyDescent="0.25">
      <c r="E271" s="296"/>
      <c r="F271" s="296"/>
      <c r="G271" s="296"/>
      <c r="I271" s="157"/>
      <c r="J271" s="269"/>
      <c r="K271" s="269"/>
      <c r="L271" s="269"/>
      <c r="M271" s="269"/>
      <c r="N271" s="269"/>
      <c r="O271" s="269"/>
      <c r="P271" s="269"/>
      <c r="Q271" s="269"/>
      <c r="R271" s="269"/>
      <c r="S271" s="249"/>
      <c r="T271" s="224"/>
      <c r="U271" s="271"/>
      <c r="V271" s="271"/>
      <c r="W271" s="271"/>
      <c r="X271" s="271"/>
      <c r="Y271" s="271"/>
      <c r="Z271" s="271"/>
      <c r="AA271" s="271"/>
      <c r="AB271" s="271"/>
      <c r="AC271" s="271"/>
    </row>
    <row r="272" spans="4:29" ht="13.5" customHeight="1" x14ac:dyDescent="0.25">
      <c r="E272" s="296"/>
      <c r="F272" s="296"/>
      <c r="G272" s="296"/>
      <c r="I272" s="157"/>
      <c r="J272" s="269"/>
      <c r="K272" s="269"/>
      <c r="L272" s="269"/>
      <c r="M272" s="269"/>
      <c r="N272" s="269"/>
      <c r="O272" s="269"/>
      <c r="P272" s="269"/>
      <c r="Q272" s="269"/>
      <c r="R272" s="269"/>
      <c r="S272" s="249"/>
      <c r="T272" s="224"/>
      <c r="U272" s="271"/>
      <c r="V272" s="271"/>
      <c r="W272" s="271"/>
      <c r="X272" s="271"/>
      <c r="Y272" s="271"/>
      <c r="Z272" s="271"/>
      <c r="AA272" s="271"/>
      <c r="AB272" s="271"/>
      <c r="AC272" s="271"/>
    </row>
    <row r="273" spans="5:29" ht="13.5" customHeight="1" x14ac:dyDescent="0.25">
      <c r="E273" s="296"/>
      <c r="F273" s="296"/>
      <c r="G273" s="296"/>
      <c r="I273" s="157"/>
      <c r="J273" s="269"/>
      <c r="K273" s="269"/>
      <c r="L273" s="269"/>
      <c r="M273" s="269"/>
      <c r="N273" s="269"/>
      <c r="O273" s="269"/>
      <c r="P273" s="269"/>
      <c r="Q273" s="269"/>
      <c r="R273" s="269"/>
      <c r="S273" s="249"/>
      <c r="T273" s="224"/>
      <c r="U273" s="271"/>
      <c r="V273" s="271"/>
      <c r="W273" s="271"/>
      <c r="X273" s="271"/>
      <c r="Y273" s="271"/>
      <c r="Z273" s="271"/>
      <c r="AA273" s="271"/>
      <c r="AB273" s="271"/>
      <c r="AC273" s="271"/>
    </row>
    <row r="274" spans="5:29" ht="13.5" customHeight="1" x14ac:dyDescent="0.25">
      <c r="E274" s="296"/>
      <c r="F274" s="296"/>
      <c r="G274" s="296"/>
      <c r="I274" s="157"/>
      <c r="J274" s="269"/>
      <c r="K274" s="269"/>
      <c r="L274" s="269"/>
      <c r="M274" s="269"/>
      <c r="N274" s="269"/>
      <c r="O274" s="269"/>
      <c r="P274" s="269"/>
      <c r="Q274" s="269"/>
      <c r="R274" s="269"/>
      <c r="S274" s="249"/>
      <c r="T274" s="224"/>
      <c r="U274" s="271"/>
      <c r="V274" s="271"/>
      <c r="W274" s="271"/>
      <c r="X274" s="271"/>
      <c r="Y274" s="271"/>
      <c r="Z274" s="271"/>
      <c r="AA274" s="271"/>
      <c r="AB274" s="271"/>
      <c r="AC274" s="271"/>
    </row>
    <row r="275" spans="5:29" ht="13.5" customHeight="1" x14ac:dyDescent="0.25">
      <c r="E275" s="296"/>
      <c r="F275" s="296"/>
      <c r="G275" s="296"/>
      <c r="I275" s="157"/>
      <c r="J275" s="269"/>
      <c r="K275" s="269"/>
      <c r="L275" s="269"/>
      <c r="M275" s="269"/>
      <c r="N275" s="269"/>
      <c r="O275" s="269"/>
      <c r="P275" s="269"/>
      <c r="Q275" s="269"/>
      <c r="R275" s="269"/>
      <c r="S275" s="249"/>
      <c r="T275" s="224"/>
      <c r="U275" s="271"/>
      <c r="V275" s="271"/>
      <c r="W275" s="271"/>
      <c r="X275" s="271"/>
      <c r="Y275" s="271"/>
      <c r="Z275" s="271"/>
      <c r="AA275" s="271"/>
      <c r="AB275" s="271"/>
      <c r="AC275" s="271"/>
    </row>
    <row r="276" spans="5:29" ht="13.5" customHeight="1" x14ac:dyDescent="0.25">
      <c r="E276" s="296"/>
      <c r="F276" s="296"/>
      <c r="G276" s="296"/>
      <c r="I276" s="157"/>
      <c r="J276" s="269"/>
      <c r="K276" s="269"/>
      <c r="L276" s="269"/>
      <c r="M276" s="269"/>
      <c r="N276" s="269"/>
      <c r="O276" s="269"/>
      <c r="P276" s="269"/>
      <c r="Q276" s="269"/>
      <c r="R276" s="269"/>
      <c r="S276" s="249"/>
      <c r="T276" s="224"/>
      <c r="U276" s="271"/>
      <c r="V276" s="271"/>
      <c r="W276" s="271"/>
      <c r="X276" s="271"/>
      <c r="Y276" s="271"/>
      <c r="Z276" s="271"/>
      <c r="AA276" s="271"/>
      <c r="AB276" s="271"/>
      <c r="AC276" s="271"/>
    </row>
    <row r="277" spans="5:29" ht="13.5" customHeight="1" x14ac:dyDescent="0.25">
      <c r="E277" s="296"/>
      <c r="F277" s="296"/>
      <c r="G277" s="296"/>
      <c r="I277" s="157"/>
      <c r="J277" s="269"/>
      <c r="K277" s="269"/>
      <c r="L277" s="269"/>
      <c r="M277" s="269"/>
      <c r="N277" s="269"/>
      <c r="O277" s="269"/>
      <c r="P277" s="269"/>
      <c r="Q277" s="269"/>
      <c r="R277" s="269"/>
      <c r="S277" s="249"/>
      <c r="T277" s="224"/>
      <c r="U277" s="271"/>
      <c r="V277" s="271"/>
      <c r="W277" s="271"/>
      <c r="X277" s="271"/>
      <c r="Y277" s="271"/>
      <c r="Z277" s="271"/>
      <c r="AA277" s="271"/>
      <c r="AB277" s="271"/>
      <c r="AC277" s="271"/>
    </row>
    <row r="278" spans="5:29" ht="13.5" customHeight="1" x14ac:dyDescent="0.25">
      <c r="E278" s="296"/>
      <c r="F278" s="296"/>
      <c r="G278" s="296"/>
      <c r="I278" s="157"/>
      <c r="J278" s="269"/>
      <c r="K278" s="269"/>
      <c r="L278" s="269"/>
      <c r="M278" s="269"/>
      <c r="N278" s="269"/>
      <c r="O278" s="269"/>
      <c r="P278" s="269"/>
      <c r="Q278" s="269"/>
      <c r="R278" s="269"/>
      <c r="S278" s="249"/>
      <c r="T278" s="221"/>
      <c r="U278" s="271"/>
      <c r="V278" s="271"/>
      <c r="W278" s="271"/>
      <c r="X278" s="271"/>
      <c r="Y278" s="271"/>
      <c r="Z278" s="271"/>
      <c r="AA278" s="271"/>
      <c r="AB278" s="271"/>
      <c r="AC278" s="271"/>
    </row>
    <row r="279" spans="5:29" ht="13.5" customHeight="1" x14ac:dyDescent="0.25">
      <c r="E279" s="296"/>
      <c r="F279" s="296"/>
      <c r="G279" s="296"/>
      <c r="I279" s="157"/>
      <c r="J279" s="269"/>
      <c r="K279" s="269"/>
      <c r="L279" s="269"/>
      <c r="M279" s="269"/>
      <c r="N279" s="269"/>
      <c r="O279" s="269"/>
      <c r="P279" s="269"/>
      <c r="Q279" s="269"/>
      <c r="R279" s="269"/>
      <c r="S279" s="249"/>
      <c r="T279" s="221"/>
      <c r="U279" s="271"/>
      <c r="V279" s="271"/>
      <c r="W279" s="271"/>
      <c r="X279" s="271"/>
      <c r="Y279" s="271"/>
      <c r="Z279" s="271"/>
      <c r="AA279" s="271"/>
      <c r="AB279" s="271"/>
      <c r="AC279" s="271"/>
    </row>
    <row r="280" spans="5:29" ht="13.5" customHeight="1" x14ac:dyDescent="0.25">
      <c r="E280" s="296"/>
      <c r="F280" s="296"/>
      <c r="G280" s="296"/>
      <c r="I280" s="157"/>
      <c r="J280" s="269"/>
      <c r="K280" s="269"/>
      <c r="L280" s="269"/>
      <c r="M280" s="269"/>
      <c r="N280" s="269"/>
      <c r="O280" s="269"/>
      <c r="P280" s="269"/>
      <c r="Q280" s="269"/>
      <c r="R280" s="269"/>
      <c r="S280" s="249"/>
      <c r="T280" s="221"/>
      <c r="U280" s="271"/>
      <c r="V280" s="271"/>
      <c r="W280" s="271"/>
      <c r="X280" s="271"/>
      <c r="Y280" s="271"/>
      <c r="Z280" s="271"/>
      <c r="AA280" s="271"/>
      <c r="AB280" s="271"/>
      <c r="AC280" s="271"/>
    </row>
    <row r="281" spans="5:29" ht="13.5" customHeight="1" x14ac:dyDescent="0.25">
      <c r="E281" s="296"/>
      <c r="F281" s="296"/>
      <c r="G281" s="296"/>
      <c r="I281" s="157"/>
      <c r="J281" s="269"/>
      <c r="K281" s="269"/>
      <c r="L281" s="269"/>
      <c r="M281" s="269"/>
      <c r="N281" s="269"/>
      <c r="O281" s="269"/>
      <c r="P281" s="269"/>
      <c r="Q281" s="269"/>
      <c r="R281" s="269"/>
      <c r="S281" s="249"/>
      <c r="T281" s="221"/>
      <c r="U281" s="271"/>
      <c r="V281" s="271"/>
      <c r="W281" s="271"/>
      <c r="X281" s="271"/>
      <c r="Y281" s="271"/>
      <c r="Z281" s="271"/>
      <c r="AA281" s="271"/>
      <c r="AB281" s="271"/>
      <c r="AC281" s="271"/>
    </row>
    <row r="282" spans="5:29" ht="13.5" customHeight="1" x14ac:dyDescent="0.25">
      <c r="E282" s="296"/>
      <c r="F282" s="296"/>
      <c r="G282" s="296"/>
      <c r="I282" s="157"/>
      <c r="J282" s="269"/>
      <c r="K282" s="269"/>
      <c r="L282" s="269"/>
      <c r="M282" s="269"/>
      <c r="N282" s="269"/>
      <c r="O282" s="269"/>
      <c r="P282" s="269"/>
      <c r="Q282" s="269"/>
      <c r="R282" s="269"/>
      <c r="S282" s="249"/>
      <c r="T282" s="221"/>
      <c r="U282" s="271"/>
      <c r="V282" s="271"/>
      <c r="W282" s="271"/>
      <c r="X282" s="271"/>
      <c r="Y282" s="271"/>
      <c r="Z282" s="271"/>
      <c r="AA282" s="271"/>
      <c r="AB282" s="271"/>
      <c r="AC282" s="271"/>
    </row>
    <row r="283" spans="5:29" ht="13.5" customHeight="1" x14ac:dyDescent="0.25">
      <c r="E283" s="296"/>
      <c r="F283" s="296"/>
      <c r="G283" s="296"/>
      <c r="I283" s="157"/>
      <c r="J283" s="269"/>
      <c r="K283" s="269"/>
      <c r="L283" s="269"/>
      <c r="M283" s="269"/>
      <c r="N283" s="269"/>
      <c r="O283" s="269"/>
      <c r="P283" s="269"/>
      <c r="Q283" s="269"/>
      <c r="R283" s="269"/>
      <c r="S283" s="249"/>
      <c r="T283" s="221"/>
      <c r="U283" s="271"/>
      <c r="V283" s="271"/>
      <c r="W283" s="271"/>
      <c r="X283" s="271"/>
      <c r="Y283" s="271"/>
      <c r="Z283" s="271"/>
      <c r="AA283" s="271"/>
      <c r="AB283" s="271"/>
      <c r="AC283" s="271"/>
    </row>
    <row r="284" spans="5:29" ht="13.5" customHeight="1" x14ac:dyDescent="0.25">
      <c r="E284" s="296"/>
      <c r="F284" s="296"/>
      <c r="G284" s="296"/>
      <c r="I284" s="157"/>
      <c r="J284" s="269"/>
      <c r="K284" s="269"/>
      <c r="L284" s="269"/>
      <c r="M284" s="269"/>
      <c r="N284" s="269"/>
      <c r="O284" s="269"/>
      <c r="P284" s="269"/>
      <c r="Q284" s="269"/>
      <c r="R284" s="269"/>
      <c r="S284" s="249"/>
      <c r="T284" s="221"/>
      <c r="U284" s="271"/>
      <c r="V284" s="271"/>
      <c r="W284" s="271"/>
      <c r="X284" s="271"/>
      <c r="Y284" s="271"/>
      <c r="Z284" s="271"/>
      <c r="AA284" s="271"/>
      <c r="AB284" s="271"/>
      <c r="AC284" s="271"/>
    </row>
    <row r="285" spans="5:29" ht="13.5" customHeight="1" x14ac:dyDescent="0.25">
      <c r="E285" s="296"/>
      <c r="F285" s="296"/>
      <c r="G285" s="296"/>
      <c r="I285" s="157"/>
      <c r="J285" s="269"/>
      <c r="K285" s="269"/>
      <c r="L285" s="269"/>
      <c r="M285" s="269"/>
      <c r="N285" s="269"/>
      <c r="O285" s="269"/>
      <c r="P285" s="269"/>
      <c r="Q285" s="269"/>
      <c r="R285" s="269"/>
      <c r="S285" s="249"/>
      <c r="T285" s="221"/>
      <c r="U285" s="271"/>
      <c r="V285" s="271"/>
      <c r="W285" s="271"/>
      <c r="X285" s="271"/>
      <c r="Y285" s="271"/>
      <c r="Z285" s="271"/>
      <c r="AA285" s="271"/>
      <c r="AB285" s="271"/>
      <c r="AC285" s="271"/>
    </row>
    <row r="286" spans="5:29" ht="13.5" customHeight="1" x14ac:dyDescent="0.25">
      <c r="E286" s="296"/>
      <c r="F286" s="296"/>
      <c r="G286" s="296"/>
      <c r="I286" s="157"/>
      <c r="J286" s="269"/>
      <c r="K286" s="269"/>
      <c r="L286" s="269"/>
      <c r="M286" s="269"/>
      <c r="N286" s="269"/>
      <c r="O286" s="269"/>
      <c r="P286" s="269"/>
      <c r="Q286" s="269"/>
      <c r="R286" s="269"/>
      <c r="S286" s="249"/>
      <c r="T286" s="221"/>
      <c r="U286" s="271"/>
      <c r="V286" s="271"/>
      <c r="W286" s="271"/>
      <c r="X286" s="271"/>
      <c r="Y286" s="271"/>
      <c r="Z286" s="271"/>
      <c r="AA286" s="271"/>
      <c r="AB286" s="271"/>
      <c r="AC286" s="271"/>
    </row>
    <row r="287" spans="5:29" ht="13.5" customHeight="1" x14ac:dyDescent="0.25">
      <c r="E287" s="296"/>
      <c r="F287" s="296"/>
      <c r="G287" s="296"/>
      <c r="I287" s="157"/>
      <c r="J287" s="269"/>
      <c r="K287" s="269"/>
      <c r="L287" s="269"/>
      <c r="M287" s="269"/>
      <c r="N287" s="269"/>
      <c r="O287" s="269"/>
      <c r="P287" s="269"/>
      <c r="Q287" s="269"/>
      <c r="R287" s="269"/>
      <c r="S287" s="249"/>
      <c r="T287" s="221"/>
      <c r="U287" s="271"/>
      <c r="V287" s="271"/>
      <c r="W287" s="271"/>
      <c r="X287" s="271"/>
      <c r="Y287" s="271"/>
      <c r="Z287" s="271"/>
      <c r="AA287" s="271"/>
      <c r="AB287" s="271"/>
      <c r="AC287" s="271"/>
    </row>
    <row r="288" spans="5:29" ht="13.5" customHeight="1" x14ac:dyDescent="0.25">
      <c r="E288" s="296"/>
      <c r="F288" s="296"/>
      <c r="G288" s="296"/>
      <c r="I288" s="157"/>
      <c r="J288" s="269"/>
      <c r="K288" s="269"/>
      <c r="L288" s="269"/>
      <c r="M288" s="269"/>
      <c r="N288" s="269"/>
      <c r="O288" s="269"/>
      <c r="P288" s="269"/>
      <c r="Q288" s="269"/>
      <c r="R288" s="269"/>
      <c r="S288" s="249"/>
      <c r="T288" s="221"/>
      <c r="U288" s="271"/>
      <c r="V288" s="271"/>
      <c r="W288" s="271"/>
      <c r="X288" s="271"/>
      <c r="Y288" s="271"/>
      <c r="Z288" s="271"/>
      <c r="AA288" s="271"/>
      <c r="AB288" s="271"/>
      <c r="AC288" s="271"/>
    </row>
    <row r="289" spans="2:29" ht="13.5" customHeight="1" x14ac:dyDescent="0.25">
      <c r="E289" s="296"/>
      <c r="F289" s="296"/>
      <c r="G289" s="296"/>
      <c r="I289" s="157"/>
      <c r="J289" s="269"/>
      <c r="K289" s="269"/>
      <c r="L289" s="269"/>
      <c r="M289" s="269"/>
      <c r="N289" s="269"/>
      <c r="O289" s="269"/>
      <c r="P289" s="269"/>
      <c r="Q289" s="269"/>
      <c r="R289" s="269"/>
      <c r="S289" s="249"/>
      <c r="T289" s="221"/>
      <c r="U289" s="271"/>
      <c r="V289" s="271"/>
      <c r="W289" s="271"/>
      <c r="X289" s="271"/>
      <c r="Y289" s="271"/>
      <c r="Z289" s="271"/>
      <c r="AA289" s="271"/>
      <c r="AB289" s="271"/>
      <c r="AC289" s="271"/>
    </row>
    <row r="290" spans="2:29" ht="13.5" customHeight="1" thickBot="1" x14ac:dyDescent="0.3">
      <c r="E290" s="296"/>
      <c r="F290" s="296"/>
      <c r="G290" s="296"/>
      <c r="I290" s="157"/>
      <c r="J290" s="269"/>
      <c r="K290" s="269"/>
      <c r="L290" s="269"/>
      <c r="M290" s="269"/>
      <c r="N290" s="269"/>
      <c r="O290" s="269"/>
      <c r="P290" s="269"/>
      <c r="Q290" s="269"/>
      <c r="R290" s="269"/>
      <c r="S290" s="249"/>
      <c r="T290" s="221"/>
      <c r="U290" s="271"/>
      <c r="V290" s="271"/>
      <c r="W290" s="271"/>
      <c r="X290" s="271"/>
      <c r="Y290" s="271"/>
      <c r="Z290" s="271"/>
      <c r="AA290" s="271"/>
      <c r="AB290" s="271"/>
      <c r="AC290" s="271"/>
    </row>
    <row r="291" spans="2:29" ht="13.5" customHeight="1" thickTop="1" thickBot="1" x14ac:dyDescent="0.3">
      <c r="D291" s="286"/>
      <c r="E291" s="297"/>
      <c r="F291" s="297"/>
      <c r="G291" s="297"/>
      <c r="I291" s="157"/>
      <c r="J291" s="157"/>
    </row>
    <row r="292" spans="2:29" ht="13.5" customHeight="1" thickTop="1" thickBot="1" x14ac:dyDescent="0.3">
      <c r="D292" s="286"/>
      <c r="E292" s="299"/>
      <c r="F292" s="299"/>
      <c r="G292" s="299"/>
      <c r="I292" s="157"/>
      <c r="J292" s="157"/>
      <c r="T292" s="59"/>
      <c r="U292" s="298"/>
      <c r="V292" s="298"/>
      <c r="W292" s="298"/>
      <c r="X292" s="298"/>
      <c r="Y292" s="298"/>
      <c r="Z292" s="298"/>
      <c r="AA292" s="298"/>
      <c r="AB292" s="298"/>
      <c r="AC292" s="298"/>
    </row>
    <row r="293" spans="2:29" ht="13.5" customHeight="1" thickTop="1" x14ac:dyDescent="0.25">
      <c r="O293" s="157"/>
      <c r="P293" s="157"/>
    </row>
    <row r="294" spans="2:29" ht="13.5" customHeight="1" x14ac:dyDescent="0.25">
      <c r="O294" s="157"/>
      <c r="P294" s="157"/>
    </row>
    <row r="295" spans="2:29" ht="13.5" customHeight="1" x14ac:dyDescent="0.35">
      <c r="B295" s="51"/>
      <c r="D295" s="52"/>
      <c r="O295" s="157"/>
      <c r="P295" s="157"/>
    </row>
    <row r="297" spans="2:29" ht="13.5" customHeight="1" x14ac:dyDescent="0.3">
      <c r="D297" s="35"/>
      <c r="J297" s="294"/>
      <c r="K297" s="142"/>
      <c r="U297" s="294"/>
    </row>
    <row r="298" spans="2:29" ht="13.5" customHeight="1" x14ac:dyDescent="0.3">
      <c r="D298" s="36"/>
      <c r="J298" s="36"/>
      <c r="U298" s="36"/>
    </row>
    <row r="299" spans="2:29" ht="13.5" customHeight="1" x14ac:dyDescent="0.25">
      <c r="J299" s="235"/>
      <c r="K299" s="235"/>
      <c r="L299" s="235"/>
      <c r="M299" s="235"/>
      <c r="N299" s="235"/>
      <c r="O299" s="235"/>
      <c r="P299" s="235"/>
      <c r="Q299" s="235"/>
      <c r="R299" s="235"/>
      <c r="S299" s="235"/>
      <c r="T299" s="59"/>
      <c r="U299" s="235"/>
      <c r="V299" s="235"/>
      <c r="W299" s="235"/>
      <c r="X299" s="235"/>
      <c r="Y299" s="235"/>
      <c r="Z299" s="235"/>
      <c r="AA299" s="235"/>
      <c r="AB299" s="235"/>
      <c r="AC299" s="235"/>
    </row>
    <row r="300" spans="2:29" ht="13.5" customHeight="1" x14ac:dyDescent="0.3">
      <c r="D300" s="35"/>
      <c r="E300" s="295"/>
      <c r="F300" s="295"/>
      <c r="G300" s="295"/>
      <c r="J300" s="245"/>
      <c r="K300" s="245"/>
      <c r="L300" s="245"/>
      <c r="M300" s="245"/>
      <c r="N300" s="245"/>
      <c r="O300" s="245"/>
      <c r="P300" s="245"/>
      <c r="Q300" s="245"/>
      <c r="R300" s="245"/>
      <c r="S300" s="245"/>
      <c r="T300" s="246"/>
      <c r="U300" s="244"/>
      <c r="V300" s="244"/>
      <c r="W300" s="244"/>
      <c r="X300" s="244"/>
      <c r="Y300" s="244"/>
      <c r="Z300" s="244"/>
      <c r="AA300" s="244"/>
      <c r="AB300" s="244"/>
      <c r="AC300" s="244"/>
    </row>
    <row r="301" spans="2:29" ht="13.5" customHeight="1" x14ac:dyDescent="0.25">
      <c r="D301" s="142"/>
      <c r="E301" s="134"/>
      <c r="F301" s="134"/>
      <c r="G301" s="134"/>
      <c r="I301" s="157"/>
      <c r="J301" s="269"/>
      <c r="K301" s="269"/>
      <c r="L301" s="269"/>
      <c r="M301" s="269"/>
      <c r="N301" s="269"/>
      <c r="O301" s="269"/>
      <c r="P301" s="269"/>
      <c r="Q301" s="269"/>
      <c r="R301" s="269"/>
      <c r="S301" s="249"/>
      <c r="T301" s="224"/>
      <c r="U301" s="271"/>
      <c r="V301" s="271"/>
      <c r="W301" s="271"/>
      <c r="X301" s="271"/>
      <c r="Y301" s="271"/>
      <c r="Z301" s="271"/>
      <c r="AA301" s="271"/>
      <c r="AB301" s="271"/>
      <c r="AC301" s="271"/>
    </row>
    <row r="302" spans="2:29" ht="13.5" customHeight="1" x14ac:dyDescent="0.25">
      <c r="D302" s="142"/>
      <c r="E302" s="134"/>
      <c r="F302" s="134"/>
      <c r="G302" s="134"/>
      <c r="I302" s="157"/>
      <c r="J302" s="269"/>
      <c r="K302" s="269"/>
      <c r="L302" s="269"/>
      <c r="M302" s="269"/>
      <c r="N302" s="269"/>
      <c r="O302" s="269"/>
      <c r="P302" s="269"/>
      <c r="Q302" s="269"/>
      <c r="R302" s="269"/>
      <c r="S302" s="249"/>
      <c r="T302" s="224"/>
      <c r="U302" s="271"/>
      <c r="V302" s="271"/>
      <c r="W302" s="271"/>
      <c r="X302" s="271"/>
      <c r="Y302" s="271"/>
      <c r="Z302" s="271"/>
      <c r="AA302" s="271"/>
      <c r="AB302" s="271"/>
      <c r="AC302" s="271"/>
    </row>
    <row r="303" spans="2:29" ht="13.5" customHeight="1" x14ac:dyDescent="0.25">
      <c r="D303" s="142"/>
      <c r="E303" s="134"/>
      <c r="F303" s="134"/>
      <c r="G303" s="134"/>
      <c r="I303" s="157"/>
      <c r="J303" s="269"/>
      <c r="K303" s="269"/>
      <c r="L303" s="269"/>
      <c r="M303" s="269"/>
      <c r="N303" s="269"/>
      <c r="O303" s="269"/>
      <c r="P303" s="269"/>
      <c r="Q303" s="269"/>
      <c r="R303" s="269"/>
      <c r="S303" s="249"/>
      <c r="T303" s="224"/>
      <c r="U303" s="271"/>
      <c r="V303" s="271"/>
      <c r="W303" s="271"/>
      <c r="X303" s="271"/>
      <c r="Y303" s="271"/>
      <c r="Z303" s="271"/>
      <c r="AA303" s="271"/>
      <c r="AB303" s="271"/>
      <c r="AC303" s="271"/>
    </row>
    <row r="304" spans="2:29" ht="13.5" customHeight="1" x14ac:dyDescent="0.25">
      <c r="D304" s="142"/>
      <c r="E304" s="134"/>
      <c r="F304" s="134"/>
      <c r="G304" s="134"/>
      <c r="I304" s="157"/>
      <c r="J304" s="269"/>
      <c r="K304" s="269"/>
      <c r="L304" s="269"/>
      <c r="M304" s="269"/>
      <c r="N304" s="269"/>
      <c r="O304" s="269"/>
      <c r="P304" s="269"/>
      <c r="Q304" s="269"/>
      <c r="R304" s="269"/>
      <c r="S304" s="249"/>
      <c r="T304" s="224"/>
      <c r="U304" s="271"/>
      <c r="V304" s="271"/>
      <c r="W304" s="271"/>
      <c r="X304" s="271"/>
      <c r="Y304" s="271"/>
      <c r="Z304" s="271"/>
      <c r="AA304" s="271"/>
      <c r="AB304" s="271"/>
      <c r="AC304" s="271"/>
    </row>
    <row r="305" spans="4:29" ht="13.5" customHeight="1" x14ac:dyDescent="0.25">
      <c r="D305" s="142"/>
      <c r="E305" s="134"/>
      <c r="F305" s="134"/>
      <c r="G305" s="134"/>
      <c r="I305" s="157"/>
      <c r="J305" s="269"/>
      <c r="K305" s="269"/>
      <c r="L305" s="269"/>
      <c r="M305" s="269"/>
      <c r="N305" s="269"/>
      <c r="O305" s="269"/>
      <c r="P305" s="269"/>
      <c r="Q305" s="269"/>
      <c r="R305" s="269"/>
      <c r="S305" s="249"/>
      <c r="T305" s="224"/>
      <c r="U305" s="271"/>
      <c r="V305" s="271"/>
      <c r="W305" s="271"/>
      <c r="X305" s="271"/>
      <c r="Y305" s="271"/>
      <c r="Z305" s="271"/>
      <c r="AA305" s="271"/>
      <c r="AB305" s="271"/>
      <c r="AC305" s="271"/>
    </row>
    <row r="306" spans="4:29" ht="13.5" customHeight="1" x14ac:dyDescent="0.25">
      <c r="D306" s="142"/>
      <c r="E306" s="134"/>
      <c r="F306" s="134"/>
      <c r="G306" s="134"/>
      <c r="I306" s="157"/>
      <c r="J306" s="269"/>
      <c r="K306" s="269"/>
      <c r="L306" s="269"/>
      <c r="M306" s="269"/>
      <c r="N306" s="269"/>
      <c r="O306" s="269"/>
      <c r="P306" s="269"/>
      <c r="Q306" s="269"/>
      <c r="R306" s="269"/>
      <c r="S306" s="249"/>
      <c r="T306" s="224"/>
      <c r="U306" s="271"/>
      <c r="V306" s="271"/>
      <c r="W306" s="271"/>
      <c r="X306" s="271"/>
      <c r="Y306" s="271"/>
      <c r="Z306" s="271"/>
      <c r="AA306" s="271"/>
      <c r="AB306" s="271"/>
      <c r="AC306" s="271"/>
    </row>
    <row r="307" spans="4:29" ht="13.5" customHeight="1" x14ac:dyDescent="0.25">
      <c r="D307" s="142"/>
      <c r="E307" s="134"/>
      <c r="F307" s="134"/>
      <c r="G307" s="134"/>
      <c r="I307" s="157"/>
      <c r="J307" s="269"/>
      <c r="K307" s="269"/>
      <c r="L307" s="269"/>
      <c r="M307" s="269"/>
      <c r="N307" s="269"/>
      <c r="O307" s="269"/>
      <c r="P307" s="269"/>
      <c r="Q307" s="269"/>
      <c r="R307" s="269"/>
      <c r="S307" s="249"/>
      <c r="T307" s="224"/>
      <c r="U307" s="271"/>
      <c r="V307" s="271"/>
      <c r="W307" s="271"/>
      <c r="X307" s="271"/>
      <c r="Y307" s="271"/>
      <c r="Z307" s="271"/>
      <c r="AA307" s="271"/>
      <c r="AB307" s="271"/>
      <c r="AC307" s="271"/>
    </row>
    <row r="308" spans="4:29" ht="13.5" customHeight="1" x14ac:dyDescent="0.25">
      <c r="D308" s="142"/>
      <c r="E308" s="134"/>
      <c r="F308" s="134"/>
      <c r="G308" s="134"/>
      <c r="I308" s="157"/>
      <c r="J308" s="269"/>
      <c r="K308" s="269"/>
      <c r="L308" s="269"/>
      <c r="M308" s="269"/>
      <c r="N308" s="269"/>
      <c r="O308" s="269"/>
      <c r="P308" s="269"/>
      <c r="Q308" s="269"/>
      <c r="R308" s="269"/>
      <c r="S308" s="249"/>
      <c r="T308" s="224"/>
      <c r="U308" s="271"/>
      <c r="V308" s="271"/>
      <c r="W308" s="271"/>
      <c r="X308" s="271"/>
      <c r="Y308" s="271"/>
      <c r="Z308" s="271"/>
      <c r="AA308" s="271"/>
      <c r="AB308" s="271"/>
      <c r="AC308" s="271"/>
    </row>
    <row r="309" spans="4:29" ht="13.5" customHeight="1" x14ac:dyDescent="0.25">
      <c r="D309" s="142"/>
      <c r="E309" s="134"/>
      <c r="F309" s="134"/>
      <c r="G309" s="134"/>
      <c r="I309" s="157"/>
      <c r="J309" s="269"/>
      <c r="K309" s="269"/>
      <c r="L309" s="269"/>
      <c r="M309" s="269"/>
      <c r="N309" s="269"/>
      <c r="O309" s="269"/>
      <c r="P309" s="269"/>
      <c r="Q309" s="269"/>
      <c r="R309" s="269"/>
      <c r="S309" s="249"/>
      <c r="T309" s="224"/>
      <c r="U309" s="271"/>
      <c r="V309" s="271"/>
      <c r="W309" s="271"/>
      <c r="X309" s="271"/>
      <c r="Y309" s="271"/>
      <c r="Z309" s="271"/>
      <c r="AA309" s="271"/>
      <c r="AB309" s="271"/>
      <c r="AC309" s="271"/>
    </row>
    <row r="310" spans="4:29" ht="13.5" customHeight="1" x14ac:dyDescent="0.25">
      <c r="D310" s="142"/>
      <c r="E310" s="134"/>
      <c r="F310" s="134"/>
      <c r="G310" s="134"/>
      <c r="I310" s="157"/>
      <c r="J310" s="269"/>
      <c r="K310" s="269"/>
      <c r="L310" s="269"/>
      <c r="M310" s="269"/>
      <c r="N310" s="269"/>
      <c r="O310" s="269"/>
      <c r="P310" s="269"/>
      <c r="Q310" s="269"/>
      <c r="R310" s="269"/>
      <c r="S310" s="249"/>
      <c r="T310" s="224"/>
      <c r="U310" s="271"/>
      <c r="V310" s="271"/>
      <c r="W310" s="271"/>
      <c r="X310" s="271"/>
      <c r="Y310" s="271"/>
      <c r="Z310" s="271"/>
      <c r="AA310" s="271"/>
      <c r="AB310" s="271"/>
      <c r="AC310" s="271"/>
    </row>
    <row r="311" spans="4:29" ht="13.5" customHeight="1" x14ac:dyDescent="0.25">
      <c r="D311" s="142"/>
      <c r="E311" s="134"/>
      <c r="F311" s="134"/>
      <c r="G311" s="134"/>
      <c r="I311" s="157"/>
      <c r="J311" s="269"/>
      <c r="K311" s="269"/>
      <c r="L311" s="269"/>
      <c r="M311" s="269"/>
      <c r="N311" s="269"/>
      <c r="O311" s="269"/>
      <c r="P311" s="269"/>
      <c r="Q311" s="269"/>
      <c r="R311" s="269"/>
      <c r="S311" s="249"/>
      <c r="T311" s="224"/>
      <c r="U311" s="271"/>
      <c r="V311" s="271"/>
      <c r="W311" s="271"/>
      <c r="X311" s="271"/>
      <c r="Y311" s="271"/>
      <c r="Z311" s="271"/>
      <c r="AA311" s="271"/>
      <c r="AB311" s="271"/>
      <c r="AC311" s="271"/>
    </row>
    <row r="312" spans="4:29" ht="13.5" customHeight="1" x14ac:dyDescent="0.25">
      <c r="D312" s="142"/>
      <c r="E312" s="134"/>
      <c r="F312" s="134"/>
      <c r="G312" s="134"/>
      <c r="I312" s="157"/>
      <c r="J312" s="269"/>
      <c r="K312" s="269"/>
      <c r="L312" s="269"/>
      <c r="M312" s="269"/>
      <c r="N312" s="269"/>
      <c r="O312" s="269"/>
      <c r="P312" s="269"/>
      <c r="Q312" s="269"/>
      <c r="R312" s="269"/>
      <c r="S312" s="249"/>
      <c r="T312" s="224"/>
      <c r="U312" s="271"/>
      <c r="V312" s="271"/>
      <c r="W312" s="271"/>
      <c r="X312" s="271"/>
      <c r="Y312" s="271"/>
      <c r="Z312" s="271"/>
      <c r="AA312" s="271"/>
      <c r="AB312" s="271"/>
      <c r="AC312" s="271"/>
    </row>
    <row r="313" spans="4:29" ht="13.5" customHeight="1" x14ac:dyDescent="0.25">
      <c r="D313" s="142"/>
      <c r="E313" s="134"/>
      <c r="F313" s="134"/>
      <c r="G313" s="134"/>
      <c r="I313" s="157"/>
      <c r="J313" s="269"/>
      <c r="K313" s="269"/>
      <c r="L313" s="269"/>
      <c r="M313" s="269"/>
      <c r="N313" s="269"/>
      <c r="O313" s="269"/>
      <c r="P313" s="269"/>
      <c r="Q313" s="269"/>
      <c r="R313" s="269"/>
      <c r="S313" s="249"/>
      <c r="T313" s="224"/>
      <c r="U313" s="271"/>
      <c r="V313" s="271"/>
      <c r="W313" s="271"/>
      <c r="X313" s="271"/>
      <c r="Y313" s="271"/>
      <c r="Z313" s="271"/>
      <c r="AA313" s="271"/>
      <c r="AB313" s="271"/>
      <c r="AC313" s="271"/>
    </row>
    <row r="314" spans="4:29" ht="13.5" customHeight="1" x14ac:dyDescent="0.25">
      <c r="D314" s="142"/>
      <c r="E314" s="134"/>
      <c r="F314" s="134"/>
      <c r="G314" s="134"/>
      <c r="I314" s="157"/>
      <c r="J314" s="269"/>
      <c r="K314" s="269"/>
      <c r="L314" s="269"/>
      <c r="M314" s="269"/>
      <c r="N314" s="269"/>
      <c r="O314" s="269"/>
      <c r="P314" s="269"/>
      <c r="Q314" s="269"/>
      <c r="R314" s="269"/>
      <c r="S314" s="249"/>
      <c r="T314" s="224"/>
      <c r="U314" s="271"/>
      <c r="V314" s="271"/>
      <c r="W314" s="271"/>
      <c r="X314" s="271"/>
      <c r="Y314" s="271"/>
      <c r="Z314" s="271"/>
      <c r="AA314" s="271"/>
      <c r="AB314" s="271"/>
      <c r="AC314" s="271"/>
    </row>
    <row r="315" spans="4:29" ht="13.5" customHeight="1" x14ac:dyDescent="0.25">
      <c r="D315" s="142"/>
      <c r="E315" s="134"/>
      <c r="F315" s="134"/>
      <c r="G315" s="134"/>
      <c r="I315" s="157"/>
      <c r="J315" s="269"/>
      <c r="K315" s="269"/>
      <c r="L315" s="269"/>
      <c r="M315" s="269"/>
      <c r="N315" s="269"/>
      <c r="O315" s="269"/>
      <c r="P315" s="269"/>
      <c r="Q315" s="269"/>
      <c r="R315" s="269"/>
      <c r="S315" s="249"/>
      <c r="T315" s="224"/>
      <c r="U315" s="271"/>
      <c r="V315" s="271"/>
      <c r="W315" s="271"/>
      <c r="X315" s="271"/>
      <c r="Y315" s="271"/>
      <c r="Z315" s="271"/>
      <c r="AA315" s="271"/>
      <c r="AB315" s="271"/>
      <c r="AC315" s="271"/>
    </row>
    <row r="316" spans="4:29" ht="13.5" customHeight="1" x14ac:dyDescent="0.25">
      <c r="D316" s="142"/>
      <c r="E316" s="134"/>
      <c r="F316" s="134"/>
      <c r="G316" s="134"/>
      <c r="I316" s="157"/>
      <c r="J316" s="269"/>
      <c r="K316" s="269"/>
      <c r="L316" s="269"/>
      <c r="M316" s="269"/>
      <c r="N316" s="269"/>
      <c r="O316" s="269"/>
      <c r="P316" s="269"/>
      <c r="Q316" s="269"/>
      <c r="R316" s="269"/>
      <c r="S316" s="249"/>
      <c r="T316" s="224"/>
      <c r="U316" s="271"/>
      <c r="V316" s="271"/>
      <c r="W316" s="271"/>
      <c r="X316" s="271"/>
      <c r="Y316" s="271"/>
      <c r="Z316" s="271"/>
      <c r="AA316" s="271"/>
      <c r="AB316" s="271"/>
      <c r="AC316" s="271"/>
    </row>
    <row r="317" spans="4:29" ht="13.5" customHeight="1" x14ac:dyDescent="0.25">
      <c r="D317" s="142"/>
      <c r="E317" s="134"/>
      <c r="F317" s="134"/>
      <c r="G317" s="134"/>
      <c r="I317" s="157"/>
      <c r="J317" s="269"/>
      <c r="K317" s="269"/>
      <c r="L317" s="269"/>
      <c r="M317" s="269"/>
      <c r="N317" s="269"/>
      <c r="O317" s="269"/>
      <c r="P317" s="269"/>
      <c r="Q317" s="269"/>
      <c r="R317" s="269"/>
      <c r="S317" s="249"/>
      <c r="T317" s="224"/>
      <c r="U317" s="271"/>
      <c r="V317" s="271"/>
      <c r="W317" s="271"/>
      <c r="X317" s="271"/>
      <c r="Y317" s="271"/>
      <c r="Z317" s="271"/>
      <c r="AA317" s="271"/>
      <c r="AB317" s="271"/>
      <c r="AC317" s="271"/>
    </row>
    <row r="318" spans="4:29" ht="13.5" customHeight="1" x14ac:dyDescent="0.25">
      <c r="D318" s="142"/>
      <c r="E318" s="134"/>
      <c r="F318" s="134"/>
      <c r="G318" s="134"/>
      <c r="I318" s="157"/>
      <c r="J318" s="269"/>
      <c r="K318" s="269"/>
      <c r="L318" s="269"/>
      <c r="M318" s="269"/>
      <c r="N318" s="269"/>
      <c r="O318" s="269"/>
      <c r="P318" s="269"/>
      <c r="Q318" s="269"/>
      <c r="R318" s="269"/>
      <c r="S318" s="249"/>
      <c r="T318" s="224"/>
      <c r="U318" s="271"/>
      <c r="V318" s="271"/>
      <c r="W318" s="271"/>
      <c r="X318" s="271"/>
      <c r="Y318" s="271"/>
      <c r="Z318" s="271"/>
      <c r="AA318" s="271"/>
      <c r="AB318" s="271"/>
      <c r="AC318" s="271"/>
    </row>
    <row r="319" spans="4:29" ht="13.5" customHeight="1" x14ac:dyDescent="0.25">
      <c r="D319" s="142"/>
      <c r="E319" s="134"/>
      <c r="F319" s="134"/>
      <c r="G319" s="134"/>
      <c r="I319" s="157"/>
      <c r="J319" s="269"/>
      <c r="K319" s="269"/>
      <c r="L319" s="269"/>
      <c r="M319" s="269"/>
      <c r="N319" s="269"/>
      <c r="O319" s="269"/>
      <c r="P319" s="269"/>
      <c r="Q319" s="269"/>
      <c r="R319" s="269"/>
      <c r="S319" s="249"/>
      <c r="T319" s="221"/>
      <c r="U319" s="271"/>
      <c r="V319" s="271"/>
      <c r="W319" s="271"/>
      <c r="X319" s="271"/>
      <c r="Y319" s="271"/>
      <c r="Z319" s="271"/>
      <c r="AA319" s="271"/>
      <c r="AB319" s="271"/>
      <c r="AC319" s="271"/>
    </row>
    <row r="320" spans="4:29" ht="13.5" customHeight="1" x14ac:dyDescent="0.25">
      <c r="D320" s="142"/>
      <c r="E320" s="134"/>
      <c r="F320" s="134"/>
      <c r="G320" s="134"/>
      <c r="I320" s="157"/>
      <c r="J320" s="269"/>
      <c r="K320" s="269"/>
      <c r="L320" s="269"/>
      <c r="M320" s="269"/>
      <c r="N320" s="269"/>
      <c r="O320" s="269"/>
      <c r="P320" s="269"/>
      <c r="Q320" s="269"/>
      <c r="R320" s="269"/>
      <c r="S320" s="249"/>
      <c r="T320" s="221"/>
      <c r="U320" s="271"/>
      <c r="V320" s="271"/>
      <c r="W320" s="271"/>
      <c r="X320" s="271"/>
      <c r="Y320" s="271"/>
      <c r="Z320" s="271"/>
      <c r="AA320" s="271"/>
      <c r="AB320" s="271"/>
      <c r="AC320" s="271"/>
    </row>
    <row r="321" spans="4:29" ht="13.5" customHeight="1" x14ac:dyDescent="0.25">
      <c r="D321" s="142"/>
      <c r="E321" s="134"/>
      <c r="F321" s="134"/>
      <c r="G321" s="134"/>
      <c r="I321" s="157"/>
      <c r="J321" s="269"/>
      <c r="K321" s="269"/>
      <c r="L321" s="269"/>
      <c r="M321" s="269"/>
      <c r="N321" s="269"/>
      <c r="O321" s="269"/>
      <c r="P321" s="269"/>
      <c r="Q321" s="269"/>
      <c r="R321" s="269"/>
      <c r="S321" s="249"/>
      <c r="T321" s="221"/>
      <c r="U321" s="271"/>
      <c r="V321" s="271"/>
      <c r="W321" s="271"/>
      <c r="X321" s="271"/>
      <c r="Y321" s="271"/>
      <c r="Z321" s="271"/>
      <c r="AA321" s="271"/>
      <c r="AB321" s="271"/>
      <c r="AC321" s="271"/>
    </row>
    <row r="322" spans="4:29" ht="13.5" customHeight="1" x14ac:dyDescent="0.25">
      <c r="D322" s="142"/>
      <c r="E322" s="134"/>
      <c r="F322" s="134"/>
      <c r="G322" s="134"/>
      <c r="I322" s="157"/>
      <c r="J322" s="269"/>
      <c r="K322" s="269"/>
      <c r="L322" s="269"/>
      <c r="M322" s="269"/>
      <c r="N322" s="269"/>
      <c r="O322" s="269"/>
      <c r="P322" s="269"/>
      <c r="Q322" s="269"/>
      <c r="R322" s="269"/>
      <c r="S322" s="249"/>
      <c r="T322" s="221"/>
      <c r="U322" s="271"/>
      <c r="V322" s="271"/>
      <c r="W322" s="271"/>
      <c r="X322" s="271"/>
      <c r="Y322" s="271"/>
      <c r="Z322" s="271"/>
      <c r="AA322" s="271"/>
      <c r="AB322" s="271"/>
      <c r="AC322" s="271"/>
    </row>
    <row r="323" spans="4:29" ht="13.5" customHeight="1" x14ac:dyDescent="0.25">
      <c r="D323" s="142"/>
      <c r="E323" s="134"/>
      <c r="F323" s="134"/>
      <c r="G323" s="134"/>
      <c r="I323" s="157"/>
      <c r="J323" s="269"/>
      <c r="K323" s="269"/>
      <c r="L323" s="269"/>
      <c r="M323" s="269"/>
      <c r="N323" s="269"/>
      <c r="O323" s="269"/>
      <c r="P323" s="269"/>
      <c r="Q323" s="269"/>
      <c r="R323" s="269"/>
      <c r="S323" s="249"/>
      <c r="T323" s="221"/>
      <c r="U323" s="271"/>
      <c r="V323" s="271"/>
      <c r="W323" s="271"/>
      <c r="X323" s="271"/>
      <c r="Y323" s="271"/>
      <c r="Z323" s="271"/>
      <c r="AA323" s="271"/>
      <c r="AB323" s="271"/>
      <c r="AC323" s="271"/>
    </row>
    <row r="324" spans="4:29" ht="13.5" customHeight="1" x14ac:dyDescent="0.25">
      <c r="D324" s="142"/>
      <c r="E324" s="134"/>
      <c r="F324" s="134"/>
      <c r="G324" s="134"/>
      <c r="I324" s="157"/>
      <c r="J324" s="269"/>
      <c r="K324" s="269"/>
      <c r="L324" s="269"/>
      <c r="M324" s="269"/>
      <c r="N324" s="269"/>
      <c r="O324" s="269"/>
      <c r="P324" s="269"/>
      <c r="Q324" s="269"/>
      <c r="R324" s="269"/>
      <c r="S324" s="249"/>
      <c r="T324" s="221"/>
      <c r="U324" s="271"/>
      <c r="V324" s="271"/>
      <c r="W324" s="271"/>
      <c r="X324" s="271"/>
      <c r="Y324" s="271"/>
      <c r="Z324" s="271"/>
      <c r="AA324" s="271"/>
      <c r="AB324" s="271"/>
      <c r="AC324" s="271"/>
    </row>
    <row r="325" spans="4:29" ht="13.5" customHeight="1" x14ac:dyDescent="0.25">
      <c r="D325" s="142"/>
      <c r="E325" s="134"/>
      <c r="F325" s="134"/>
      <c r="G325" s="134"/>
      <c r="I325" s="157"/>
      <c r="J325" s="269"/>
      <c r="K325" s="269"/>
      <c r="L325" s="269"/>
      <c r="M325" s="269"/>
      <c r="N325" s="269"/>
      <c r="O325" s="269"/>
      <c r="P325" s="269"/>
      <c r="Q325" s="269"/>
      <c r="R325" s="269"/>
      <c r="S325" s="249"/>
      <c r="T325" s="221"/>
      <c r="U325" s="271"/>
      <c r="V325" s="271"/>
      <c r="W325" s="271"/>
      <c r="X325" s="271"/>
      <c r="Y325" s="271"/>
      <c r="Z325" s="271"/>
      <c r="AA325" s="271"/>
      <c r="AB325" s="271"/>
      <c r="AC325" s="271"/>
    </row>
    <row r="326" spans="4:29" ht="13.5" customHeight="1" x14ac:dyDescent="0.25">
      <c r="D326" s="142"/>
      <c r="E326" s="134"/>
      <c r="F326" s="134"/>
      <c r="G326" s="134"/>
      <c r="I326" s="157"/>
      <c r="J326" s="269"/>
      <c r="K326" s="269"/>
      <c r="L326" s="269"/>
      <c r="M326" s="269"/>
      <c r="N326" s="269"/>
      <c r="O326" s="269"/>
      <c r="P326" s="269"/>
      <c r="Q326" s="269"/>
      <c r="R326" s="269"/>
      <c r="S326" s="249"/>
      <c r="T326" s="221"/>
      <c r="U326" s="271"/>
      <c r="V326" s="271"/>
      <c r="W326" s="271"/>
      <c r="X326" s="271"/>
      <c r="Y326" s="271"/>
      <c r="Z326" s="271"/>
      <c r="AA326" s="271"/>
      <c r="AB326" s="271"/>
      <c r="AC326" s="271"/>
    </row>
    <row r="327" spans="4:29" ht="13.5" customHeight="1" x14ac:dyDescent="0.25">
      <c r="D327" s="142"/>
      <c r="E327" s="134"/>
      <c r="F327" s="134"/>
      <c r="G327" s="134"/>
      <c r="I327" s="157"/>
      <c r="J327" s="269"/>
      <c r="K327" s="269"/>
      <c r="L327" s="269"/>
      <c r="M327" s="269"/>
      <c r="N327" s="269"/>
      <c r="O327" s="269"/>
      <c r="P327" s="269"/>
      <c r="Q327" s="269"/>
      <c r="R327" s="269"/>
      <c r="S327" s="249"/>
      <c r="T327" s="221"/>
      <c r="U327" s="271"/>
      <c r="V327" s="271"/>
      <c r="W327" s="271"/>
      <c r="X327" s="271"/>
      <c r="Y327" s="271"/>
      <c r="Z327" s="271"/>
      <c r="AA327" s="271"/>
      <c r="AB327" s="271"/>
      <c r="AC327" s="271"/>
    </row>
    <row r="328" spans="4:29" ht="13.5" customHeight="1" x14ac:dyDescent="0.25">
      <c r="D328" s="142"/>
      <c r="E328" s="134"/>
      <c r="F328" s="134"/>
      <c r="G328" s="134"/>
      <c r="I328" s="157"/>
      <c r="J328" s="269"/>
      <c r="K328" s="269"/>
      <c r="L328" s="269"/>
      <c r="M328" s="269"/>
      <c r="N328" s="269"/>
      <c r="O328" s="269"/>
      <c r="P328" s="269"/>
      <c r="Q328" s="269"/>
      <c r="R328" s="269"/>
      <c r="S328" s="249"/>
      <c r="T328" s="221"/>
      <c r="U328" s="271"/>
      <c r="V328" s="271"/>
      <c r="W328" s="271"/>
      <c r="X328" s="271"/>
      <c r="Y328" s="271"/>
      <c r="Z328" s="271"/>
      <c r="AA328" s="271"/>
      <c r="AB328" s="271"/>
      <c r="AC328" s="271"/>
    </row>
    <row r="329" spans="4:29" ht="13.5" customHeight="1" x14ac:dyDescent="0.25">
      <c r="D329" s="142"/>
      <c r="E329" s="134"/>
      <c r="F329" s="134"/>
      <c r="G329" s="134"/>
      <c r="I329" s="157"/>
      <c r="J329" s="269"/>
      <c r="K329" s="269"/>
      <c r="L329" s="269"/>
      <c r="M329" s="269"/>
      <c r="N329" s="269"/>
      <c r="O329" s="269"/>
      <c r="P329" s="269"/>
      <c r="Q329" s="269"/>
      <c r="R329" s="269"/>
      <c r="S329" s="249"/>
      <c r="T329" s="221"/>
      <c r="U329" s="271"/>
      <c r="V329" s="271"/>
      <c r="W329" s="271"/>
      <c r="X329" s="271"/>
      <c r="Y329" s="271"/>
      <c r="Z329" s="271"/>
      <c r="AA329" s="271"/>
      <c r="AB329" s="271"/>
      <c r="AC329" s="271"/>
    </row>
    <row r="330" spans="4:29" ht="13.5" customHeight="1" x14ac:dyDescent="0.25">
      <c r="D330" s="142"/>
      <c r="E330" s="134"/>
      <c r="F330" s="134"/>
      <c r="G330" s="134"/>
      <c r="I330" s="157"/>
      <c r="J330" s="269"/>
      <c r="K330" s="269"/>
      <c r="L330" s="269"/>
      <c r="M330" s="269"/>
      <c r="N330" s="269"/>
      <c r="O330" s="269"/>
      <c r="P330" s="269"/>
      <c r="Q330" s="269"/>
      <c r="R330" s="269"/>
      <c r="S330" s="249"/>
      <c r="T330" s="221"/>
      <c r="U330" s="271"/>
      <c r="V330" s="271"/>
      <c r="W330" s="271"/>
      <c r="X330" s="271"/>
      <c r="Y330" s="271"/>
      <c r="Z330" s="271"/>
      <c r="AA330" s="271"/>
      <c r="AB330" s="271"/>
      <c r="AC330" s="271"/>
    </row>
    <row r="331" spans="4:29" ht="13.5" customHeight="1" thickBot="1" x14ac:dyDescent="0.3">
      <c r="D331" s="142"/>
      <c r="E331" s="134"/>
      <c r="F331" s="134"/>
      <c r="G331" s="134"/>
      <c r="I331" s="157"/>
      <c r="J331" s="269"/>
      <c r="K331" s="269"/>
      <c r="L331" s="269"/>
      <c r="M331" s="269"/>
      <c r="N331" s="269"/>
      <c r="O331" s="269"/>
      <c r="P331" s="269"/>
      <c r="Q331" s="269"/>
      <c r="R331" s="269"/>
      <c r="S331" s="249"/>
      <c r="T331" s="221"/>
      <c r="U331" s="271"/>
      <c r="V331" s="271"/>
      <c r="W331" s="271"/>
      <c r="X331" s="271"/>
      <c r="Y331" s="271"/>
      <c r="Z331" s="271"/>
      <c r="AA331" s="271"/>
      <c r="AB331" s="271"/>
      <c r="AC331" s="271"/>
    </row>
    <row r="332" spans="4:29" ht="13.5" customHeight="1" thickTop="1" thickBot="1" x14ac:dyDescent="0.3">
      <c r="D332" s="300"/>
      <c r="E332" s="301"/>
      <c r="F332" s="301"/>
      <c r="G332" s="301"/>
      <c r="I332" s="157"/>
      <c r="J332" s="157"/>
    </row>
    <row r="333" spans="4:29" ht="13.5" customHeight="1" thickTop="1" thickBot="1" x14ac:dyDescent="0.3">
      <c r="D333" s="300"/>
      <c r="E333" s="301"/>
      <c r="F333" s="301"/>
      <c r="G333" s="301"/>
      <c r="I333" s="157"/>
      <c r="J333" s="157"/>
      <c r="T333" s="59"/>
      <c r="U333" s="298"/>
      <c r="V333" s="298"/>
      <c r="W333" s="298"/>
      <c r="X333" s="298"/>
      <c r="Y333" s="298"/>
      <c r="Z333" s="298"/>
      <c r="AA333" s="298"/>
      <c r="AB333" s="298"/>
      <c r="AC333" s="298"/>
    </row>
    <row r="334" spans="4:29" ht="13.5" customHeight="1" thickTop="1" x14ac:dyDescent="0.25">
      <c r="I334" s="157"/>
      <c r="J334" s="157"/>
    </row>
    <row r="335" spans="4:29" ht="13.5" customHeight="1" x14ac:dyDescent="0.3">
      <c r="D335" s="35"/>
      <c r="E335" s="214"/>
      <c r="F335" s="214"/>
      <c r="G335" s="214"/>
      <c r="I335" s="157"/>
      <c r="J335" s="245"/>
      <c r="K335" s="245"/>
      <c r="L335" s="245"/>
      <c r="M335" s="245"/>
      <c r="N335" s="245"/>
      <c r="O335" s="245"/>
      <c r="P335" s="245"/>
      <c r="Q335" s="245"/>
      <c r="R335" s="245"/>
      <c r="S335" s="245"/>
      <c r="T335" s="246"/>
      <c r="U335" s="244"/>
      <c r="V335" s="244"/>
      <c r="W335" s="244"/>
      <c r="X335" s="244"/>
      <c r="Y335" s="244"/>
      <c r="Z335" s="244"/>
      <c r="AA335" s="244"/>
      <c r="AB335" s="244"/>
      <c r="AC335" s="244"/>
    </row>
    <row r="336" spans="4:29" ht="13.5" customHeight="1" x14ac:dyDescent="0.25">
      <c r="E336" s="134"/>
      <c r="F336" s="134"/>
      <c r="G336" s="134"/>
      <c r="I336" s="157"/>
      <c r="J336" s="269"/>
      <c r="K336" s="269"/>
      <c r="L336" s="269"/>
      <c r="M336" s="269"/>
      <c r="N336" s="269"/>
      <c r="O336" s="269"/>
      <c r="P336" s="269"/>
      <c r="Q336" s="269"/>
      <c r="R336" s="269"/>
      <c r="S336" s="249"/>
      <c r="T336" s="224"/>
      <c r="U336" s="271"/>
      <c r="V336" s="271"/>
      <c r="W336" s="271"/>
      <c r="X336" s="271"/>
      <c r="Y336" s="271"/>
      <c r="Z336" s="271"/>
      <c r="AA336" s="271"/>
      <c r="AB336" s="271"/>
      <c r="AC336" s="271"/>
    </row>
    <row r="337" spans="5:29" ht="13.5" customHeight="1" x14ac:dyDescent="0.25">
      <c r="E337" s="134"/>
      <c r="F337" s="134"/>
      <c r="G337" s="134"/>
      <c r="I337" s="157"/>
      <c r="J337" s="269"/>
      <c r="K337" s="269"/>
      <c r="L337" s="269"/>
      <c r="M337" s="269"/>
      <c r="N337" s="269"/>
      <c r="O337" s="269"/>
      <c r="P337" s="269"/>
      <c r="Q337" s="269"/>
      <c r="R337" s="269"/>
      <c r="S337" s="249"/>
      <c r="T337" s="224"/>
      <c r="U337" s="271"/>
      <c r="V337" s="271"/>
      <c r="W337" s="271"/>
      <c r="X337" s="271"/>
      <c r="Y337" s="271"/>
      <c r="Z337" s="271"/>
      <c r="AA337" s="271"/>
      <c r="AB337" s="271"/>
      <c r="AC337" s="271"/>
    </row>
    <row r="338" spans="5:29" ht="13.5" customHeight="1" x14ac:dyDescent="0.25">
      <c r="E338" s="134"/>
      <c r="F338" s="134"/>
      <c r="G338" s="134"/>
      <c r="I338" s="157"/>
      <c r="J338" s="269"/>
      <c r="K338" s="269"/>
      <c r="L338" s="269"/>
      <c r="M338" s="269"/>
      <c r="N338" s="269"/>
      <c r="O338" s="269"/>
      <c r="P338" s="269"/>
      <c r="Q338" s="269"/>
      <c r="R338" s="269"/>
      <c r="S338" s="249"/>
      <c r="T338" s="224"/>
      <c r="U338" s="271"/>
      <c r="V338" s="271"/>
      <c r="W338" s="271"/>
      <c r="X338" s="271"/>
      <c r="Y338" s="271"/>
      <c r="Z338" s="271"/>
      <c r="AA338" s="271"/>
      <c r="AB338" s="271"/>
      <c r="AC338" s="271"/>
    </row>
    <row r="339" spans="5:29" ht="13.5" customHeight="1" x14ac:dyDescent="0.25">
      <c r="E339" s="134"/>
      <c r="F339" s="134"/>
      <c r="G339" s="134"/>
      <c r="I339" s="157"/>
      <c r="J339" s="269"/>
      <c r="K339" s="269"/>
      <c r="L339" s="269"/>
      <c r="M339" s="269"/>
      <c r="N339" s="269"/>
      <c r="O339" s="269"/>
      <c r="P339" s="269"/>
      <c r="Q339" s="269"/>
      <c r="R339" s="269"/>
      <c r="S339" s="249"/>
      <c r="T339" s="224"/>
      <c r="U339" s="271"/>
      <c r="V339" s="271"/>
      <c r="W339" s="271"/>
      <c r="X339" s="271"/>
      <c r="Y339" s="271"/>
      <c r="Z339" s="271"/>
      <c r="AA339" s="271"/>
      <c r="AB339" s="271"/>
      <c r="AC339" s="271"/>
    </row>
    <row r="340" spans="5:29" ht="13.5" customHeight="1" x14ac:dyDescent="0.25">
      <c r="E340" s="134"/>
      <c r="F340" s="134"/>
      <c r="G340" s="134"/>
      <c r="I340" s="157"/>
      <c r="J340" s="269"/>
      <c r="K340" s="269"/>
      <c r="L340" s="269"/>
      <c r="M340" s="269"/>
      <c r="N340" s="269"/>
      <c r="O340" s="269"/>
      <c r="P340" s="269"/>
      <c r="Q340" s="269"/>
      <c r="R340" s="269"/>
      <c r="S340" s="249"/>
      <c r="T340" s="224"/>
      <c r="U340" s="271"/>
      <c r="V340" s="271"/>
      <c r="W340" s="271"/>
      <c r="X340" s="271"/>
      <c r="Y340" s="271"/>
      <c r="Z340" s="271"/>
      <c r="AA340" s="271"/>
      <c r="AB340" s="271"/>
      <c r="AC340" s="271"/>
    </row>
    <row r="341" spans="5:29" ht="13.5" customHeight="1" x14ac:dyDescent="0.25">
      <c r="E341" s="134"/>
      <c r="F341" s="134"/>
      <c r="G341" s="134"/>
      <c r="I341" s="157"/>
      <c r="J341" s="269"/>
      <c r="K341" s="269"/>
      <c r="L341" s="269"/>
      <c r="M341" s="269"/>
      <c r="N341" s="269"/>
      <c r="O341" s="269"/>
      <c r="P341" s="269"/>
      <c r="Q341" s="269"/>
      <c r="R341" s="269"/>
      <c r="S341" s="249"/>
      <c r="T341" s="224"/>
      <c r="U341" s="271"/>
      <c r="V341" s="271"/>
      <c r="W341" s="271"/>
      <c r="X341" s="271"/>
      <c r="Y341" s="271"/>
      <c r="Z341" s="271"/>
      <c r="AA341" s="271"/>
      <c r="AB341" s="271"/>
      <c r="AC341" s="271"/>
    </row>
    <row r="342" spans="5:29" ht="13.5" customHeight="1" x14ac:dyDescent="0.25">
      <c r="E342" s="134"/>
      <c r="F342" s="134"/>
      <c r="G342" s="134"/>
      <c r="I342" s="157"/>
      <c r="J342" s="269"/>
      <c r="K342" s="269"/>
      <c r="L342" s="269"/>
      <c r="M342" s="269"/>
      <c r="N342" s="269"/>
      <c r="O342" s="269"/>
      <c r="P342" s="269"/>
      <c r="Q342" s="269"/>
      <c r="R342" s="269"/>
      <c r="S342" s="249"/>
      <c r="T342" s="224"/>
      <c r="U342" s="271"/>
      <c r="V342" s="271"/>
      <c r="W342" s="271"/>
      <c r="X342" s="271"/>
      <c r="Y342" s="271"/>
      <c r="Z342" s="271"/>
      <c r="AA342" s="271"/>
      <c r="AB342" s="271"/>
      <c r="AC342" s="271"/>
    </row>
    <row r="343" spans="5:29" ht="13.5" customHeight="1" x14ac:dyDescent="0.25">
      <c r="E343" s="134"/>
      <c r="F343" s="134"/>
      <c r="G343" s="134"/>
      <c r="I343" s="157"/>
      <c r="J343" s="269"/>
      <c r="K343" s="269"/>
      <c r="L343" s="269"/>
      <c r="M343" s="269"/>
      <c r="N343" s="269"/>
      <c r="O343" s="269"/>
      <c r="P343" s="269"/>
      <c r="Q343" s="269"/>
      <c r="R343" s="269"/>
      <c r="S343" s="249"/>
      <c r="T343" s="224"/>
      <c r="U343" s="271"/>
      <c r="V343" s="271"/>
      <c r="W343" s="271"/>
      <c r="X343" s="271"/>
      <c r="Y343" s="271"/>
      <c r="Z343" s="271"/>
      <c r="AA343" s="271"/>
      <c r="AB343" s="271"/>
      <c r="AC343" s="271"/>
    </row>
    <row r="344" spans="5:29" ht="13.5" customHeight="1" x14ac:dyDescent="0.25">
      <c r="E344" s="134"/>
      <c r="F344" s="134"/>
      <c r="G344" s="134"/>
      <c r="I344" s="157"/>
      <c r="J344" s="269"/>
      <c r="K344" s="269"/>
      <c r="L344" s="269"/>
      <c r="M344" s="269"/>
      <c r="N344" s="269"/>
      <c r="O344" s="269"/>
      <c r="P344" s="269"/>
      <c r="Q344" s="269"/>
      <c r="R344" s="269"/>
      <c r="S344" s="249"/>
      <c r="T344" s="224"/>
      <c r="U344" s="271"/>
      <c r="V344" s="271"/>
      <c r="W344" s="271"/>
      <c r="X344" s="271"/>
      <c r="Y344" s="271"/>
      <c r="Z344" s="271"/>
      <c r="AA344" s="271"/>
      <c r="AB344" s="271"/>
      <c r="AC344" s="271"/>
    </row>
    <row r="345" spans="5:29" ht="13.5" customHeight="1" x14ac:dyDescent="0.25">
      <c r="E345" s="134"/>
      <c r="F345" s="134"/>
      <c r="G345" s="134"/>
      <c r="I345" s="157"/>
      <c r="J345" s="269"/>
      <c r="K345" s="269"/>
      <c r="L345" s="269"/>
      <c r="M345" s="269"/>
      <c r="N345" s="269"/>
      <c r="O345" s="269"/>
      <c r="P345" s="269"/>
      <c r="Q345" s="269"/>
      <c r="R345" s="269"/>
      <c r="S345" s="249"/>
      <c r="T345" s="224"/>
      <c r="U345" s="271"/>
      <c r="V345" s="271"/>
      <c r="W345" s="271"/>
      <c r="X345" s="271"/>
      <c r="Y345" s="271"/>
      <c r="Z345" s="271"/>
      <c r="AA345" s="271"/>
      <c r="AB345" s="271"/>
      <c r="AC345" s="271"/>
    </row>
    <row r="346" spans="5:29" ht="13.5" customHeight="1" x14ac:dyDescent="0.25">
      <c r="E346" s="134"/>
      <c r="F346" s="134"/>
      <c r="G346" s="134"/>
      <c r="I346" s="157"/>
      <c r="J346" s="269"/>
      <c r="K346" s="269"/>
      <c r="L346" s="269"/>
      <c r="M346" s="269"/>
      <c r="N346" s="269"/>
      <c r="O346" s="269"/>
      <c r="P346" s="269"/>
      <c r="Q346" s="269"/>
      <c r="R346" s="269"/>
      <c r="S346" s="249"/>
      <c r="T346" s="224"/>
      <c r="U346" s="271"/>
      <c r="V346" s="271"/>
      <c r="W346" s="271"/>
      <c r="X346" s="271"/>
      <c r="Y346" s="271"/>
      <c r="Z346" s="271"/>
      <c r="AA346" s="271"/>
      <c r="AB346" s="271"/>
      <c r="AC346" s="271"/>
    </row>
    <row r="347" spans="5:29" ht="13.5" customHeight="1" x14ac:dyDescent="0.25">
      <c r="E347" s="134"/>
      <c r="F347" s="134"/>
      <c r="G347" s="134"/>
      <c r="I347" s="157"/>
      <c r="J347" s="269"/>
      <c r="K347" s="269"/>
      <c r="L347" s="269"/>
      <c r="M347" s="269"/>
      <c r="N347" s="269"/>
      <c r="O347" s="269"/>
      <c r="P347" s="269"/>
      <c r="Q347" s="269"/>
      <c r="R347" s="269"/>
      <c r="S347" s="249"/>
      <c r="T347" s="224"/>
      <c r="U347" s="271"/>
      <c r="V347" s="271"/>
      <c r="W347" s="271"/>
      <c r="X347" s="271"/>
      <c r="Y347" s="271"/>
      <c r="Z347" s="271"/>
      <c r="AA347" s="271"/>
      <c r="AB347" s="271"/>
      <c r="AC347" s="271"/>
    </row>
    <row r="348" spans="5:29" ht="13.5" customHeight="1" x14ac:dyDescent="0.25">
      <c r="E348" s="134"/>
      <c r="F348" s="134"/>
      <c r="G348" s="134"/>
      <c r="I348" s="157"/>
      <c r="J348" s="269"/>
      <c r="K348" s="269"/>
      <c r="L348" s="269"/>
      <c r="M348" s="269"/>
      <c r="N348" s="269"/>
      <c r="O348" s="269"/>
      <c r="P348" s="269"/>
      <c r="Q348" s="269"/>
      <c r="R348" s="269"/>
      <c r="S348" s="249"/>
      <c r="T348" s="224"/>
      <c r="U348" s="271"/>
      <c r="V348" s="271"/>
      <c r="W348" s="271"/>
      <c r="X348" s="271"/>
      <c r="Y348" s="271"/>
      <c r="Z348" s="271"/>
      <c r="AA348" s="271"/>
      <c r="AB348" s="271"/>
      <c r="AC348" s="271"/>
    </row>
    <row r="349" spans="5:29" ht="13.5" customHeight="1" x14ac:dyDescent="0.25">
      <c r="E349" s="134"/>
      <c r="F349" s="134"/>
      <c r="G349" s="134"/>
      <c r="I349" s="157"/>
      <c r="J349" s="269"/>
      <c r="K349" s="269"/>
      <c r="L349" s="269"/>
      <c r="M349" s="269"/>
      <c r="N349" s="269"/>
      <c r="O349" s="269"/>
      <c r="P349" s="269"/>
      <c r="Q349" s="269"/>
      <c r="R349" s="269"/>
      <c r="S349" s="249"/>
      <c r="T349" s="224"/>
      <c r="U349" s="271"/>
      <c r="V349" s="271"/>
      <c r="W349" s="271"/>
      <c r="X349" s="271"/>
      <c r="Y349" s="271"/>
      <c r="Z349" s="271"/>
      <c r="AA349" s="271"/>
      <c r="AB349" s="271"/>
      <c r="AC349" s="271"/>
    </row>
    <row r="350" spans="5:29" ht="13.5" customHeight="1" x14ac:dyDescent="0.25">
      <c r="E350" s="134"/>
      <c r="F350" s="134"/>
      <c r="G350" s="134"/>
      <c r="I350" s="157"/>
      <c r="J350" s="269"/>
      <c r="K350" s="269"/>
      <c r="L350" s="269"/>
      <c r="M350" s="269"/>
      <c r="N350" s="269"/>
      <c r="O350" s="269"/>
      <c r="P350" s="269"/>
      <c r="Q350" s="269"/>
      <c r="R350" s="269"/>
      <c r="S350" s="249"/>
      <c r="T350" s="224"/>
      <c r="U350" s="271"/>
      <c r="V350" s="271"/>
      <c r="W350" s="271"/>
      <c r="X350" s="271"/>
      <c r="Y350" s="271"/>
      <c r="Z350" s="271"/>
      <c r="AA350" s="271"/>
      <c r="AB350" s="271"/>
      <c r="AC350" s="271"/>
    </row>
    <row r="351" spans="5:29" ht="13.5" customHeight="1" x14ac:dyDescent="0.25">
      <c r="E351" s="134"/>
      <c r="F351" s="134"/>
      <c r="G351" s="134"/>
      <c r="I351" s="157"/>
      <c r="J351" s="269"/>
      <c r="K351" s="269"/>
      <c r="L351" s="269"/>
      <c r="M351" s="269"/>
      <c r="N351" s="269"/>
      <c r="O351" s="269"/>
      <c r="P351" s="269"/>
      <c r="Q351" s="269"/>
      <c r="R351" s="269"/>
      <c r="S351" s="249"/>
      <c r="T351" s="224"/>
      <c r="U351" s="271"/>
      <c r="V351" s="271"/>
      <c r="W351" s="271"/>
      <c r="X351" s="271"/>
      <c r="Y351" s="271"/>
      <c r="Z351" s="271"/>
      <c r="AA351" s="271"/>
      <c r="AB351" s="271"/>
      <c r="AC351" s="271"/>
    </row>
    <row r="352" spans="5:29" ht="13.5" customHeight="1" x14ac:dyDescent="0.25">
      <c r="E352" s="134"/>
      <c r="F352" s="134"/>
      <c r="G352" s="134"/>
      <c r="I352" s="157"/>
      <c r="J352" s="269"/>
      <c r="K352" s="269"/>
      <c r="L352" s="269"/>
      <c r="M352" s="269"/>
      <c r="N352" s="269"/>
      <c r="O352" s="269"/>
      <c r="P352" s="269"/>
      <c r="Q352" s="269"/>
      <c r="R352" s="269"/>
      <c r="S352" s="249"/>
      <c r="T352" s="224"/>
      <c r="U352" s="271"/>
      <c r="V352" s="271"/>
      <c r="W352" s="271"/>
      <c r="X352" s="271"/>
      <c r="Y352" s="271"/>
      <c r="Z352" s="271"/>
      <c r="AA352" s="271"/>
      <c r="AB352" s="271"/>
      <c r="AC352" s="271"/>
    </row>
    <row r="353" spans="4:35" ht="13.5" customHeight="1" x14ac:dyDescent="0.25">
      <c r="E353" s="134"/>
      <c r="F353" s="134"/>
      <c r="G353" s="134"/>
      <c r="I353" s="157"/>
      <c r="J353" s="269"/>
      <c r="K353" s="269"/>
      <c r="L353" s="269"/>
      <c r="M353" s="269"/>
      <c r="N353" s="269"/>
      <c r="O353" s="269"/>
      <c r="P353" s="269"/>
      <c r="Q353" s="269"/>
      <c r="R353" s="269"/>
      <c r="S353" s="249"/>
      <c r="T353" s="224"/>
      <c r="U353" s="271"/>
      <c r="V353" s="271"/>
      <c r="W353" s="271"/>
      <c r="X353" s="271"/>
      <c r="Y353" s="271"/>
      <c r="Z353" s="271"/>
      <c r="AA353" s="271"/>
      <c r="AB353" s="271"/>
      <c r="AC353" s="271"/>
    </row>
    <row r="354" spans="4:35" ht="13.5" customHeight="1" x14ac:dyDescent="0.25">
      <c r="E354" s="134"/>
      <c r="F354" s="134"/>
      <c r="G354" s="134"/>
      <c r="I354" s="157"/>
      <c r="J354" s="269"/>
      <c r="K354" s="269"/>
      <c r="L354" s="269"/>
      <c r="M354" s="269"/>
      <c r="N354" s="269"/>
      <c r="O354" s="269"/>
      <c r="P354" s="269"/>
      <c r="Q354" s="269"/>
      <c r="R354" s="269"/>
      <c r="S354" s="249"/>
      <c r="T354" s="221"/>
      <c r="U354" s="271"/>
      <c r="V354" s="271"/>
      <c r="W354" s="271"/>
      <c r="X354" s="271"/>
      <c r="Y354" s="271"/>
      <c r="Z354" s="271"/>
      <c r="AA354" s="271"/>
      <c r="AB354" s="271"/>
      <c r="AC354" s="271"/>
    </row>
    <row r="355" spans="4:35" ht="13.5" customHeight="1" x14ac:dyDescent="0.25">
      <c r="E355" s="134"/>
      <c r="F355" s="134"/>
      <c r="G355" s="134"/>
      <c r="I355" s="157"/>
      <c r="J355" s="269"/>
      <c r="K355" s="269"/>
      <c r="L355" s="269"/>
      <c r="M355" s="269"/>
      <c r="N355" s="269"/>
      <c r="O355" s="269"/>
      <c r="P355" s="269"/>
      <c r="Q355" s="269"/>
      <c r="R355" s="269"/>
      <c r="S355" s="249"/>
      <c r="T355" s="221"/>
      <c r="U355" s="271"/>
      <c r="V355" s="271"/>
      <c r="W355" s="271"/>
      <c r="X355" s="271"/>
      <c r="Y355" s="271"/>
      <c r="Z355" s="271"/>
      <c r="AA355" s="271"/>
      <c r="AB355" s="271"/>
      <c r="AC355" s="271"/>
    </row>
    <row r="356" spans="4:35" ht="13.5" customHeight="1" x14ac:dyDescent="0.25">
      <c r="E356" s="134"/>
      <c r="F356" s="134"/>
      <c r="G356" s="134"/>
      <c r="I356" s="157"/>
      <c r="J356" s="269"/>
      <c r="K356" s="269"/>
      <c r="L356" s="269"/>
      <c r="M356" s="269"/>
      <c r="N356" s="269"/>
      <c r="O356" s="269"/>
      <c r="P356" s="269"/>
      <c r="Q356" s="269"/>
      <c r="R356" s="269"/>
      <c r="S356" s="249"/>
      <c r="T356" s="221"/>
      <c r="U356" s="271"/>
      <c r="V356" s="271"/>
      <c r="W356" s="271"/>
      <c r="X356" s="271"/>
      <c r="Y356" s="271"/>
      <c r="Z356" s="271"/>
      <c r="AA356" s="271"/>
      <c r="AB356" s="271"/>
      <c r="AC356" s="271"/>
    </row>
    <row r="357" spans="4:35" ht="13.5" customHeight="1" x14ac:dyDescent="0.25">
      <c r="E357" s="134"/>
      <c r="F357" s="134"/>
      <c r="G357" s="134"/>
      <c r="I357" s="157"/>
      <c r="J357" s="269"/>
      <c r="K357" s="269"/>
      <c r="L357" s="269"/>
      <c r="M357" s="269"/>
      <c r="N357" s="269"/>
      <c r="O357" s="269"/>
      <c r="P357" s="269"/>
      <c r="Q357" s="269"/>
      <c r="R357" s="269"/>
      <c r="S357" s="249"/>
      <c r="T357" s="221"/>
      <c r="U357" s="271"/>
      <c r="V357" s="271"/>
      <c r="W357" s="271"/>
      <c r="X357" s="271"/>
      <c r="Y357" s="271"/>
      <c r="Z357" s="271"/>
      <c r="AA357" s="271"/>
      <c r="AB357" s="271"/>
      <c r="AC357" s="271"/>
    </row>
    <row r="358" spans="4:35" ht="13.5" customHeight="1" x14ac:dyDescent="0.25">
      <c r="E358" s="134"/>
      <c r="F358" s="134"/>
      <c r="G358" s="134"/>
      <c r="I358" s="157"/>
      <c r="J358" s="269"/>
      <c r="K358" s="269"/>
      <c r="L358" s="269"/>
      <c r="M358" s="269"/>
      <c r="N358" s="269"/>
      <c r="O358" s="269"/>
      <c r="P358" s="269"/>
      <c r="Q358" s="269"/>
      <c r="R358" s="269"/>
      <c r="S358" s="249"/>
      <c r="T358" s="221"/>
      <c r="U358" s="271"/>
      <c r="V358" s="271"/>
      <c r="W358" s="271"/>
      <c r="X358" s="271"/>
      <c r="Y358" s="271"/>
      <c r="Z358" s="271"/>
      <c r="AA358" s="271"/>
      <c r="AB358" s="271"/>
      <c r="AC358" s="271"/>
    </row>
    <row r="359" spans="4:35" ht="13.5" customHeight="1" x14ac:dyDescent="0.25">
      <c r="E359" s="134"/>
      <c r="F359" s="134"/>
      <c r="G359" s="134"/>
      <c r="I359" s="157"/>
      <c r="J359" s="269"/>
      <c r="K359" s="269"/>
      <c r="L359" s="269"/>
      <c r="M359" s="269"/>
      <c r="N359" s="269"/>
      <c r="O359" s="269"/>
      <c r="P359" s="269"/>
      <c r="Q359" s="269"/>
      <c r="R359" s="269"/>
      <c r="S359" s="249"/>
      <c r="T359" s="221"/>
      <c r="U359" s="271"/>
      <c r="V359" s="271"/>
      <c r="W359" s="271"/>
      <c r="X359" s="271"/>
      <c r="Y359" s="271"/>
      <c r="Z359" s="271"/>
      <c r="AA359" s="271"/>
      <c r="AB359" s="271"/>
      <c r="AC359" s="271"/>
    </row>
    <row r="360" spans="4:35" ht="13.5" customHeight="1" x14ac:dyDescent="0.25">
      <c r="E360" s="134"/>
      <c r="F360" s="134"/>
      <c r="G360" s="134"/>
      <c r="I360" s="157"/>
      <c r="J360" s="269"/>
      <c r="K360" s="269"/>
      <c r="L360" s="269"/>
      <c r="M360" s="269"/>
      <c r="N360" s="269"/>
      <c r="O360" s="269"/>
      <c r="P360" s="269"/>
      <c r="Q360" s="269"/>
      <c r="R360" s="269"/>
      <c r="S360" s="249"/>
      <c r="T360" s="221"/>
      <c r="U360" s="271"/>
      <c r="V360" s="271"/>
      <c r="W360" s="271"/>
      <c r="X360" s="271"/>
      <c r="Y360" s="271"/>
      <c r="Z360" s="271"/>
      <c r="AA360" s="271"/>
      <c r="AB360" s="271"/>
      <c r="AC360" s="271"/>
    </row>
    <row r="361" spans="4:35" ht="13.5" customHeight="1" x14ac:dyDescent="0.25">
      <c r="E361" s="134"/>
      <c r="F361" s="134"/>
      <c r="G361" s="134"/>
      <c r="I361" s="157"/>
      <c r="J361" s="269"/>
      <c r="K361" s="269"/>
      <c r="L361" s="269"/>
      <c r="M361" s="269"/>
      <c r="N361" s="269"/>
      <c r="O361" s="269"/>
      <c r="P361" s="269"/>
      <c r="Q361" s="269"/>
      <c r="R361" s="269"/>
      <c r="S361" s="249"/>
      <c r="T361" s="221"/>
      <c r="U361" s="271"/>
      <c r="V361" s="271"/>
      <c r="W361" s="271"/>
      <c r="X361" s="271"/>
      <c r="Y361" s="271"/>
      <c r="Z361" s="271"/>
      <c r="AA361" s="271"/>
      <c r="AB361" s="271"/>
      <c r="AC361" s="271"/>
    </row>
    <row r="362" spans="4:35" ht="13.5" customHeight="1" x14ac:dyDescent="0.25">
      <c r="E362" s="134"/>
      <c r="F362" s="134"/>
      <c r="G362" s="134"/>
      <c r="I362" s="157"/>
      <c r="J362" s="269"/>
      <c r="K362" s="269"/>
      <c r="L362" s="269"/>
      <c r="M362" s="269"/>
      <c r="N362" s="269"/>
      <c r="O362" s="269"/>
      <c r="P362" s="269"/>
      <c r="Q362" s="269"/>
      <c r="R362" s="269"/>
      <c r="S362" s="249"/>
      <c r="T362" s="221"/>
      <c r="U362" s="271"/>
      <c r="V362" s="271"/>
      <c r="W362" s="271"/>
      <c r="X362" s="271"/>
      <c r="Y362" s="271"/>
      <c r="Z362" s="271"/>
      <c r="AA362" s="271"/>
      <c r="AB362" s="271"/>
      <c r="AC362" s="271"/>
    </row>
    <row r="363" spans="4:35" ht="13.5" customHeight="1" x14ac:dyDescent="0.25">
      <c r="E363" s="134"/>
      <c r="F363" s="134"/>
      <c r="G363" s="134"/>
      <c r="I363" s="157"/>
      <c r="J363" s="269"/>
      <c r="K363" s="269"/>
      <c r="L363" s="269"/>
      <c r="M363" s="269"/>
      <c r="N363" s="269"/>
      <c r="O363" s="269"/>
      <c r="P363" s="269"/>
      <c r="Q363" s="269"/>
      <c r="R363" s="269"/>
      <c r="S363" s="249"/>
      <c r="T363" s="221"/>
      <c r="U363" s="271"/>
      <c r="V363" s="271"/>
      <c r="W363" s="271"/>
      <c r="X363" s="271"/>
      <c r="Y363" s="271"/>
      <c r="Z363" s="271"/>
      <c r="AA363" s="271"/>
      <c r="AB363" s="271"/>
      <c r="AC363" s="271"/>
    </row>
    <row r="364" spans="4:35" ht="13.5" customHeight="1" x14ac:dyDescent="0.25">
      <c r="E364" s="134"/>
      <c r="F364" s="134"/>
      <c r="G364" s="134"/>
      <c r="I364" s="157"/>
      <c r="J364" s="269"/>
      <c r="K364" s="269"/>
      <c r="L364" s="269"/>
      <c r="M364" s="269"/>
      <c r="N364" s="269"/>
      <c r="O364" s="269"/>
      <c r="P364" s="269"/>
      <c r="Q364" s="269"/>
      <c r="R364" s="269"/>
      <c r="S364" s="249"/>
      <c r="T364" s="221"/>
      <c r="U364" s="271"/>
      <c r="V364" s="271"/>
      <c r="W364" s="271"/>
      <c r="X364" s="271"/>
      <c r="Y364" s="271"/>
      <c r="Z364" s="271"/>
      <c r="AA364" s="271"/>
      <c r="AB364" s="271"/>
      <c r="AC364" s="271"/>
    </row>
    <row r="365" spans="4:35" ht="13.5" customHeight="1" x14ac:dyDescent="0.25">
      <c r="E365" s="134"/>
      <c r="F365" s="134"/>
      <c r="G365" s="134"/>
      <c r="I365" s="157"/>
      <c r="J365" s="269"/>
      <c r="K365" s="269"/>
      <c r="L365" s="269"/>
      <c r="M365" s="269"/>
      <c r="N365" s="269"/>
      <c r="O365" s="269"/>
      <c r="P365" s="269"/>
      <c r="Q365" s="269"/>
      <c r="R365" s="269"/>
      <c r="S365" s="249"/>
      <c r="T365" s="221"/>
      <c r="U365" s="271"/>
      <c r="V365" s="271"/>
      <c r="W365" s="271"/>
      <c r="X365" s="271"/>
      <c r="Y365" s="271"/>
      <c r="Z365" s="271"/>
      <c r="AA365" s="271"/>
      <c r="AB365" s="271"/>
      <c r="AC365" s="271"/>
    </row>
    <row r="366" spans="4:35" ht="13.5" customHeight="1" thickBot="1" x14ac:dyDescent="0.3">
      <c r="E366" s="134"/>
      <c r="F366" s="134"/>
      <c r="G366" s="134"/>
      <c r="I366" s="157"/>
      <c r="J366" s="269"/>
      <c r="K366" s="269"/>
      <c r="L366" s="269"/>
      <c r="M366" s="269"/>
      <c r="N366" s="269"/>
      <c r="O366" s="269"/>
      <c r="P366" s="269"/>
      <c r="Q366" s="269"/>
      <c r="R366" s="269"/>
      <c r="S366" s="249"/>
      <c r="T366" s="221"/>
      <c r="U366" s="271"/>
      <c r="V366" s="271"/>
      <c r="W366" s="271"/>
      <c r="X366" s="271"/>
      <c r="Y366" s="271"/>
      <c r="Z366" s="271"/>
      <c r="AA366" s="271"/>
      <c r="AB366" s="271"/>
      <c r="AC366" s="271"/>
    </row>
    <row r="367" spans="4:35" ht="13.5" customHeight="1" thickTop="1" thickBot="1" x14ac:dyDescent="0.3">
      <c r="D367" s="300"/>
      <c r="E367" s="301"/>
      <c r="F367" s="301"/>
      <c r="G367" s="301"/>
      <c r="I367" s="157"/>
      <c r="J367" s="157"/>
    </row>
    <row r="368" spans="4:35" ht="13.5" customHeight="1" thickTop="1" thickBot="1" x14ac:dyDescent="0.3">
      <c r="D368" s="300"/>
      <c r="E368" s="301"/>
      <c r="F368" s="301"/>
      <c r="G368" s="301"/>
      <c r="H368" s="301"/>
      <c r="I368" s="301"/>
      <c r="J368" s="301"/>
      <c r="K368" s="301"/>
      <c r="L368" s="301"/>
      <c r="M368" s="301"/>
      <c r="O368" s="157"/>
      <c r="P368" s="157"/>
      <c r="Z368" s="59"/>
      <c r="AA368" s="298"/>
      <c r="AB368" s="298"/>
      <c r="AC368" s="298"/>
      <c r="AD368" s="298"/>
      <c r="AE368" s="298"/>
      <c r="AF368" s="298"/>
      <c r="AG368" s="298"/>
      <c r="AH368" s="298"/>
      <c r="AI368" s="298"/>
    </row>
    <row r="369" spans="2:29" ht="13.5" customHeight="1" thickTop="1" x14ac:dyDescent="0.25">
      <c r="O369" s="157"/>
      <c r="P369" s="157"/>
    </row>
    <row r="370" spans="2:29" ht="13.5" customHeight="1" x14ac:dyDescent="0.3">
      <c r="D370" s="36"/>
    </row>
    <row r="371" spans="2:29" ht="13.5" customHeight="1" x14ac:dyDescent="0.35">
      <c r="B371" s="51"/>
      <c r="D371" s="290"/>
    </row>
    <row r="373" spans="2:29" ht="13.5" customHeight="1" x14ac:dyDescent="0.35">
      <c r="D373" s="302"/>
      <c r="J373" s="302"/>
      <c r="K373" s="302"/>
      <c r="U373" s="302"/>
      <c r="V373" s="302"/>
    </row>
    <row r="374" spans="2:29" ht="13.5" customHeight="1" x14ac:dyDescent="0.3">
      <c r="D374" s="36"/>
      <c r="J374" s="36"/>
      <c r="U374" s="36"/>
    </row>
    <row r="375" spans="2:29" ht="13.5" customHeight="1" x14ac:dyDescent="0.25">
      <c r="J375" s="235"/>
      <c r="K375" s="235"/>
      <c r="L375" s="235"/>
      <c r="M375" s="235"/>
      <c r="N375" s="235"/>
      <c r="O375" s="235"/>
      <c r="P375" s="235"/>
      <c r="Q375" s="235"/>
      <c r="R375" s="235"/>
      <c r="U375" s="235"/>
      <c r="V375" s="235"/>
      <c r="W375" s="235"/>
      <c r="X375" s="235"/>
      <c r="Y375" s="235"/>
      <c r="Z375" s="235"/>
      <c r="AA375" s="235"/>
      <c r="AB375" s="235"/>
      <c r="AC375" s="235"/>
    </row>
    <row r="376" spans="2:29" ht="13.5" customHeight="1" x14ac:dyDescent="0.25">
      <c r="D376" s="291"/>
      <c r="E376" s="291"/>
      <c r="F376" s="291"/>
      <c r="G376" s="291"/>
      <c r="J376" s="291"/>
      <c r="K376" s="291"/>
      <c r="L376" s="291"/>
      <c r="M376" s="291"/>
      <c r="N376" s="291"/>
      <c r="O376" s="291"/>
      <c r="P376" s="291"/>
      <c r="Q376" s="291"/>
      <c r="R376" s="291"/>
      <c r="U376" s="291"/>
      <c r="V376" s="291"/>
      <c r="W376" s="291"/>
      <c r="X376" s="291"/>
      <c r="Y376" s="291"/>
      <c r="Z376" s="291"/>
      <c r="AA376" s="291"/>
      <c r="AB376" s="291"/>
      <c r="AC376" s="291"/>
    </row>
    <row r="377" spans="2:29" ht="13.5" customHeight="1" x14ac:dyDescent="0.25">
      <c r="J377" s="269"/>
      <c r="K377" s="269"/>
      <c r="L377" s="269"/>
      <c r="M377" s="269"/>
      <c r="N377" s="269"/>
      <c r="O377" s="269"/>
      <c r="P377" s="269"/>
      <c r="Q377" s="269"/>
      <c r="R377" s="269"/>
      <c r="U377" s="271"/>
      <c r="V377" s="271"/>
      <c r="W377" s="271"/>
      <c r="X377" s="271"/>
      <c r="Y377" s="271"/>
      <c r="Z377" s="271"/>
      <c r="AA377" s="271"/>
      <c r="AB377" s="271"/>
      <c r="AC377" s="271"/>
    </row>
    <row r="378" spans="2:29" ht="13.5" customHeight="1" x14ac:dyDescent="0.25">
      <c r="J378" s="269"/>
      <c r="K378" s="269"/>
      <c r="L378" s="269"/>
      <c r="M378" s="269"/>
      <c r="N378" s="269"/>
      <c r="O378" s="269"/>
      <c r="P378" s="269"/>
      <c r="Q378" s="269"/>
      <c r="R378" s="269"/>
      <c r="U378" s="271"/>
      <c r="V378" s="271"/>
      <c r="W378" s="271"/>
      <c r="X378" s="271"/>
      <c r="Y378" s="271"/>
      <c r="Z378" s="271"/>
      <c r="AA378" s="271"/>
      <c r="AB378" s="271"/>
      <c r="AC378" s="271"/>
    </row>
    <row r="379" spans="2:29" ht="13.5" customHeight="1" x14ac:dyDescent="0.25">
      <c r="J379" s="269"/>
      <c r="K379" s="269"/>
      <c r="L379" s="269"/>
      <c r="M379" s="269"/>
      <c r="N379" s="269"/>
      <c r="O379" s="269"/>
      <c r="P379" s="269"/>
      <c r="Q379" s="269"/>
      <c r="R379" s="269"/>
      <c r="U379" s="271"/>
      <c r="V379" s="271"/>
      <c r="W379" s="271"/>
      <c r="X379" s="271"/>
      <c r="Y379" s="271"/>
      <c r="Z379" s="271"/>
      <c r="AA379" s="271"/>
      <c r="AB379" s="271"/>
      <c r="AC379" s="271"/>
    </row>
    <row r="380" spans="2:29" ht="13.5" customHeight="1" x14ac:dyDescent="0.25">
      <c r="J380" s="269"/>
      <c r="K380" s="269"/>
      <c r="L380" s="269"/>
      <c r="M380" s="269"/>
      <c r="N380" s="269"/>
      <c r="O380" s="269"/>
      <c r="P380" s="269"/>
      <c r="Q380" s="269"/>
      <c r="R380" s="269"/>
      <c r="U380" s="271"/>
      <c r="V380" s="271"/>
      <c r="W380" s="271"/>
      <c r="X380" s="271"/>
      <c r="Y380" s="271"/>
      <c r="Z380" s="271"/>
      <c r="AA380" s="271"/>
      <c r="AB380" s="271"/>
      <c r="AC380" s="271"/>
    </row>
    <row r="381" spans="2:29" ht="13.5" customHeight="1" x14ac:dyDescent="0.25">
      <c r="J381" s="269"/>
      <c r="K381" s="269"/>
      <c r="L381" s="269"/>
      <c r="M381" s="269"/>
      <c r="N381" s="269"/>
      <c r="O381" s="269"/>
      <c r="P381" s="269"/>
      <c r="Q381" s="269"/>
      <c r="R381" s="269"/>
      <c r="U381" s="271"/>
      <c r="V381" s="271"/>
      <c r="W381" s="271"/>
      <c r="X381" s="271"/>
      <c r="Y381" s="271"/>
      <c r="Z381" s="271"/>
      <c r="AA381" s="271"/>
      <c r="AB381" s="271"/>
      <c r="AC381" s="271"/>
    </row>
    <row r="382" spans="2:29" ht="13.5" customHeight="1" x14ac:dyDescent="0.25">
      <c r="J382" s="269"/>
      <c r="K382" s="269"/>
      <c r="L382" s="269"/>
      <c r="M382" s="269"/>
      <c r="N382" s="269"/>
      <c r="O382" s="269"/>
      <c r="P382" s="269"/>
      <c r="Q382" s="269"/>
      <c r="R382" s="269"/>
      <c r="U382" s="271"/>
      <c r="V382" s="271"/>
      <c r="W382" s="271"/>
      <c r="X382" s="271"/>
      <c r="Y382" s="271"/>
      <c r="Z382" s="271"/>
      <c r="AA382" s="271"/>
      <c r="AB382" s="271"/>
      <c r="AC382" s="271"/>
    </row>
    <row r="383" spans="2:29" ht="13.5" customHeight="1" x14ac:dyDescent="0.25">
      <c r="J383" s="269"/>
      <c r="K383" s="269"/>
      <c r="L383" s="269"/>
      <c r="M383" s="269"/>
      <c r="N383" s="269"/>
      <c r="O383" s="269"/>
      <c r="P383" s="269"/>
      <c r="Q383" s="269"/>
      <c r="R383" s="269"/>
      <c r="U383" s="271"/>
      <c r="V383" s="271"/>
      <c r="W383" s="271"/>
      <c r="X383" s="271"/>
      <c r="Y383" s="271"/>
      <c r="Z383" s="271"/>
      <c r="AA383" s="271"/>
      <c r="AB383" s="271"/>
      <c r="AC383" s="271"/>
    </row>
    <row r="384" spans="2:29" ht="13.5" customHeight="1" x14ac:dyDescent="0.25">
      <c r="J384" s="269"/>
      <c r="K384" s="269"/>
      <c r="L384" s="269"/>
      <c r="M384" s="269"/>
      <c r="N384" s="269"/>
      <c r="O384" s="269"/>
      <c r="P384" s="269"/>
      <c r="Q384" s="269"/>
      <c r="R384" s="269"/>
      <c r="U384" s="271"/>
      <c r="V384" s="271"/>
      <c r="W384" s="271"/>
      <c r="X384" s="271"/>
      <c r="Y384" s="271"/>
      <c r="Z384" s="271"/>
      <c r="AA384" s="271"/>
      <c r="AB384" s="271"/>
      <c r="AC384" s="271"/>
    </row>
    <row r="385" spans="10:29" ht="13.5" customHeight="1" x14ac:dyDescent="0.25">
      <c r="J385" s="269"/>
      <c r="K385" s="269"/>
      <c r="L385" s="269"/>
      <c r="M385" s="269"/>
      <c r="N385" s="269"/>
      <c r="O385" s="269"/>
      <c r="P385" s="269"/>
      <c r="Q385" s="269"/>
      <c r="R385" s="269"/>
      <c r="U385" s="271"/>
      <c r="V385" s="271"/>
      <c r="W385" s="271"/>
      <c r="X385" s="271"/>
      <c r="Y385" s="271"/>
      <c r="Z385" s="271"/>
      <c r="AA385" s="271"/>
      <c r="AB385" s="271"/>
      <c r="AC385" s="271"/>
    </row>
    <row r="386" spans="10:29" ht="13.5" customHeight="1" x14ac:dyDescent="0.25">
      <c r="J386" s="269"/>
      <c r="K386" s="269"/>
      <c r="L386" s="269"/>
      <c r="M386" s="269"/>
      <c r="N386" s="269"/>
      <c r="O386" s="269"/>
      <c r="P386" s="269"/>
      <c r="Q386" s="269"/>
      <c r="R386" s="269"/>
      <c r="U386" s="271"/>
      <c r="V386" s="271"/>
      <c r="W386" s="271"/>
      <c r="X386" s="271"/>
      <c r="Y386" s="271"/>
      <c r="Z386" s="271"/>
      <c r="AA386" s="271"/>
      <c r="AB386" s="271"/>
      <c r="AC386" s="271"/>
    </row>
    <row r="387" spans="10:29" ht="13.5" customHeight="1" x14ac:dyDescent="0.25">
      <c r="J387" s="269"/>
      <c r="K387" s="269"/>
      <c r="L387" s="269"/>
      <c r="M387" s="269"/>
      <c r="N387" s="269"/>
      <c r="O387" s="269"/>
      <c r="P387" s="269"/>
      <c r="Q387" s="269"/>
      <c r="R387" s="269"/>
      <c r="U387" s="271"/>
      <c r="V387" s="271"/>
      <c r="W387" s="271"/>
      <c r="X387" s="271"/>
      <c r="Y387" s="271"/>
      <c r="Z387" s="271"/>
      <c r="AA387" s="271"/>
      <c r="AB387" s="271"/>
      <c r="AC387" s="271"/>
    </row>
    <row r="388" spans="10:29" ht="13.5" customHeight="1" x14ac:dyDescent="0.25">
      <c r="J388" s="269"/>
      <c r="K388" s="269"/>
      <c r="L388" s="269"/>
      <c r="M388" s="269"/>
      <c r="N388" s="269"/>
      <c r="O388" s="269"/>
      <c r="P388" s="269"/>
      <c r="Q388" s="269"/>
      <c r="R388" s="269"/>
      <c r="U388" s="271"/>
      <c r="V388" s="271"/>
      <c r="W388" s="271"/>
      <c r="X388" s="271"/>
      <c r="Y388" s="271"/>
      <c r="Z388" s="271"/>
      <c r="AA388" s="271"/>
      <c r="AB388" s="271"/>
      <c r="AC388" s="271"/>
    </row>
    <row r="389" spans="10:29" ht="13.5" customHeight="1" x14ac:dyDescent="0.25">
      <c r="J389" s="269"/>
      <c r="K389" s="269"/>
      <c r="L389" s="269"/>
      <c r="M389" s="269"/>
      <c r="N389" s="269"/>
      <c r="O389" s="269"/>
      <c r="P389" s="269"/>
      <c r="Q389" s="269"/>
      <c r="R389" s="269"/>
      <c r="U389" s="271"/>
      <c r="V389" s="271"/>
      <c r="W389" s="271"/>
      <c r="X389" s="271"/>
      <c r="Y389" s="271"/>
      <c r="Z389" s="271"/>
      <c r="AA389" s="271"/>
      <c r="AB389" s="271"/>
      <c r="AC389" s="271"/>
    </row>
    <row r="390" spans="10:29" ht="13.5" customHeight="1" x14ac:dyDescent="0.25">
      <c r="J390" s="269"/>
      <c r="K390" s="269"/>
      <c r="L390" s="269"/>
      <c r="M390" s="269"/>
      <c r="N390" s="269"/>
      <c r="O390" s="269"/>
      <c r="P390" s="269"/>
      <c r="Q390" s="269"/>
      <c r="R390" s="269"/>
      <c r="U390" s="271"/>
      <c r="V390" s="271"/>
      <c r="W390" s="271"/>
      <c r="X390" s="271"/>
      <c r="Y390" s="271"/>
      <c r="Z390" s="271"/>
      <c r="AA390" s="271"/>
      <c r="AB390" s="271"/>
      <c r="AC390" s="271"/>
    </row>
    <row r="391" spans="10:29" ht="13.5" customHeight="1" x14ac:dyDescent="0.25">
      <c r="J391" s="269"/>
      <c r="K391" s="269"/>
      <c r="L391" s="269"/>
      <c r="M391" s="269"/>
      <c r="N391" s="269"/>
      <c r="O391" s="269"/>
      <c r="P391" s="269"/>
      <c r="Q391" s="269"/>
      <c r="R391" s="269"/>
      <c r="U391" s="271"/>
      <c r="V391" s="271"/>
      <c r="W391" s="271"/>
      <c r="X391" s="271"/>
      <c r="Y391" s="271"/>
      <c r="Z391" s="271"/>
      <c r="AA391" s="271"/>
      <c r="AB391" s="271"/>
      <c r="AC391" s="271"/>
    </row>
    <row r="392" spans="10:29" ht="13.5" customHeight="1" x14ac:dyDescent="0.25">
      <c r="J392" s="269"/>
      <c r="K392" s="269"/>
      <c r="L392" s="269"/>
      <c r="M392" s="269"/>
      <c r="N392" s="269"/>
      <c r="O392" s="269"/>
      <c r="P392" s="269"/>
      <c r="Q392" s="269"/>
      <c r="R392" s="269"/>
      <c r="U392" s="271"/>
      <c r="V392" s="271"/>
      <c r="W392" s="271"/>
      <c r="X392" s="271"/>
      <c r="Y392" s="271"/>
      <c r="Z392" s="271"/>
      <c r="AA392" s="271"/>
      <c r="AB392" s="271"/>
      <c r="AC392" s="271"/>
    </row>
    <row r="393" spans="10:29" ht="13.5" customHeight="1" x14ac:dyDescent="0.25">
      <c r="J393" s="269"/>
      <c r="K393" s="269"/>
      <c r="L393" s="269"/>
      <c r="M393" s="269"/>
      <c r="N393" s="269"/>
      <c r="O393" s="269"/>
      <c r="P393" s="269"/>
      <c r="Q393" s="269"/>
      <c r="R393" s="269"/>
      <c r="U393" s="271"/>
      <c r="V393" s="271"/>
      <c r="W393" s="271"/>
      <c r="X393" s="271"/>
      <c r="Y393" s="271"/>
      <c r="Z393" s="271"/>
      <c r="AA393" s="271"/>
      <c r="AB393" s="271"/>
      <c r="AC393" s="271"/>
    </row>
    <row r="394" spans="10:29" ht="13.5" customHeight="1" x14ac:dyDescent="0.25">
      <c r="J394" s="269"/>
      <c r="K394" s="269"/>
      <c r="L394" s="269"/>
      <c r="M394" s="269"/>
      <c r="N394" s="269"/>
      <c r="O394" s="269"/>
      <c r="P394" s="269"/>
      <c r="Q394" s="269"/>
      <c r="R394" s="269"/>
      <c r="U394" s="271"/>
      <c r="V394" s="271"/>
      <c r="W394" s="271"/>
      <c r="X394" s="271"/>
      <c r="Y394" s="271"/>
      <c r="Z394" s="271"/>
      <c r="AA394" s="271"/>
      <c r="AB394" s="271"/>
      <c r="AC394" s="271"/>
    </row>
    <row r="395" spans="10:29" ht="13.5" customHeight="1" x14ac:dyDescent="0.25">
      <c r="J395" s="269"/>
      <c r="K395" s="269"/>
      <c r="L395" s="269"/>
      <c r="M395" s="269"/>
      <c r="N395" s="269"/>
      <c r="O395" s="269"/>
      <c r="P395" s="269"/>
      <c r="Q395" s="269"/>
      <c r="R395" s="269"/>
      <c r="U395" s="271"/>
      <c r="V395" s="271"/>
      <c r="W395" s="271"/>
      <c r="X395" s="271"/>
      <c r="Y395" s="271"/>
      <c r="Z395" s="271"/>
      <c r="AA395" s="271"/>
      <c r="AB395" s="271"/>
      <c r="AC395" s="271"/>
    </row>
    <row r="396" spans="10:29" ht="13.5" customHeight="1" x14ac:dyDescent="0.25">
      <c r="J396" s="269"/>
      <c r="K396" s="269"/>
      <c r="L396" s="269"/>
      <c r="M396" s="269"/>
      <c r="N396" s="269"/>
      <c r="O396" s="269"/>
      <c r="P396" s="269"/>
      <c r="Q396" s="269"/>
      <c r="R396" s="269"/>
      <c r="U396" s="271"/>
      <c r="V396" s="271"/>
      <c r="W396" s="271"/>
      <c r="X396" s="271"/>
      <c r="Y396" s="271"/>
      <c r="Z396" s="271"/>
      <c r="AA396" s="271"/>
      <c r="AB396" s="271"/>
      <c r="AC396" s="271"/>
    </row>
    <row r="397" spans="10:29" ht="13.5" customHeight="1" x14ac:dyDescent="0.25">
      <c r="J397" s="269"/>
      <c r="K397" s="269"/>
      <c r="L397" s="269"/>
      <c r="M397" s="269"/>
      <c r="N397" s="269"/>
      <c r="O397" s="269"/>
      <c r="P397" s="269"/>
      <c r="Q397" s="269"/>
      <c r="R397" s="269"/>
      <c r="U397" s="271"/>
      <c r="V397" s="271"/>
      <c r="W397" s="271"/>
      <c r="X397" s="271"/>
      <c r="Y397" s="271"/>
      <c r="Z397" s="271"/>
      <c r="AA397" s="271"/>
      <c r="AB397" s="271"/>
      <c r="AC397" s="271"/>
    </row>
    <row r="398" spans="10:29" ht="13.5" customHeight="1" x14ac:dyDescent="0.25">
      <c r="J398" s="269"/>
      <c r="K398" s="269"/>
      <c r="L398" s="269"/>
      <c r="M398" s="269"/>
      <c r="N398" s="269"/>
      <c r="O398" s="269"/>
      <c r="P398" s="269"/>
      <c r="Q398" s="269"/>
      <c r="R398" s="269"/>
      <c r="U398" s="271"/>
      <c r="V398" s="271"/>
      <c r="W398" s="271"/>
      <c r="X398" s="271"/>
      <c r="Y398" s="271"/>
      <c r="Z398" s="271"/>
      <c r="AA398" s="271"/>
      <c r="AB398" s="271"/>
      <c r="AC398" s="271"/>
    </row>
    <row r="399" spans="10:29" ht="13.5" customHeight="1" x14ac:dyDescent="0.25">
      <c r="J399" s="269"/>
      <c r="K399" s="269"/>
      <c r="L399" s="269"/>
      <c r="M399" s="269"/>
      <c r="N399" s="269"/>
      <c r="O399" s="269"/>
      <c r="P399" s="269"/>
      <c r="Q399" s="269"/>
      <c r="R399" s="269"/>
      <c r="U399" s="271"/>
      <c r="V399" s="271"/>
      <c r="W399" s="271"/>
      <c r="X399" s="271"/>
      <c r="Y399" s="271"/>
      <c r="Z399" s="271"/>
      <c r="AA399" s="271"/>
      <c r="AB399" s="271"/>
      <c r="AC399" s="271"/>
    </row>
    <row r="400" spans="10:29" ht="13.5" customHeight="1" x14ac:dyDescent="0.25">
      <c r="J400" s="269"/>
      <c r="K400" s="269"/>
      <c r="L400" s="269"/>
      <c r="M400" s="269"/>
      <c r="N400" s="269"/>
      <c r="O400" s="269"/>
      <c r="P400" s="269"/>
      <c r="Q400" s="269"/>
      <c r="R400" s="269"/>
      <c r="U400" s="271"/>
      <c r="V400" s="271"/>
      <c r="W400" s="271"/>
      <c r="X400" s="271"/>
      <c r="Y400" s="271"/>
      <c r="Z400" s="271"/>
      <c r="AA400" s="271"/>
      <c r="AB400" s="271"/>
      <c r="AC400" s="271"/>
    </row>
    <row r="401" spans="4:29" ht="13.5" customHeight="1" x14ac:dyDescent="0.25">
      <c r="J401" s="269"/>
      <c r="K401" s="269"/>
      <c r="L401" s="269"/>
      <c r="M401" s="269"/>
      <c r="N401" s="269"/>
      <c r="O401" s="269"/>
      <c r="P401" s="269"/>
      <c r="Q401" s="269"/>
      <c r="R401" s="269"/>
      <c r="U401" s="271"/>
      <c r="V401" s="271"/>
      <c r="W401" s="271"/>
      <c r="X401" s="271"/>
      <c r="Y401" s="271"/>
      <c r="Z401" s="271"/>
      <c r="AA401" s="271"/>
      <c r="AB401" s="271"/>
      <c r="AC401" s="271"/>
    </row>
    <row r="402" spans="4:29" ht="13.5" customHeight="1" x14ac:dyDescent="0.25">
      <c r="J402" s="269"/>
      <c r="K402" s="269"/>
      <c r="L402" s="269"/>
      <c r="M402" s="269"/>
      <c r="N402" s="269"/>
      <c r="O402" s="269"/>
      <c r="P402" s="269"/>
      <c r="Q402" s="269"/>
      <c r="R402" s="269"/>
      <c r="U402" s="271"/>
      <c r="V402" s="271"/>
      <c r="W402" s="271"/>
      <c r="X402" s="271"/>
      <c r="Y402" s="271"/>
      <c r="Z402" s="271"/>
      <c r="AA402" s="271"/>
      <c r="AB402" s="271"/>
      <c r="AC402" s="271"/>
    </row>
    <row r="403" spans="4:29" ht="13.5" customHeight="1" x14ac:dyDescent="0.25">
      <c r="J403" s="269"/>
      <c r="K403" s="269"/>
      <c r="L403" s="269"/>
      <c r="M403" s="269"/>
      <c r="N403" s="269"/>
      <c r="O403" s="269"/>
      <c r="P403" s="269"/>
      <c r="Q403" s="269"/>
      <c r="R403" s="269"/>
      <c r="U403" s="271"/>
      <c r="V403" s="271"/>
      <c r="W403" s="271"/>
      <c r="X403" s="271"/>
      <c r="Y403" s="271"/>
      <c r="Z403" s="271"/>
      <c r="AA403" s="271"/>
      <c r="AB403" s="271"/>
      <c r="AC403" s="271"/>
    </row>
    <row r="404" spans="4:29" ht="13.5" customHeight="1" x14ac:dyDescent="0.25">
      <c r="J404" s="269"/>
      <c r="K404" s="269"/>
      <c r="L404" s="269"/>
      <c r="M404" s="269"/>
      <c r="N404" s="269"/>
      <c r="O404" s="269"/>
      <c r="P404" s="269"/>
      <c r="Q404" s="269"/>
      <c r="R404" s="269"/>
      <c r="U404" s="271"/>
      <c r="V404" s="271"/>
      <c r="W404" s="271"/>
      <c r="X404" s="271"/>
      <c r="Y404" s="271"/>
      <c r="Z404" s="271"/>
      <c r="AA404" s="271"/>
      <c r="AB404" s="271"/>
      <c r="AC404" s="271"/>
    </row>
    <row r="405" spans="4:29" ht="13.5" customHeight="1" x14ac:dyDescent="0.25">
      <c r="J405" s="269"/>
      <c r="K405" s="269"/>
      <c r="L405" s="269"/>
      <c r="M405" s="269"/>
      <c r="N405" s="269"/>
      <c r="O405" s="269"/>
      <c r="P405" s="269"/>
      <c r="Q405" s="269"/>
      <c r="R405" s="269"/>
      <c r="U405" s="271"/>
      <c r="V405" s="271"/>
      <c r="W405" s="271"/>
      <c r="X405" s="271"/>
      <c r="Y405" s="271"/>
      <c r="Z405" s="271"/>
      <c r="AA405" s="271"/>
      <c r="AB405" s="271"/>
      <c r="AC405" s="271"/>
    </row>
    <row r="406" spans="4:29" ht="13.5" customHeight="1" x14ac:dyDescent="0.25">
      <c r="J406" s="269"/>
      <c r="K406" s="269"/>
      <c r="L406" s="269"/>
      <c r="M406" s="269"/>
      <c r="N406" s="269"/>
      <c r="O406" s="269"/>
      <c r="P406" s="269"/>
      <c r="Q406" s="269"/>
      <c r="R406" s="269"/>
      <c r="U406" s="271"/>
      <c r="V406" s="271"/>
      <c r="W406" s="271"/>
      <c r="X406" s="271"/>
      <c r="Y406" s="271"/>
      <c r="Z406" s="271"/>
      <c r="AA406" s="271"/>
      <c r="AB406" s="271"/>
      <c r="AC406" s="271"/>
    </row>
    <row r="407" spans="4:29" ht="13.5" customHeight="1" x14ac:dyDescent="0.25">
      <c r="J407" s="269"/>
      <c r="K407" s="269"/>
      <c r="L407" s="269"/>
      <c r="M407" s="269"/>
      <c r="N407" s="269"/>
      <c r="O407" s="269"/>
      <c r="P407" s="269"/>
      <c r="Q407" s="269"/>
      <c r="R407" s="269"/>
      <c r="U407" s="271"/>
      <c r="V407" s="271"/>
      <c r="W407" s="271"/>
      <c r="X407" s="271"/>
      <c r="Y407" s="271"/>
      <c r="Z407" s="271"/>
      <c r="AA407" s="271"/>
      <c r="AB407" s="271"/>
      <c r="AC407" s="271"/>
    </row>
    <row r="408" spans="4:29" ht="13.5" customHeight="1" thickBot="1" x14ac:dyDescent="0.3">
      <c r="D408" s="298"/>
      <c r="E408" s="298"/>
      <c r="F408" s="298"/>
      <c r="G408" s="298"/>
    </row>
    <row r="409" spans="4:29" ht="13.5" customHeight="1" thickTop="1" thickBot="1" x14ac:dyDescent="0.3">
      <c r="D409" s="303"/>
      <c r="E409" s="303"/>
      <c r="F409" s="303"/>
      <c r="G409" s="303"/>
      <c r="U409" s="298"/>
      <c r="V409" s="298"/>
      <c r="W409" s="298"/>
      <c r="X409" s="298"/>
      <c r="Y409" s="298"/>
      <c r="Z409" s="298"/>
      <c r="AA409" s="298"/>
      <c r="AB409" s="298"/>
      <c r="AC409" s="298"/>
    </row>
    <row r="410" spans="4:29" ht="13.5" customHeight="1" thickTop="1" x14ac:dyDescent="0.25"/>
    <row r="411" spans="4:29" ht="13.5" customHeight="1" x14ac:dyDescent="0.35">
      <c r="D411" s="302"/>
      <c r="J411" s="302"/>
      <c r="K411" s="302"/>
      <c r="U411" s="302"/>
      <c r="V411" s="302"/>
    </row>
    <row r="412" spans="4:29" ht="13.5" customHeight="1" x14ac:dyDescent="0.3">
      <c r="D412" s="36"/>
      <c r="J412" s="36"/>
      <c r="U412" s="36"/>
    </row>
    <row r="413" spans="4:29" ht="13.5" customHeight="1" x14ac:dyDescent="0.25">
      <c r="J413" s="235"/>
      <c r="K413" s="235"/>
      <c r="L413" s="235"/>
      <c r="M413" s="235"/>
      <c r="N413" s="235"/>
      <c r="O413" s="235"/>
      <c r="P413" s="235"/>
      <c r="Q413" s="235"/>
      <c r="R413" s="235"/>
      <c r="U413" s="235"/>
      <c r="V413" s="235"/>
      <c r="W413" s="235"/>
      <c r="X413" s="235"/>
      <c r="Y413" s="235"/>
      <c r="Z413" s="235"/>
      <c r="AA413" s="235"/>
      <c r="AB413" s="235"/>
      <c r="AC413" s="235"/>
    </row>
    <row r="414" spans="4:29" ht="13.5" customHeight="1" x14ac:dyDescent="0.25">
      <c r="D414" s="291"/>
      <c r="E414" s="291"/>
      <c r="F414" s="291"/>
      <c r="G414" s="291"/>
      <c r="J414" s="291"/>
      <c r="K414" s="291"/>
      <c r="L414" s="291"/>
      <c r="M414" s="291"/>
      <c r="N414" s="291"/>
      <c r="O414" s="291"/>
      <c r="P414" s="291"/>
      <c r="Q414" s="291"/>
      <c r="R414" s="291"/>
      <c r="U414" s="291"/>
      <c r="V414" s="291"/>
      <c r="W414" s="291"/>
      <c r="X414" s="291"/>
      <c r="Y414" s="291"/>
      <c r="Z414" s="291"/>
      <c r="AA414" s="291"/>
      <c r="AB414" s="291"/>
      <c r="AC414" s="291"/>
    </row>
    <row r="415" spans="4:29" ht="13.5" customHeight="1" x14ac:dyDescent="0.25">
      <c r="J415" s="269"/>
      <c r="K415" s="269"/>
      <c r="L415" s="269"/>
      <c r="M415" s="269"/>
      <c r="N415" s="269"/>
      <c r="O415" s="269"/>
      <c r="P415" s="269"/>
      <c r="Q415" s="269"/>
      <c r="R415" s="269"/>
      <c r="U415" s="271"/>
      <c r="V415" s="271"/>
      <c r="W415" s="271"/>
      <c r="X415" s="271"/>
      <c r="Y415" s="271"/>
      <c r="Z415" s="271"/>
      <c r="AA415" s="271"/>
      <c r="AB415" s="271"/>
      <c r="AC415" s="271"/>
    </row>
    <row r="416" spans="4:29" ht="13.5" customHeight="1" x14ac:dyDescent="0.25">
      <c r="J416" s="269"/>
      <c r="K416" s="269"/>
      <c r="L416" s="269"/>
      <c r="M416" s="269"/>
      <c r="N416" s="269"/>
      <c r="O416" s="269"/>
      <c r="P416" s="269"/>
      <c r="Q416" s="269"/>
      <c r="R416" s="269"/>
      <c r="U416" s="250"/>
      <c r="V416" s="250"/>
      <c r="W416" s="250"/>
      <c r="X416" s="250"/>
      <c r="Y416" s="250"/>
      <c r="Z416" s="250"/>
      <c r="AA416" s="250"/>
      <c r="AB416" s="250"/>
      <c r="AC416" s="250"/>
    </row>
    <row r="417" spans="10:29" ht="13.5" customHeight="1" x14ac:dyDescent="0.25">
      <c r="J417" s="269"/>
      <c r="K417" s="269"/>
      <c r="L417" s="269"/>
      <c r="M417" s="269"/>
      <c r="N417" s="269"/>
      <c r="O417" s="269"/>
      <c r="P417" s="269"/>
      <c r="Q417" s="269"/>
      <c r="R417" s="269"/>
      <c r="U417" s="250"/>
      <c r="V417" s="250"/>
      <c r="W417" s="250"/>
      <c r="X417" s="250"/>
      <c r="Y417" s="250"/>
      <c r="Z417" s="250"/>
      <c r="AA417" s="250"/>
      <c r="AB417" s="250"/>
      <c r="AC417" s="250"/>
    </row>
    <row r="418" spans="10:29" ht="13.5" customHeight="1" x14ac:dyDescent="0.25">
      <c r="J418" s="269"/>
      <c r="K418" s="269"/>
      <c r="L418" s="269"/>
      <c r="M418" s="269"/>
      <c r="N418" s="269"/>
      <c r="O418" s="269"/>
      <c r="P418" s="269"/>
      <c r="Q418" s="269"/>
      <c r="R418" s="269"/>
      <c r="U418" s="250"/>
      <c r="V418" s="250"/>
      <c r="W418" s="250"/>
      <c r="X418" s="250"/>
      <c r="Y418" s="250"/>
      <c r="Z418" s="250"/>
      <c r="AA418" s="250"/>
      <c r="AB418" s="250"/>
      <c r="AC418" s="250"/>
    </row>
    <row r="419" spans="10:29" ht="13.5" customHeight="1" x14ac:dyDescent="0.25">
      <c r="J419" s="269"/>
      <c r="K419" s="269"/>
      <c r="L419" s="269"/>
      <c r="M419" s="269"/>
      <c r="N419" s="269"/>
      <c r="O419" s="269"/>
      <c r="P419" s="269"/>
      <c r="Q419" s="269"/>
      <c r="R419" s="269"/>
      <c r="U419" s="250"/>
      <c r="V419" s="250"/>
      <c r="W419" s="250"/>
      <c r="X419" s="250"/>
      <c r="Y419" s="250"/>
      <c r="Z419" s="250"/>
      <c r="AA419" s="250"/>
      <c r="AB419" s="250"/>
      <c r="AC419" s="250"/>
    </row>
    <row r="420" spans="10:29" ht="13.5" customHeight="1" x14ac:dyDescent="0.25">
      <c r="J420" s="269"/>
      <c r="K420" s="269"/>
      <c r="L420" s="269"/>
      <c r="M420" s="269"/>
      <c r="N420" s="269"/>
      <c r="O420" s="269"/>
      <c r="P420" s="269"/>
      <c r="Q420" s="269"/>
      <c r="R420" s="269"/>
      <c r="U420" s="250"/>
      <c r="V420" s="250"/>
      <c r="W420" s="250"/>
      <c r="X420" s="250"/>
      <c r="Y420" s="250"/>
      <c r="Z420" s="250"/>
      <c r="AA420" s="250"/>
      <c r="AB420" s="250"/>
      <c r="AC420" s="250"/>
    </row>
    <row r="421" spans="10:29" ht="13.5" customHeight="1" x14ac:dyDescent="0.25">
      <c r="J421" s="269"/>
      <c r="K421" s="269"/>
      <c r="L421" s="269"/>
      <c r="M421" s="269"/>
      <c r="N421" s="269"/>
      <c r="O421" s="269"/>
      <c r="P421" s="269"/>
      <c r="Q421" s="269"/>
      <c r="R421" s="269"/>
      <c r="U421" s="250"/>
      <c r="V421" s="250"/>
      <c r="W421" s="250"/>
      <c r="X421" s="250"/>
      <c r="Y421" s="250"/>
      <c r="Z421" s="250"/>
      <c r="AA421" s="250"/>
      <c r="AB421" s="250"/>
      <c r="AC421" s="250"/>
    </row>
    <row r="422" spans="10:29" ht="13.5" customHeight="1" x14ac:dyDescent="0.25">
      <c r="J422" s="269"/>
      <c r="K422" s="269"/>
      <c r="L422" s="269"/>
      <c r="M422" s="269"/>
      <c r="N422" s="269"/>
      <c r="O422" s="269"/>
      <c r="P422" s="269"/>
      <c r="Q422" s="269"/>
      <c r="R422" s="269"/>
      <c r="U422" s="250"/>
      <c r="V422" s="250"/>
      <c r="W422" s="250"/>
      <c r="X422" s="250"/>
      <c r="Y422" s="250"/>
      <c r="Z422" s="250"/>
      <c r="AA422" s="250"/>
      <c r="AB422" s="250"/>
      <c r="AC422" s="250"/>
    </row>
    <row r="423" spans="10:29" ht="13.5" customHeight="1" x14ac:dyDescent="0.25">
      <c r="J423" s="269"/>
      <c r="K423" s="269"/>
      <c r="L423" s="269"/>
      <c r="M423" s="269"/>
      <c r="N423" s="269"/>
      <c r="O423" s="269"/>
      <c r="P423" s="269"/>
      <c r="Q423" s="269"/>
      <c r="R423" s="269"/>
      <c r="U423" s="250"/>
      <c r="V423" s="250"/>
      <c r="W423" s="250"/>
      <c r="X423" s="250"/>
      <c r="Y423" s="250"/>
      <c r="Z423" s="250"/>
      <c r="AA423" s="250"/>
      <c r="AB423" s="250"/>
      <c r="AC423" s="250"/>
    </row>
    <row r="424" spans="10:29" ht="13.5" customHeight="1" x14ac:dyDescent="0.25">
      <c r="J424" s="269"/>
      <c r="K424" s="269"/>
      <c r="L424" s="269"/>
      <c r="M424" s="269"/>
      <c r="N424" s="269"/>
      <c r="O424" s="269"/>
      <c r="P424" s="269"/>
      <c r="Q424" s="269"/>
      <c r="R424" s="269"/>
      <c r="U424" s="250"/>
      <c r="V424" s="250"/>
      <c r="W424" s="250"/>
      <c r="X424" s="250"/>
      <c r="Y424" s="250"/>
      <c r="Z424" s="250"/>
      <c r="AA424" s="250"/>
      <c r="AB424" s="250"/>
      <c r="AC424" s="250"/>
    </row>
    <row r="425" spans="10:29" ht="13.5" customHeight="1" x14ac:dyDescent="0.25">
      <c r="J425" s="269"/>
      <c r="K425" s="269"/>
      <c r="L425" s="269"/>
      <c r="M425" s="269"/>
      <c r="N425" s="269"/>
      <c r="O425" s="269"/>
      <c r="P425" s="269"/>
      <c r="Q425" s="269"/>
      <c r="R425" s="269"/>
      <c r="U425" s="250"/>
      <c r="V425" s="250"/>
      <c r="W425" s="250"/>
      <c r="X425" s="250"/>
      <c r="Y425" s="250"/>
      <c r="Z425" s="250"/>
      <c r="AA425" s="250"/>
      <c r="AB425" s="250"/>
      <c r="AC425" s="250"/>
    </row>
    <row r="426" spans="10:29" ht="13.5" customHeight="1" x14ac:dyDescent="0.25">
      <c r="J426" s="269"/>
      <c r="K426" s="269"/>
      <c r="L426" s="269"/>
      <c r="M426" s="269"/>
      <c r="N426" s="269"/>
      <c r="O426" s="269"/>
      <c r="P426" s="269"/>
      <c r="Q426" s="269"/>
      <c r="R426" s="269"/>
      <c r="U426" s="250"/>
      <c r="V426" s="250"/>
      <c r="W426" s="250"/>
      <c r="X426" s="250"/>
      <c r="Y426" s="250"/>
      <c r="Z426" s="250"/>
      <c r="AA426" s="250"/>
      <c r="AB426" s="250"/>
      <c r="AC426" s="250"/>
    </row>
    <row r="427" spans="10:29" ht="13.5" customHeight="1" x14ac:dyDescent="0.25">
      <c r="J427" s="269"/>
      <c r="K427" s="269"/>
      <c r="L427" s="269"/>
      <c r="M427" s="269"/>
      <c r="N427" s="269"/>
      <c r="O427" s="269"/>
      <c r="P427" s="269"/>
      <c r="Q427" s="269"/>
      <c r="R427" s="269"/>
      <c r="U427" s="250"/>
      <c r="V427" s="250"/>
      <c r="W427" s="250"/>
      <c r="X427" s="250"/>
      <c r="Y427" s="250"/>
      <c r="Z427" s="250"/>
      <c r="AA427" s="250"/>
      <c r="AB427" s="250"/>
      <c r="AC427" s="250"/>
    </row>
    <row r="428" spans="10:29" ht="13.5" customHeight="1" x14ac:dyDescent="0.25">
      <c r="J428" s="269"/>
      <c r="K428" s="269"/>
      <c r="L428" s="269"/>
      <c r="M428" s="269"/>
      <c r="N428" s="269"/>
      <c r="O428" s="269"/>
      <c r="P428" s="269"/>
      <c r="Q428" s="269"/>
      <c r="R428" s="269"/>
      <c r="U428" s="250"/>
      <c r="V428" s="250"/>
      <c r="W428" s="250"/>
      <c r="X428" s="250"/>
      <c r="Y428" s="250"/>
      <c r="Z428" s="250"/>
      <c r="AA428" s="250"/>
      <c r="AB428" s="250"/>
      <c r="AC428" s="250"/>
    </row>
    <row r="429" spans="10:29" ht="13.5" customHeight="1" x14ac:dyDescent="0.25">
      <c r="J429" s="269"/>
      <c r="K429" s="269"/>
      <c r="L429" s="269"/>
      <c r="M429" s="269"/>
      <c r="N429" s="269"/>
      <c r="O429" s="269"/>
      <c r="P429" s="269"/>
      <c r="Q429" s="269"/>
      <c r="R429" s="269"/>
      <c r="U429" s="250"/>
      <c r="V429" s="250"/>
      <c r="W429" s="250"/>
      <c r="X429" s="250"/>
      <c r="Y429" s="250"/>
      <c r="Z429" s="250"/>
      <c r="AA429" s="250"/>
      <c r="AB429" s="250"/>
      <c r="AC429" s="250"/>
    </row>
    <row r="430" spans="10:29" ht="13.5" customHeight="1" x14ac:dyDescent="0.25">
      <c r="J430" s="269"/>
      <c r="K430" s="269"/>
      <c r="L430" s="269"/>
      <c r="M430" s="269"/>
      <c r="N430" s="269"/>
      <c r="O430" s="269"/>
      <c r="P430" s="269"/>
      <c r="Q430" s="269"/>
      <c r="R430" s="269"/>
      <c r="U430" s="250"/>
      <c r="V430" s="250"/>
      <c r="W430" s="250"/>
      <c r="X430" s="250"/>
      <c r="Y430" s="250"/>
      <c r="Z430" s="250"/>
      <c r="AA430" s="250"/>
      <c r="AB430" s="250"/>
      <c r="AC430" s="250"/>
    </row>
    <row r="431" spans="10:29" ht="13.5" customHeight="1" x14ac:dyDescent="0.25">
      <c r="J431" s="269"/>
      <c r="K431" s="269"/>
      <c r="L431" s="269"/>
      <c r="M431" s="269"/>
      <c r="N431" s="269"/>
      <c r="O431" s="269"/>
      <c r="P431" s="269"/>
      <c r="Q431" s="269"/>
      <c r="R431" s="269"/>
      <c r="U431" s="250"/>
      <c r="V431" s="250"/>
      <c r="W431" s="250"/>
      <c r="X431" s="250"/>
      <c r="Y431" s="250"/>
      <c r="Z431" s="250"/>
      <c r="AA431" s="250"/>
      <c r="AB431" s="250"/>
      <c r="AC431" s="250"/>
    </row>
    <row r="432" spans="10:29" ht="13.5" customHeight="1" x14ac:dyDescent="0.25">
      <c r="J432" s="269"/>
      <c r="K432" s="269"/>
      <c r="L432" s="269"/>
      <c r="M432" s="269"/>
      <c r="N432" s="269"/>
      <c r="O432" s="269"/>
      <c r="P432" s="269"/>
      <c r="Q432" s="269"/>
      <c r="R432" s="269"/>
      <c r="U432" s="250"/>
      <c r="V432" s="250"/>
      <c r="W432" s="250"/>
      <c r="X432" s="250"/>
      <c r="Y432" s="250"/>
      <c r="Z432" s="250"/>
      <c r="AA432" s="250"/>
      <c r="AB432" s="250"/>
      <c r="AC432" s="250"/>
    </row>
    <row r="433" spans="4:29" ht="13.5" customHeight="1" x14ac:dyDescent="0.25">
      <c r="J433" s="269"/>
      <c r="K433" s="269"/>
      <c r="L433" s="269"/>
      <c r="M433" s="269"/>
      <c r="N433" s="269"/>
      <c r="O433" s="269"/>
      <c r="P433" s="269"/>
      <c r="Q433" s="269"/>
      <c r="R433" s="269"/>
      <c r="U433" s="250"/>
      <c r="V433" s="250"/>
      <c r="W433" s="250"/>
      <c r="X433" s="250"/>
      <c r="Y433" s="250"/>
      <c r="Z433" s="250"/>
      <c r="AA433" s="250"/>
      <c r="AB433" s="250"/>
      <c r="AC433" s="250"/>
    </row>
    <row r="434" spans="4:29" ht="13.5" customHeight="1" x14ac:dyDescent="0.25">
      <c r="J434" s="269"/>
      <c r="K434" s="269"/>
      <c r="L434" s="269"/>
      <c r="M434" s="269"/>
      <c r="N434" s="269"/>
      <c r="O434" s="269"/>
      <c r="P434" s="269"/>
      <c r="Q434" s="269"/>
      <c r="R434" s="269"/>
      <c r="U434" s="250"/>
      <c r="V434" s="250"/>
      <c r="W434" s="250"/>
      <c r="X434" s="250"/>
      <c r="Y434" s="250"/>
      <c r="Z434" s="250"/>
      <c r="AA434" s="250"/>
      <c r="AB434" s="250"/>
      <c r="AC434" s="250"/>
    </row>
    <row r="435" spans="4:29" ht="13.5" customHeight="1" x14ac:dyDescent="0.25">
      <c r="J435" s="269"/>
      <c r="K435" s="269"/>
      <c r="L435" s="269"/>
      <c r="M435" s="269"/>
      <c r="N435" s="269"/>
      <c r="O435" s="269"/>
      <c r="P435" s="269"/>
      <c r="Q435" s="269"/>
      <c r="R435" s="269"/>
      <c r="U435" s="250"/>
      <c r="V435" s="250"/>
      <c r="W435" s="250"/>
      <c r="X435" s="250"/>
      <c r="Y435" s="250"/>
      <c r="Z435" s="250"/>
      <c r="AA435" s="250"/>
      <c r="AB435" s="250"/>
      <c r="AC435" s="250"/>
    </row>
    <row r="436" spans="4:29" ht="13.5" customHeight="1" x14ac:dyDescent="0.25">
      <c r="J436" s="269"/>
      <c r="K436" s="269"/>
      <c r="L436" s="269"/>
      <c r="M436" s="269"/>
      <c r="N436" s="269"/>
      <c r="O436" s="269"/>
      <c r="P436" s="269"/>
      <c r="Q436" s="269"/>
      <c r="R436" s="269"/>
      <c r="U436" s="250"/>
      <c r="V436" s="250"/>
      <c r="W436" s="250"/>
      <c r="X436" s="250"/>
      <c r="Y436" s="250"/>
      <c r="Z436" s="250"/>
      <c r="AA436" s="250"/>
      <c r="AB436" s="250"/>
      <c r="AC436" s="250"/>
    </row>
    <row r="437" spans="4:29" ht="13.5" customHeight="1" x14ac:dyDescent="0.25">
      <c r="J437" s="269"/>
      <c r="K437" s="269"/>
      <c r="L437" s="269"/>
      <c r="M437" s="269"/>
      <c r="N437" s="269"/>
      <c r="O437" s="269"/>
      <c r="P437" s="269"/>
      <c r="Q437" s="269"/>
      <c r="R437" s="269"/>
      <c r="U437" s="250"/>
      <c r="V437" s="250"/>
      <c r="W437" s="250"/>
      <c r="X437" s="250"/>
      <c r="Y437" s="250"/>
      <c r="Z437" s="250"/>
      <c r="AA437" s="250"/>
      <c r="AB437" s="250"/>
      <c r="AC437" s="250"/>
    </row>
    <row r="438" spans="4:29" ht="13.5" customHeight="1" x14ac:dyDescent="0.25">
      <c r="J438" s="269"/>
      <c r="K438" s="269"/>
      <c r="L438" s="269"/>
      <c r="M438" s="269"/>
      <c r="N438" s="269"/>
      <c r="O438" s="269"/>
      <c r="P438" s="269"/>
      <c r="Q438" s="269"/>
      <c r="R438" s="269"/>
      <c r="U438" s="250"/>
      <c r="V438" s="250"/>
      <c r="W438" s="250"/>
      <c r="X438" s="250"/>
      <c r="Y438" s="250"/>
      <c r="Z438" s="250"/>
      <c r="AA438" s="250"/>
      <c r="AB438" s="250"/>
      <c r="AC438" s="250"/>
    </row>
    <row r="439" spans="4:29" ht="13.5" customHeight="1" x14ac:dyDescent="0.25">
      <c r="J439" s="269"/>
      <c r="K439" s="269"/>
      <c r="L439" s="269"/>
      <c r="M439" s="269"/>
      <c r="N439" s="269"/>
      <c r="O439" s="269"/>
      <c r="P439" s="269"/>
      <c r="Q439" s="269"/>
      <c r="R439" s="269"/>
      <c r="U439" s="250"/>
      <c r="V439" s="250"/>
      <c r="W439" s="250"/>
      <c r="X439" s="250"/>
      <c r="Y439" s="250"/>
      <c r="Z439" s="250"/>
      <c r="AA439" s="250"/>
      <c r="AB439" s="250"/>
      <c r="AC439" s="250"/>
    </row>
    <row r="440" spans="4:29" ht="13.5" customHeight="1" x14ac:dyDescent="0.25">
      <c r="J440" s="269"/>
      <c r="K440" s="269"/>
      <c r="L440" s="269"/>
      <c r="M440" s="269"/>
      <c r="N440" s="269"/>
      <c r="O440" s="269"/>
      <c r="P440" s="269"/>
      <c r="Q440" s="269"/>
      <c r="R440" s="269"/>
      <c r="U440" s="250"/>
      <c r="V440" s="250"/>
      <c r="W440" s="250"/>
      <c r="X440" s="250"/>
      <c r="Y440" s="250"/>
      <c r="Z440" s="250"/>
      <c r="AA440" s="250"/>
      <c r="AB440" s="250"/>
      <c r="AC440" s="250"/>
    </row>
    <row r="441" spans="4:29" ht="13.5" customHeight="1" x14ac:dyDescent="0.25">
      <c r="J441" s="269"/>
      <c r="K441" s="269"/>
      <c r="L441" s="269"/>
      <c r="M441" s="269"/>
      <c r="N441" s="269"/>
      <c r="O441" s="269"/>
      <c r="P441" s="269"/>
      <c r="Q441" s="269"/>
      <c r="R441" s="269"/>
      <c r="U441" s="250"/>
      <c r="V441" s="250"/>
      <c r="W441" s="250"/>
      <c r="X441" s="250"/>
      <c r="Y441" s="250"/>
      <c r="Z441" s="250"/>
      <c r="AA441" s="250"/>
      <c r="AB441" s="250"/>
      <c r="AC441" s="250"/>
    </row>
    <row r="442" spans="4:29" ht="13.5" customHeight="1" x14ac:dyDescent="0.25">
      <c r="J442" s="269"/>
      <c r="K442" s="269"/>
      <c r="L442" s="269"/>
      <c r="M442" s="269"/>
      <c r="N442" s="269"/>
      <c r="O442" s="269"/>
      <c r="P442" s="269"/>
      <c r="Q442" s="269"/>
      <c r="R442" s="269"/>
      <c r="U442" s="250"/>
      <c r="V442" s="250"/>
      <c r="W442" s="250"/>
      <c r="X442" s="250"/>
      <c r="Y442" s="250"/>
      <c r="Z442" s="250"/>
      <c r="AA442" s="250"/>
      <c r="AB442" s="250"/>
      <c r="AC442" s="250"/>
    </row>
    <row r="443" spans="4:29" ht="13.5" customHeight="1" x14ac:dyDescent="0.25">
      <c r="J443" s="269"/>
      <c r="K443" s="269"/>
      <c r="L443" s="269"/>
      <c r="M443" s="269"/>
      <c r="N443" s="269"/>
      <c r="O443" s="269"/>
      <c r="P443" s="269"/>
      <c r="Q443" s="269"/>
      <c r="R443" s="269"/>
      <c r="U443" s="250"/>
      <c r="V443" s="250"/>
      <c r="W443" s="250"/>
      <c r="X443" s="250"/>
      <c r="Y443" s="250"/>
      <c r="Z443" s="250"/>
      <c r="AA443" s="250"/>
      <c r="AB443" s="250"/>
      <c r="AC443" s="250"/>
    </row>
    <row r="444" spans="4:29" ht="13.5" customHeight="1" x14ac:dyDescent="0.25">
      <c r="J444" s="269"/>
      <c r="K444" s="269"/>
      <c r="L444" s="269"/>
      <c r="M444" s="269"/>
      <c r="N444" s="269"/>
      <c r="O444" s="269"/>
      <c r="P444" s="269"/>
      <c r="Q444" s="269"/>
      <c r="R444" s="269"/>
      <c r="U444" s="250"/>
      <c r="V444" s="250"/>
      <c r="W444" s="250"/>
      <c r="X444" s="250"/>
      <c r="Y444" s="250"/>
      <c r="Z444" s="250"/>
      <c r="AA444" s="250"/>
      <c r="AB444" s="250"/>
      <c r="AC444" s="250"/>
    </row>
    <row r="445" spans="4:29" ht="13.5" customHeight="1" x14ac:dyDescent="0.25">
      <c r="J445" s="269"/>
      <c r="K445" s="269"/>
      <c r="L445" s="269"/>
      <c r="M445" s="269"/>
      <c r="N445" s="269"/>
      <c r="O445" s="269"/>
      <c r="P445" s="269"/>
      <c r="Q445" s="269"/>
      <c r="R445" s="269"/>
      <c r="U445" s="250"/>
      <c r="V445" s="250"/>
      <c r="W445" s="250"/>
      <c r="X445" s="250"/>
      <c r="Y445" s="250"/>
      <c r="Z445" s="250"/>
      <c r="AA445" s="250"/>
      <c r="AB445" s="250"/>
      <c r="AC445" s="250"/>
    </row>
    <row r="446" spans="4:29" ht="13.5" customHeight="1" thickBot="1" x14ac:dyDescent="0.3">
      <c r="D446" s="298"/>
      <c r="E446" s="298"/>
      <c r="F446" s="298"/>
      <c r="G446" s="298"/>
    </row>
    <row r="447" spans="4:29" ht="13.5" customHeight="1" thickTop="1" thickBot="1" x14ac:dyDescent="0.3">
      <c r="D447" s="303"/>
      <c r="E447" s="303"/>
      <c r="F447" s="303"/>
      <c r="G447" s="303"/>
      <c r="U447" s="298"/>
      <c r="V447" s="298"/>
      <c r="W447" s="298"/>
      <c r="X447" s="298"/>
      <c r="Y447" s="298"/>
      <c r="Z447" s="298"/>
      <c r="AA447" s="298"/>
      <c r="AB447" s="298"/>
      <c r="AC447" s="298"/>
    </row>
    <row r="448" spans="4:29" ht="13.5" customHeight="1" thickTop="1" x14ac:dyDescent="0.25"/>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0180-E413-40E6-A014-DEBCC8247687}">
  <sheetPr>
    <tabColor theme="3"/>
  </sheetPr>
  <dimension ref="A1"/>
  <sheetViews>
    <sheetView showGridLines="0" topLeftCell="A23" workbookViewId="0">
      <selection activeCell="A65" sqref="A65"/>
    </sheetView>
  </sheetViews>
  <sheetFormatPr defaultRowHeight="12.5" x14ac:dyDescent="0.25"/>
  <cols>
    <col min="5" max="5" width="13.7265625" customWidth="1"/>
    <col min="6" max="6" width="24" customWidth="1"/>
  </cols>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A4AB-87E9-4ABA-B11B-91D36CED7916}">
  <dimension ref="A1:T77"/>
  <sheetViews>
    <sheetView showGridLines="0" zoomScale="85" zoomScaleNormal="85" workbookViewId="0">
      <selection activeCell="E7" sqref="E7"/>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29.81640625" style="2" bestFit="1" customWidth="1"/>
    <col min="6" max="6" width="18.1796875" style="2" customWidth="1"/>
    <col min="7" max="10" width="14.1796875" style="2" customWidth="1"/>
    <col min="11" max="11" width="16.26953125" style="2" bestFit="1" customWidth="1"/>
    <col min="12"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Sudan P205</v>
      </c>
    </row>
    <row r="3" spans="1:18" s="7" customFormat="1" ht="13.5" customHeight="1" x14ac:dyDescent="0.25">
      <c r="A3" s="5"/>
      <c r="B3" s="5"/>
      <c r="C3" s="5"/>
      <c r="D3" s="6"/>
      <c r="E3" s="27" t="str">
        <f ca="1">MID(CELL("filename",E3),FIND("]",CELL("filename",E3))+1,256)</f>
        <v>RAR_OCP</v>
      </c>
    </row>
    <row r="4" spans="1:18" s="7" customFormat="1" ht="13.5" customHeight="1" x14ac:dyDescent="0.25">
      <c r="A4" s="5"/>
      <c r="B4" s="5"/>
      <c r="C4" s="5"/>
      <c r="D4" s="6"/>
      <c r="E4" s="27"/>
    </row>
    <row r="5" spans="1:18" s="11" customFormat="1" ht="13.5" customHeight="1" x14ac:dyDescent="0.3">
      <c r="A5" s="8"/>
      <c r="B5" s="8"/>
      <c r="C5" s="8"/>
      <c r="D5" s="9"/>
      <c r="E5" s="10"/>
    </row>
    <row r="6" spans="1:18" ht="13.5" customHeight="1" x14ac:dyDescent="0.25">
      <c r="B6" s="7"/>
      <c r="C6" s="7"/>
      <c r="D6" s="7"/>
      <c r="E6" s="59" t="s">
        <v>79</v>
      </c>
      <c r="F6" s="7"/>
      <c r="G6" s="7"/>
      <c r="H6" s="7"/>
      <c r="I6" s="7"/>
      <c r="J6" s="7"/>
      <c r="K6" s="7"/>
      <c r="L6" s="7"/>
      <c r="M6" s="7"/>
      <c r="N6" s="7"/>
    </row>
    <row r="7" spans="1:18" ht="13.5" customHeight="1" x14ac:dyDescent="0.35">
      <c r="B7" s="51"/>
      <c r="C7" s="7"/>
      <c r="D7" s="52"/>
      <c r="E7" s="7"/>
      <c r="F7" s="7"/>
      <c r="G7" s="7" t="s">
        <v>80</v>
      </c>
      <c r="H7" s="7"/>
      <c r="I7" s="7" t="s">
        <v>81</v>
      </c>
      <c r="J7" s="7"/>
      <c r="K7" s="7"/>
      <c r="L7" s="7"/>
      <c r="M7" s="7"/>
      <c r="N7" s="7"/>
    </row>
    <row r="8" spans="1:18" ht="13.5" customHeight="1" x14ac:dyDescent="0.35">
      <c r="B8" s="7"/>
      <c r="C8" s="7"/>
      <c r="D8" s="7"/>
      <c r="E8" s="68" t="s">
        <v>82</v>
      </c>
      <c r="F8" s="68"/>
      <c r="G8" s="74">
        <v>31.05</v>
      </c>
      <c r="H8" s="74"/>
      <c r="I8" s="74">
        <v>31.05</v>
      </c>
      <c r="J8" s="68"/>
      <c r="K8" s="68"/>
      <c r="L8" s="68"/>
      <c r="M8" s="7"/>
      <c r="N8" s="7"/>
    </row>
    <row r="9" spans="1:18" ht="13.5" customHeight="1" x14ac:dyDescent="0.35">
      <c r="B9" s="7"/>
      <c r="C9" s="7"/>
      <c r="D9" s="35"/>
      <c r="E9" s="68" t="s">
        <v>83</v>
      </c>
      <c r="F9" s="69"/>
      <c r="G9" s="74">
        <v>184</v>
      </c>
      <c r="H9" s="74"/>
      <c r="I9" s="74">
        <v>184</v>
      </c>
      <c r="J9" s="69"/>
      <c r="K9" s="69"/>
      <c r="L9" s="70"/>
      <c r="M9" s="57"/>
      <c r="N9" s="57"/>
      <c r="O9" s="57"/>
      <c r="P9" s="58"/>
      <c r="Q9" s="57"/>
      <c r="R9" s="57"/>
    </row>
    <row r="10" spans="1:18" ht="13.5" customHeight="1" x14ac:dyDescent="0.35">
      <c r="B10" s="7"/>
      <c r="C10" s="7"/>
      <c r="D10" s="36"/>
      <c r="E10" s="69" t="s">
        <v>67</v>
      </c>
      <c r="G10" s="74">
        <v>44.895833333333336</v>
      </c>
      <c r="H10" s="74"/>
      <c r="I10" s="74">
        <v>36.042162698412703</v>
      </c>
      <c r="J10" s="69"/>
      <c r="K10" s="69"/>
      <c r="L10" s="70"/>
      <c r="M10" s="57"/>
      <c r="N10" s="57"/>
      <c r="O10" s="57"/>
      <c r="P10" s="58"/>
      <c r="Q10" s="57"/>
      <c r="R10" s="57"/>
    </row>
    <row r="11" spans="1:18" ht="13.5" customHeight="1" x14ac:dyDescent="0.35">
      <c r="B11" s="7"/>
      <c r="C11" s="7"/>
      <c r="D11" s="7"/>
      <c r="E11" s="98" t="s">
        <v>66</v>
      </c>
      <c r="G11" s="74">
        <v>51.857142857142854</v>
      </c>
      <c r="H11" s="74"/>
      <c r="I11" s="74"/>
      <c r="J11" s="69"/>
      <c r="K11" s="69"/>
      <c r="L11" s="70"/>
      <c r="M11" s="57"/>
      <c r="N11" s="57"/>
      <c r="O11" s="57"/>
      <c r="P11" s="58"/>
      <c r="Q11" s="57"/>
      <c r="R11" s="57"/>
    </row>
    <row r="12" spans="1:18" ht="13.5" customHeight="1" x14ac:dyDescent="0.35">
      <c r="B12" s="7"/>
      <c r="C12" s="7"/>
      <c r="D12" s="35"/>
      <c r="E12" s="69" t="s">
        <v>84</v>
      </c>
      <c r="G12" s="74">
        <v>53.5</v>
      </c>
      <c r="H12" s="74"/>
      <c r="I12" s="74"/>
      <c r="J12" s="69"/>
      <c r="K12" s="69"/>
      <c r="L12" s="70"/>
      <c r="M12" s="57"/>
      <c r="N12" s="57"/>
      <c r="O12" s="57"/>
      <c r="P12" s="58"/>
      <c r="Q12" s="57"/>
      <c r="R12" s="57"/>
    </row>
    <row r="13" spans="1:18" ht="13.5" customHeight="1" outlineLevel="1" x14ac:dyDescent="0.35">
      <c r="B13" s="7"/>
      <c r="C13" s="7"/>
      <c r="D13" s="7"/>
      <c r="E13" s="98" t="s">
        <v>62</v>
      </c>
      <c r="G13" s="74">
        <v>22.75</v>
      </c>
      <c r="H13" s="74"/>
      <c r="I13" s="74"/>
      <c r="J13" s="69"/>
      <c r="K13" s="69"/>
      <c r="L13" s="70"/>
      <c r="M13" s="57"/>
      <c r="N13" s="57"/>
      <c r="O13" s="57"/>
      <c r="P13" s="58"/>
      <c r="Q13" s="57"/>
      <c r="R13" s="57"/>
    </row>
    <row r="14" spans="1:18" ht="13.5" customHeight="1" outlineLevel="1" x14ac:dyDescent="0.25">
      <c r="B14" s="7"/>
      <c r="C14" s="7"/>
      <c r="D14" s="7"/>
      <c r="E14" t="s">
        <v>85</v>
      </c>
      <c r="G14" s="75">
        <v>22.5</v>
      </c>
      <c r="H14" s="75"/>
      <c r="I14" s="75"/>
      <c r="J14"/>
      <c r="K14"/>
      <c r="L14" s="53"/>
      <c r="M14" s="53"/>
      <c r="N14" s="7"/>
    </row>
    <row r="15" spans="1:18" ht="13.5" customHeight="1" outlineLevel="1" x14ac:dyDescent="0.25">
      <c r="B15" s="7"/>
      <c r="C15" s="7"/>
      <c r="D15" s="7"/>
      <c r="E15" s="99" t="s">
        <v>58</v>
      </c>
      <c r="G15" s="75">
        <v>20.75</v>
      </c>
      <c r="H15" s="75"/>
      <c r="I15" s="75"/>
      <c r="J15"/>
      <c r="K15"/>
      <c r="L15" s="53"/>
      <c r="M15" s="53"/>
      <c r="N15" s="7"/>
    </row>
    <row r="16" spans="1:18" ht="13.5" customHeight="1" outlineLevel="1" x14ac:dyDescent="0.25">
      <c r="B16" s="7"/>
      <c r="C16" s="7"/>
      <c r="D16" s="7"/>
      <c r="E16" t="s">
        <v>86</v>
      </c>
      <c r="F16" t="s">
        <v>87</v>
      </c>
      <c r="G16" s="75">
        <v>39.125</v>
      </c>
      <c r="H16" s="75"/>
      <c r="I16" s="75">
        <v>39.125</v>
      </c>
      <c r="J16"/>
      <c r="K16"/>
      <c r="L16" s="53"/>
      <c r="M16" s="53"/>
      <c r="N16" s="7"/>
    </row>
    <row r="17" spans="2:14" ht="13.5" customHeight="1" outlineLevel="1" x14ac:dyDescent="0.25">
      <c r="B17" s="7"/>
      <c r="C17" s="7"/>
      <c r="D17" s="7"/>
      <c r="E17" s="53" t="s">
        <v>68</v>
      </c>
      <c r="F17" s="72" t="s">
        <v>68</v>
      </c>
      <c r="G17" s="76">
        <v>82.40625</v>
      </c>
      <c r="H17" s="76"/>
      <c r="I17" s="76">
        <v>82.40625</v>
      </c>
      <c r="J17" s="53"/>
      <c r="K17" s="53"/>
      <c r="L17" s="53"/>
      <c r="M17" s="53"/>
      <c r="N17" s="7"/>
    </row>
    <row r="18" spans="2:14" ht="13.5" customHeight="1" outlineLevel="1" x14ac:dyDescent="0.25">
      <c r="B18" s="7"/>
      <c r="C18" s="7"/>
      <c r="D18" s="7"/>
      <c r="E18" s="53" t="s">
        <v>88</v>
      </c>
      <c r="F18" s="53" t="s">
        <v>88</v>
      </c>
      <c r="G18" s="76">
        <v>143.3125</v>
      </c>
      <c r="H18" s="76"/>
      <c r="I18" s="76">
        <v>143.3125</v>
      </c>
      <c r="J18" s="53"/>
      <c r="K18" s="53"/>
      <c r="L18" s="53"/>
      <c r="M18" s="53"/>
      <c r="N18" s="7"/>
    </row>
    <row r="19" spans="2:14" ht="13.5" customHeight="1" outlineLevel="1" x14ac:dyDescent="0.25">
      <c r="B19" s="7"/>
      <c r="C19" s="7"/>
      <c r="D19" s="7"/>
      <c r="E19" s="53" t="s">
        <v>64</v>
      </c>
      <c r="F19" s="53"/>
      <c r="G19" s="76">
        <v>60.765625</v>
      </c>
      <c r="H19" s="76"/>
      <c r="J19" s="53"/>
      <c r="K19" s="53"/>
      <c r="L19" s="53"/>
      <c r="M19" s="53"/>
      <c r="N19" s="7"/>
    </row>
    <row r="20" spans="2:14" ht="13.5" customHeight="1" outlineLevel="1" x14ac:dyDescent="0.25">
      <c r="B20" s="7"/>
      <c r="C20" s="7"/>
      <c r="D20" s="7"/>
      <c r="E20" s="53"/>
      <c r="F20" s="53"/>
      <c r="G20" s="73"/>
      <c r="H20" s="71"/>
      <c r="I20" s="71"/>
      <c r="J20" s="53"/>
      <c r="K20" s="53"/>
      <c r="L20" s="53"/>
      <c r="M20" s="53"/>
      <c r="N20" s="7"/>
    </row>
    <row r="21" spans="2:14" ht="13.5" customHeight="1" outlineLevel="1" x14ac:dyDescent="0.25">
      <c r="B21" s="7"/>
      <c r="C21" s="7"/>
      <c r="D21" s="7"/>
      <c r="E21" s="7"/>
      <c r="F21" s="7"/>
      <c r="G21" s="7"/>
      <c r="H21" s="7"/>
      <c r="I21" s="7"/>
      <c r="J21" s="7"/>
      <c r="K21" s="7"/>
      <c r="L21" s="7"/>
      <c r="M21" s="7"/>
      <c r="N21" s="7"/>
    </row>
    <row r="22" spans="2:14" ht="13.5" customHeight="1" outlineLevel="1" x14ac:dyDescent="0.25">
      <c r="B22" s="7"/>
      <c r="C22" s="7"/>
      <c r="D22" s="7"/>
      <c r="E22" s="7"/>
      <c r="F22" s="59"/>
      <c r="G22" s="7"/>
      <c r="H22" s="7"/>
      <c r="I22" s="7"/>
      <c r="J22" s="7"/>
      <c r="K22" s="7"/>
      <c r="L22" s="7"/>
      <c r="M22" s="7"/>
      <c r="N22" s="7"/>
    </row>
    <row r="23" spans="2:14" ht="13.5" customHeight="1" outlineLevel="1" x14ac:dyDescent="0.25">
      <c r="B23" s="7"/>
      <c r="C23" s="7"/>
      <c r="D23" s="7"/>
      <c r="E23" s="7"/>
      <c r="F23" s="7"/>
      <c r="G23" s="7"/>
      <c r="H23" s="7"/>
      <c r="I23" s="7"/>
      <c r="J23" s="7"/>
      <c r="K23" s="7"/>
      <c r="L23" s="7"/>
      <c r="M23" s="7"/>
      <c r="N23" s="7"/>
    </row>
    <row r="24" spans="2:14" ht="13.5" customHeight="1" outlineLevel="1" x14ac:dyDescent="0.35">
      <c r="B24" s="51"/>
      <c r="C24" s="7"/>
      <c r="D24" s="52"/>
      <c r="E24" s="7"/>
      <c r="F24" s="7"/>
      <c r="G24" s="7"/>
      <c r="H24" s="7"/>
      <c r="I24" s="7"/>
      <c r="J24" s="7"/>
      <c r="K24" s="7"/>
      <c r="L24" s="7"/>
      <c r="M24" s="7"/>
      <c r="N24" s="7"/>
    </row>
    <row r="25" spans="2:14" ht="13.5" customHeight="1" outlineLevel="1" x14ac:dyDescent="0.25">
      <c r="B25" s="7"/>
      <c r="C25" s="7"/>
      <c r="D25" s="7"/>
      <c r="E25" s="7"/>
      <c r="F25" s="7"/>
      <c r="G25" s="7"/>
      <c r="H25" s="7"/>
      <c r="I25" s="7"/>
      <c r="J25" s="7"/>
      <c r="K25" s="7"/>
      <c r="L25" s="7"/>
      <c r="M25" s="7"/>
      <c r="N25" s="7"/>
    </row>
    <row r="26" spans="2:14" ht="13.5" customHeight="1" outlineLevel="1" x14ac:dyDescent="0.25">
      <c r="B26" s="7"/>
      <c r="C26" s="7"/>
      <c r="D26" s="7"/>
      <c r="E26" s="7"/>
      <c r="F26" s="7"/>
      <c r="G26" s="7"/>
      <c r="H26" s="7"/>
      <c r="I26" s="7"/>
      <c r="J26" s="7"/>
      <c r="K26" s="7"/>
      <c r="L26" s="7"/>
      <c r="M26" s="7"/>
      <c r="N26" s="7"/>
    </row>
    <row r="27" spans="2:14" ht="13.5" customHeight="1" outlineLevel="1" x14ac:dyDescent="0.25">
      <c r="B27" s="7"/>
      <c r="C27" s="7"/>
      <c r="D27" s="7"/>
      <c r="E27" s="7"/>
      <c r="F27" s="7"/>
      <c r="G27" s="7"/>
      <c r="H27" s="7"/>
      <c r="I27" s="7"/>
      <c r="J27" s="7"/>
      <c r="K27" s="7"/>
      <c r="L27" s="7"/>
      <c r="M27" s="7"/>
      <c r="N27" s="7"/>
    </row>
    <row r="28" spans="2:14" ht="13.5" customHeight="1" outlineLevel="1" x14ac:dyDescent="0.25">
      <c r="B28" s="7"/>
      <c r="C28" s="7"/>
      <c r="D28" s="7"/>
      <c r="E28" s="7"/>
      <c r="F28" s="7"/>
      <c r="G28" s="7"/>
      <c r="H28" s="7"/>
      <c r="I28" s="7"/>
      <c r="J28" s="7"/>
      <c r="K28" s="7"/>
      <c r="L28" s="7"/>
      <c r="M28" s="7"/>
      <c r="N28" s="7"/>
    </row>
    <row r="29" spans="2:14" ht="13.5" customHeight="1" outlineLevel="1" x14ac:dyDescent="0.25">
      <c r="B29" s="7"/>
      <c r="C29" s="7"/>
      <c r="D29" s="7"/>
      <c r="E29" s="7"/>
      <c r="F29" s="7"/>
      <c r="G29" s="7"/>
      <c r="H29" s="7"/>
      <c r="I29" s="7"/>
      <c r="J29" s="7"/>
      <c r="K29" s="7"/>
      <c r="L29" s="7"/>
      <c r="M29" s="7"/>
      <c r="N29" s="7"/>
    </row>
    <row r="30" spans="2:14" ht="13.5" customHeight="1" outlineLevel="1" x14ac:dyDescent="0.25">
      <c r="B30" s="7"/>
      <c r="C30" s="7"/>
      <c r="D30" s="7"/>
      <c r="E30" s="7"/>
      <c r="F30" s="7"/>
      <c r="G30" s="7"/>
      <c r="H30" s="7"/>
      <c r="I30" s="7"/>
      <c r="J30" s="7"/>
      <c r="K30" s="7"/>
      <c r="L30" s="7"/>
      <c r="M30" s="7"/>
      <c r="N30" s="7"/>
    </row>
    <row r="31" spans="2:14" ht="13.5" customHeight="1" outlineLevel="1" x14ac:dyDescent="0.25">
      <c r="B31" s="7"/>
      <c r="C31" s="7"/>
      <c r="D31" s="7"/>
      <c r="E31" s="7"/>
      <c r="F31" s="7"/>
      <c r="G31" s="7"/>
      <c r="H31" s="7"/>
      <c r="I31" s="7"/>
      <c r="J31" s="7"/>
      <c r="K31" s="7"/>
      <c r="L31" s="7"/>
      <c r="M31" s="7"/>
      <c r="N31" s="7"/>
    </row>
    <row r="32" spans="2:14"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07A8-3AB4-4D44-9859-D9DDEABA4112}">
  <dimension ref="A1:T77"/>
  <sheetViews>
    <sheetView showGridLines="0" zoomScaleNormal="100" workbookViewId="0">
      <selection activeCell="P14" sqref="P14"/>
    </sheetView>
  </sheetViews>
  <sheetFormatPr defaultColWidth="9.26953125" defaultRowHeight="13.5" customHeight="1" outlineLevelRow="1" x14ac:dyDescent="0.25"/>
  <cols>
    <col min="1" max="1" width="1.7265625" style="2" customWidth="1"/>
    <col min="2" max="2" width="2.7265625" style="2" customWidth="1"/>
    <col min="3" max="3" width="2" style="2" customWidth="1"/>
    <col min="4" max="4" width="37.26953125" style="2" bestFit="1" customWidth="1"/>
    <col min="5" max="5" width="19.1796875" style="2" bestFit="1" customWidth="1"/>
    <col min="6" max="6" width="30.54296875" style="2" bestFit="1" customWidth="1"/>
    <col min="7" max="13" width="14.1796875" style="2" customWidth="1"/>
    <col min="14" max="14" width="9.26953125" style="2"/>
    <col min="15" max="15" width="14.26953125" style="2" customWidth="1"/>
    <col min="16" max="16" width="11.26953125" style="2" customWidth="1"/>
    <col min="17" max="17" width="26.7265625" style="2" customWidth="1"/>
    <col min="18" max="18" width="29.453125" style="2" bestFit="1" customWidth="1"/>
    <col min="19" max="19" width="11.7265625" style="2" customWidth="1"/>
    <col min="20" max="16384" width="9.26953125" style="2"/>
  </cols>
  <sheetData>
    <row r="1" spans="1:18" s="7" customFormat="1" ht="13.5" customHeight="1" x14ac:dyDescent="0.25">
      <c r="A1" s="5"/>
      <c r="B1" s="5"/>
      <c r="C1" s="5"/>
      <c r="D1" s="6"/>
      <c r="E1" s="25"/>
    </row>
    <row r="2" spans="1:18" s="7" customFormat="1" ht="13.5" customHeight="1" x14ac:dyDescent="0.25">
      <c r="A2" s="5"/>
      <c r="B2" s="5"/>
      <c r="C2" s="5"/>
      <c r="D2" s="6"/>
      <c r="E2" s="26" t="str">
        <f>Title</f>
        <v>OCP Africa - Sudan P205</v>
      </c>
    </row>
    <row r="3" spans="1:18" s="7" customFormat="1" ht="13.5" customHeight="1" x14ac:dyDescent="0.25">
      <c r="A3" s="5"/>
      <c r="B3" s="5"/>
      <c r="C3" s="5"/>
      <c r="D3" s="6"/>
      <c r="E3" s="27" t="str">
        <f ca="1">MID(CELL("filename",E3),FIND("]",CELL("filename",E3))+1,256)</f>
        <v>P2O5Consumption</v>
      </c>
    </row>
    <row r="4" spans="1:18" s="7" customFormat="1" ht="13.5" customHeight="1" x14ac:dyDescent="0.25">
      <c r="A4" s="5"/>
      <c r="B4" s="5"/>
      <c r="C4" s="5"/>
      <c r="D4" s="6"/>
      <c r="E4" s="27" t="s">
        <v>92</v>
      </c>
    </row>
    <row r="5" spans="1:18" s="11" customFormat="1" ht="13.5" customHeight="1" x14ac:dyDescent="0.3">
      <c r="A5" s="8"/>
      <c r="B5" s="8"/>
      <c r="C5" s="8"/>
      <c r="D5" s="9"/>
      <c r="E5" s="10"/>
    </row>
    <row r="6" spans="1:18" ht="13.5" customHeight="1" x14ac:dyDescent="0.25">
      <c r="B6" s="7"/>
      <c r="C6" s="7"/>
      <c r="D6" s="7"/>
      <c r="E6" s="7"/>
      <c r="F6" s="7"/>
      <c r="G6" s="7"/>
      <c r="H6" s="7"/>
      <c r="I6" s="7"/>
      <c r="J6" s="7"/>
      <c r="K6" s="7"/>
      <c r="L6" s="7"/>
      <c r="M6" s="7"/>
      <c r="N6" s="7"/>
    </row>
    <row r="7" spans="1:18" ht="13.5" customHeight="1" x14ac:dyDescent="0.35">
      <c r="B7" s="51"/>
      <c r="C7" s="7"/>
      <c r="D7" s="52"/>
      <c r="E7" s="7"/>
      <c r="F7" s="7"/>
      <c r="G7" s="7"/>
      <c r="H7" s="7"/>
      <c r="I7" s="7"/>
      <c r="J7" s="7"/>
      <c r="K7" s="7"/>
      <c r="L7" s="7"/>
      <c r="M7" s="7"/>
      <c r="N7" s="7"/>
    </row>
    <row r="8" spans="1:18" ht="13.5" customHeight="1" x14ac:dyDescent="0.25">
      <c r="B8" s="7"/>
      <c r="C8" s="7"/>
      <c r="D8" s="7"/>
      <c r="E8" s="7"/>
      <c r="F8" s="7"/>
      <c r="G8" s="7"/>
      <c r="H8" s="7"/>
      <c r="I8" s="7"/>
      <c r="J8" s="7"/>
      <c r="K8" s="7"/>
      <c r="L8" s="7"/>
      <c r="M8" s="7"/>
      <c r="N8" s="7"/>
    </row>
    <row r="9" spans="1:18" ht="13.5" customHeight="1" x14ac:dyDescent="0.3">
      <c r="B9" s="7"/>
      <c r="C9" s="7"/>
      <c r="D9" s="35"/>
      <c r="E9" s="57" t="s">
        <v>93</v>
      </c>
      <c r="F9" s="57" t="s">
        <v>94</v>
      </c>
      <c r="G9" s="57" t="s">
        <v>95</v>
      </c>
      <c r="H9" s="57" t="s">
        <v>96</v>
      </c>
      <c r="I9" s="57" t="s">
        <v>97</v>
      </c>
      <c r="J9" s="57" t="s">
        <v>98</v>
      </c>
      <c r="K9" s="57" t="s">
        <v>99</v>
      </c>
      <c r="L9" s="57" t="s">
        <v>100</v>
      </c>
      <c r="M9" s="57" t="s">
        <v>101</v>
      </c>
      <c r="N9" s="57" t="s">
        <v>102</v>
      </c>
      <c r="O9" s="57" t="s">
        <v>103</v>
      </c>
      <c r="P9" s="58" t="s">
        <v>104</v>
      </c>
      <c r="Q9" s="57" t="s">
        <v>105</v>
      </c>
      <c r="R9" s="57" t="s">
        <v>106</v>
      </c>
    </row>
    <row r="10" spans="1:18" ht="13.5" customHeight="1" x14ac:dyDescent="0.3">
      <c r="B10" s="7"/>
      <c r="C10" s="7"/>
      <c r="D10" s="36"/>
      <c r="E10" s="57" t="s">
        <v>107</v>
      </c>
      <c r="F10" s="57" t="s">
        <v>108</v>
      </c>
      <c r="G10" s="57">
        <v>729</v>
      </c>
      <c r="H10" s="57" t="s">
        <v>206</v>
      </c>
      <c r="I10" s="57" t="s">
        <v>109</v>
      </c>
      <c r="J10" s="57" t="s">
        <v>110</v>
      </c>
      <c r="K10" s="57" t="s">
        <v>111</v>
      </c>
      <c r="L10" s="57" t="s">
        <v>112</v>
      </c>
      <c r="M10" s="57" t="s">
        <v>113</v>
      </c>
      <c r="N10" s="57" t="s">
        <v>113</v>
      </c>
      <c r="O10" s="57" t="s">
        <v>114</v>
      </c>
      <c r="P10" s="2">
        <v>0.23</v>
      </c>
      <c r="Q10" s="57" t="s">
        <v>115</v>
      </c>
      <c r="R10" s="57" t="s">
        <v>116</v>
      </c>
    </row>
    <row r="11" spans="1:18" ht="13.5" customHeight="1" x14ac:dyDescent="0.25">
      <c r="B11" s="7"/>
      <c r="C11" s="7"/>
      <c r="D11" s="7"/>
      <c r="E11" s="57" t="s">
        <v>107</v>
      </c>
      <c r="F11" s="57" t="s">
        <v>108</v>
      </c>
      <c r="G11" s="57">
        <v>729</v>
      </c>
      <c r="H11" s="57" t="s">
        <v>206</v>
      </c>
      <c r="I11" s="57" t="s">
        <v>109</v>
      </c>
      <c r="J11" s="57" t="s">
        <v>110</v>
      </c>
      <c r="K11" s="57" t="s">
        <v>111</v>
      </c>
      <c r="L11" s="57" t="s">
        <v>112</v>
      </c>
      <c r="M11" s="57" t="s">
        <v>117</v>
      </c>
      <c r="N11" s="57" t="s">
        <v>117</v>
      </c>
      <c r="O11" s="57" t="s">
        <v>114</v>
      </c>
      <c r="P11" s="2">
        <v>0.22</v>
      </c>
      <c r="Q11" s="57" t="s">
        <v>115</v>
      </c>
      <c r="R11" s="57" t="s">
        <v>116</v>
      </c>
    </row>
    <row r="12" spans="1:18" ht="13.5" customHeight="1" x14ac:dyDescent="0.3">
      <c r="B12" s="7"/>
      <c r="C12" s="7"/>
      <c r="D12" s="35"/>
      <c r="E12" s="57" t="s">
        <v>107</v>
      </c>
      <c r="F12" s="57" t="s">
        <v>108</v>
      </c>
      <c r="G12" s="57">
        <v>729</v>
      </c>
      <c r="H12" s="57" t="s">
        <v>206</v>
      </c>
      <c r="I12" s="57" t="s">
        <v>109</v>
      </c>
      <c r="J12" s="57" t="s">
        <v>110</v>
      </c>
      <c r="K12" s="57" t="s">
        <v>111</v>
      </c>
      <c r="L12" s="57" t="s">
        <v>112</v>
      </c>
      <c r="M12" s="57" t="s">
        <v>118</v>
      </c>
      <c r="N12" s="57" t="s">
        <v>118</v>
      </c>
      <c r="O12" s="57" t="s">
        <v>114</v>
      </c>
      <c r="P12" s="2">
        <v>1.27</v>
      </c>
      <c r="Q12" s="57" t="s">
        <v>115</v>
      </c>
      <c r="R12" s="57" t="s">
        <v>116</v>
      </c>
    </row>
    <row r="13" spans="1:18" ht="13.5" customHeight="1" outlineLevel="1" x14ac:dyDescent="0.25">
      <c r="B13" s="7"/>
      <c r="C13" s="7"/>
      <c r="D13" s="7"/>
      <c r="E13" s="57" t="s">
        <v>107</v>
      </c>
      <c r="F13" s="57" t="s">
        <v>108</v>
      </c>
      <c r="G13" s="57">
        <v>729</v>
      </c>
      <c r="H13" s="57" t="s">
        <v>206</v>
      </c>
      <c r="I13" s="57" t="s">
        <v>109</v>
      </c>
      <c r="J13" s="57" t="s">
        <v>110</v>
      </c>
      <c r="K13" s="57" t="s">
        <v>111</v>
      </c>
      <c r="L13" s="57" t="s">
        <v>112</v>
      </c>
      <c r="M13" s="57" t="s">
        <v>119</v>
      </c>
      <c r="N13" s="57" t="s">
        <v>119</v>
      </c>
      <c r="O13" s="57" t="s">
        <v>114</v>
      </c>
      <c r="P13" s="2">
        <v>1.27</v>
      </c>
      <c r="Q13" s="57" t="s">
        <v>115</v>
      </c>
      <c r="R13" s="57" t="s">
        <v>116</v>
      </c>
    </row>
    <row r="14" spans="1:18" ht="13.5" customHeight="1" outlineLevel="1" x14ac:dyDescent="0.25">
      <c r="B14" s="7"/>
      <c r="C14" s="7"/>
      <c r="D14" s="7"/>
      <c r="E14" s="53"/>
      <c r="F14" s="53"/>
      <c r="G14" s="53"/>
      <c r="H14" s="53"/>
      <c r="I14" s="53"/>
      <c r="J14" s="53"/>
      <c r="K14" s="53"/>
      <c r="L14" s="53"/>
      <c r="M14" s="53"/>
      <c r="N14" s="7"/>
    </row>
    <row r="15" spans="1:18" ht="13.5" customHeight="1" outlineLevel="1" x14ac:dyDescent="0.25">
      <c r="B15" s="7"/>
      <c r="C15" s="7"/>
      <c r="D15" s="7"/>
      <c r="E15" s="53"/>
      <c r="F15" s="53"/>
      <c r="G15" s="53"/>
      <c r="H15" s="53"/>
      <c r="I15" s="53"/>
      <c r="J15" s="53"/>
      <c r="K15" s="53"/>
      <c r="L15" s="53"/>
      <c r="M15" s="53"/>
      <c r="N15" s="7"/>
    </row>
    <row r="16" spans="1:18" ht="13.5" customHeight="1" outlineLevel="1" x14ac:dyDescent="0.25">
      <c r="B16" s="7"/>
      <c r="C16" s="7"/>
      <c r="D16" s="7"/>
      <c r="E16" s="53"/>
      <c r="F16" s="53"/>
      <c r="G16" s="53"/>
      <c r="H16" s="53"/>
      <c r="I16" s="53"/>
      <c r="J16" s="53"/>
      <c r="K16" s="53"/>
      <c r="L16" s="53"/>
      <c r="M16" s="53"/>
      <c r="N16" s="7"/>
    </row>
    <row r="17" spans="2:14" ht="13.5" customHeight="1" outlineLevel="1" x14ac:dyDescent="0.25">
      <c r="B17" s="7"/>
      <c r="C17" s="7"/>
      <c r="D17" s="7"/>
      <c r="E17" s="53"/>
      <c r="F17" s="53"/>
      <c r="G17" s="53"/>
      <c r="H17" s="53"/>
      <c r="I17" s="53"/>
      <c r="J17" s="53"/>
      <c r="K17" s="53"/>
      <c r="L17" s="53"/>
      <c r="M17" s="53"/>
      <c r="N17" s="7"/>
    </row>
    <row r="18" spans="2:14" ht="13.5" customHeight="1" outlineLevel="1" x14ac:dyDescent="0.25">
      <c r="B18" s="7"/>
      <c r="C18" s="7"/>
      <c r="D18" s="7"/>
      <c r="E18" s="53"/>
      <c r="F18" s="53"/>
      <c r="G18" s="53"/>
      <c r="H18" s="53"/>
      <c r="I18" s="53"/>
      <c r="J18" s="53"/>
      <c r="K18" s="53"/>
      <c r="L18" s="53"/>
      <c r="M18" s="53"/>
      <c r="N18" s="7"/>
    </row>
    <row r="19" spans="2:14" ht="13.5" customHeight="1" outlineLevel="1" x14ac:dyDescent="0.25">
      <c r="B19" s="7"/>
      <c r="C19" s="7"/>
      <c r="D19" s="7"/>
      <c r="E19" s="53"/>
      <c r="F19" s="53"/>
      <c r="G19" s="53"/>
      <c r="H19" s="53"/>
      <c r="I19" s="53"/>
      <c r="J19" s="53"/>
      <c r="K19" s="53"/>
      <c r="L19" s="53"/>
      <c r="M19" s="53"/>
      <c r="N19" s="7"/>
    </row>
    <row r="20" spans="2:14" ht="13.5" customHeight="1" outlineLevel="1" x14ac:dyDescent="0.25">
      <c r="B20" s="7"/>
      <c r="C20" s="7"/>
      <c r="D20" s="7"/>
      <c r="E20" s="53"/>
      <c r="F20" s="53"/>
      <c r="G20" s="53"/>
      <c r="H20" s="53"/>
      <c r="I20" s="53"/>
      <c r="J20" s="53"/>
      <c r="K20" s="53"/>
      <c r="L20" s="53"/>
      <c r="M20" s="53"/>
      <c r="N20" s="7"/>
    </row>
    <row r="21" spans="2:14" ht="13.5" customHeight="1" outlineLevel="1" x14ac:dyDescent="0.25">
      <c r="B21" s="7"/>
      <c r="C21" s="7"/>
      <c r="D21" s="7"/>
      <c r="E21" s="7"/>
      <c r="F21" s="7"/>
      <c r="G21" s="7"/>
      <c r="H21" s="7"/>
      <c r="I21" s="7"/>
      <c r="J21" s="7"/>
      <c r="K21" s="7"/>
      <c r="L21" s="7"/>
      <c r="M21" s="7"/>
      <c r="N21" s="7"/>
    </row>
    <row r="22" spans="2:14" ht="13.5" customHeight="1" outlineLevel="1" x14ac:dyDescent="0.25">
      <c r="B22" s="7"/>
      <c r="C22" s="7"/>
      <c r="D22" s="7"/>
      <c r="E22" s="7"/>
      <c r="F22" s="59"/>
      <c r="G22" s="7"/>
      <c r="H22" s="7"/>
      <c r="I22" s="7"/>
      <c r="J22" s="7"/>
      <c r="K22" s="7"/>
      <c r="L22" s="7"/>
      <c r="M22" s="7"/>
      <c r="N22" s="7"/>
    </row>
    <row r="23" spans="2:14" ht="13.5" customHeight="1" outlineLevel="1" x14ac:dyDescent="0.25">
      <c r="B23" s="7"/>
      <c r="C23" s="7"/>
      <c r="D23" s="7"/>
      <c r="E23" s="7"/>
      <c r="F23" s="7"/>
      <c r="G23" s="7"/>
      <c r="H23" s="7"/>
      <c r="I23" s="7"/>
      <c r="J23" s="7"/>
      <c r="K23" s="7"/>
      <c r="L23" s="7"/>
      <c r="M23" s="7"/>
      <c r="N23" s="7"/>
    </row>
    <row r="24" spans="2:14" ht="13.5" customHeight="1" outlineLevel="1" x14ac:dyDescent="0.35">
      <c r="B24" s="51"/>
      <c r="C24" s="7"/>
      <c r="D24" s="52"/>
      <c r="E24" s="7"/>
      <c r="F24" s="7"/>
      <c r="G24" s="7"/>
      <c r="H24" s="7"/>
      <c r="I24" s="7"/>
      <c r="J24" s="7"/>
      <c r="K24" s="7"/>
      <c r="L24" s="7"/>
      <c r="M24" s="7"/>
      <c r="N24" s="7"/>
    </row>
    <row r="25" spans="2:14" ht="13.5" customHeight="1" outlineLevel="1" x14ac:dyDescent="0.25">
      <c r="B25" s="7"/>
      <c r="C25" s="7"/>
      <c r="D25" s="7"/>
      <c r="E25" s="7"/>
      <c r="F25" s="7"/>
      <c r="G25" s="7"/>
      <c r="H25" s="7"/>
      <c r="I25" s="7"/>
      <c r="J25" s="7"/>
      <c r="K25" s="7"/>
      <c r="L25" s="7"/>
      <c r="M25" s="7"/>
      <c r="N25" s="7"/>
    </row>
    <row r="26" spans="2:14" ht="13.5" customHeight="1" outlineLevel="1" x14ac:dyDescent="0.25">
      <c r="B26" s="7"/>
      <c r="C26" s="7"/>
      <c r="D26" s="7"/>
      <c r="E26" s="7"/>
      <c r="F26" s="7"/>
      <c r="G26" s="7"/>
      <c r="H26" s="7"/>
      <c r="I26" s="7"/>
      <c r="J26" s="7"/>
      <c r="K26" s="7"/>
      <c r="L26" s="7"/>
      <c r="M26" s="7"/>
      <c r="N26" s="7"/>
    </row>
    <row r="27" spans="2:14" ht="13.5" customHeight="1" outlineLevel="1" x14ac:dyDescent="0.25">
      <c r="B27" s="7"/>
      <c r="C27" s="7"/>
      <c r="D27" s="7"/>
      <c r="E27" s="7"/>
      <c r="F27" s="7"/>
      <c r="G27" s="7"/>
      <c r="H27" s="7"/>
      <c r="I27" s="7"/>
      <c r="J27" s="7"/>
      <c r="K27" s="7"/>
      <c r="L27" s="7"/>
      <c r="M27" s="7"/>
      <c r="N27" s="7"/>
    </row>
    <row r="28" spans="2:14" ht="13.5" customHeight="1" outlineLevel="1" x14ac:dyDescent="0.25">
      <c r="B28" s="7"/>
      <c r="C28" s="7"/>
      <c r="D28" s="7"/>
      <c r="E28" s="7"/>
      <c r="F28" s="7"/>
      <c r="G28" s="7"/>
      <c r="H28" s="7"/>
      <c r="I28" s="7"/>
      <c r="J28" s="7"/>
      <c r="K28" s="7"/>
      <c r="L28" s="7"/>
      <c r="M28" s="7"/>
      <c r="N28" s="7"/>
    </row>
    <row r="29" spans="2:14" ht="13.5" customHeight="1" outlineLevel="1" x14ac:dyDescent="0.25">
      <c r="B29" s="7"/>
      <c r="C29" s="7"/>
      <c r="D29" s="7"/>
      <c r="E29" s="7"/>
      <c r="F29" s="7"/>
      <c r="G29" s="7"/>
      <c r="H29" s="7"/>
      <c r="I29" s="7"/>
      <c r="J29" s="7"/>
      <c r="K29" s="7"/>
      <c r="L29" s="7"/>
      <c r="M29" s="7"/>
      <c r="N29" s="7"/>
    </row>
    <row r="30" spans="2:14" ht="13.5" customHeight="1" outlineLevel="1" x14ac:dyDescent="0.25">
      <c r="B30" s="7"/>
      <c r="C30" s="7"/>
      <c r="D30" s="7"/>
      <c r="E30" s="7"/>
      <c r="F30" s="7"/>
      <c r="G30" s="7"/>
      <c r="H30" s="7"/>
      <c r="I30" s="7"/>
      <c r="J30" s="7"/>
      <c r="K30" s="7"/>
      <c r="L30" s="7"/>
      <c r="M30" s="7"/>
      <c r="N30" s="7"/>
    </row>
    <row r="31" spans="2:14" ht="13.5" customHeight="1" outlineLevel="1" x14ac:dyDescent="0.25">
      <c r="B31" s="7"/>
      <c r="C31" s="7"/>
      <c r="D31" s="7"/>
      <c r="E31" s="7"/>
      <c r="F31" s="7"/>
      <c r="G31" s="7"/>
      <c r="H31" s="7"/>
      <c r="I31" s="7"/>
      <c r="J31" s="7"/>
      <c r="K31" s="7"/>
      <c r="L31" s="7"/>
      <c r="M31" s="7"/>
      <c r="N31" s="7"/>
    </row>
    <row r="32" spans="2:14" ht="13.5" customHeight="1" x14ac:dyDescent="0.25">
      <c r="B32" s="7"/>
      <c r="C32" s="7"/>
      <c r="D32" s="7"/>
      <c r="E32" s="7"/>
      <c r="F32" s="7"/>
      <c r="G32" s="7"/>
      <c r="H32" s="7"/>
      <c r="I32" s="7"/>
      <c r="J32" s="7"/>
      <c r="K32" s="7"/>
      <c r="L32" s="7"/>
      <c r="M32" s="7"/>
      <c r="N32" s="7"/>
    </row>
    <row r="33" spans="2:14" ht="13.5" customHeight="1" x14ac:dyDescent="0.25">
      <c r="B33" s="7"/>
      <c r="C33" s="7"/>
      <c r="D33" s="7"/>
      <c r="E33" s="7"/>
      <c r="F33" s="7"/>
      <c r="G33" s="7"/>
      <c r="H33" s="7"/>
      <c r="I33" s="7"/>
      <c r="J33" s="7"/>
      <c r="K33" s="7"/>
      <c r="L33" s="7"/>
      <c r="M33" s="7"/>
      <c r="N33" s="7"/>
    </row>
    <row r="63" spans="20:20" ht="13.5" customHeight="1" x14ac:dyDescent="0.25">
      <c r="T63" s="7"/>
    </row>
    <row r="64" spans="20:20" ht="13.5" customHeight="1" x14ac:dyDescent="0.25">
      <c r="T64" s="7"/>
    </row>
    <row r="65" spans="20:20" ht="13.5" customHeight="1" x14ac:dyDescent="0.25">
      <c r="T65" s="7"/>
    </row>
    <row r="66" spans="20:20" ht="13.5" customHeight="1" x14ac:dyDescent="0.25">
      <c r="T66" s="7"/>
    </row>
    <row r="67" spans="20:20" ht="13.5" customHeight="1" x14ac:dyDescent="0.25">
      <c r="T67" s="7"/>
    </row>
    <row r="68" spans="20:20" ht="13.5" customHeight="1" x14ac:dyDescent="0.25">
      <c r="T68" s="7"/>
    </row>
    <row r="69" spans="20:20" ht="13.5" customHeight="1" x14ac:dyDescent="0.25">
      <c r="T69" s="7"/>
    </row>
    <row r="70" spans="20:20" ht="13.5" customHeight="1" x14ac:dyDescent="0.25">
      <c r="T70" s="7"/>
    </row>
    <row r="71" spans="20:20" ht="13.5" customHeight="1" x14ac:dyDescent="0.25">
      <c r="T71" s="7"/>
    </row>
    <row r="72" spans="20:20" ht="13.5" customHeight="1" x14ac:dyDescent="0.25">
      <c r="T72" s="7"/>
    </row>
    <row r="73" spans="20:20" ht="13.5" customHeight="1" x14ac:dyDescent="0.25">
      <c r="T73" s="7"/>
    </row>
    <row r="74" spans="20:20" ht="13.5" customHeight="1" x14ac:dyDescent="0.25">
      <c r="T74" s="7"/>
    </row>
    <row r="75" spans="20:20" ht="13.5" customHeight="1" x14ac:dyDescent="0.25">
      <c r="T75" s="7"/>
    </row>
    <row r="76" spans="20:20" ht="13.5" customHeight="1" x14ac:dyDescent="0.25">
      <c r="T76" s="7"/>
    </row>
    <row r="77" spans="20:20" ht="13.5" customHeight="1" x14ac:dyDescent="0.25">
      <c r="T77" s="7"/>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191A-071F-42AC-B630-5CD78036D1F4}">
  <dimension ref="A1:W243"/>
  <sheetViews>
    <sheetView showGridLines="0" topLeftCell="A49" workbookViewId="0">
      <selection activeCell="F95" sqref="F95"/>
    </sheetView>
  </sheetViews>
  <sheetFormatPr defaultRowHeight="12.5" x14ac:dyDescent="0.25"/>
  <cols>
    <col min="1" max="1" width="1.7265625" style="2" customWidth="1"/>
    <col min="2" max="2" width="2.7265625" style="2" customWidth="1"/>
    <col min="3" max="3" width="2" style="2" customWidth="1"/>
    <col min="4" max="4" width="37.26953125" style="2" bestFit="1" customWidth="1"/>
    <col min="5" max="5" width="51.6328125" style="2" bestFit="1" customWidth="1"/>
    <col min="6" max="6" width="16.36328125" style="2" bestFit="1" customWidth="1"/>
    <col min="7" max="10" width="8.81640625" style="2" bestFit="1" customWidth="1"/>
    <col min="11" max="11" width="11.1796875" style="2" bestFit="1" customWidth="1"/>
    <col min="12" max="12" width="8.81640625" style="2" bestFit="1" customWidth="1"/>
    <col min="13" max="13" width="11.1796875" style="2" bestFit="1" customWidth="1"/>
    <col min="14" max="14" width="18" style="2" bestFit="1" customWidth="1"/>
    <col min="15" max="15" width="39.54296875" style="2" bestFit="1" customWidth="1"/>
    <col min="16" max="16" width="16.36328125" style="2" bestFit="1" customWidth="1"/>
    <col min="17" max="21" width="7.90625" style="2" bestFit="1" customWidth="1"/>
    <col min="22" max="22" width="7.90625" bestFit="1" customWidth="1"/>
    <col min="23" max="23" width="11.1796875" bestFit="1" customWidth="1"/>
  </cols>
  <sheetData>
    <row r="1" spans="1:23" s="7" customFormat="1" ht="13.5" customHeight="1" x14ac:dyDescent="0.25">
      <c r="A1" s="5"/>
      <c r="B1" s="5"/>
      <c r="C1" s="5"/>
      <c r="D1" s="6"/>
      <c r="E1" s="25"/>
    </row>
    <row r="2" spans="1:23" s="7" customFormat="1" ht="13.5" customHeight="1" x14ac:dyDescent="0.25">
      <c r="A2" s="5"/>
      <c r="B2" s="5"/>
      <c r="C2" s="5"/>
      <c r="D2" s="6"/>
      <c r="E2" s="26" t="str">
        <f>Title</f>
        <v>OCP Africa - Sudan P205</v>
      </c>
    </row>
    <row r="3" spans="1:23" s="7" customFormat="1" ht="13.5" customHeight="1" x14ac:dyDescent="0.25">
      <c r="A3" s="5"/>
      <c r="B3" s="5"/>
      <c r="C3" s="5"/>
      <c r="D3" s="6"/>
      <c r="E3" s="27" t="str">
        <f ca="1">MID(CELL("filename",E3),FIND("]",CELL("filename",E3))+1,256)</f>
        <v>HarvestedAreas_TCD_Sudan</v>
      </c>
    </row>
    <row r="4" spans="1:23" s="7" customFormat="1" ht="13.5" customHeight="1" x14ac:dyDescent="0.25">
      <c r="A4" s="5"/>
      <c r="B4" s="5"/>
      <c r="C4" s="5"/>
      <c r="D4" s="6"/>
      <c r="E4" s="129" t="s">
        <v>120</v>
      </c>
    </row>
    <row r="5" spans="1:23" s="11" customFormat="1" ht="13.5" customHeight="1" x14ac:dyDescent="0.3">
      <c r="A5" s="8"/>
      <c r="B5" s="8"/>
      <c r="C5" s="8"/>
      <c r="D5" s="9"/>
      <c r="E5" s="10"/>
    </row>
    <row r="6" spans="1:23" x14ac:dyDescent="0.25">
      <c r="B6" s="7"/>
      <c r="C6" s="7"/>
      <c r="D6" s="7"/>
      <c r="E6" s="7"/>
      <c r="F6" s="7"/>
      <c r="G6" s="7"/>
      <c r="H6" s="7"/>
      <c r="I6" s="7"/>
      <c r="J6" s="7"/>
      <c r="K6" s="7"/>
      <c r="L6" s="7"/>
      <c r="M6" s="7"/>
      <c r="N6" s="7"/>
    </row>
    <row r="7" spans="1:23" x14ac:dyDescent="0.25">
      <c r="B7" s="7"/>
      <c r="C7" s="7"/>
      <c r="D7" s="7"/>
      <c r="E7" s="59"/>
      <c r="F7" s="7"/>
      <c r="G7" s="7"/>
      <c r="H7" s="7"/>
      <c r="I7" s="7"/>
      <c r="J7" s="7"/>
      <c r="K7" s="7"/>
      <c r="L7" s="7"/>
      <c r="M7" s="7"/>
      <c r="N7" s="7"/>
    </row>
    <row r="8" spans="1:23" ht="15.5" x14ac:dyDescent="0.35">
      <c r="B8" s="51"/>
      <c r="C8" s="7"/>
      <c r="D8" s="65"/>
      <c r="E8" s="61" t="s">
        <v>121</v>
      </c>
      <c r="F8" s="61" t="s">
        <v>89</v>
      </c>
      <c r="G8"/>
      <c r="H8"/>
      <c r="I8"/>
      <c r="J8"/>
      <c r="K8"/>
      <c r="L8"/>
      <c r="M8"/>
      <c r="N8"/>
      <c r="O8" s="61" t="s">
        <v>121</v>
      </c>
      <c r="P8" s="61" t="s">
        <v>89</v>
      </c>
      <c r="Q8"/>
      <c r="R8"/>
      <c r="S8"/>
      <c r="T8"/>
      <c r="U8"/>
    </row>
    <row r="9" spans="1:23" x14ac:dyDescent="0.25">
      <c r="B9" s="7"/>
      <c r="C9" s="7"/>
      <c r="D9" s="7"/>
      <c r="E9" s="61" t="s">
        <v>90</v>
      </c>
      <c r="F9">
        <v>2017</v>
      </c>
      <c r="G9">
        <v>2018</v>
      </c>
      <c r="H9">
        <v>2019</v>
      </c>
      <c r="I9">
        <v>2020</v>
      </c>
      <c r="J9">
        <v>2021</v>
      </c>
      <c r="K9" t="s">
        <v>91</v>
      </c>
      <c r="L9"/>
      <c r="M9"/>
      <c r="N9"/>
      <c r="O9" s="61" t="s">
        <v>90</v>
      </c>
      <c r="P9">
        <v>2015</v>
      </c>
      <c r="Q9">
        <v>2017</v>
      </c>
      <c r="R9">
        <v>2016</v>
      </c>
      <c r="S9">
        <v>2020</v>
      </c>
      <c r="T9">
        <v>2019</v>
      </c>
      <c r="U9">
        <v>2021</v>
      </c>
      <c r="V9">
        <v>2018</v>
      </c>
      <c r="W9" t="s">
        <v>91</v>
      </c>
    </row>
    <row r="10" spans="1:23" ht="13" x14ac:dyDescent="0.3">
      <c r="B10" s="7"/>
      <c r="C10" s="7"/>
      <c r="D10" s="35"/>
      <c r="E10" s="46" t="s">
        <v>62</v>
      </c>
      <c r="F10" s="62">
        <v>6483172</v>
      </c>
      <c r="G10" s="62">
        <v>8052695</v>
      </c>
      <c r="H10" s="62">
        <v>6832960</v>
      </c>
      <c r="I10" s="62">
        <v>5798802</v>
      </c>
      <c r="J10" s="62">
        <v>6925101</v>
      </c>
      <c r="K10" s="62">
        <v>34092730</v>
      </c>
      <c r="L10"/>
      <c r="M10"/>
      <c r="N10" s="66"/>
      <c r="O10" s="46" t="s">
        <v>62</v>
      </c>
      <c r="P10" s="66">
        <v>0.33869762781581514</v>
      </c>
      <c r="Q10" s="66">
        <v>0.33542082374643994</v>
      </c>
      <c r="R10" s="66">
        <v>0.41836145122801571</v>
      </c>
      <c r="S10" s="66">
        <v>0.25520640605354949</v>
      </c>
      <c r="T10" s="66">
        <v>0.29733917089883205</v>
      </c>
      <c r="U10" s="66">
        <v>0.30057224648804354</v>
      </c>
      <c r="V10" s="66">
        <v>0.33348576055461532</v>
      </c>
      <c r="W10" s="66">
        <v>0.32418121830763824</v>
      </c>
    </row>
    <row r="11" spans="1:23" ht="13" x14ac:dyDescent="0.3">
      <c r="B11" s="7"/>
      <c r="C11" s="7"/>
      <c r="D11" s="36"/>
      <c r="E11" s="46" t="s">
        <v>123</v>
      </c>
      <c r="F11" s="62">
        <v>2706888</v>
      </c>
      <c r="G11" s="62">
        <v>3483718</v>
      </c>
      <c r="H11" s="62">
        <v>4246531</v>
      </c>
      <c r="I11" s="62">
        <v>5176469</v>
      </c>
      <c r="J11" s="62">
        <v>3818866</v>
      </c>
      <c r="K11" s="62">
        <v>19432472</v>
      </c>
      <c r="L11"/>
      <c r="M11"/>
      <c r="N11" s="66"/>
      <c r="O11" s="46" t="s">
        <v>123</v>
      </c>
      <c r="P11" s="66">
        <v>9.4566336553732949E-2</v>
      </c>
      <c r="Q11" s="66">
        <v>0.14004666276775526</v>
      </c>
      <c r="R11" s="66">
        <v>9.7566519182289091E-2</v>
      </c>
      <c r="S11" s="66">
        <v>0.22781740944726364</v>
      </c>
      <c r="T11" s="66">
        <v>0.18478960900344624</v>
      </c>
      <c r="U11" s="66">
        <v>0.16575139231280656</v>
      </c>
      <c r="V11" s="66">
        <v>0.14427099831643983</v>
      </c>
      <c r="W11" s="66">
        <v>0.15401217032449629</v>
      </c>
    </row>
    <row r="12" spans="1:23" x14ac:dyDescent="0.25">
      <c r="B12" s="7"/>
      <c r="C12" s="7"/>
      <c r="D12" s="7"/>
      <c r="E12" s="46" t="s">
        <v>167</v>
      </c>
      <c r="F12" s="62">
        <v>2222440</v>
      </c>
      <c r="G12" s="62">
        <v>3074150</v>
      </c>
      <c r="H12" s="62">
        <v>3139294</v>
      </c>
      <c r="I12" s="62">
        <v>3205855</v>
      </c>
      <c r="J12" s="62">
        <v>3941983</v>
      </c>
      <c r="K12" s="62">
        <v>15583722</v>
      </c>
      <c r="L12"/>
      <c r="M12"/>
      <c r="N12" s="66"/>
      <c r="O12" s="46" t="s">
        <v>167</v>
      </c>
      <c r="P12" s="66">
        <v>9.5838741085144133E-2</v>
      </c>
      <c r="Q12" s="66">
        <v>0.11498270530645154</v>
      </c>
      <c r="R12" s="66">
        <v>0.10603938825747417</v>
      </c>
      <c r="S12" s="66">
        <v>0.14109030328657574</v>
      </c>
      <c r="T12" s="66">
        <v>0.13660771834866267</v>
      </c>
      <c r="U12" s="66">
        <v>0.17109507658121917</v>
      </c>
      <c r="V12" s="66">
        <v>0.12730958403478224</v>
      </c>
      <c r="W12" s="66">
        <v>0.12963763805503675</v>
      </c>
    </row>
    <row r="13" spans="1:23" ht="13" x14ac:dyDescent="0.3">
      <c r="B13" s="7"/>
      <c r="C13" s="7"/>
      <c r="D13" s="35"/>
      <c r="E13" s="46" t="s">
        <v>58</v>
      </c>
      <c r="F13" s="62">
        <v>2515515</v>
      </c>
      <c r="G13" s="62">
        <v>3759754</v>
      </c>
      <c r="H13" s="62">
        <v>3020196</v>
      </c>
      <c r="I13" s="62">
        <v>2426371</v>
      </c>
      <c r="J13" s="62">
        <v>2805357</v>
      </c>
      <c r="K13" s="62">
        <v>14527193</v>
      </c>
      <c r="L13"/>
      <c r="M13"/>
      <c r="N13" s="66"/>
      <c r="O13" s="46" t="s">
        <v>58</v>
      </c>
      <c r="P13" s="66">
        <v>0.11114737437983788</v>
      </c>
      <c r="Q13" s="66">
        <v>0.13014556970670005</v>
      </c>
      <c r="R13" s="66">
        <v>0.13749567190222892</v>
      </c>
      <c r="S13" s="66">
        <v>0.10678506054570529</v>
      </c>
      <c r="T13" s="66">
        <v>0.13142511804429835</v>
      </c>
      <c r="U13" s="66">
        <v>0.12176175563229452</v>
      </c>
      <c r="V13" s="66">
        <v>0.15570246013145378</v>
      </c>
      <c r="W13" s="66">
        <v>0.12875259214593937</v>
      </c>
    </row>
    <row r="14" spans="1:23" x14ac:dyDescent="0.25">
      <c r="B14" s="7"/>
      <c r="C14" s="7"/>
      <c r="D14" s="7"/>
      <c r="E14" s="46" t="s">
        <v>200</v>
      </c>
      <c r="F14" s="62">
        <v>870764</v>
      </c>
      <c r="G14" s="62">
        <v>908514</v>
      </c>
      <c r="H14" s="62">
        <v>837485</v>
      </c>
      <c r="I14" s="62">
        <v>809055</v>
      </c>
      <c r="J14" s="62">
        <v>800039</v>
      </c>
      <c r="K14" s="62">
        <v>4225857</v>
      </c>
      <c r="L14"/>
      <c r="M14"/>
      <c r="N14" s="66"/>
      <c r="O14" s="46" t="s">
        <v>200</v>
      </c>
      <c r="P14" s="66">
        <v>5.9520524066082485E-2</v>
      </c>
      <c r="Q14" s="66">
        <v>4.5050845198730663E-2</v>
      </c>
      <c r="R14" s="66">
        <v>4.1366822976521569E-2</v>
      </c>
      <c r="S14" s="66">
        <v>3.5606668213478312E-2</v>
      </c>
      <c r="T14" s="66">
        <v>3.6443517237069782E-2</v>
      </c>
      <c r="U14" s="66">
        <v>3.4724333913403987E-2</v>
      </c>
      <c r="V14" s="66">
        <v>3.7624234155710083E-2</v>
      </c>
      <c r="W14" s="66">
        <v>4.0447728603260888E-2</v>
      </c>
    </row>
    <row r="15" spans="1:23" x14ac:dyDescent="0.25">
      <c r="B15" s="7"/>
      <c r="C15" s="7"/>
      <c r="D15" s="7"/>
      <c r="E15" s="46" t="s">
        <v>222</v>
      </c>
      <c r="F15" s="62">
        <v>576671</v>
      </c>
      <c r="G15" s="62">
        <v>805485</v>
      </c>
      <c r="H15" s="62">
        <v>575812</v>
      </c>
      <c r="I15" s="62">
        <v>411799</v>
      </c>
      <c r="J15" s="62">
        <v>488298</v>
      </c>
      <c r="K15" s="62">
        <v>2858065</v>
      </c>
      <c r="L15"/>
      <c r="M15"/>
      <c r="N15" s="66"/>
      <c r="O15" s="46" t="s">
        <v>222</v>
      </c>
      <c r="P15" s="66">
        <v>4.6683261832193512E-2</v>
      </c>
      <c r="Q15" s="66">
        <v>2.9835312382686018E-2</v>
      </c>
      <c r="R15" s="66">
        <v>2.6324466391479152E-2</v>
      </c>
      <c r="S15" s="66">
        <v>1.8123354238762702E-2</v>
      </c>
      <c r="T15" s="66">
        <v>2.5056704952699602E-2</v>
      </c>
      <c r="U15" s="66">
        <v>2.1193745306475487E-2</v>
      </c>
      <c r="V15" s="66">
        <v>3.3357500543648347E-2</v>
      </c>
      <c r="W15" s="66">
        <v>2.7774158841631043E-2</v>
      </c>
    </row>
    <row r="16" spans="1:23" x14ac:dyDescent="0.25">
      <c r="B16" s="7"/>
      <c r="C16" s="7"/>
      <c r="D16" s="7"/>
      <c r="E16" s="46" t="s">
        <v>122</v>
      </c>
      <c r="F16" s="62">
        <v>169318</v>
      </c>
      <c r="G16" s="62">
        <v>148256</v>
      </c>
      <c r="H16" s="62">
        <v>344518</v>
      </c>
      <c r="I16" s="62">
        <v>854825</v>
      </c>
      <c r="J16" s="62">
        <v>228798</v>
      </c>
      <c r="K16" s="62">
        <v>1745715</v>
      </c>
      <c r="L16"/>
      <c r="M16"/>
      <c r="N16" s="66"/>
      <c r="O16" s="46" t="s">
        <v>122</v>
      </c>
      <c r="P16" s="66">
        <v>1.1200402086081968E-2</v>
      </c>
      <c r="Q16" s="66">
        <v>8.7600302807174825E-3</v>
      </c>
      <c r="R16" s="66">
        <v>1.4298186250286733E-2</v>
      </c>
      <c r="S16" s="66">
        <v>3.7621014832843996E-2</v>
      </c>
      <c r="T16" s="66">
        <v>1.4991847819938037E-2</v>
      </c>
      <c r="U16" s="66">
        <v>9.9305885722058632E-3</v>
      </c>
      <c r="V16" s="66">
        <v>6.1397165690225504E-3</v>
      </c>
      <c r="W16" s="66">
        <v>1.4924509765009876E-2</v>
      </c>
    </row>
    <row r="17" spans="2:23" x14ac:dyDescent="0.25">
      <c r="B17" s="7"/>
      <c r="C17" s="7"/>
      <c r="D17" s="7"/>
      <c r="E17" s="46" t="s">
        <v>84</v>
      </c>
      <c r="F17" s="62">
        <v>199087</v>
      </c>
      <c r="G17" s="62">
        <v>311332</v>
      </c>
      <c r="H17" s="62">
        <v>327568</v>
      </c>
      <c r="I17" s="62">
        <v>343768</v>
      </c>
      <c r="J17" s="62">
        <v>283077</v>
      </c>
      <c r="K17" s="62">
        <v>1464832</v>
      </c>
      <c r="L17"/>
      <c r="M17"/>
      <c r="N17" s="66"/>
      <c r="O17" s="46" t="s">
        <v>84</v>
      </c>
      <c r="P17" s="66">
        <v>1.6977524911465865E-2</v>
      </c>
      <c r="Q17" s="66">
        <v>1.0300193414150897E-2</v>
      </c>
      <c r="R17" s="66">
        <v>1.0979958938705918E-2</v>
      </c>
      <c r="S17" s="66">
        <v>1.5129296671315316E-2</v>
      </c>
      <c r="T17" s="66">
        <v>1.4254261335202988E-2</v>
      </c>
      <c r="U17" s="66">
        <v>1.228647637328263E-2</v>
      </c>
      <c r="V17" s="66">
        <v>1.2893172882493314E-2</v>
      </c>
      <c r="W17" s="66">
        <v>1.3152832490424662E-2</v>
      </c>
    </row>
    <row r="18" spans="2:23" x14ac:dyDescent="0.25">
      <c r="B18" s="7"/>
      <c r="C18" s="7"/>
      <c r="D18" s="7"/>
      <c r="E18" s="46" t="s">
        <v>125</v>
      </c>
      <c r="F18" s="62">
        <v>268291</v>
      </c>
      <c r="G18" s="62">
        <v>275661</v>
      </c>
      <c r="H18" s="62">
        <v>288154</v>
      </c>
      <c r="I18" s="62">
        <v>290052</v>
      </c>
      <c r="J18" s="62">
        <v>295941</v>
      </c>
      <c r="K18" s="62">
        <v>1418099</v>
      </c>
      <c r="L18"/>
      <c r="M18"/>
      <c r="N18" s="66"/>
      <c r="O18" s="46" t="s">
        <v>125</v>
      </c>
      <c r="P18" s="66">
        <v>1.7587750437096088E-2</v>
      </c>
      <c r="Q18" s="66">
        <v>1.3880610945345291E-2</v>
      </c>
      <c r="R18" s="66">
        <v>1.2248043083545697E-2</v>
      </c>
      <c r="S18" s="66">
        <v>1.2765245043483833E-2</v>
      </c>
      <c r="T18" s="66">
        <v>1.2539144302203152E-2</v>
      </c>
      <c r="U18" s="66">
        <v>1.2844816443531741E-2</v>
      </c>
      <c r="V18" s="66">
        <v>1.1415931963180751E-2</v>
      </c>
      <c r="W18" s="66">
        <v>1.3088738576176272E-2</v>
      </c>
    </row>
    <row r="19" spans="2:23" x14ac:dyDescent="0.25">
      <c r="B19" s="7"/>
      <c r="C19" s="7"/>
      <c r="D19" s="7"/>
      <c r="E19" s="46" t="s">
        <v>208</v>
      </c>
      <c r="F19" s="62">
        <v>244511</v>
      </c>
      <c r="G19" s="62">
        <v>241301</v>
      </c>
      <c r="H19" s="62">
        <v>242439</v>
      </c>
      <c r="I19" s="62">
        <v>243583</v>
      </c>
      <c r="J19" s="62">
        <v>242571</v>
      </c>
      <c r="K19" s="62">
        <v>1214405</v>
      </c>
      <c r="L19"/>
      <c r="M19"/>
      <c r="N19" s="66"/>
      <c r="O19" s="46" t="s">
        <v>208</v>
      </c>
      <c r="P19" s="66">
        <v>1.7484950255193803E-2</v>
      </c>
      <c r="Q19" s="66">
        <v>1.2650301586178152E-2</v>
      </c>
      <c r="R19" s="66">
        <v>1.1269373729673347E-2</v>
      </c>
      <c r="S19" s="66">
        <v>1.0720135297901489E-2</v>
      </c>
      <c r="T19" s="66">
        <v>1.0549836564759919E-2</v>
      </c>
      <c r="U19" s="66">
        <v>1.0528382243501028E-2</v>
      </c>
      <c r="V19" s="66">
        <v>9.9929834058770668E-3</v>
      </c>
      <c r="W19" s="66">
        <v>1.1572105710391798E-2</v>
      </c>
    </row>
    <row r="20" spans="2:23" x14ac:dyDescent="0.25">
      <c r="B20" s="7"/>
      <c r="C20" s="7"/>
      <c r="D20" s="7"/>
      <c r="E20" s="46" t="s">
        <v>172</v>
      </c>
      <c r="F20" s="62">
        <v>233125</v>
      </c>
      <c r="G20" s="62">
        <v>237148</v>
      </c>
      <c r="H20" s="62">
        <v>239199</v>
      </c>
      <c r="I20" s="62">
        <v>241271</v>
      </c>
      <c r="J20" s="62">
        <v>239455</v>
      </c>
      <c r="K20" s="62">
        <v>1190198</v>
      </c>
      <c r="L20"/>
      <c r="M20"/>
      <c r="N20" s="66"/>
      <c r="O20" s="46" t="s">
        <v>172</v>
      </c>
      <c r="P20" s="66">
        <v>1.8681247495506967E-2</v>
      </c>
      <c r="Q20" s="66">
        <v>1.2061222428756914E-2</v>
      </c>
      <c r="R20" s="66">
        <v>9.9586077505189729E-3</v>
      </c>
      <c r="S20" s="66">
        <v>1.0618383727353674E-2</v>
      </c>
      <c r="T20" s="66">
        <v>1.0408846581837113E-2</v>
      </c>
      <c r="U20" s="66">
        <v>1.0393137556086831E-2</v>
      </c>
      <c r="V20" s="66">
        <v>9.8209954734416131E-3</v>
      </c>
      <c r="W20" s="66">
        <v>1.1341003699993626E-2</v>
      </c>
    </row>
    <row r="21" spans="2:23" x14ac:dyDescent="0.25">
      <c r="B21" s="7"/>
      <c r="C21" s="7"/>
      <c r="D21" s="7"/>
      <c r="E21" s="46" t="s">
        <v>135</v>
      </c>
      <c r="F21" s="62">
        <v>246099</v>
      </c>
      <c r="G21" s="62">
        <v>236613</v>
      </c>
      <c r="H21" s="62">
        <v>229857</v>
      </c>
      <c r="I21" s="62">
        <v>229918</v>
      </c>
      <c r="J21" s="62">
        <v>232111</v>
      </c>
      <c r="K21" s="62">
        <v>1174598</v>
      </c>
      <c r="L21"/>
      <c r="M21"/>
      <c r="N21" s="66"/>
      <c r="O21" s="46" t="s">
        <v>135</v>
      </c>
      <c r="P21" s="66">
        <v>1.6015864691783375E-2</v>
      </c>
      <c r="Q21" s="66">
        <v>1.2732460175848354E-2</v>
      </c>
      <c r="R21" s="66">
        <v>1.0659502813691511E-2</v>
      </c>
      <c r="S21" s="66">
        <v>1.0118735984953442E-2</v>
      </c>
      <c r="T21" s="66">
        <v>1.0002325464409689E-2</v>
      </c>
      <c r="U21" s="66">
        <v>1.007438371001178E-2</v>
      </c>
      <c r="V21" s="66">
        <v>9.7988395514929088E-3</v>
      </c>
      <c r="W21" s="66">
        <v>1.1065482151905306E-2</v>
      </c>
    </row>
    <row r="22" spans="2:23" x14ac:dyDescent="0.25">
      <c r="B22" s="7"/>
      <c r="C22" s="7"/>
      <c r="D22" s="7"/>
      <c r="E22" s="46" t="s">
        <v>230</v>
      </c>
      <c r="F22" s="62">
        <v>209574</v>
      </c>
      <c r="G22" s="62">
        <v>213095</v>
      </c>
      <c r="H22" s="62">
        <v>211409</v>
      </c>
      <c r="I22" s="62">
        <v>209736</v>
      </c>
      <c r="J22" s="62">
        <v>236427</v>
      </c>
      <c r="K22" s="62">
        <v>1080241</v>
      </c>
      <c r="L22"/>
      <c r="M22"/>
      <c r="N22" s="66"/>
      <c r="O22" s="46" t="s">
        <v>218</v>
      </c>
      <c r="P22" s="66">
        <v>1.3818974673980518E-2</v>
      </c>
      <c r="Q22" s="66">
        <v>1.0804992758868886E-2</v>
      </c>
      <c r="R22" s="66">
        <v>9.4558750860198725E-3</v>
      </c>
      <c r="S22" s="66">
        <v>9.2918284334729574E-3</v>
      </c>
      <c r="T22" s="66">
        <v>9.1391969732757834E-3</v>
      </c>
      <c r="U22" s="66">
        <v>9.2117430930807234E-3</v>
      </c>
      <c r="V22" s="66">
        <v>8.7141104606472935E-3</v>
      </c>
      <c r="W22" s="66">
        <v>9.847570677087079E-3</v>
      </c>
    </row>
    <row r="23" spans="2:23" x14ac:dyDescent="0.25">
      <c r="B23" s="7"/>
      <c r="C23" s="7"/>
      <c r="D23" s="7"/>
      <c r="E23" s="46" t="s">
        <v>218</v>
      </c>
      <c r="F23" s="62">
        <v>208844</v>
      </c>
      <c r="G23" s="62">
        <v>210420</v>
      </c>
      <c r="H23" s="62">
        <v>210022</v>
      </c>
      <c r="I23" s="62">
        <v>211129</v>
      </c>
      <c r="J23" s="62">
        <v>212236</v>
      </c>
      <c r="K23" s="62">
        <v>1052651</v>
      </c>
      <c r="L23"/>
      <c r="M23"/>
      <c r="N23" s="66"/>
      <c r="O23" s="46" t="s">
        <v>230</v>
      </c>
      <c r="P23" s="66">
        <v>6.508898661091108E-3</v>
      </c>
      <c r="Q23" s="66">
        <v>1.0842760876286548E-2</v>
      </c>
      <c r="R23" s="66">
        <v>5.9041530337768516E-3</v>
      </c>
      <c r="S23" s="66">
        <v>9.2305222320140014E-3</v>
      </c>
      <c r="T23" s="66">
        <v>9.199552870286256E-3</v>
      </c>
      <c r="U23" s="66">
        <v>1.0261712359202944E-2</v>
      </c>
      <c r="V23" s="66">
        <v>8.8248900703908131E-3</v>
      </c>
      <c r="W23" s="66">
        <v>8.7605162168406889E-3</v>
      </c>
    </row>
    <row r="24" spans="2:23" x14ac:dyDescent="0.25">
      <c r="B24" s="7"/>
      <c r="C24" s="7"/>
      <c r="D24" s="7"/>
      <c r="E24" s="46" t="s">
        <v>196</v>
      </c>
      <c r="F24" s="62">
        <v>191793</v>
      </c>
      <c r="G24" s="62">
        <v>210312</v>
      </c>
      <c r="H24" s="62">
        <v>211308</v>
      </c>
      <c r="I24" s="62">
        <v>218008</v>
      </c>
      <c r="J24" s="62">
        <v>214633</v>
      </c>
      <c r="K24" s="62">
        <v>1046054</v>
      </c>
      <c r="L24"/>
      <c r="M24"/>
      <c r="N24" s="66"/>
      <c r="O24" s="46" t="s">
        <v>127</v>
      </c>
      <c r="P24" s="66">
        <v>1.1876839001829113E-2</v>
      </c>
      <c r="Q24" s="66">
        <v>9.199537345735349E-3</v>
      </c>
      <c r="R24" s="66">
        <v>8.1630035229631696E-3</v>
      </c>
      <c r="S24" s="66">
        <v>7.9862219923520841E-3</v>
      </c>
      <c r="T24" s="66">
        <v>7.8619321650195504E-3</v>
      </c>
      <c r="U24" s="66">
        <v>7.8930205841893399E-3</v>
      </c>
      <c r="V24" s="66">
        <v>7.3584165150159383E-3</v>
      </c>
      <c r="W24" s="66">
        <v>8.4338988210298765E-3</v>
      </c>
    </row>
    <row r="25" spans="2:23" ht="15.5" x14ac:dyDescent="0.35">
      <c r="B25" s="51"/>
      <c r="C25" s="7"/>
      <c r="D25" s="52"/>
      <c r="E25" s="46" t="s">
        <v>137</v>
      </c>
      <c r="F25" s="62">
        <v>203784</v>
      </c>
      <c r="G25" s="62">
        <v>170500</v>
      </c>
      <c r="H25" s="62">
        <v>172926</v>
      </c>
      <c r="I25" s="62">
        <v>174698</v>
      </c>
      <c r="J25" s="62">
        <v>178401</v>
      </c>
      <c r="K25" s="62">
        <v>900309</v>
      </c>
      <c r="L25"/>
      <c r="M25"/>
      <c r="N25" s="66"/>
      <c r="O25" s="46" t="s">
        <v>196</v>
      </c>
      <c r="P25" s="66">
        <v>6.5751100512080321E-3</v>
      </c>
      <c r="Q25" s="66">
        <v>9.9228226628571576E-3</v>
      </c>
      <c r="R25" s="66">
        <v>3.7776847044967707E-3</v>
      </c>
      <c r="S25" s="66">
        <v>9.5945745640086035E-3</v>
      </c>
      <c r="T25" s="66">
        <v>9.1951578121766252E-3</v>
      </c>
      <c r="U25" s="66">
        <v>9.31578080673022E-3</v>
      </c>
      <c r="V25" s="66">
        <v>8.7096378633193302E-3</v>
      </c>
      <c r="W25" s="66">
        <v>8.226993417231895E-3</v>
      </c>
    </row>
    <row r="26" spans="2:23" x14ac:dyDescent="0.25">
      <c r="B26" s="7"/>
      <c r="C26" s="7"/>
      <c r="D26" s="7"/>
      <c r="E26" s="46" t="s">
        <v>127</v>
      </c>
      <c r="F26" s="62">
        <v>177813</v>
      </c>
      <c r="G26" s="62">
        <v>177684</v>
      </c>
      <c r="H26" s="62">
        <v>180670</v>
      </c>
      <c r="I26" s="62">
        <v>181463</v>
      </c>
      <c r="J26" s="62">
        <v>181853</v>
      </c>
      <c r="K26" s="62">
        <v>899483</v>
      </c>
      <c r="L26"/>
      <c r="M26"/>
      <c r="N26" s="66"/>
      <c r="O26" s="46" t="s">
        <v>137</v>
      </c>
      <c r="P26" s="66">
        <v>1.1289074567241509E-2</v>
      </c>
      <c r="Q26" s="66">
        <v>1.0543202794302622E-2</v>
      </c>
      <c r="R26" s="66">
        <v>5.3043249023396266E-3</v>
      </c>
      <c r="S26" s="66">
        <v>7.6884930240320309E-3</v>
      </c>
      <c r="T26" s="66">
        <v>7.5249486996633126E-3</v>
      </c>
      <c r="U26" s="66">
        <v>7.743192387477592E-3</v>
      </c>
      <c r="V26" s="66">
        <v>7.0609059668299756E-3</v>
      </c>
      <c r="W26" s="66">
        <v>7.9601015684839793E-3</v>
      </c>
    </row>
    <row r="27" spans="2:23" x14ac:dyDescent="0.25">
      <c r="B27" s="7"/>
      <c r="C27" s="7"/>
      <c r="D27" s="7"/>
      <c r="E27" s="46" t="s">
        <v>130</v>
      </c>
      <c r="F27" s="62">
        <v>163996</v>
      </c>
      <c r="G27" s="62">
        <v>165577</v>
      </c>
      <c r="H27" s="62">
        <v>167570</v>
      </c>
      <c r="I27" s="62">
        <v>169682</v>
      </c>
      <c r="J27" s="62">
        <v>169682</v>
      </c>
      <c r="K27" s="62">
        <v>836507</v>
      </c>
      <c r="L27"/>
      <c r="M27"/>
      <c r="N27" s="66"/>
      <c r="O27" s="46" t="s">
        <v>130</v>
      </c>
      <c r="P27" s="66">
        <v>1.1733869274496994E-2</v>
      </c>
      <c r="Q27" s="66">
        <v>8.4846851835985795E-3</v>
      </c>
      <c r="R27" s="66">
        <v>7.4747988875333666E-3</v>
      </c>
      <c r="S27" s="66">
        <v>7.4677378865459429E-3</v>
      </c>
      <c r="T27" s="66">
        <v>7.2918800735724022E-3</v>
      </c>
      <c r="U27" s="66">
        <v>7.3647590018664291E-3</v>
      </c>
      <c r="V27" s="66">
        <v>6.8570300719636773E-3</v>
      </c>
      <c r="W27" s="66">
        <v>7.8970646251625542E-3</v>
      </c>
    </row>
    <row r="28" spans="2:23" x14ac:dyDescent="0.25">
      <c r="B28" s="7"/>
      <c r="C28" s="7"/>
      <c r="D28" s="7"/>
      <c r="E28" s="46" t="s">
        <v>193</v>
      </c>
      <c r="F28" s="62">
        <v>162265</v>
      </c>
      <c r="G28" s="62">
        <v>161183</v>
      </c>
      <c r="H28" s="62">
        <v>161871</v>
      </c>
      <c r="I28" s="62">
        <v>161771</v>
      </c>
      <c r="J28" s="62">
        <v>161605</v>
      </c>
      <c r="K28" s="62">
        <v>808695</v>
      </c>
      <c r="L28"/>
      <c r="M28"/>
      <c r="N28" s="66"/>
      <c r="O28" s="46" t="s">
        <v>193</v>
      </c>
      <c r="P28" s="66">
        <v>1.0372792261926269E-2</v>
      </c>
      <c r="Q28" s="66">
        <v>8.3951281818862872E-3</v>
      </c>
      <c r="R28" s="66">
        <v>7.4040885545351735E-3</v>
      </c>
      <c r="S28" s="66">
        <v>7.1195732349007184E-3</v>
      </c>
      <c r="T28" s="66">
        <v>7.0438856560794795E-3</v>
      </c>
      <c r="U28" s="66">
        <v>7.0141905358059439E-3</v>
      </c>
      <c r="V28" s="66">
        <v>6.6750616214167509E-3</v>
      </c>
      <c r="W28" s="66">
        <v>7.560794007531426E-3</v>
      </c>
    </row>
    <row r="29" spans="2:23" x14ac:dyDescent="0.25">
      <c r="B29" s="7"/>
      <c r="C29" s="7"/>
      <c r="D29" s="7"/>
      <c r="E29" s="46" t="s">
        <v>162</v>
      </c>
      <c r="F29" s="62">
        <v>156459</v>
      </c>
      <c r="G29" s="62">
        <v>148784</v>
      </c>
      <c r="H29" s="62">
        <v>155568</v>
      </c>
      <c r="I29" s="62">
        <v>162763</v>
      </c>
      <c r="J29" s="62">
        <v>160768</v>
      </c>
      <c r="K29" s="62">
        <v>784342</v>
      </c>
      <c r="L29"/>
      <c r="M29"/>
      <c r="N29" s="66"/>
      <c r="O29" s="46" t="s">
        <v>162</v>
      </c>
      <c r="P29" s="66">
        <v>1.0122855657541931E-2</v>
      </c>
      <c r="Q29" s="66">
        <v>8.0947423055480021E-3</v>
      </c>
      <c r="R29" s="66">
        <v>7.0855040393677151E-3</v>
      </c>
      <c r="S29" s="66">
        <v>7.1632313482153515E-3</v>
      </c>
      <c r="T29" s="66">
        <v>6.7696079207824281E-3</v>
      </c>
      <c r="U29" s="66">
        <v>6.9778619724665076E-3</v>
      </c>
      <c r="V29" s="66">
        <v>6.1615826004037012E-3</v>
      </c>
      <c r="W29" s="66">
        <v>7.3255109412512743E-3</v>
      </c>
    </row>
    <row r="30" spans="2:23" x14ac:dyDescent="0.25">
      <c r="B30" s="7"/>
      <c r="C30" s="7"/>
      <c r="D30" s="7"/>
      <c r="E30" s="46" t="s">
        <v>228</v>
      </c>
      <c r="F30" s="62">
        <v>124091</v>
      </c>
      <c r="G30" s="62">
        <v>130216</v>
      </c>
      <c r="H30" s="62">
        <v>136709</v>
      </c>
      <c r="I30" s="62">
        <v>143592</v>
      </c>
      <c r="J30" s="62">
        <v>143435</v>
      </c>
      <c r="K30" s="62">
        <v>678043</v>
      </c>
      <c r="L30"/>
      <c r="M30"/>
      <c r="N30" s="66"/>
      <c r="O30" s="46" t="s">
        <v>124</v>
      </c>
      <c r="P30" s="66">
        <v>9.110674259166486E-3</v>
      </c>
      <c r="Q30" s="66">
        <v>6.9677002920872384E-3</v>
      </c>
      <c r="R30" s="66">
        <v>6.1233596309733171E-3</v>
      </c>
      <c r="S30" s="66">
        <v>5.9775526881250991E-3</v>
      </c>
      <c r="T30" s="66">
        <v>5.8630075182473243E-3</v>
      </c>
      <c r="U30" s="66">
        <v>5.8946457774099875E-3</v>
      </c>
      <c r="V30" s="66">
        <v>5.5541790355034364E-3</v>
      </c>
      <c r="W30" s="66">
        <v>6.3501073972772604E-3</v>
      </c>
    </row>
    <row r="31" spans="2:23" x14ac:dyDescent="0.25">
      <c r="B31" s="7"/>
      <c r="C31" s="7"/>
      <c r="D31" s="7"/>
      <c r="E31" s="46" t="s">
        <v>124</v>
      </c>
      <c r="F31" s="62">
        <v>134675</v>
      </c>
      <c r="G31" s="62">
        <v>134117</v>
      </c>
      <c r="H31" s="62">
        <v>134734</v>
      </c>
      <c r="I31" s="62">
        <v>135822</v>
      </c>
      <c r="J31" s="62">
        <v>135811</v>
      </c>
      <c r="K31" s="62">
        <v>675159</v>
      </c>
      <c r="L31"/>
      <c r="M31"/>
      <c r="N31" s="57"/>
      <c r="O31" s="46" t="s">
        <v>228</v>
      </c>
      <c r="P31" s="66">
        <v>8.1489489348722764E-3</v>
      </c>
      <c r="Q31" s="66">
        <v>6.420114326678281E-3</v>
      </c>
      <c r="R31" s="66">
        <v>5.5848837832995343E-3</v>
      </c>
      <c r="S31" s="66">
        <v>6.319511902293142E-3</v>
      </c>
      <c r="T31" s="66">
        <v>5.9489504862326762E-3</v>
      </c>
      <c r="U31" s="66">
        <v>6.2255525478996663E-3</v>
      </c>
      <c r="V31" s="66">
        <v>5.3926271634998956E-3</v>
      </c>
      <c r="W31" s="66">
        <v>6.1916687932631834E-3</v>
      </c>
    </row>
    <row r="32" spans="2:23" x14ac:dyDescent="0.25">
      <c r="B32" s="7"/>
      <c r="C32" s="7"/>
      <c r="D32" s="7"/>
      <c r="E32" s="46" t="s">
        <v>220</v>
      </c>
      <c r="F32" s="62">
        <v>119781</v>
      </c>
      <c r="G32" s="62">
        <v>128559</v>
      </c>
      <c r="H32" s="62">
        <v>133387</v>
      </c>
      <c r="I32" s="62">
        <v>138457</v>
      </c>
      <c r="J32" s="62">
        <v>142460</v>
      </c>
      <c r="K32" s="62">
        <v>662644</v>
      </c>
      <c r="L32"/>
      <c r="M32"/>
      <c r="N32" s="57"/>
      <c r="O32" s="46" t="s">
        <v>220</v>
      </c>
      <c r="P32" s="66">
        <v>8.9596315599813677E-3</v>
      </c>
      <c r="Q32" s="66">
        <v>6.1971272224726299E-3</v>
      </c>
      <c r="R32" s="66">
        <v>5.4026985418561581E-3</v>
      </c>
      <c r="S32" s="66">
        <v>6.0935195516170926E-3</v>
      </c>
      <c r="T32" s="66">
        <v>5.8043922383099718E-3</v>
      </c>
      <c r="U32" s="66">
        <v>6.1832343289558792E-3</v>
      </c>
      <c r="V32" s="66">
        <v>5.3240059248662458E-3</v>
      </c>
      <c r="W32" s="66">
        <v>6.1452557281285068E-3</v>
      </c>
    </row>
    <row r="33" spans="2:23" x14ac:dyDescent="0.25">
      <c r="B33" s="7"/>
      <c r="C33" s="7"/>
      <c r="D33" s="7"/>
      <c r="E33" s="46" t="s">
        <v>165</v>
      </c>
      <c r="F33" s="62">
        <v>107362</v>
      </c>
      <c r="G33" s="62">
        <v>119441</v>
      </c>
      <c r="H33" s="62">
        <v>136766</v>
      </c>
      <c r="I33" s="62">
        <v>133133</v>
      </c>
      <c r="J33" s="62">
        <v>143703</v>
      </c>
      <c r="K33" s="62">
        <v>640405</v>
      </c>
      <c r="L33"/>
      <c r="M33"/>
      <c r="N33" s="57"/>
      <c r="O33" s="46" t="s">
        <v>131</v>
      </c>
      <c r="P33" s="66">
        <v>1.048633470476198E-2</v>
      </c>
      <c r="Q33" s="66">
        <v>6.4120950688704211E-3</v>
      </c>
      <c r="R33" s="66">
        <v>5.6475142396413816E-3</v>
      </c>
      <c r="S33" s="66">
        <v>5.592067391227043E-3</v>
      </c>
      <c r="T33" s="66">
        <v>5.4854676750873662E-3</v>
      </c>
      <c r="U33" s="66">
        <v>5.5274104435808734E-3</v>
      </c>
      <c r="V33" s="66">
        <v>5.1803858551127775E-3</v>
      </c>
      <c r="W33" s="66">
        <v>6.1162693039099204E-3</v>
      </c>
    </row>
    <row r="34" spans="2:23" x14ac:dyDescent="0.25">
      <c r="B34" s="7"/>
      <c r="C34" s="7"/>
      <c r="D34" s="7"/>
      <c r="E34" s="46" t="s">
        <v>131</v>
      </c>
      <c r="F34" s="62">
        <v>123936</v>
      </c>
      <c r="G34" s="62">
        <v>125091</v>
      </c>
      <c r="H34" s="62">
        <v>126058</v>
      </c>
      <c r="I34" s="62">
        <v>127063</v>
      </c>
      <c r="J34" s="62">
        <v>127350</v>
      </c>
      <c r="K34" s="62">
        <v>629498</v>
      </c>
      <c r="L34"/>
      <c r="M34"/>
      <c r="N34" s="57"/>
      <c r="O34" s="46" t="s">
        <v>165</v>
      </c>
      <c r="P34" s="66">
        <v>5.1862333694338405E-3</v>
      </c>
      <c r="Q34" s="66">
        <v>5.5546035920480416E-3</v>
      </c>
      <c r="R34" s="66">
        <v>4.1422834324868103E-3</v>
      </c>
      <c r="S34" s="66">
        <v>5.859209274109929E-3</v>
      </c>
      <c r="T34" s="66">
        <v>5.9514308655618737E-3</v>
      </c>
      <c r="U34" s="66">
        <v>6.2371846326965226E-3</v>
      </c>
      <c r="V34" s="66">
        <v>4.9464027541591743E-3</v>
      </c>
      <c r="W34" s="66">
        <v>5.4240470024000129E-3</v>
      </c>
    </row>
    <row r="35" spans="2:23" x14ac:dyDescent="0.25">
      <c r="E35" s="46" t="s">
        <v>187</v>
      </c>
      <c r="F35" s="62">
        <v>112440</v>
      </c>
      <c r="G35" s="62">
        <v>115969</v>
      </c>
      <c r="H35" s="62">
        <v>112856</v>
      </c>
      <c r="I35" s="62">
        <v>113858</v>
      </c>
      <c r="J35" s="62">
        <v>114319</v>
      </c>
      <c r="K35" s="62">
        <v>569442</v>
      </c>
      <c r="L35"/>
      <c r="M35"/>
      <c r="N35" s="57"/>
      <c r="O35" s="46" t="s">
        <v>187</v>
      </c>
      <c r="P35" s="66">
        <v>7.3415866449607894E-3</v>
      </c>
      <c r="Q35" s="66">
        <v>5.8173248252629591E-3</v>
      </c>
      <c r="R35" s="66">
        <v>5.0115777328642135E-3</v>
      </c>
      <c r="S35" s="66">
        <v>5.0109127679208634E-3</v>
      </c>
      <c r="T35" s="66">
        <v>4.9109770101037602E-3</v>
      </c>
      <c r="U35" s="66">
        <v>4.9618220219844666E-3</v>
      </c>
      <c r="V35" s="66">
        <v>4.8026170326528183E-3</v>
      </c>
      <c r="W35" s="66">
        <v>5.2981871858183184E-3</v>
      </c>
    </row>
    <row r="36" spans="2:23" x14ac:dyDescent="0.25">
      <c r="E36" s="46" t="s">
        <v>128</v>
      </c>
      <c r="F36" s="62">
        <v>111976</v>
      </c>
      <c r="G36" s="62">
        <v>111976</v>
      </c>
      <c r="H36" s="62">
        <v>111647</v>
      </c>
      <c r="I36" s="62">
        <v>111865</v>
      </c>
      <c r="J36" s="62">
        <v>111827</v>
      </c>
      <c r="K36" s="62">
        <v>559291</v>
      </c>
      <c r="L36"/>
      <c r="M36"/>
      <c r="N36" s="57"/>
      <c r="O36" s="46" t="s">
        <v>128</v>
      </c>
      <c r="P36" s="66">
        <v>7.3605971915823645E-3</v>
      </c>
      <c r="Q36" s="66">
        <v>5.7933187889865276E-3</v>
      </c>
      <c r="R36" s="66">
        <v>5.0673151870868054E-3</v>
      </c>
      <c r="S36" s="66">
        <v>4.9232004495377343E-3</v>
      </c>
      <c r="T36" s="66">
        <v>4.8583668590686758E-3</v>
      </c>
      <c r="U36" s="66">
        <v>4.853660994694294E-3</v>
      </c>
      <c r="V36" s="66">
        <v>4.637255170332864E-3</v>
      </c>
      <c r="W36" s="66">
        <v>5.2404016486846585E-3</v>
      </c>
    </row>
    <row r="37" spans="2:23" x14ac:dyDescent="0.25">
      <c r="E37" s="46" t="s">
        <v>183</v>
      </c>
      <c r="F37" s="62">
        <v>112025</v>
      </c>
      <c r="G37" s="62">
        <v>111997</v>
      </c>
      <c r="H37" s="62">
        <v>111156</v>
      </c>
      <c r="I37" s="62">
        <v>111589</v>
      </c>
      <c r="J37" s="62">
        <v>111578</v>
      </c>
      <c r="K37" s="62">
        <v>558345</v>
      </c>
      <c r="L37"/>
      <c r="M37"/>
      <c r="N37" s="57"/>
      <c r="O37" s="46" t="s">
        <v>183</v>
      </c>
      <c r="P37" s="66">
        <v>7.4434753622990265E-3</v>
      </c>
      <c r="Q37" s="66">
        <v>5.7958539091967536E-3</v>
      </c>
      <c r="R37" s="66">
        <v>5.0215748683881669E-3</v>
      </c>
      <c r="S37" s="66">
        <v>4.9110536357526149E-3</v>
      </c>
      <c r="T37" s="66">
        <v>4.8370007844961149E-3</v>
      </c>
      <c r="U37" s="66">
        <v>4.8428535726255722E-3</v>
      </c>
      <c r="V37" s="66">
        <v>4.6381248420355242E-3</v>
      </c>
      <c r="W37" s="66">
        <v>5.2358861083321214E-3</v>
      </c>
    </row>
    <row r="38" spans="2:23" x14ac:dyDescent="0.25">
      <c r="E38" s="46" t="s">
        <v>214</v>
      </c>
      <c r="F38" s="62">
        <v>78423</v>
      </c>
      <c r="G38" s="62">
        <v>80870</v>
      </c>
      <c r="H38" s="62">
        <v>82490</v>
      </c>
      <c r="I38" s="62">
        <v>84190</v>
      </c>
      <c r="J38" s="62">
        <v>85892</v>
      </c>
      <c r="K38" s="62">
        <v>411865</v>
      </c>
      <c r="L38"/>
      <c r="M38"/>
      <c r="N38" s="57"/>
      <c r="O38" s="46" t="s">
        <v>214</v>
      </c>
      <c r="P38" s="66">
        <v>5.0966494237102535E-3</v>
      </c>
      <c r="Q38" s="66">
        <v>4.0573822907470393E-3</v>
      </c>
      <c r="R38" s="66">
        <v>4.0186658845467798E-3</v>
      </c>
      <c r="S38" s="66">
        <v>3.7052183064102432E-3</v>
      </c>
      <c r="T38" s="66">
        <v>3.5895875590439071E-3</v>
      </c>
      <c r="U38" s="66">
        <v>3.7279963707895435E-3</v>
      </c>
      <c r="V38" s="66">
        <v>3.3490643140031682E-3</v>
      </c>
      <c r="W38" s="66">
        <v>3.8678646928167206E-3</v>
      </c>
    </row>
    <row r="39" spans="2:23" x14ac:dyDescent="0.25">
      <c r="E39" s="46" t="s">
        <v>155</v>
      </c>
      <c r="F39" s="62">
        <v>54809</v>
      </c>
      <c r="G39" s="62">
        <v>56241</v>
      </c>
      <c r="H39" s="62">
        <v>58606</v>
      </c>
      <c r="I39" s="62">
        <v>61326</v>
      </c>
      <c r="J39" s="62">
        <v>65697</v>
      </c>
      <c r="K39" s="62">
        <v>296679</v>
      </c>
      <c r="L39"/>
      <c r="M39"/>
      <c r="N39" s="57"/>
      <c r="O39" s="46" t="s">
        <v>155</v>
      </c>
      <c r="P39" s="66">
        <v>1.5797634033305565E-3</v>
      </c>
      <c r="Q39" s="66">
        <v>2.8356612980063815E-3</v>
      </c>
      <c r="R39" s="66">
        <v>1.1176249727532408E-3</v>
      </c>
      <c r="S39" s="66">
        <v>2.6989692108197478E-3</v>
      </c>
      <c r="T39" s="66">
        <v>2.5502651046833218E-3</v>
      </c>
      <c r="U39" s="66">
        <v>2.8514666973846301E-3</v>
      </c>
      <c r="V39" s="66">
        <v>2.3291050585365668E-3</v>
      </c>
      <c r="W39" s="66">
        <v>2.3107993442311541E-3</v>
      </c>
    </row>
    <row r="40" spans="2:23" x14ac:dyDescent="0.25">
      <c r="E40" s="46" t="s">
        <v>148</v>
      </c>
      <c r="F40" s="62">
        <v>38545</v>
      </c>
      <c r="G40" s="62">
        <v>40384</v>
      </c>
      <c r="H40" s="62">
        <v>40590</v>
      </c>
      <c r="I40" s="62">
        <v>40095</v>
      </c>
      <c r="J40" s="62">
        <v>40448</v>
      </c>
      <c r="K40" s="62">
        <v>200062</v>
      </c>
      <c r="L40"/>
      <c r="M40"/>
      <c r="N40" s="57"/>
      <c r="O40" s="46" t="s">
        <v>148</v>
      </c>
      <c r="P40" s="66">
        <v>2.5860853866514063E-3</v>
      </c>
      <c r="Q40" s="66">
        <v>1.9942083367997221E-3</v>
      </c>
      <c r="R40" s="66">
        <v>1.725076490640239E-3</v>
      </c>
      <c r="S40" s="66">
        <v>1.7645887634578775E-3</v>
      </c>
      <c r="T40" s="66">
        <v>1.7662911749495962E-3</v>
      </c>
      <c r="U40" s="66">
        <v>1.7555767382957139E-3</v>
      </c>
      <c r="V40" s="66">
        <v>1.6724200971522682E-3</v>
      </c>
      <c r="W40" s="66">
        <v>1.8568838486152453E-3</v>
      </c>
    </row>
    <row r="41" spans="2:23" x14ac:dyDescent="0.25">
      <c r="E41" s="46" t="s">
        <v>91</v>
      </c>
      <c r="F41" s="62">
        <v>19328472</v>
      </c>
      <c r="G41" s="62">
        <v>24147043</v>
      </c>
      <c r="H41" s="62">
        <v>22980356</v>
      </c>
      <c r="I41" s="62">
        <v>22722008</v>
      </c>
      <c r="J41" s="62">
        <v>23039722</v>
      </c>
      <c r="K41" s="62">
        <v>112217601</v>
      </c>
      <c r="L41"/>
      <c r="M41"/>
      <c r="N41" s="57"/>
      <c r="O41" s="46" t="s">
        <v>91</v>
      </c>
      <c r="P41" s="66">
        <v>1</v>
      </c>
      <c r="Q41" s="66">
        <v>1</v>
      </c>
      <c r="R41" s="66">
        <v>1</v>
      </c>
      <c r="S41" s="66">
        <v>1</v>
      </c>
      <c r="T41" s="66">
        <v>1</v>
      </c>
      <c r="U41" s="66">
        <v>1</v>
      </c>
      <c r="V41" s="66">
        <v>1</v>
      </c>
      <c r="W41" s="66">
        <v>1</v>
      </c>
    </row>
    <row r="42" spans="2:23" x14ac:dyDescent="0.25">
      <c r="E42"/>
      <c r="F42"/>
      <c r="G42"/>
      <c r="H42"/>
      <c r="I42"/>
      <c r="J42"/>
      <c r="K42"/>
      <c r="L42"/>
      <c r="M42"/>
      <c r="N42" s="57"/>
      <c r="O42"/>
      <c r="P42"/>
      <c r="Q42"/>
      <c r="R42"/>
      <c r="S42"/>
      <c r="T42"/>
      <c r="U42"/>
    </row>
    <row r="43" spans="2:23" x14ac:dyDescent="0.25">
      <c r="E43" s="61" t="s">
        <v>121</v>
      </c>
      <c r="F43" s="61" t="s">
        <v>89</v>
      </c>
      <c r="G43"/>
      <c r="H43"/>
      <c r="I43"/>
      <c r="J43"/>
      <c r="K43"/>
      <c r="L43"/>
      <c r="M43"/>
      <c r="N43" s="57"/>
      <c r="O43"/>
      <c r="P43"/>
      <c r="Q43"/>
      <c r="R43"/>
      <c r="S43"/>
      <c r="T43"/>
      <c r="U43"/>
    </row>
    <row r="44" spans="2:23" x14ac:dyDescent="0.25">
      <c r="E44" s="61" t="s">
        <v>90</v>
      </c>
      <c r="F44">
        <v>2017</v>
      </c>
      <c r="G44">
        <v>2018</v>
      </c>
      <c r="H44">
        <v>2019</v>
      </c>
      <c r="I44">
        <v>2020</v>
      </c>
      <c r="J44">
        <v>2021</v>
      </c>
      <c r="K44" t="s">
        <v>91</v>
      </c>
      <c r="L44"/>
      <c r="M44"/>
      <c r="N44" s="57"/>
      <c r="O44"/>
      <c r="P44"/>
      <c r="Q44"/>
      <c r="R44"/>
      <c r="S44"/>
      <c r="T44"/>
      <c r="U44"/>
    </row>
    <row r="45" spans="2:23" x14ac:dyDescent="0.25">
      <c r="E45" s="46" t="s">
        <v>208</v>
      </c>
      <c r="F45" s="203">
        <v>244511</v>
      </c>
      <c r="G45" s="203">
        <v>241301</v>
      </c>
      <c r="H45" s="203">
        <v>242439</v>
      </c>
      <c r="I45" s="203">
        <v>243583</v>
      </c>
      <c r="J45" s="203">
        <v>242571</v>
      </c>
      <c r="K45" s="203">
        <v>1214405</v>
      </c>
      <c r="L45"/>
      <c r="M45"/>
      <c r="N45" s="57"/>
      <c r="O45"/>
      <c r="P45"/>
      <c r="Q45"/>
      <c r="R45"/>
      <c r="S45"/>
      <c r="T45"/>
      <c r="U45"/>
    </row>
    <row r="46" spans="2:23" x14ac:dyDescent="0.25">
      <c r="E46" s="46" t="s">
        <v>212</v>
      </c>
      <c r="F46" s="203">
        <v>0</v>
      </c>
      <c r="G46" s="203">
        <v>0</v>
      </c>
      <c r="H46" s="203">
        <v>0</v>
      </c>
      <c r="I46" s="203">
        <v>0</v>
      </c>
      <c r="J46" s="203">
        <v>0</v>
      </c>
      <c r="K46" s="203">
        <v>0</v>
      </c>
      <c r="L46"/>
      <c r="M46"/>
      <c r="N46" s="57"/>
      <c r="O46"/>
      <c r="P46"/>
      <c r="Q46"/>
      <c r="R46"/>
      <c r="S46"/>
      <c r="T46"/>
      <c r="U46"/>
    </row>
    <row r="47" spans="2:23" x14ac:dyDescent="0.25">
      <c r="E47" s="46" t="s">
        <v>148</v>
      </c>
      <c r="F47" s="203">
        <v>38545</v>
      </c>
      <c r="G47" s="203">
        <v>40384</v>
      </c>
      <c r="H47" s="203">
        <v>40590</v>
      </c>
      <c r="I47" s="203">
        <v>40095</v>
      </c>
      <c r="J47" s="203">
        <v>40448</v>
      </c>
      <c r="K47" s="203">
        <v>200062</v>
      </c>
      <c r="L47"/>
      <c r="M47"/>
      <c r="N47" s="57"/>
      <c r="O47"/>
      <c r="P47"/>
      <c r="Q47"/>
      <c r="R47"/>
      <c r="S47"/>
      <c r="T47"/>
      <c r="U47"/>
    </row>
    <row r="48" spans="2:23" x14ac:dyDescent="0.25">
      <c r="E48" s="46" t="s">
        <v>214</v>
      </c>
      <c r="F48" s="203">
        <v>78423</v>
      </c>
      <c r="G48" s="203">
        <v>80870</v>
      </c>
      <c r="H48" s="203">
        <v>82490</v>
      </c>
      <c r="I48" s="203">
        <v>84190</v>
      </c>
      <c r="J48" s="203">
        <v>85892</v>
      </c>
      <c r="K48" s="203">
        <v>411865</v>
      </c>
      <c r="L48"/>
      <c r="M48"/>
      <c r="N48" s="57"/>
      <c r="O48"/>
      <c r="P48"/>
      <c r="Q48"/>
      <c r="R48"/>
      <c r="S48"/>
      <c r="T48"/>
      <c r="U48"/>
    </row>
    <row r="49" spans="5:21" x14ac:dyDescent="0.25">
      <c r="E49" s="46" t="s">
        <v>126</v>
      </c>
      <c r="F49" s="203">
        <v>76610</v>
      </c>
      <c r="G49" s="203">
        <v>80978</v>
      </c>
      <c r="H49" s="203">
        <v>74533</v>
      </c>
      <c r="I49" s="203">
        <v>74546</v>
      </c>
      <c r="J49" s="203">
        <v>75513</v>
      </c>
      <c r="K49" s="203">
        <v>382180</v>
      </c>
      <c r="L49"/>
      <c r="M49"/>
      <c r="N49" s="57"/>
      <c r="O49"/>
      <c r="P49"/>
      <c r="Q49"/>
      <c r="R49"/>
      <c r="S49"/>
      <c r="T49"/>
      <c r="U49"/>
    </row>
    <row r="50" spans="5:21" x14ac:dyDescent="0.25">
      <c r="E50" s="46" t="s">
        <v>135</v>
      </c>
      <c r="F50" s="203">
        <v>246099</v>
      </c>
      <c r="G50" s="203">
        <v>236613</v>
      </c>
      <c r="H50" s="203">
        <v>229857</v>
      </c>
      <c r="I50" s="203">
        <v>229918</v>
      </c>
      <c r="J50" s="203">
        <v>232111</v>
      </c>
      <c r="K50" s="203">
        <v>1174598</v>
      </c>
      <c r="L50"/>
      <c r="M50"/>
      <c r="N50" s="57"/>
      <c r="O50"/>
      <c r="P50"/>
      <c r="Q50"/>
      <c r="R50"/>
      <c r="S50"/>
      <c r="T50"/>
      <c r="U50"/>
    </row>
    <row r="51" spans="5:21" x14ac:dyDescent="0.25">
      <c r="E51" s="46" t="s">
        <v>133</v>
      </c>
      <c r="F51" s="203">
        <v>66292</v>
      </c>
      <c r="G51" s="203">
        <v>59112</v>
      </c>
      <c r="H51" s="203">
        <v>70461</v>
      </c>
      <c r="I51" s="203">
        <v>70461</v>
      </c>
      <c r="J51" s="203">
        <v>70461</v>
      </c>
      <c r="K51" s="203">
        <v>336787</v>
      </c>
      <c r="L51"/>
      <c r="M51"/>
      <c r="N51" s="57"/>
      <c r="O51"/>
      <c r="P51"/>
      <c r="Q51"/>
      <c r="R51"/>
      <c r="S51"/>
      <c r="T51"/>
      <c r="U51"/>
    </row>
    <row r="52" spans="5:21" x14ac:dyDescent="0.25">
      <c r="E52" s="46" t="s">
        <v>153</v>
      </c>
      <c r="F52" s="203">
        <v>0</v>
      </c>
      <c r="G52" s="203">
        <v>0</v>
      </c>
      <c r="H52" s="203">
        <v>0</v>
      </c>
      <c r="I52" s="203">
        <v>0</v>
      </c>
      <c r="J52" s="203">
        <v>0</v>
      </c>
      <c r="K52" s="203">
        <v>0</v>
      </c>
      <c r="L52"/>
      <c r="M52"/>
      <c r="N52" s="57"/>
      <c r="O52"/>
      <c r="P52"/>
      <c r="Q52"/>
      <c r="R52"/>
      <c r="S52"/>
      <c r="T52"/>
      <c r="U52"/>
    </row>
    <row r="53" spans="5:21" x14ac:dyDescent="0.25">
      <c r="E53" s="46" t="s">
        <v>216</v>
      </c>
      <c r="F53" s="203">
        <v>7000</v>
      </c>
      <c r="G53" s="203">
        <v>7000</v>
      </c>
      <c r="H53" s="203">
        <v>7000</v>
      </c>
      <c r="I53" s="203">
        <v>7000</v>
      </c>
      <c r="J53" s="203">
        <v>7000</v>
      </c>
      <c r="K53" s="203">
        <v>35000</v>
      </c>
      <c r="L53"/>
      <c r="M53"/>
      <c r="N53" s="57"/>
      <c r="O53"/>
      <c r="P53"/>
      <c r="Q53"/>
      <c r="R53"/>
      <c r="S53"/>
      <c r="T53"/>
      <c r="U53"/>
    </row>
    <row r="54" spans="5:21" x14ac:dyDescent="0.25">
      <c r="E54" s="46" t="s">
        <v>218</v>
      </c>
      <c r="F54" s="203">
        <v>208844</v>
      </c>
      <c r="G54" s="203">
        <v>210420</v>
      </c>
      <c r="H54" s="203">
        <v>210022</v>
      </c>
      <c r="I54" s="203">
        <v>211129</v>
      </c>
      <c r="J54" s="203">
        <v>212236</v>
      </c>
      <c r="K54" s="203">
        <v>1052651</v>
      </c>
      <c r="L54"/>
      <c r="M54"/>
      <c r="N54" s="57"/>
      <c r="O54"/>
      <c r="P54"/>
      <c r="Q54"/>
      <c r="R54"/>
      <c r="S54"/>
      <c r="T54"/>
      <c r="U54"/>
    </row>
    <row r="55" spans="5:21" x14ac:dyDescent="0.25">
      <c r="E55" s="46" t="s">
        <v>155</v>
      </c>
      <c r="F55" s="203">
        <v>54809</v>
      </c>
      <c r="G55" s="203">
        <v>56241</v>
      </c>
      <c r="H55" s="203">
        <v>58606</v>
      </c>
      <c r="I55" s="203">
        <v>61326</v>
      </c>
      <c r="J55" s="203">
        <v>65697</v>
      </c>
      <c r="K55" s="203">
        <v>296679</v>
      </c>
      <c r="L55"/>
      <c r="M55"/>
      <c r="N55" s="57"/>
      <c r="O55"/>
      <c r="P55"/>
      <c r="Q55"/>
      <c r="R55"/>
      <c r="S55"/>
      <c r="T55"/>
      <c r="U55"/>
    </row>
    <row r="56" spans="5:21" x14ac:dyDescent="0.25">
      <c r="E56" s="46" t="s">
        <v>134</v>
      </c>
      <c r="F56" s="203">
        <v>36345</v>
      </c>
      <c r="G56" s="203">
        <v>36253</v>
      </c>
      <c r="H56" s="203">
        <v>36563</v>
      </c>
      <c r="I56" s="203">
        <v>36386</v>
      </c>
      <c r="J56" s="203">
        <v>36399</v>
      </c>
      <c r="K56" s="203">
        <v>181946</v>
      </c>
      <c r="L56"/>
      <c r="M56"/>
      <c r="N56" s="57"/>
      <c r="O56"/>
      <c r="P56"/>
      <c r="Q56"/>
      <c r="R56"/>
      <c r="S56"/>
      <c r="T56"/>
      <c r="U56"/>
    </row>
    <row r="57" spans="5:21" x14ac:dyDescent="0.25">
      <c r="E57" s="46" t="s">
        <v>158</v>
      </c>
      <c r="F57" s="203">
        <v>79418</v>
      </c>
      <c r="G57" s="203">
        <v>78644</v>
      </c>
      <c r="H57" s="203">
        <v>77497</v>
      </c>
      <c r="I57" s="203">
        <v>78191</v>
      </c>
      <c r="J57" s="203">
        <v>78821</v>
      </c>
      <c r="K57" s="203">
        <v>392571</v>
      </c>
      <c r="L57"/>
      <c r="M57"/>
      <c r="N57" s="57"/>
      <c r="O57"/>
      <c r="P57"/>
      <c r="Q57"/>
      <c r="R57"/>
      <c r="S57"/>
      <c r="T57"/>
      <c r="U57"/>
    </row>
    <row r="58" spans="5:21" x14ac:dyDescent="0.25">
      <c r="E58" s="46" t="s">
        <v>122</v>
      </c>
      <c r="F58" s="203">
        <v>169318</v>
      </c>
      <c r="G58" s="203">
        <v>148256</v>
      </c>
      <c r="H58" s="203">
        <v>344518</v>
      </c>
      <c r="I58" s="203">
        <v>854825</v>
      </c>
      <c r="J58" s="203">
        <v>228798</v>
      </c>
      <c r="K58" s="203">
        <v>1745715</v>
      </c>
      <c r="L58"/>
      <c r="M58"/>
      <c r="N58" s="57"/>
      <c r="O58"/>
      <c r="P58"/>
      <c r="Q58"/>
      <c r="R58"/>
      <c r="S58"/>
      <c r="T58"/>
      <c r="U58"/>
    </row>
    <row r="59" spans="5:21" x14ac:dyDescent="0.25">
      <c r="E59" s="46" t="s">
        <v>137</v>
      </c>
      <c r="F59" s="203">
        <v>203784</v>
      </c>
      <c r="G59" s="203">
        <v>170500</v>
      </c>
      <c r="H59" s="203">
        <v>172926</v>
      </c>
      <c r="I59" s="203">
        <v>174698</v>
      </c>
      <c r="J59" s="203">
        <v>178401</v>
      </c>
      <c r="K59" s="203">
        <v>900309</v>
      </c>
      <c r="L59"/>
      <c r="M59"/>
      <c r="N59" s="57"/>
      <c r="O59"/>
      <c r="P59"/>
      <c r="Q59"/>
      <c r="R59"/>
      <c r="S59"/>
      <c r="T59"/>
      <c r="U59"/>
    </row>
    <row r="60" spans="5:21" x14ac:dyDescent="0.25">
      <c r="E60" s="46" t="s">
        <v>162</v>
      </c>
      <c r="F60" s="203">
        <v>156459</v>
      </c>
      <c r="G60" s="203">
        <v>148784</v>
      </c>
      <c r="H60" s="203">
        <v>155568</v>
      </c>
      <c r="I60" s="203">
        <v>162763</v>
      </c>
      <c r="J60" s="203">
        <v>160768</v>
      </c>
      <c r="K60" s="203">
        <v>784342</v>
      </c>
      <c r="L60"/>
      <c r="M60"/>
      <c r="N60" s="57"/>
      <c r="O60"/>
      <c r="P60"/>
      <c r="Q60"/>
      <c r="R60"/>
      <c r="S60"/>
      <c r="T60"/>
      <c r="U60"/>
    </row>
    <row r="61" spans="5:21" x14ac:dyDescent="0.25">
      <c r="E61" s="46" t="s">
        <v>136</v>
      </c>
      <c r="F61" s="203">
        <v>81217</v>
      </c>
      <c r="G61" s="203">
        <v>115411</v>
      </c>
      <c r="H61" s="203">
        <v>115655</v>
      </c>
      <c r="I61" s="203">
        <v>115872</v>
      </c>
      <c r="J61" s="203">
        <v>116096</v>
      </c>
      <c r="K61" s="203">
        <v>544251</v>
      </c>
      <c r="L61"/>
      <c r="M61"/>
      <c r="N61" s="57"/>
      <c r="O61" s="57"/>
      <c r="P61" s="58"/>
      <c r="Q61" s="57"/>
      <c r="R61" s="57"/>
    </row>
    <row r="62" spans="5:21" x14ac:dyDescent="0.25">
      <c r="E62" s="46" t="s">
        <v>165</v>
      </c>
      <c r="F62" s="203">
        <v>107362</v>
      </c>
      <c r="G62" s="203">
        <v>119441</v>
      </c>
      <c r="H62" s="203">
        <v>136766</v>
      </c>
      <c r="I62" s="203">
        <v>133133</v>
      </c>
      <c r="J62" s="203">
        <v>143703</v>
      </c>
      <c r="K62" s="203">
        <v>640405</v>
      </c>
      <c r="L62"/>
      <c r="M62"/>
      <c r="N62" s="57"/>
      <c r="O62" s="57"/>
      <c r="P62" s="58"/>
      <c r="Q62" s="57"/>
      <c r="R62" s="57"/>
    </row>
    <row r="63" spans="5:21" x14ac:dyDescent="0.25">
      <c r="E63" s="46" t="s">
        <v>167</v>
      </c>
      <c r="F63" s="203">
        <v>2222440</v>
      </c>
      <c r="G63" s="203">
        <v>3074150</v>
      </c>
      <c r="H63" s="203">
        <v>3139294</v>
      </c>
      <c r="I63" s="203">
        <v>3205855</v>
      </c>
      <c r="J63" s="203">
        <v>3941983</v>
      </c>
      <c r="K63" s="203">
        <v>15583722</v>
      </c>
      <c r="L63"/>
      <c r="M63"/>
      <c r="N63" s="57"/>
      <c r="O63" s="57"/>
      <c r="P63" s="58"/>
      <c r="Q63" s="57"/>
      <c r="R63" s="57"/>
    </row>
    <row r="64" spans="5:21" x14ac:dyDescent="0.25">
      <c r="E64" s="46" t="s">
        <v>220</v>
      </c>
      <c r="F64" s="203">
        <v>119781</v>
      </c>
      <c r="G64" s="203">
        <v>128559</v>
      </c>
      <c r="H64" s="203">
        <v>133387</v>
      </c>
      <c r="I64" s="203">
        <v>138457</v>
      </c>
      <c r="J64" s="203">
        <v>142460</v>
      </c>
      <c r="K64" s="203">
        <v>662644</v>
      </c>
      <c r="L64"/>
      <c r="M64"/>
      <c r="N64" s="57"/>
      <c r="O64" s="57"/>
      <c r="P64" s="58"/>
      <c r="Q64" s="57"/>
      <c r="R64" s="57"/>
      <c r="T64" s="7"/>
    </row>
    <row r="65" spans="5:20" x14ac:dyDescent="0.25">
      <c r="E65" s="46" t="s">
        <v>129</v>
      </c>
      <c r="F65" s="203">
        <v>26084</v>
      </c>
      <c r="G65" s="203">
        <v>45663</v>
      </c>
      <c r="H65" s="203">
        <v>34623</v>
      </c>
      <c r="I65" s="203">
        <v>26375</v>
      </c>
      <c r="J65" s="203">
        <v>37813</v>
      </c>
      <c r="K65" s="203">
        <v>170558</v>
      </c>
      <c r="L65"/>
      <c r="M65"/>
      <c r="N65" s="57"/>
      <c r="O65" s="57"/>
      <c r="P65" s="58"/>
      <c r="Q65" s="57"/>
      <c r="R65" s="57"/>
      <c r="T65" s="7"/>
    </row>
    <row r="66" spans="5:20" x14ac:dyDescent="0.25">
      <c r="E66" s="46" t="s">
        <v>172</v>
      </c>
      <c r="F66" s="203">
        <v>233125</v>
      </c>
      <c r="G66" s="203">
        <v>237148</v>
      </c>
      <c r="H66" s="203">
        <v>239199</v>
      </c>
      <c r="I66" s="203">
        <v>241271</v>
      </c>
      <c r="J66" s="203">
        <v>239455</v>
      </c>
      <c r="K66" s="203">
        <v>1190198</v>
      </c>
      <c r="L66"/>
      <c r="M66"/>
      <c r="N66" s="57"/>
      <c r="O66" s="57"/>
      <c r="P66" s="58"/>
      <c r="Q66" s="57"/>
      <c r="R66" s="57"/>
      <c r="T66" s="7"/>
    </row>
    <row r="67" spans="5:20" x14ac:dyDescent="0.25">
      <c r="E67" s="46" t="s">
        <v>222</v>
      </c>
      <c r="F67" s="203">
        <v>576671</v>
      </c>
      <c r="G67" s="203">
        <v>805485</v>
      </c>
      <c r="H67" s="203">
        <v>575812</v>
      </c>
      <c r="I67" s="203">
        <v>411799</v>
      </c>
      <c r="J67" s="203">
        <v>488298</v>
      </c>
      <c r="K67" s="203">
        <v>2858065</v>
      </c>
      <c r="L67"/>
      <c r="M67"/>
      <c r="N67" s="57"/>
      <c r="O67" s="57"/>
      <c r="P67" s="58"/>
      <c r="Q67" s="57"/>
      <c r="R67" s="57"/>
      <c r="T67" s="7"/>
    </row>
    <row r="68" spans="5:20" x14ac:dyDescent="0.25">
      <c r="E68" s="46" t="s">
        <v>58</v>
      </c>
      <c r="F68" s="203">
        <v>2515515</v>
      </c>
      <c r="G68" s="203">
        <v>3759754</v>
      </c>
      <c r="H68" s="203">
        <v>3020196</v>
      </c>
      <c r="I68" s="203">
        <v>2426371</v>
      </c>
      <c r="J68" s="203">
        <v>2805357</v>
      </c>
      <c r="K68" s="203">
        <v>14527193</v>
      </c>
      <c r="L68"/>
      <c r="M68"/>
      <c r="N68" s="57"/>
      <c r="O68" s="57"/>
      <c r="P68" s="58"/>
      <c r="Q68" s="57"/>
      <c r="R68" s="57"/>
      <c r="T68" s="7"/>
    </row>
    <row r="69" spans="5:20" x14ac:dyDescent="0.25">
      <c r="E69" s="46" t="s">
        <v>124</v>
      </c>
      <c r="F69" s="203">
        <v>134675</v>
      </c>
      <c r="G69" s="203">
        <v>134117</v>
      </c>
      <c r="H69" s="203">
        <v>134734</v>
      </c>
      <c r="I69" s="203">
        <v>135822</v>
      </c>
      <c r="J69" s="203">
        <v>135811</v>
      </c>
      <c r="K69" s="203">
        <v>675159</v>
      </c>
      <c r="L69"/>
      <c r="M69"/>
      <c r="N69" s="57"/>
      <c r="O69" s="57"/>
      <c r="P69" s="58"/>
      <c r="Q69" s="57"/>
      <c r="R69" s="57"/>
      <c r="T69" s="7"/>
    </row>
    <row r="70" spans="5:20" x14ac:dyDescent="0.25">
      <c r="E70" s="46" t="s">
        <v>125</v>
      </c>
      <c r="F70" s="203">
        <v>268291</v>
      </c>
      <c r="G70" s="203">
        <v>275661</v>
      </c>
      <c r="H70" s="203">
        <v>288154</v>
      </c>
      <c r="I70" s="203">
        <v>290052</v>
      </c>
      <c r="J70" s="203">
        <v>295941</v>
      </c>
      <c r="K70" s="203">
        <v>1418099</v>
      </c>
      <c r="L70"/>
      <c r="M70"/>
      <c r="N70" s="57"/>
      <c r="O70" s="57"/>
      <c r="P70" s="58"/>
      <c r="Q70" s="57"/>
      <c r="R70" s="57"/>
      <c r="T70" s="7"/>
    </row>
    <row r="71" spans="5:20" x14ac:dyDescent="0.25">
      <c r="E71" s="46" t="s">
        <v>177</v>
      </c>
      <c r="F71" s="203">
        <v>0</v>
      </c>
      <c r="G71" s="203">
        <v>0</v>
      </c>
      <c r="H71" s="203">
        <v>0</v>
      </c>
      <c r="I71" s="203">
        <v>0</v>
      </c>
      <c r="J71" s="203">
        <v>0</v>
      </c>
      <c r="K71" s="203">
        <v>0</v>
      </c>
      <c r="L71"/>
      <c r="M71"/>
      <c r="N71" s="57"/>
      <c r="O71" s="57"/>
      <c r="P71" s="58"/>
      <c r="Q71" s="57"/>
      <c r="R71" s="57"/>
      <c r="T71" s="7"/>
    </row>
    <row r="72" spans="5:20" x14ac:dyDescent="0.25">
      <c r="E72" s="46" t="s">
        <v>224</v>
      </c>
      <c r="F72" s="203">
        <v>100737</v>
      </c>
      <c r="G72" s="203">
        <v>98473</v>
      </c>
      <c r="H72" s="203">
        <v>101591</v>
      </c>
      <c r="I72" s="203">
        <v>104834</v>
      </c>
      <c r="J72" s="203">
        <v>102647</v>
      </c>
      <c r="K72" s="203">
        <v>508282</v>
      </c>
      <c r="L72"/>
      <c r="M72"/>
      <c r="N72" s="57"/>
      <c r="O72" s="57"/>
      <c r="P72" s="58"/>
      <c r="Q72" s="57"/>
      <c r="R72" s="57"/>
      <c r="T72" s="7"/>
    </row>
    <row r="73" spans="5:20" x14ac:dyDescent="0.25">
      <c r="E73" s="46" t="s">
        <v>181</v>
      </c>
      <c r="F73" s="203">
        <v>60018</v>
      </c>
      <c r="G73" s="203">
        <v>58746</v>
      </c>
      <c r="H73" s="203">
        <v>59135</v>
      </c>
      <c r="I73" s="203">
        <v>59294</v>
      </c>
      <c r="J73" s="203">
        <v>59056</v>
      </c>
      <c r="K73" s="203">
        <v>296249</v>
      </c>
      <c r="L73"/>
      <c r="M73"/>
      <c r="N73" s="57"/>
      <c r="O73" s="57"/>
      <c r="P73" s="58"/>
      <c r="Q73" s="57"/>
      <c r="R73" s="57"/>
      <c r="T73" s="7"/>
    </row>
    <row r="74" spans="5:20" x14ac:dyDescent="0.25">
      <c r="E74" s="46" t="s">
        <v>183</v>
      </c>
      <c r="F74" s="203">
        <v>112025</v>
      </c>
      <c r="G74" s="203">
        <v>111997</v>
      </c>
      <c r="H74" s="203">
        <v>111156</v>
      </c>
      <c r="I74" s="203">
        <v>111589</v>
      </c>
      <c r="J74" s="203">
        <v>111578</v>
      </c>
      <c r="K74" s="203">
        <v>558345</v>
      </c>
      <c r="L74"/>
      <c r="M74"/>
      <c r="N74" s="57"/>
      <c r="O74" s="57"/>
      <c r="P74" s="58"/>
      <c r="Q74" s="57"/>
      <c r="R74" s="57"/>
      <c r="T74" s="7"/>
    </row>
    <row r="75" spans="5:20" x14ac:dyDescent="0.25">
      <c r="E75" s="46" t="s">
        <v>185</v>
      </c>
      <c r="F75" s="203">
        <v>19820</v>
      </c>
      <c r="G75" s="203">
        <v>20333</v>
      </c>
      <c r="H75" s="203">
        <v>21003</v>
      </c>
      <c r="I75" s="203">
        <v>21648</v>
      </c>
      <c r="J75" s="203">
        <v>22256</v>
      </c>
      <c r="K75" s="203">
        <v>105060</v>
      </c>
      <c r="L75"/>
      <c r="M75"/>
      <c r="N75" s="57"/>
      <c r="O75" s="57"/>
      <c r="P75" s="58"/>
      <c r="Q75" s="57"/>
      <c r="R75" s="57"/>
      <c r="T75" s="7"/>
    </row>
    <row r="76" spans="5:20" x14ac:dyDescent="0.25">
      <c r="E76" s="46" t="s">
        <v>187</v>
      </c>
      <c r="F76" s="203">
        <v>112440</v>
      </c>
      <c r="G76" s="203">
        <v>115969</v>
      </c>
      <c r="H76" s="203">
        <v>112856</v>
      </c>
      <c r="I76" s="203">
        <v>113858</v>
      </c>
      <c r="J76" s="203">
        <v>114319</v>
      </c>
      <c r="K76" s="203">
        <v>569442</v>
      </c>
      <c r="L76"/>
      <c r="M76"/>
      <c r="N76" s="57"/>
      <c r="O76" s="57"/>
      <c r="P76" s="58"/>
      <c r="Q76" s="57"/>
      <c r="R76" s="57"/>
      <c r="T76" s="7"/>
    </row>
    <row r="77" spans="5:20" x14ac:dyDescent="0.25">
      <c r="E77" s="46" t="s">
        <v>128</v>
      </c>
      <c r="F77" s="203">
        <v>111976</v>
      </c>
      <c r="G77" s="203">
        <v>111976</v>
      </c>
      <c r="H77" s="203">
        <v>111647</v>
      </c>
      <c r="I77" s="203">
        <v>111865</v>
      </c>
      <c r="J77" s="203">
        <v>111827</v>
      </c>
      <c r="K77" s="203">
        <v>559291</v>
      </c>
      <c r="L77"/>
      <c r="M77"/>
      <c r="N77" s="57"/>
      <c r="O77" s="57"/>
      <c r="P77" s="58"/>
      <c r="Q77" s="57"/>
      <c r="R77" s="57"/>
      <c r="T77" s="7"/>
    </row>
    <row r="78" spans="5:20" x14ac:dyDescent="0.25">
      <c r="E78" s="46" t="s">
        <v>190</v>
      </c>
      <c r="F78" s="203">
        <v>0</v>
      </c>
      <c r="G78" s="203">
        <v>0</v>
      </c>
      <c r="H78" s="203">
        <v>0</v>
      </c>
      <c r="I78" s="203">
        <v>0</v>
      </c>
      <c r="J78" s="203">
        <v>0</v>
      </c>
      <c r="K78" s="203">
        <v>0</v>
      </c>
      <c r="L78"/>
      <c r="M78"/>
      <c r="N78" s="57"/>
      <c r="O78" s="57"/>
      <c r="P78" s="58"/>
      <c r="Q78" s="57"/>
      <c r="R78" s="57"/>
      <c r="T78" s="7"/>
    </row>
    <row r="79" spans="5:20" x14ac:dyDescent="0.25">
      <c r="E79" s="46" t="s">
        <v>226</v>
      </c>
      <c r="F79" s="203">
        <v>45385</v>
      </c>
      <c r="G79" s="203">
        <v>45356</v>
      </c>
      <c r="H79" s="203">
        <v>45422</v>
      </c>
      <c r="I79" s="203">
        <v>45388</v>
      </c>
      <c r="J79" s="203">
        <v>45389</v>
      </c>
      <c r="K79" s="203">
        <v>226940</v>
      </c>
      <c r="L79"/>
      <c r="M79"/>
      <c r="N79" s="57"/>
      <c r="O79" s="57"/>
      <c r="P79" s="58"/>
      <c r="Q79" s="57"/>
      <c r="R79" s="57"/>
    </row>
    <row r="80" spans="5:20" x14ac:dyDescent="0.25">
      <c r="E80" s="46" t="s">
        <v>228</v>
      </c>
      <c r="F80" s="203">
        <v>124091</v>
      </c>
      <c r="G80" s="203">
        <v>130216</v>
      </c>
      <c r="H80" s="203">
        <v>136709</v>
      </c>
      <c r="I80" s="203">
        <v>143592</v>
      </c>
      <c r="J80" s="203">
        <v>143435</v>
      </c>
      <c r="K80" s="203">
        <v>678043</v>
      </c>
      <c r="L80"/>
      <c r="M80"/>
      <c r="N80" s="57"/>
      <c r="O80" s="57"/>
      <c r="P80" s="58"/>
      <c r="Q80" s="57"/>
      <c r="R80" s="57"/>
    </row>
    <row r="81" spans="5:18" x14ac:dyDescent="0.25">
      <c r="E81" s="46" t="s">
        <v>130</v>
      </c>
      <c r="F81" s="203">
        <v>163996</v>
      </c>
      <c r="G81" s="203">
        <v>165577</v>
      </c>
      <c r="H81" s="203">
        <v>167570</v>
      </c>
      <c r="I81" s="203">
        <v>169682</v>
      </c>
      <c r="J81" s="203">
        <v>169682</v>
      </c>
      <c r="K81" s="203">
        <v>836507</v>
      </c>
      <c r="L81"/>
      <c r="M81"/>
      <c r="N81" s="57"/>
      <c r="O81" s="57"/>
      <c r="P81" s="58"/>
      <c r="Q81" s="57"/>
      <c r="R81" s="57"/>
    </row>
    <row r="82" spans="5:18" x14ac:dyDescent="0.25">
      <c r="E82" s="46" t="s">
        <v>193</v>
      </c>
      <c r="F82" s="203">
        <v>162265</v>
      </c>
      <c r="G82" s="203">
        <v>161183</v>
      </c>
      <c r="H82" s="203">
        <v>161871</v>
      </c>
      <c r="I82" s="203">
        <v>161771</v>
      </c>
      <c r="J82" s="203">
        <v>161605</v>
      </c>
      <c r="K82" s="203">
        <v>808695</v>
      </c>
      <c r="L82"/>
      <c r="M82"/>
      <c r="N82" s="57"/>
      <c r="O82" s="57"/>
      <c r="P82" s="58"/>
      <c r="Q82" s="57"/>
      <c r="R82" s="57"/>
    </row>
    <row r="83" spans="5:18" x14ac:dyDescent="0.25">
      <c r="E83" s="46" t="s">
        <v>66</v>
      </c>
      <c r="F83" s="203">
        <v>38971</v>
      </c>
      <c r="G83" s="203">
        <v>37755</v>
      </c>
      <c r="H83" s="203">
        <v>39270</v>
      </c>
      <c r="I83" s="203">
        <v>40856</v>
      </c>
      <c r="J83" s="203">
        <v>37880</v>
      </c>
      <c r="K83" s="203">
        <v>194732</v>
      </c>
      <c r="L83"/>
      <c r="M83"/>
      <c r="N83" s="57"/>
      <c r="O83" s="57"/>
      <c r="P83" s="58"/>
      <c r="Q83" s="57"/>
      <c r="R83" s="57"/>
    </row>
    <row r="84" spans="5:18" x14ac:dyDescent="0.25">
      <c r="E84" s="46" t="s">
        <v>196</v>
      </c>
      <c r="F84" s="203">
        <v>191793</v>
      </c>
      <c r="G84" s="203">
        <v>210312</v>
      </c>
      <c r="H84" s="203">
        <v>211308</v>
      </c>
      <c r="I84" s="203">
        <v>218008</v>
      </c>
      <c r="J84" s="203">
        <v>214633</v>
      </c>
      <c r="K84" s="203">
        <v>1046054</v>
      </c>
      <c r="L84"/>
      <c r="M84"/>
      <c r="N84" s="57"/>
      <c r="O84" s="57"/>
      <c r="P84" s="58"/>
      <c r="Q84" s="57"/>
      <c r="R84" s="57"/>
    </row>
    <row r="85" spans="5:18" x14ac:dyDescent="0.25">
      <c r="E85" s="46" t="s">
        <v>123</v>
      </c>
      <c r="F85" s="203">
        <v>2706888</v>
      </c>
      <c r="G85" s="203">
        <v>3483718</v>
      </c>
      <c r="H85" s="203">
        <v>4246531</v>
      </c>
      <c r="I85" s="203">
        <v>5176469</v>
      </c>
      <c r="J85" s="203">
        <v>3818866</v>
      </c>
      <c r="K85" s="203">
        <v>19432472</v>
      </c>
      <c r="L85"/>
      <c r="M85"/>
      <c r="N85" s="57"/>
      <c r="O85" s="57"/>
      <c r="P85" s="58"/>
      <c r="Q85" s="57"/>
      <c r="R85" s="57"/>
    </row>
    <row r="86" spans="5:18" x14ac:dyDescent="0.25">
      <c r="E86" s="46" t="s">
        <v>62</v>
      </c>
      <c r="F86" s="203">
        <v>6483172</v>
      </c>
      <c r="G86" s="203">
        <v>8052695</v>
      </c>
      <c r="H86" s="203">
        <v>6832960</v>
      </c>
      <c r="I86" s="203">
        <v>5798802</v>
      </c>
      <c r="J86" s="203">
        <v>6925101</v>
      </c>
      <c r="K86" s="203">
        <v>34092730</v>
      </c>
      <c r="L86"/>
      <c r="M86"/>
      <c r="N86" s="57"/>
      <c r="O86" s="57"/>
      <c r="P86" s="58"/>
      <c r="Q86" s="57"/>
      <c r="R86" s="57"/>
    </row>
    <row r="87" spans="5:18" x14ac:dyDescent="0.25">
      <c r="E87" s="46" t="s">
        <v>200</v>
      </c>
      <c r="F87" s="203">
        <v>870764</v>
      </c>
      <c r="G87" s="203">
        <v>908514</v>
      </c>
      <c r="H87" s="203">
        <v>837485</v>
      </c>
      <c r="I87" s="203">
        <v>809055</v>
      </c>
      <c r="J87" s="203">
        <v>800039</v>
      </c>
      <c r="K87" s="203">
        <v>4225857</v>
      </c>
      <c r="L87"/>
      <c r="M87"/>
      <c r="N87" s="57"/>
      <c r="O87" s="57"/>
      <c r="P87" s="58"/>
      <c r="Q87" s="57"/>
      <c r="R87" s="57"/>
    </row>
    <row r="88" spans="5:18" x14ac:dyDescent="0.25">
      <c r="E88" s="46" t="s">
        <v>230</v>
      </c>
      <c r="F88" s="203">
        <v>209574</v>
      </c>
      <c r="G88" s="203">
        <v>213095</v>
      </c>
      <c r="H88" s="203">
        <v>211409</v>
      </c>
      <c r="I88" s="203">
        <v>209736</v>
      </c>
      <c r="J88" s="203">
        <v>236427</v>
      </c>
      <c r="K88" s="203">
        <v>1080241</v>
      </c>
      <c r="L88"/>
      <c r="M88"/>
      <c r="N88" s="57"/>
      <c r="O88" s="57"/>
      <c r="P88" s="58"/>
      <c r="Q88" s="57"/>
      <c r="R88" s="57"/>
    </row>
    <row r="89" spans="5:18" x14ac:dyDescent="0.25">
      <c r="E89" s="46" t="s">
        <v>131</v>
      </c>
      <c r="F89" s="203">
        <v>123936</v>
      </c>
      <c r="G89" s="203">
        <v>125091</v>
      </c>
      <c r="H89" s="203">
        <v>126058</v>
      </c>
      <c r="I89" s="203">
        <v>127063</v>
      </c>
      <c r="J89" s="203">
        <v>127350</v>
      </c>
      <c r="K89" s="203">
        <v>629498</v>
      </c>
      <c r="L89"/>
      <c r="M89"/>
      <c r="N89" s="57"/>
      <c r="O89" s="57"/>
      <c r="P89" s="58"/>
      <c r="Q89" s="57"/>
      <c r="R89" s="57"/>
    </row>
    <row r="90" spans="5:18" x14ac:dyDescent="0.25">
      <c r="E90" s="46" t="s">
        <v>232</v>
      </c>
      <c r="F90" s="203">
        <v>0</v>
      </c>
      <c r="G90" s="203">
        <v>0</v>
      </c>
      <c r="H90" s="203">
        <v>0</v>
      </c>
      <c r="I90" s="203">
        <v>0</v>
      </c>
      <c r="J90" s="203">
        <v>0</v>
      </c>
      <c r="K90" s="203">
        <v>0</v>
      </c>
      <c r="L90"/>
      <c r="M90"/>
      <c r="N90" s="57"/>
      <c r="O90" s="57"/>
      <c r="P90" s="58"/>
      <c r="Q90" s="57"/>
      <c r="R90" s="57"/>
    </row>
    <row r="91" spans="5:18" x14ac:dyDescent="0.25">
      <c r="E91" s="46" t="s">
        <v>127</v>
      </c>
      <c r="F91" s="203">
        <v>177813</v>
      </c>
      <c r="G91" s="203">
        <v>177684</v>
      </c>
      <c r="H91" s="203">
        <v>180670</v>
      </c>
      <c r="I91" s="203">
        <v>181463</v>
      </c>
      <c r="J91" s="203">
        <v>181853</v>
      </c>
      <c r="K91" s="203">
        <v>899483</v>
      </c>
      <c r="L91"/>
      <c r="M91"/>
      <c r="N91" s="57"/>
      <c r="O91" s="57"/>
      <c r="P91" s="58"/>
      <c r="Q91" s="57"/>
      <c r="R91" s="57"/>
    </row>
    <row r="92" spans="5:18" x14ac:dyDescent="0.25">
      <c r="E92" s="46" t="s">
        <v>132</v>
      </c>
      <c r="F92" s="203">
        <v>84053</v>
      </c>
      <c r="G92" s="203">
        <v>87123</v>
      </c>
      <c r="H92" s="203">
        <v>112193</v>
      </c>
      <c r="I92" s="203">
        <v>137553</v>
      </c>
      <c r="J92" s="203">
        <v>83766</v>
      </c>
      <c r="K92" s="203">
        <v>504688</v>
      </c>
      <c r="L92"/>
      <c r="M92"/>
      <c r="N92" s="57"/>
      <c r="O92" s="57"/>
      <c r="P92" s="58"/>
      <c r="Q92" s="57"/>
      <c r="R92" s="57"/>
    </row>
    <row r="93" spans="5:18" x14ac:dyDescent="0.25">
      <c r="E93" s="46" t="s">
        <v>84</v>
      </c>
      <c r="F93" s="203">
        <v>199087</v>
      </c>
      <c r="G93" s="203">
        <v>311332</v>
      </c>
      <c r="H93" s="203">
        <v>327568</v>
      </c>
      <c r="I93" s="203">
        <v>343768</v>
      </c>
      <c r="J93" s="203">
        <v>283077</v>
      </c>
      <c r="K93" s="203">
        <v>1464832</v>
      </c>
      <c r="L93"/>
      <c r="M93"/>
      <c r="N93" s="57"/>
      <c r="O93" s="57"/>
      <c r="P93" s="58"/>
      <c r="Q93" s="57"/>
      <c r="R93" s="57"/>
    </row>
    <row r="94" spans="5:18" x14ac:dyDescent="0.25">
      <c r="E94" s="46" t="s">
        <v>234</v>
      </c>
      <c r="F94" s="203">
        <v>101640</v>
      </c>
      <c r="G94" s="203">
        <v>103438</v>
      </c>
      <c r="H94" s="203">
        <v>104224</v>
      </c>
      <c r="I94" s="203">
        <v>103092</v>
      </c>
      <c r="J94" s="203">
        <v>103583</v>
      </c>
      <c r="K94" s="203">
        <v>515977</v>
      </c>
      <c r="L94"/>
      <c r="M94"/>
      <c r="N94" s="57"/>
      <c r="O94" s="57"/>
      <c r="P94" s="58"/>
      <c r="Q94" s="57"/>
      <c r="R94" s="57"/>
    </row>
    <row r="95" spans="5:18" x14ac:dyDescent="0.25">
      <c r="E95" s="46" t="s">
        <v>91</v>
      </c>
      <c r="F95" s="203">
        <v>20152062</v>
      </c>
      <c r="G95" s="203">
        <v>25021328</v>
      </c>
      <c r="H95" s="203">
        <v>23879526</v>
      </c>
      <c r="I95" s="203">
        <v>23643504</v>
      </c>
      <c r="J95" s="203">
        <v>23916402</v>
      </c>
      <c r="K95" s="203">
        <v>116612822</v>
      </c>
      <c r="L95"/>
      <c r="M95"/>
      <c r="N95" s="57"/>
      <c r="O95" s="57"/>
      <c r="P95" s="58"/>
      <c r="Q95" s="57"/>
      <c r="R95" s="57"/>
    </row>
    <row r="96" spans="5:18" x14ac:dyDescent="0.25">
      <c r="E96" s="57"/>
      <c r="F96" s="57"/>
      <c r="G96" s="57"/>
      <c r="H96" s="57"/>
      <c r="I96" s="57"/>
      <c r="J96" s="57"/>
      <c r="K96" s="57"/>
      <c r="L96" s="57"/>
      <c r="M96" s="57"/>
      <c r="N96" s="57"/>
      <c r="O96" s="57"/>
      <c r="P96" s="58"/>
      <c r="Q96" s="57"/>
      <c r="R96" s="57"/>
    </row>
    <row r="97" spans="5:18" x14ac:dyDescent="0.25">
      <c r="E97" s="57"/>
      <c r="F97" s="57"/>
      <c r="G97" s="57"/>
      <c r="H97" s="57"/>
      <c r="I97" s="57"/>
      <c r="J97" s="57"/>
      <c r="K97" s="57"/>
      <c r="L97" s="57"/>
      <c r="M97" s="57"/>
      <c r="N97" s="57"/>
      <c r="O97" s="57"/>
      <c r="P97" s="58"/>
      <c r="Q97" s="57"/>
      <c r="R97" s="57"/>
    </row>
    <row r="98" spans="5:18" x14ac:dyDescent="0.25">
      <c r="E98" s="57"/>
      <c r="F98" s="57"/>
      <c r="G98" s="57"/>
      <c r="H98" s="57"/>
      <c r="I98" s="57"/>
      <c r="J98" s="57"/>
      <c r="K98" s="57"/>
      <c r="L98" s="57"/>
      <c r="M98" s="57"/>
      <c r="N98" s="57"/>
      <c r="O98" s="57"/>
      <c r="P98" s="58"/>
      <c r="Q98" s="57"/>
      <c r="R98" s="57"/>
    </row>
    <row r="99" spans="5:18" x14ac:dyDescent="0.25">
      <c r="E99" s="57"/>
      <c r="F99" s="57"/>
      <c r="G99" s="57"/>
      <c r="H99" s="57"/>
      <c r="I99" s="57"/>
      <c r="J99" s="57"/>
      <c r="K99" s="57"/>
      <c r="L99" s="57"/>
      <c r="M99" s="57"/>
      <c r="N99" s="57"/>
      <c r="O99" s="57"/>
      <c r="P99" s="58"/>
      <c r="Q99" s="57"/>
      <c r="R99" s="57"/>
    </row>
    <row r="100" spans="5:18" x14ac:dyDescent="0.25">
      <c r="E100" s="57"/>
      <c r="F100" s="57"/>
      <c r="G100" s="57"/>
      <c r="H100" s="57"/>
      <c r="I100" s="57"/>
      <c r="J100" s="57"/>
      <c r="K100" s="57"/>
      <c r="L100" s="57"/>
      <c r="M100" s="57"/>
      <c r="N100" s="57"/>
      <c r="O100" s="57"/>
      <c r="P100" s="58"/>
      <c r="Q100" s="57"/>
      <c r="R100" s="57"/>
    </row>
    <row r="101" spans="5:18" x14ac:dyDescent="0.25">
      <c r="E101" s="57"/>
      <c r="F101" s="57"/>
      <c r="G101" s="57"/>
      <c r="H101" s="57"/>
      <c r="I101" s="57"/>
      <c r="J101" s="57"/>
      <c r="K101" s="57"/>
      <c r="L101" s="57"/>
      <c r="M101" s="57"/>
      <c r="N101" s="57"/>
      <c r="O101" s="57"/>
      <c r="P101" s="58"/>
      <c r="Q101" s="57"/>
      <c r="R101" s="57"/>
    </row>
    <row r="102" spans="5:18" x14ac:dyDescent="0.25">
      <c r="E102" s="57"/>
      <c r="F102" s="57"/>
      <c r="G102" s="57"/>
      <c r="H102" s="57"/>
      <c r="I102" s="57"/>
      <c r="J102" s="57"/>
      <c r="K102" s="57"/>
      <c r="L102" s="57"/>
      <c r="M102" s="57"/>
      <c r="N102" s="57"/>
      <c r="O102" s="57"/>
      <c r="P102" s="58"/>
      <c r="Q102" s="57"/>
      <c r="R102" s="57"/>
    </row>
    <row r="103" spans="5:18" x14ac:dyDescent="0.25">
      <c r="E103" s="57"/>
      <c r="F103" s="57"/>
      <c r="G103" s="57"/>
      <c r="H103" s="57"/>
      <c r="I103" s="57"/>
      <c r="J103" s="57"/>
      <c r="K103" s="57"/>
      <c r="L103" s="57"/>
      <c r="M103" s="57"/>
      <c r="N103" s="57"/>
      <c r="O103" s="57"/>
      <c r="P103" s="58"/>
      <c r="Q103" s="57"/>
      <c r="R103" s="57"/>
    </row>
    <row r="104" spans="5:18" x14ac:dyDescent="0.25">
      <c r="E104" s="57"/>
      <c r="F104" s="57"/>
      <c r="G104" s="57"/>
      <c r="H104" s="57"/>
      <c r="I104" s="57"/>
      <c r="J104" s="57"/>
      <c r="K104" s="57"/>
      <c r="L104" s="57"/>
      <c r="M104" s="57"/>
      <c r="N104" s="57"/>
      <c r="O104" s="57"/>
      <c r="P104" s="58"/>
      <c r="Q104" s="57"/>
      <c r="R104" s="57"/>
    </row>
    <row r="105" spans="5:18" x14ac:dyDescent="0.25">
      <c r="E105" s="57"/>
      <c r="F105" s="57"/>
      <c r="G105" s="57"/>
      <c r="H105" s="57"/>
      <c r="I105" s="57"/>
      <c r="J105" s="57"/>
      <c r="K105" s="57"/>
      <c r="L105" s="57"/>
      <c r="M105" s="57"/>
      <c r="N105" s="57"/>
      <c r="O105" s="57"/>
      <c r="P105" s="58"/>
      <c r="Q105" s="57"/>
      <c r="R105" s="57"/>
    </row>
    <row r="106" spans="5:18" x14ac:dyDescent="0.25">
      <c r="E106" s="57"/>
      <c r="F106" s="57"/>
      <c r="G106" s="57"/>
      <c r="H106" s="57"/>
      <c r="I106" s="57"/>
      <c r="J106" s="57"/>
      <c r="K106" s="57"/>
      <c r="L106" s="57"/>
      <c r="M106" s="57"/>
      <c r="N106" s="57"/>
      <c r="O106" s="57"/>
      <c r="P106" s="58"/>
      <c r="Q106" s="57"/>
      <c r="R106" s="57"/>
    </row>
    <row r="107" spans="5:18" x14ac:dyDescent="0.25">
      <c r="E107" s="57"/>
      <c r="F107" s="57"/>
      <c r="G107" s="57"/>
      <c r="H107" s="57"/>
      <c r="I107" s="57"/>
      <c r="J107" s="57"/>
      <c r="K107" s="57"/>
      <c r="L107" s="57"/>
      <c r="M107" s="57"/>
      <c r="N107" s="57"/>
      <c r="O107" s="57"/>
      <c r="P107" s="58"/>
      <c r="Q107" s="57"/>
      <c r="R107" s="57"/>
    </row>
    <row r="108" spans="5:18" x14ac:dyDescent="0.25">
      <c r="E108" s="57"/>
      <c r="F108" s="57"/>
      <c r="G108" s="57"/>
      <c r="H108" s="57"/>
      <c r="I108" s="57"/>
      <c r="J108" s="57"/>
      <c r="K108" s="57"/>
      <c r="L108" s="57"/>
      <c r="M108" s="57"/>
      <c r="N108" s="57"/>
      <c r="O108" s="57"/>
      <c r="P108" s="58"/>
      <c r="Q108" s="57"/>
      <c r="R108" s="57"/>
    </row>
    <row r="109" spans="5:18" x14ac:dyDescent="0.25">
      <c r="E109" s="57"/>
      <c r="F109" s="57"/>
      <c r="G109" s="57"/>
      <c r="H109" s="57"/>
      <c r="I109" s="57"/>
      <c r="J109" s="57"/>
      <c r="K109" s="57"/>
      <c r="L109" s="57"/>
      <c r="M109" s="57"/>
      <c r="N109" s="57"/>
      <c r="O109" s="57"/>
      <c r="P109" s="58"/>
      <c r="Q109" s="57"/>
      <c r="R109" s="57"/>
    </row>
    <row r="110" spans="5:18" x14ac:dyDescent="0.25">
      <c r="E110" s="57"/>
      <c r="F110" s="57"/>
      <c r="G110" s="57"/>
      <c r="H110" s="57"/>
      <c r="I110" s="57"/>
      <c r="J110" s="57"/>
      <c r="K110" s="57"/>
      <c r="L110" s="57"/>
      <c r="M110" s="57"/>
      <c r="N110" s="57"/>
      <c r="O110" s="57"/>
      <c r="P110" s="58"/>
      <c r="Q110" s="57"/>
      <c r="R110" s="57"/>
    </row>
    <row r="111" spans="5:18" x14ac:dyDescent="0.25">
      <c r="E111" s="57"/>
      <c r="F111" s="57"/>
      <c r="G111" s="57"/>
      <c r="H111" s="57"/>
      <c r="I111" s="57"/>
      <c r="J111" s="57"/>
      <c r="K111" s="57"/>
      <c r="L111" s="57"/>
      <c r="M111" s="57"/>
      <c r="N111" s="57"/>
      <c r="O111" s="57"/>
      <c r="P111" s="58"/>
      <c r="Q111" s="57"/>
      <c r="R111" s="57"/>
    </row>
    <row r="112" spans="5:18" x14ac:dyDescent="0.25">
      <c r="E112" s="57"/>
      <c r="F112" s="57"/>
      <c r="G112" s="57"/>
      <c r="H112" s="57"/>
      <c r="I112" s="57"/>
      <c r="J112" s="57"/>
      <c r="K112" s="57"/>
      <c r="L112" s="57"/>
      <c r="M112" s="57"/>
      <c r="N112" s="57"/>
      <c r="O112" s="57"/>
      <c r="P112" s="58"/>
      <c r="Q112" s="57"/>
      <c r="R112" s="57"/>
    </row>
    <row r="113" spans="5:18" x14ac:dyDescent="0.25">
      <c r="E113" s="57"/>
      <c r="F113" s="57"/>
      <c r="G113" s="57"/>
      <c r="H113" s="57"/>
      <c r="I113" s="57"/>
      <c r="J113" s="57"/>
      <c r="K113" s="57"/>
      <c r="L113" s="57"/>
      <c r="M113" s="57"/>
      <c r="N113" s="57"/>
      <c r="O113" s="57"/>
      <c r="P113" s="58"/>
      <c r="Q113" s="57"/>
      <c r="R113" s="57"/>
    </row>
    <row r="114" spans="5:18" x14ac:dyDescent="0.25">
      <c r="E114" s="57"/>
      <c r="F114" s="57"/>
      <c r="G114" s="57"/>
      <c r="H114" s="57"/>
      <c r="I114" s="57"/>
      <c r="J114" s="57"/>
      <c r="K114" s="57"/>
      <c r="L114" s="57"/>
      <c r="M114" s="57"/>
      <c r="N114" s="57"/>
      <c r="O114" s="57"/>
      <c r="P114" s="58"/>
      <c r="Q114" s="57"/>
      <c r="R114" s="57"/>
    </row>
    <row r="115" spans="5:18" x14ac:dyDescent="0.25">
      <c r="E115" s="57"/>
      <c r="F115" s="57"/>
      <c r="G115" s="57"/>
      <c r="H115" s="57"/>
      <c r="I115" s="57"/>
      <c r="J115" s="57"/>
      <c r="K115" s="57"/>
      <c r="L115" s="57"/>
      <c r="M115" s="57"/>
      <c r="N115" s="57"/>
      <c r="O115" s="57"/>
      <c r="P115" s="58"/>
      <c r="Q115" s="57"/>
      <c r="R115" s="57"/>
    </row>
    <row r="116" spans="5:18" x14ac:dyDescent="0.25">
      <c r="E116" s="57"/>
      <c r="F116" s="57"/>
      <c r="G116" s="57"/>
      <c r="H116" s="57"/>
      <c r="I116" s="57"/>
      <c r="J116" s="57"/>
      <c r="K116" s="57"/>
      <c r="L116" s="57"/>
      <c r="M116" s="57"/>
      <c r="N116" s="57"/>
      <c r="O116" s="57"/>
      <c r="P116" s="58"/>
      <c r="Q116" s="57"/>
      <c r="R116" s="57"/>
    </row>
    <row r="117" spans="5:18" x14ac:dyDescent="0.25">
      <c r="E117" s="57"/>
      <c r="F117" s="57"/>
      <c r="G117" s="57"/>
      <c r="H117" s="57"/>
      <c r="I117" s="57"/>
      <c r="J117" s="57"/>
      <c r="K117" s="57"/>
      <c r="L117" s="57"/>
      <c r="M117" s="57"/>
      <c r="N117" s="57"/>
      <c r="O117" s="57"/>
      <c r="P117" s="58"/>
      <c r="Q117" s="57"/>
      <c r="R117" s="57"/>
    </row>
    <row r="118" spans="5:18" x14ac:dyDescent="0.25">
      <c r="E118" s="57"/>
      <c r="F118" s="57"/>
      <c r="G118" s="57"/>
      <c r="H118" s="57"/>
      <c r="I118" s="57"/>
      <c r="J118" s="57"/>
      <c r="K118" s="57"/>
      <c r="L118" s="57"/>
      <c r="M118" s="57"/>
      <c r="N118" s="57"/>
      <c r="O118" s="57"/>
      <c r="P118" s="58"/>
      <c r="Q118" s="57"/>
      <c r="R118" s="57"/>
    </row>
    <row r="119" spans="5:18" x14ac:dyDescent="0.25">
      <c r="E119" s="57"/>
      <c r="F119" s="57"/>
      <c r="G119" s="57"/>
      <c r="H119" s="57"/>
      <c r="I119" s="57"/>
      <c r="J119" s="57"/>
      <c r="K119" s="57"/>
      <c r="L119" s="57"/>
      <c r="M119" s="57"/>
      <c r="N119" s="57"/>
      <c r="O119" s="57"/>
      <c r="P119" s="58"/>
      <c r="Q119" s="57"/>
      <c r="R119" s="57"/>
    </row>
    <row r="120" spans="5:18" x14ac:dyDescent="0.25">
      <c r="E120" s="57"/>
      <c r="F120" s="57"/>
      <c r="G120" s="57"/>
      <c r="H120" s="57"/>
      <c r="I120" s="57"/>
      <c r="J120" s="57"/>
      <c r="K120" s="57"/>
      <c r="L120" s="57"/>
      <c r="M120" s="57"/>
      <c r="N120" s="57"/>
      <c r="O120" s="57"/>
      <c r="P120" s="58"/>
      <c r="Q120" s="57"/>
      <c r="R120" s="57"/>
    </row>
    <row r="121" spans="5:18" x14ac:dyDescent="0.25">
      <c r="E121" s="57"/>
      <c r="F121" s="57"/>
      <c r="G121" s="57"/>
      <c r="H121" s="57"/>
      <c r="I121" s="57"/>
      <c r="J121" s="57"/>
      <c r="K121" s="57"/>
      <c r="L121" s="57"/>
      <c r="M121" s="57"/>
      <c r="N121" s="57"/>
      <c r="O121" s="57"/>
      <c r="P121" s="58"/>
      <c r="Q121" s="57"/>
      <c r="R121" s="57"/>
    </row>
    <row r="122" spans="5:18" x14ac:dyDescent="0.25">
      <c r="E122" s="57"/>
      <c r="F122" s="57"/>
      <c r="G122" s="57"/>
      <c r="H122" s="57"/>
      <c r="I122" s="57"/>
      <c r="J122" s="57"/>
      <c r="K122" s="57"/>
      <c r="L122" s="57"/>
      <c r="M122" s="57"/>
      <c r="N122" s="57"/>
      <c r="O122" s="57"/>
      <c r="P122" s="58"/>
      <c r="Q122" s="57"/>
      <c r="R122" s="57"/>
    </row>
    <row r="123" spans="5:18" x14ac:dyDescent="0.25">
      <c r="E123" s="57"/>
      <c r="F123" s="57"/>
      <c r="G123" s="57"/>
      <c r="H123" s="57"/>
      <c r="I123" s="57"/>
      <c r="J123" s="57"/>
      <c r="K123" s="57"/>
      <c r="L123" s="57"/>
      <c r="M123" s="57"/>
      <c r="N123" s="57"/>
      <c r="O123" s="57"/>
      <c r="P123" s="58"/>
      <c r="Q123" s="57"/>
      <c r="R123" s="57"/>
    </row>
    <row r="124" spans="5:18" x14ac:dyDescent="0.25">
      <c r="E124" s="57"/>
      <c r="F124" s="57"/>
      <c r="G124" s="57"/>
      <c r="H124" s="57"/>
      <c r="I124" s="57"/>
      <c r="J124" s="57"/>
      <c r="K124" s="57"/>
      <c r="L124" s="57"/>
      <c r="M124" s="57"/>
      <c r="N124" s="57"/>
      <c r="O124" s="57"/>
      <c r="P124" s="58"/>
      <c r="Q124" s="57"/>
      <c r="R124" s="57"/>
    </row>
    <row r="125" spans="5:18" x14ac:dyDescent="0.25">
      <c r="E125" s="57"/>
      <c r="F125" s="57"/>
      <c r="G125" s="57"/>
      <c r="H125" s="57"/>
      <c r="I125" s="57"/>
      <c r="J125" s="57"/>
      <c r="K125" s="57"/>
      <c r="L125" s="57"/>
      <c r="M125" s="57"/>
      <c r="N125" s="57"/>
      <c r="O125" s="57"/>
      <c r="P125" s="58"/>
      <c r="Q125" s="57"/>
      <c r="R125" s="57"/>
    </row>
    <row r="126" spans="5:18" x14ac:dyDescent="0.25">
      <c r="E126" s="57"/>
      <c r="F126" s="57"/>
      <c r="G126" s="57"/>
      <c r="H126" s="57"/>
      <c r="I126" s="57"/>
      <c r="J126" s="57"/>
      <c r="K126" s="57"/>
      <c r="L126" s="57"/>
      <c r="M126" s="57"/>
      <c r="N126" s="57"/>
      <c r="O126" s="57"/>
      <c r="P126" s="58"/>
      <c r="Q126" s="57"/>
      <c r="R126" s="57"/>
    </row>
    <row r="127" spans="5:18" x14ac:dyDescent="0.25">
      <c r="E127" s="57"/>
      <c r="F127" s="57"/>
      <c r="G127" s="57"/>
      <c r="H127" s="57"/>
      <c r="I127" s="57"/>
      <c r="J127" s="57"/>
      <c r="K127" s="57"/>
      <c r="L127" s="57"/>
      <c r="M127" s="57"/>
      <c r="N127" s="57"/>
      <c r="O127" s="57"/>
      <c r="P127" s="58"/>
      <c r="Q127" s="57"/>
      <c r="R127" s="57"/>
    </row>
    <row r="128" spans="5:18" x14ac:dyDescent="0.25">
      <c r="E128" s="57"/>
      <c r="F128" s="57"/>
      <c r="G128" s="57"/>
      <c r="H128" s="57"/>
      <c r="I128" s="57"/>
      <c r="J128" s="57"/>
      <c r="K128" s="57"/>
      <c r="L128" s="57"/>
      <c r="M128" s="57"/>
      <c r="N128" s="57"/>
      <c r="O128" s="57"/>
      <c r="P128" s="58"/>
      <c r="Q128" s="57"/>
      <c r="R128" s="57"/>
    </row>
    <row r="129" spans="5:18" x14ac:dyDescent="0.25">
      <c r="E129" s="57"/>
      <c r="F129" s="57"/>
      <c r="G129" s="57"/>
      <c r="H129" s="57"/>
      <c r="I129" s="57"/>
      <c r="J129" s="57"/>
      <c r="K129" s="57"/>
      <c r="L129" s="57"/>
      <c r="M129" s="57"/>
      <c r="N129" s="57"/>
      <c r="O129" s="57"/>
      <c r="P129" s="58"/>
      <c r="Q129" s="57"/>
      <c r="R129" s="57"/>
    </row>
    <row r="130" spans="5:18" x14ac:dyDescent="0.25">
      <c r="E130" s="57"/>
      <c r="F130" s="57"/>
      <c r="G130" s="57"/>
      <c r="H130" s="57"/>
      <c r="I130" s="57"/>
      <c r="J130" s="57"/>
      <c r="K130" s="57"/>
      <c r="L130" s="57"/>
      <c r="M130" s="57"/>
      <c r="N130" s="57"/>
      <c r="O130" s="57"/>
      <c r="P130" s="58"/>
      <c r="Q130" s="57"/>
      <c r="R130" s="57"/>
    </row>
    <row r="131" spans="5:18" x14ac:dyDescent="0.25">
      <c r="E131" s="57"/>
      <c r="F131" s="57"/>
      <c r="G131" s="57"/>
      <c r="H131" s="57"/>
      <c r="I131" s="57"/>
      <c r="J131" s="57"/>
      <c r="K131" s="57"/>
      <c r="L131" s="57"/>
      <c r="M131" s="57"/>
      <c r="N131" s="57"/>
      <c r="O131" s="57"/>
      <c r="P131" s="58"/>
      <c r="Q131" s="57"/>
      <c r="R131" s="57"/>
    </row>
    <row r="132" spans="5:18" x14ac:dyDescent="0.25">
      <c r="E132" s="57"/>
      <c r="F132" s="57"/>
      <c r="G132" s="57"/>
      <c r="H132" s="57"/>
      <c r="I132" s="57"/>
      <c r="J132" s="57"/>
      <c r="K132" s="57"/>
      <c r="L132" s="57"/>
      <c r="M132" s="57"/>
      <c r="N132" s="57"/>
      <c r="O132" s="57"/>
      <c r="P132" s="58"/>
      <c r="Q132" s="57"/>
      <c r="R132" s="57"/>
    </row>
    <row r="133" spans="5:18" x14ac:dyDescent="0.25">
      <c r="E133" s="57"/>
      <c r="F133" s="57"/>
      <c r="G133" s="57"/>
      <c r="H133" s="57"/>
      <c r="I133" s="57"/>
      <c r="J133" s="57"/>
      <c r="K133" s="57"/>
      <c r="L133" s="57"/>
      <c r="M133" s="57"/>
      <c r="N133" s="57"/>
      <c r="O133" s="57"/>
      <c r="P133" s="58"/>
      <c r="Q133" s="57"/>
      <c r="R133" s="57"/>
    </row>
    <row r="134" spans="5:18" x14ac:dyDescent="0.25">
      <c r="E134" s="57"/>
      <c r="F134" s="57"/>
      <c r="G134" s="57"/>
      <c r="H134" s="57"/>
      <c r="I134" s="57"/>
      <c r="J134" s="57"/>
      <c r="K134" s="57"/>
      <c r="L134" s="57"/>
      <c r="M134" s="57"/>
      <c r="N134" s="57"/>
      <c r="O134" s="57"/>
      <c r="P134" s="58"/>
      <c r="Q134" s="57"/>
      <c r="R134" s="57"/>
    </row>
    <row r="135" spans="5:18" x14ac:dyDescent="0.25">
      <c r="E135" s="57"/>
      <c r="F135" s="57"/>
      <c r="G135" s="57"/>
      <c r="H135" s="57"/>
      <c r="I135" s="57"/>
      <c r="J135" s="57"/>
      <c r="K135" s="57"/>
      <c r="L135" s="57"/>
      <c r="M135" s="57"/>
      <c r="N135" s="57"/>
      <c r="O135" s="57"/>
      <c r="P135" s="58"/>
      <c r="Q135" s="57"/>
      <c r="R135" s="57"/>
    </row>
    <row r="136" spans="5:18" x14ac:dyDescent="0.25">
      <c r="E136" s="57"/>
      <c r="F136" s="57"/>
      <c r="G136" s="57"/>
      <c r="H136" s="57"/>
      <c r="I136" s="57"/>
      <c r="J136" s="57"/>
      <c r="K136" s="57"/>
      <c r="L136" s="57"/>
      <c r="M136" s="57"/>
      <c r="N136" s="57"/>
      <c r="O136" s="57"/>
      <c r="P136" s="58"/>
      <c r="Q136" s="57"/>
      <c r="R136" s="57"/>
    </row>
    <row r="137" spans="5:18" x14ac:dyDescent="0.25">
      <c r="E137" s="57"/>
      <c r="F137" s="57"/>
      <c r="G137" s="57"/>
      <c r="H137" s="57"/>
      <c r="I137" s="57"/>
      <c r="J137" s="57"/>
      <c r="K137" s="57"/>
      <c r="L137" s="57"/>
      <c r="M137" s="57"/>
      <c r="N137" s="57"/>
      <c r="O137" s="57"/>
      <c r="P137" s="58"/>
      <c r="Q137" s="57"/>
      <c r="R137" s="57"/>
    </row>
    <row r="138" spans="5:18" x14ac:dyDescent="0.25">
      <c r="E138" s="57"/>
      <c r="F138" s="57"/>
      <c r="G138" s="57"/>
      <c r="H138" s="57"/>
      <c r="I138" s="57"/>
      <c r="J138" s="57"/>
      <c r="K138" s="57"/>
      <c r="L138" s="57"/>
      <c r="M138" s="57"/>
      <c r="N138" s="57"/>
      <c r="O138" s="57"/>
      <c r="P138" s="58"/>
      <c r="Q138" s="57"/>
      <c r="R138" s="57"/>
    </row>
    <row r="139" spans="5:18" x14ac:dyDescent="0.25">
      <c r="E139" s="57"/>
      <c r="F139" s="57"/>
      <c r="G139" s="57"/>
      <c r="H139" s="57"/>
      <c r="I139" s="57"/>
      <c r="J139" s="57"/>
      <c r="K139" s="57"/>
      <c r="L139" s="57"/>
      <c r="M139" s="57"/>
      <c r="N139" s="57"/>
      <c r="O139" s="57"/>
      <c r="P139" s="58"/>
      <c r="Q139" s="57"/>
      <c r="R139" s="57"/>
    </row>
    <row r="140" spans="5:18" x14ac:dyDescent="0.25">
      <c r="E140" s="57"/>
      <c r="F140" s="57"/>
      <c r="G140" s="57"/>
      <c r="H140" s="57"/>
      <c r="I140" s="57"/>
      <c r="J140" s="57"/>
      <c r="K140" s="57"/>
      <c r="L140" s="57"/>
      <c r="M140" s="57"/>
      <c r="N140" s="57"/>
      <c r="O140" s="57"/>
      <c r="P140" s="58"/>
      <c r="Q140" s="57"/>
      <c r="R140" s="57"/>
    </row>
    <row r="141" spans="5:18" x14ac:dyDescent="0.25">
      <c r="E141" s="57"/>
      <c r="F141" s="57"/>
      <c r="G141" s="57"/>
      <c r="H141" s="57"/>
      <c r="I141" s="57"/>
      <c r="J141" s="57"/>
      <c r="K141" s="57"/>
      <c r="L141" s="57"/>
      <c r="M141" s="57"/>
      <c r="N141" s="57"/>
      <c r="O141" s="57"/>
      <c r="P141" s="58"/>
      <c r="Q141" s="57"/>
      <c r="R141" s="57"/>
    </row>
    <row r="142" spans="5:18" x14ac:dyDescent="0.25">
      <c r="E142" s="57"/>
      <c r="F142" s="57"/>
      <c r="G142" s="57"/>
      <c r="H142" s="57"/>
      <c r="I142" s="57"/>
      <c r="J142" s="57"/>
      <c r="K142" s="57"/>
      <c r="L142" s="57"/>
      <c r="M142" s="57"/>
      <c r="N142" s="57"/>
      <c r="O142" s="57"/>
      <c r="P142" s="58"/>
      <c r="Q142" s="57"/>
      <c r="R142" s="57"/>
    </row>
    <row r="143" spans="5:18" x14ac:dyDescent="0.25">
      <c r="E143" s="57"/>
      <c r="F143" s="57"/>
      <c r="G143" s="57"/>
      <c r="H143" s="57"/>
      <c r="I143" s="57"/>
      <c r="J143" s="57"/>
      <c r="K143" s="57"/>
      <c r="L143" s="57"/>
      <c r="M143" s="57"/>
      <c r="N143" s="57"/>
      <c r="O143" s="57"/>
      <c r="P143" s="58"/>
      <c r="Q143" s="57"/>
      <c r="R143" s="57"/>
    </row>
    <row r="144" spans="5:18" x14ac:dyDescent="0.25">
      <c r="E144" s="57"/>
      <c r="F144" s="57"/>
      <c r="G144" s="57"/>
      <c r="H144" s="57"/>
      <c r="I144" s="57"/>
      <c r="J144" s="57"/>
      <c r="K144" s="57"/>
      <c r="L144" s="57"/>
      <c r="M144" s="57"/>
      <c r="N144" s="57"/>
      <c r="O144" s="57"/>
      <c r="P144" s="58"/>
      <c r="Q144" s="57"/>
      <c r="R144" s="57"/>
    </row>
    <row r="145" spans="5:18" x14ac:dyDescent="0.25">
      <c r="E145" s="57"/>
      <c r="F145" s="57"/>
      <c r="G145" s="57"/>
      <c r="H145" s="57"/>
      <c r="I145" s="57"/>
      <c r="J145" s="57"/>
      <c r="K145" s="57"/>
      <c r="L145" s="57"/>
      <c r="M145" s="57"/>
      <c r="N145" s="57"/>
      <c r="O145" s="57"/>
      <c r="P145" s="58"/>
      <c r="Q145" s="57"/>
      <c r="R145" s="57"/>
    </row>
    <row r="146" spans="5:18" x14ac:dyDescent="0.25">
      <c r="E146" s="57"/>
      <c r="F146" s="57"/>
      <c r="G146" s="57"/>
      <c r="H146" s="57"/>
      <c r="I146" s="57"/>
      <c r="J146" s="57"/>
      <c r="K146" s="57"/>
      <c r="L146" s="57"/>
      <c r="M146" s="57"/>
      <c r="N146" s="57"/>
      <c r="O146" s="57"/>
      <c r="P146" s="58"/>
      <c r="Q146" s="57"/>
      <c r="R146" s="57"/>
    </row>
    <row r="147" spans="5:18" x14ac:dyDescent="0.25">
      <c r="E147" s="57"/>
      <c r="F147" s="57"/>
      <c r="G147" s="57"/>
      <c r="H147" s="57"/>
      <c r="I147" s="57"/>
      <c r="J147" s="57"/>
      <c r="K147" s="57"/>
      <c r="L147" s="57"/>
      <c r="M147" s="57"/>
      <c r="N147" s="57"/>
      <c r="O147" s="57"/>
      <c r="P147" s="58"/>
      <c r="Q147" s="57"/>
      <c r="R147" s="57"/>
    </row>
    <row r="148" spans="5:18" x14ac:dyDescent="0.25">
      <c r="E148" s="57"/>
      <c r="F148" s="57"/>
      <c r="G148" s="57"/>
      <c r="H148" s="57"/>
      <c r="I148" s="57"/>
      <c r="J148" s="57"/>
      <c r="K148" s="57"/>
      <c r="L148" s="57"/>
      <c r="M148" s="57"/>
      <c r="N148" s="57"/>
      <c r="O148" s="57"/>
      <c r="P148" s="58"/>
      <c r="Q148" s="57"/>
      <c r="R148" s="57"/>
    </row>
    <row r="149" spans="5:18" x14ac:dyDescent="0.25">
      <c r="E149" s="57"/>
      <c r="F149" s="57"/>
      <c r="G149" s="57"/>
      <c r="H149" s="57"/>
      <c r="I149" s="57"/>
      <c r="J149" s="57"/>
      <c r="K149" s="57"/>
      <c r="L149" s="57"/>
      <c r="M149" s="57"/>
      <c r="N149" s="57"/>
      <c r="O149" s="57"/>
      <c r="P149" s="58"/>
      <c r="Q149" s="57"/>
      <c r="R149" s="57"/>
    </row>
    <row r="150" spans="5:18" x14ac:dyDescent="0.25">
      <c r="E150" s="57"/>
      <c r="F150" s="57"/>
      <c r="G150" s="57"/>
      <c r="H150" s="57"/>
      <c r="I150" s="57"/>
      <c r="J150" s="57"/>
      <c r="K150" s="57"/>
      <c r="L150" s="57"/>
      <c r="M150" s="57"/>
      <c r="N150" s="57"/>
      <c r="O150" s="57"/>
      <c r="P150" s="58"/>
      <c r="Q150" s="57"/>
      <c r="R150" s="57"/>
    </row>
    <row r="151" spans="5:18" x14ac:dyDescent="0.25">
      <c r="E151" s="57"/>
      <c r="F151" s="57"/>
      <c r="G151" s="57"/>
      <c r="H151" s="57"/>
      <c r="I151" s="57"/>
      <c r="J151" s="57"/>
      <c r="K151" s="57"/>
      <c r="L151" s="57"/>
      <c r="M151" s="57"/>
      <c r="N151" s="57"/>
      <c r="O151" s="57"/>
      <c r="P151" s="58"/>
      <c r="Q151" s="57"/>
      <c r="R151" s="57"/>
    </row>
    <row r="152" spans="5:18" x14ac:dyDescent="0.25">
      <c r="E152" s="57"/>
      <c r="F152" s="57"/>
      <c r="G152" s="57"/>
      <c r="H152" s="57"/>
      <c r="I152" s="57"/>
      <c r="J152" s="57"/>
      <c r="K152" s="57"/>
      <c r="L152" s="57"/>
      <c r="M152" s="57"/>
      <c r="N152" s="57"/>
      <c r="O152" s="57"/>
      <c r="P152" s="58"/>
      <c r="Q152" s="57"/>
      <c r="R152" s="57"/>
    </row>
    <row r="153" spans="5:18" x14ac:dyDescent="0.25">
      <c r="E153" s="57"/>
      <c r="F153" s="57"/>
      <c r="G153" s="57"/>
      <c r="H153" s="57"/>
      <c r="I153" s="57"/>
      <c r="J153" s="57"/>
      <c r="K153" s="57"/>
      <c r="L153" s="57"/>
      <c r="M153" s="57"/>
      <c r="N153" s="57"/>
      <c r="O153" s="57"/>
      <c r="P153" s="58"/>
      <c r="Q153" s="57"/>
      <c r="R153" s="57"/>
    </row>
    <row r="154" spans="5:18" x14ac:dyDescent="0.25">
      <c r="E154" s="57"/>
      <c r="F154" s="57"/>
      <c r="G154" s="57"/>
      <c r="H154" s="57"/>
      <c r="I154" s="57"/>
      <c r="J154" s="57"/>
      <c r="K154" s="57"/>
      <c r="L154" s="57"/>
      <c r="M154" s="57"/>
      <c r="N154" s="57"/>
      <c r="O154" s="57"/>
      <c r="P154" s="58"/>
      <c r="Q154" s="57"/>
      <c r="R154" s="57"/>
    </row>
    <row r="155" spans="5:18" x14ac:dyDescent="0.25">
      <c r="E155" s="57"/>
      <c r="F155" s="57"/>
      <c r="G155" s="57"/>
      <c r="H155" s="57"/>
      <c r="I155" s="57"/>
      <c r="J155" s="57"/>
      <c r="K155" s="57"/>
      <c r="L155" s="57"/>
      <c r="M155" s="57"/>
      <c r="N155" s="57"/>
      <c r="O155" s="57"/>
      <c r="P155" s="58"/>
      <c r="Q155" s="57"/>
      <c r="R155" s="57"/>
    </row>
    <row r="156" spans="5:18" x14ac:dyDescent="0.25">
      <c r="E156" s="57"/>
      <c r="F156" s="57"/>
      <c r="G156" s="57"/>
      <c r="H156" s="57"/>
      <c r="I156" s="57"/>
      <c r="J156" s="57"/>
      <c r="K156" s="57"/>
      <c r="L156" s="57"/>
      <c r="M156" s="57"/>
      <c r="N156" s="57"/>
      <c r="O156" s="57"/>
      <c r="P156" s="58"/>
      <c r="Q156" s="57"/>
      <c r="R156" s="57"/>
    </row>
    <row r="157" spans="5:18" x14ac:dyDescent="0.25">
      <c r="E157" s="57"/>
      <c r="F157" s="57"/>
      <c r="G157" s="57"/>
      <c r="H157" s="57"/>
      <c r="I157" s="57"/>
      <c r="J157" s="57"/>
      <c r="K157" s="57"/>
      <c r="L157" s="57"/>
      <c r="M157" s="57"/>
      <c r="N157" s="57"/>
      <c r="O157" s="57"/>
      <c r="P157" s="58"/>
      <c r="Q157" s="57"/>
      <c r="R157" s="57"/>
    </row>
    <row r="158" spans="5:18" x14ac:dyDescent="0.25">
      <c r="E158" s="57"/>
      <c r="F158" s="57"/>
      <c r="G158" s="57"/>
      <c r="H158" s="57"/>
      <c r="I158" s="57"/>
      <c r="J158" s="57"/>
      <c r="K158" s="57"/>
      <c r="L158" s="57"/>
      <c r="M158" s="57"/>
      <c r="N158" s="57"/>
      <c r="O158" s="57"/>
      <c r="P158" s="58"/>
      <c r="Q158" s="57"/>
      <c r="R158" s="57"/>
    </row>
    <row r="159" spans="5:18" x14ac:dyDescent="0.25">
      <c r="E159" s="57"/>
      <c r="F159" s="57"/>
      <c r="G159" s="57"/>
      <c r="H159" s="57"/>
      <c r="I159" s="57"/>
      <c r="J159" s="57"/>
      <c r="K159" s="57"/>
      <c r="L159" s="57"/>
      <c r="M159" s="57"/>
      <c r="N159" s="57"/>
      <c r="O159" s="57"/>
      <c r="P159" s="58"/>
      <c r="Q159" s="57"/>
      <c r="R159" s="57"/>
    </row>
    <row r="160" spans="5:18" x14ac:dyDescent="0.25">
      <c r="E160" s="57"/>
      <c r="F160" s="57"/>
      <c r="G160" s="57"/>
      <c r="H160" s="57"/>
      <c r="I160" s="57"/>
      <c r="J160" s="57"/>
      <c r="K160" s="57"/>
      <c r="L160" s="57"/>
      <c r="M160" s="57"/>
      <c r="N160" s="57"/>
      <c r="O160" s="57"/>
      <c r="P160" s="58"/>
      <c r="Q160" s="57"/>
      <c r="R160" s="57"/>
    </row>
    <row r="161" spans="5:18" x14ac:dyDescent="0.25">
      <c r="E161" s="57"/>
      <c r="F161" s="57"/>
      <c r="G161" s="57"/>
      <c r="H161" s="57"/>
      <c r="I161" s="57"/>
      <c r="J161" s="57"/>
      <c r="K161" s="57"/>
      <c r="L161" s="57"/>
      <c r="M161" s="57"/>
      <c r="N161" s="57"/>
      <c r="O161" s="57"/>
      <c r="P161" s="58"/>
      <c r="Q161" s="57"/>
      <c r="R161" s="57"/>
    </row>
    <row r="162" spans="5:18" x14ac:dyDescent="0.25">
      <c r="E162" s="57"/>
      <c r="F162" s="57"/>
      <c r="G162" s="57"/>
      <c r="H162" s="57"/>
      <c r="I162" s="57"/>
      <c r="J162" s="57"/>
      <c r="K162" s="57"/>
      <c r="L162" s="57"/>
      <c r="M162" s="57"/>
      <c r="N162" s="57"/>
      <c r="O162" s="57"/>
      <c r="P162" s="58"/>
      <c r="Q162" s="57"/>
      <c r="R162" s="57"/>
    </row>
    <row r="163" spans="5:18" x14ac:dyDescent="0.25">
      <c r="E163" s="57"/>
      <c r="F163" s="57"/>
      <c r="G163" s="57"/>
      <c r="H163" s="57"/>
      <c r="I163" s="57"/>
      <c r="J163" s="57"/>
      <c r="K163" s="57"/>
      <c r="L163" s="57"/>
      <c r="M163" s="57"/>
      <c r="N163" s="57"/>
      <c r="O163" s="57"/>
      <c r="P163" s="58"/>
      <c r="Q163" s="57"/>
      <c r="R163" s="57"/>
    </row>
    <row r="164" spans="5:18" x14ac:dyDescent="0.25">
      <c r="E164" s="57"/>
      <c r="F164" s="57"/>
      <c r="G164" s="57"/>
      <c r="H164" s="57"/>
      <c r="I164" s="57"/>
      <c r="J164" s="57"/>
      <c r="K164" s="57"/>
      <c r="L164" s="57"/>
      <c r="M164" s="57"/>
      <c r="N164" s="57"/>
      <c r="O164" s="57"/>
      <c r="P164" s="58"/>
      <c r="Q164" s="57"/>
      <c r="R164" s="57"/>
    </row>
    <row r="165" spans="5:18" x14ac:dyDescent="0.25">
      <c r="E165" s="57"/>
      <c r="F165" s="57"/>
      <c r="G165" s="57"/>
      <c r="H165" s="57"/>
      <c r="I165" s="57"/>
      <c r="J165" s="57"/>
      <c r="K165" s="57"/>
      <c r="L165" s="57"/>
      <c r="M165" s="57"/>
      <c r="N165" s="57"/>
      <c r="O165" s="57"/>
      <c r="P165" s="58"/>
      <c r="Q165" s="57"/>
      <c r="R165" s="57"/>
    </row>
    <row r="166" spans="5:18" x14ac:dyDescent="0.25">
      <c r="E166" s="57"/>
      <c r="F166" s="57"/>
      <c r="G166" s="57"/>
      <c r="H166" s="57"/>
      <c r="I166" s="57"/>
      <c r="J166" s="57"/>
      <c r="K166" s="57"/>
      <c r="L166" s="57"/>
      <c r="M166" s="57"/>
      <c r="N166" s="57"/>
      <c r="O166" s="57"/>
      <c r="P166" s="58"/>
      <c r="Q166" s="57"/>
      <c r="R166" s="57"/>
    </row>
    <row r="167" spans="5:18" x14ac:dyDescent="0.25">
      <c r="E167" s="57"/>
      <c r="F167" s="57"/>
      <c r="G167" s="57"/>
      <c r="H167" s="57"/>
      <c r="I167" s="57"/>
      <c r="J167" s="57"/>
      <c r="K167" s="57"/>
      <c r="L167" s="57"/>
      <c r="M167" s="57"/>
      <c r="N167" s="57"/>
      <c r="O167" s="57"/>
      <c r="P167" s="58"/>
      <c r="Q167" s="57"/>
      <c r="R167" s="57"/>
    </row>
    <row r="168" spans="5:18" x14ac:dyDescent="0.25">
      <c r="E168" s="57"/>
      <c r="F168" s="57"/>
      <c r="G168" s="57"/>
      <c r="H168" s="57"/>
      <c r="I168" s="57"/>
      <c r="J168" s="57"/>
      <c r="K168" s="57"/>
      <c r="L168" s="57"/>
      <c r="M168" s="57"/>
      <c r="N168" s="57"/>
      <c r="O168" s="57"/>
      <c r="P168" s="58"/>
      <c r="Q168" s="57"/>
      <c r="R168" s="57"/>
    </row>
    <row r="169" spans="5:18" x14ac:dyDescent="0.25">
      <c r="E169" s="57"/>
      <c r="F169" s="57"/>
      <c r="G169" s="57"/>
      <c r="H169" s="57"/>
      <c r="I169" s="57"/>
      <c r="J169" s="57"/>
      <c r="K169" s="57"/>
      <c r="L169" s="57"/>
      <c r="M169" s="57"/>
      <c r="N169" s="57"/>
      <c r="O169" s="57"/>
      <c r="P169" s="58"/>
      <c r="Q169" s="57"/>
      <c r="R169" s="57"/>
    </row>
    <row r="170" spans="5:18" x14ac:dyDescent="0.25">
      <c r="E170" s="57"/>
      <c r="F170" s="57"/>
      <c r="G170" s="57"/>
      <c r="H170" s="57"/>
      <c r="I170" s="57"/>
      <c r="J170" s="57"/>
      <c r="K170" s="57"/>
      <c r="L170" s="57"/>
      <c r="M170" s="57"/>
      <c r="N170" s="57"/>
      <c r="O170" s="57"/>
      <c r="P170" s="58"/>
      <c r="Q170" s="57"/>
      <c r="R170" s="57"/>
    </row>
    <row r="171" spans="5:18" x14ac:dyDescent="0.25">
      <c r="E171" s="57"/>
      <c r="F171" s="57"/>
      <c r="G171" s="57"/>
      <c r="H171" s="57"/>
      <c r="I171" s="57"/>
      <c r="J171" s="57"/>
      <c r="K171" s="57"/>
      <c r="L171" s="57"/>
      <c r="M171" s="57"/>
      <c r="N171" s="57"/>
      <c r="O171" s="57"/>
      <c r="P171" s="58"/>
      <c r="Q171" s="57"/>
      <c r="R171" s="57"/>
    </row>
    <row r="172" spans="5:18" x14ac:dyDescent="0.25">
      <c r="E172" s="57"/>
      <c r="F172" s="57"/>
      <c r="G172" s="57"/>
      <c r="H172" s="57"/>
      <c r="I172" s="57"/>
      <c r="J172" s="57"/>
      <c r="K172" s="57"/>
      <c r="L172" s="57"/>
      <c r="M172" s="57"/>
      <c r="N172" s="57"/>
      <c r="O172" s="57"/>
      <c r="P172" s="58"/>
      <c r="Q172" s="57"/>
      <c r="R172" s="57"/>
    </row>
    <row r="173" spans="5:18" x14ac:dyDescent="0.25">
      <c r="E173" s="57"/>
      <c r="F173" s="57"/>
      <c r="G173" s="57"/>
      <c r="H173" s="57"/>
      <c r="I173" s="57"/>
      <c r="J173" s="57"/>
      <c r="K173" s="57"/>
      <c r="L173" s="57"/>
      <c r="M173" s="57"/>
      <c r="N173" s="57"/>
      <c r="O173" s="57"/>
      <c r="P173" s="58"/>
      <c r="Q173" s="57"/>
      <c r="R173" s="57"/>
    </row>
    <row r="174" spans="5:18" x14ac:dyDescent="0.25">
      <c r="E174" s="57"/>
      <c r="F174" s="57"/>
      <c r="G174" s="57"/>
      <c r="H174" s="57"/>
      <c r="I174" s="57"/>
      <c r="J174" s="57"/>
      <c r="K174" s="57"/>
      <c r="L174" s="57"/>
      <c r="M174" s="57"/>
      <c r="N174" s="57"/>
      <c r="O174" s="57"/>
      <c r="P174" s="58"/>
      <c r="Q174" s="57"/>
      <c r="R174" s="57"/>
    </row>
    <row r="175" spans="5:18" x14ac:dyDescent="0.25">
      <c r="E175" s="57"/>
      <c r="F175" s="57"/>
      <c r="G175" s="57"/>
      <c r="H175" s="57"/>
      <c r="I175" s="57"/>
      <c r="J175" s="57"/>
      <c r="K175" s="57"/>
      <c r="L175" s="57"/>
      <c r="M175" s="57"/>
      <c r="N175" s="57"/>
      <c r="O175" s="57"/>
      <c r="P175" s="58"/>
      <c r="Q175" s="57"/>
      <c r="R175" s="57"/>
    </row>
    <row r="176" spans="5:18" x14ac:dyDescent="0.25">
      <c r="E176" s="57"/>
      <c r="F176" s="57"/>
      <c r="G176" s="57"/>
      <c r="H176" s="57"/>
      <c r="I176" s="57"/>
      <c r="J176" s="57"/>
      <c r="K176" s="57"/>
      <c r="L176" s="57"/>
      <c r="M176" s="57"/>
      <c r="N176" s="57"/>
      <c r="O176" s="57"/>
      <c r="P176" s="58"/>
      <c r="Q176" s="57"/>
      <c r="R176" s="57"/>
    </row>
    <row r="177" spans="5:18" x14ac:dyDescent="0.25">
      <c r="E177" s="57"/>
      <c r="F177" s="57"/>
      <c r="G177" s="57"/>
      <c r="H177" s="57"/>
      <c r="I177" s="57"/>
      <c r="J177" s="57"/>
      <c r="K177" s="57"/>
      <c r="L177" s="57"/>
      <c r="M177" s="57"/>
      <c r="N177" s="57"/>
      <c r="O177" s="57"/>
      <c r="P177" s="58"/>
      <c r="Q177" s="57"/>
      <c r="R177" s="57"/>
    </row>
    <row r="178" spans="5:18" x14ac:dyDescent="0.25">
      <c r="E178" s="57"/>
      <c r="F178" s="57"/>
      <c r="G178" s="57"/>
      <c r="H178" s="57"/>
      <c r="I178" s="57"/>
      <c r="J178" s="57"/>
      <c r="K178" s="57"/>
      <c r="L178" s="57"/>
      <c r="M178" s="57"/>
      <c r="N178" s="57"/>
      <c r="O178" s="57"/>
      <c r="P178" s="58"/>
      <c r="Q178" s="57"/>
      <c r="R178" s="57"/>
    </row>
    <row r="179" spans="5:18" x14ac:dyDescent="0.25">
      <c r="E179" s="57"/>
      <c r="F179" s="57"/>
      <c r="G179" s="57"/>
      <c r="H179" s="57"/>
      <c r="I179" s="57"/>
      <c r="J179" s="57"/>
      <c r="K179" s="57"/>
      <c r="L179" s="57"/>
      <c r="M179" s="57"/>
      <c r="N179" s="57"/>
      <c r="O179" s="57"/>
      <c r="P179" s="58"/>
      <c r="Q179" s="57"/>
      <c r="R179" s="57"/>
    </row>
    <row r="180" spans="5:18" x14ac:dyDescent="0.25">
      <c r="E180" s="57"/>
      <c r="F180" s="57"/>
      <c r="G180" s="57"/>
      <c r="H180" s="57"/>
      <c r="I180" s="57"/>
      <c r="J180" s="57"/>
      <c r="K180" s="57"/>
      <c r="L180" s="57"/>
      <c r="M180" s="57"/>
      <c r="N180" s="57"/>
      <c r="O180" s="57"/>
      <c r="P180" s="58"/>
      <c r="Q180" s="57"/>
      <c r="R180" s="57"/>
    </row>
    <row r="181" spans="5:18" x14ac:dyDescent="0.25">
      <c r="E181" s="57"/>
      <c r="F181" s="57"/>
      <c r="G181" s="57"/>
      <c r="H181" s="57"/>
      <c r="I181" s="57"/>
      <c r="J181" s="57"/>
      <c r="K181" s="57"/>
      <c r="L181" s="57"/>
      <c r="M181" s="57"/>
      <c r="N181" s="57"/>
      <c r="O181" s="57"/>
      <c r="P181" s="58"/>
      <c r="Q181" s="57"/>
      <c r="R181" s="57"/>
    </row>
    <row r="182" spans="5:18" x14ac:dyDescent="0.25">
      <c r="E182" s="57"/>
      <c r="F182" s="57"/>
      <c r="G182" s="57"/>
      <c r="H182" s="57"/>
      <c r="I182" s="57"/>
      <c r="J182" s="57"/>
      <c r="K182" s="57"/>
      <c r="L182" s="57"/>
      <c r="M182" s="57"/>
      <c r="N182" s="57"/>
      <c r="O182" s="57"/>
      <c r="P182" s="58"/>
      <c r="Q182" s="57"/>
      <c r="R182" s="57"/>
    </row>
    <row r="183" spans="5:18" x14ac:dyDescent="0.25">
      <c r="E183" s="57"/>
      <c r="F183" s="57"/>
      <c r="G183" s="57"/>
      <c r="H183" s="57"/>
      <c r="I183" s="57"/>
      <c r="J183" s="57"/>
      <c r="K183" s="57"/>
      <c r="L183" s="57"/>
      <c r="M183" s="57"/>
      <c r="N183" s="57"/>
      <c r="O183" s="57"/>
      <c r="P183" s="58"/>
      <c r="Q183" s="57"/>
      <c r="R183" s="57"/>
    </row>
    <row r="184" spans="5:18" x14ac:dyDescent="0.25">
      <c r="E184" s="57"/>
      <c r="F184" s="57"/>
      <c r="G184" s="57"/>
      <c r="H184" s="57"/>
      <c r="I184" s="57"/>
      <c r="J184" s="57"/>
      <c r="K184" s="57"/>
      <c r="L184" s="57"/>
      <c r="M184" s="57"/>
      <c r="N184" s="57"/>
      <c r="O184" s="57"/>
      <c r="P184" s="58"/>
      <c r="Q184" s="57"/>
      <c r="R184" s="57"/>
    </row>
    <row r="185" spans="5:18" x14ac:dyDescent="0.25">
      <c r="E185" s="57"/>
      <c r="F185" s="57"/>
      <c r="G185" s="57"/>
      <c r="H185" s="57"/>
      <c r="I185" s="57"/>
      <c r="J185" s="57"/>
      <c r="K185" s="57"/>
      <c r="L185" s="57"/>
      <c r="M185" s="57"/>
      <c r="N185" s="57"/>
      <c r="O185" s="57"/>
      <c r="P185" s="58"/>
      <c r="Q185" s="57"/>
      <c r="R185" s="57"/>
    </row>
    <row r="186" spans="5:18" x14ac:dyDescent="0.25">
      <c r="E186" s="57"/>
      <c r="F186" s="57"/>
      <c r="G186" s="57"/>
      <c r="H186" s="57"/>
      <c r="I186" s="57"/>
      <c r="J186" s="57"/>
      <c r="K186" s="57"/>
      <c r="L186" s="57"/>
      <c r="M186" s="57"/>
      <c r="N186" s="57"/>
      <c r="O186" s="57"/>
      <c r="P186" s="58"/>
      <c r="Q186" s="57"/>
      <c r="R186" s="57"/>
    </row>
    <row r="187" spans="5:18" x14ac:dyDescent="0.25">
      <c r="E187" s="57"/>
      <c r="F187" s="57"/>
      <c r="G187" s="57"/>
      <c r="H187" s="57"/>
      <c r="I187" s="57"/>
      <c r="J187" s="57"/>
      <c r="K187" s="57"/>
      <c r="L187" s="57"/>
      <c r="M187" s="57"/>
      <c r="N187" s="57"/>
      <c r="O187" s="57"/>
      <c r="P187" s="58"/>
      <c r="Q187" s="57"/>
      <c r="R187" s="57"/>
    </row>
    <row r="188" spans="5:18" x14ac:dyDescent="0.25">
      <c r="E188" s="57"/>
      <c r="F188" s="57"/>
      <c r="G188" s="57"/>
      <c r="H188" s="57"/>
      <c r="I188" s="57"/>
      <c r="J188" s="57"/>
      <c r="K188" s="57"/>
      <c r="L188" s="57"/>
      <c r="M188" s="57"/>
      <c r="N188" s="57"/>
      <c r="O188" s="57"/>
      <c r="P188" s="58"/>
      <c r="Q188" s="57"/>
      <c r="R188" s="57"/>
    </row>
    <row r="189" spans="5:18" x14ac:dyDescent="0.25">
      <c r="E189" s="57"/>
      <c r="F189" s="57"/>
      <c r="G189" s="57"/>
      <c r="H189" s="57"/>
      <c r="I189" s="57"/>
      <c r="J189" s="57"/>
      <c r="K189" s="57"/>
      <c r="L189" s="57"/>
      <c r="M189" s="57"/>
      <c r="N189" s="57"/>
      <c r="O189" s="57"/>
      <c r="P189" s="58"/>
      <c r="Q189" s="57"/>
      <c r="R189" s="57"/>
    </row>
    <row r="190" spans="5:18" x14ac:dyDescent="0.25">
      <c r="E190" s="57"/>
      <c r="F190" s="57"/>
      <c r="G190" s="57"/>
      <c r="H190" s="57"/>
      <c r="I190" s="57"/>
      <c r="J190" s="57"/>
      <c r="K190" s="57"/>
      <c r="L190" s="57"/>
      <c r="M190" s="57"/>
      <c r="N190" s="57"/>
      <c r="O190" s="57"/>
      <c r="P190" s="58"/>
      <c r="Q190" s="57"/>
      <c r="R190" s="57"/>
    </row>
    <row r="191" spans="5:18" x14ac:dyDescent="0.25">
      <c r="E191" s="57"/>
      <c r="F191" s="57"/>
      <c r="G191" s="57"/>
      <c r="H191" s="57"/>
      <c r="I191" s="57"/>
      <c r="J191" s="57"/>
      <c r="K191" s="57"/>
      <c r="L191" s="57"/>
      <c r="M191" s="57"/>
      <c r="N191" s="57"/>
      <c r="O191" s="57"/>
      <c r="P191" s="58"/>
      <c r="Q191" s="57"/>
      <c r="R191" s="57"/>
    </row>
    <row r="192" spans="5:18" x14ac:dyDescent="0.25">
      <c r="E192" s="57"/>
      <c r="F192" s="57"/>
      <c r="G192" s="57"/>
      <c r="H192" s="57"/>
      <c r="I192" s="57"/>
      <c r="J192" s="57"/>
      <c r="K192" s="57"/>
      <c r="L192" s="57"/>
      <c r="M192" s="57"/>
      <c r="N192" s="57"/>
      <c r="O192" s="57"/>
      <c r="P192" s="58"/>
      <c r="Q192" s="57"/>
      <c r="R192" s="57"/>
    </row>
    <row r="193" spans="5:18" x14ac:dyDescent="0.25">
      <c r="E193" s="57"/>
      <c r="F193" s="57"/>
      <c r="G193" s="57"/>
      <c r="H193" s="57"/>
      <c r="I193" s="57"/>
      <c r="J193" s="57"/>
      <c r="K193" s="57"/>
      <c r="L193" s="57"/>
      <c r="M193" s="57"/>
      <c r="N193" s="57"/>
      <c r="O193" s="57"/>
      <c r="P193" s="58"/>
      <c r="Q193" s="57"/>
      <c r="R193" s="57"/>
    </row>
    <row r="194" spans="5:18" x14ac:dyDescent="0.25">
      <c r="E194" s="57"/>
      <c r="F194" s="57"/>
      <c r="G194" s="57"/>
      <c r="H194" s="57"/>
      <c r="I194" s="57"/>
      <c r="J194" s="57"/>
      <c r="K194" s="57"/>
      <c r="L194" s="57"/>
      <c r="M194" s="57"/>
      <c r="N194" s="57"/>
      <c r="O194" s="57"/>
      <c r="P194" s="58"/>
      <c r="Q194" s="57"/>
      <c r="R194" s="57"/>
    </row>
    <row r="195" spans="5:18" x14ac:dyDescent="0.25">
      <c r="E195" s="57"/>
      <c r="F195" s="57"/>
      <c r="G195" s="57"/>
      <c r="H195" s="57"/>
      <c r="I195" s="57"/>
      <c r="J195" s="57"/>
      <c r="K195" s="57"/>
      <c r="L195" s="57"/>
      <c r="M195" s="57"/>
      <c r="N195" s="57"/>
      <c r="O195" s="57"/>
      <c r="P195" s="58"/>
      <c r="Q195" s="57"/>
      <c r="R195" s="57"/>
    </row>
    <row r="196" spans="5:18" x14ac:dyDescent="0.25">
      <c r="E196" s="57"/>
      <c r="F196" s="57"/>
      <c r="G196" s="57"/>
      <c r="H196" s="57"/>
      <c r="I196" s="57"/>
      <c r="J196" s="57"/>
      <c r="K196" s="57"/>
      <c r="L196" s="57"/>
      <c r="M196" s="57"/>
      <c r="N196" s="57"/>
      <c r="O196" s="57"/>
      <c r="P196" s="58"/>
      <c r="Q196" s="57"/>
      <c r="R196" s="57"/>
    </row>
    <row r="197" spans="5:18" x14ac:dyDescent="0.25">
      <c r="E197" s="57"/>
      <c r="F197" s="57"/>
      <c r="G197" s="57"/>
      <c r="H197" s="57"/>
      <c r="I197" s="57"/>
      <c r="J197" s="57"/>
      <c r="K197" s="57"/>
      <c r="L197" s="57"/>
      <c r="M197" s="57"/>
      <c r="N197" s="57"/>
      <c r="O197" s="57"/>
      <c r="P197" s="58"/>
      <c r="Q197" s="57"/>
      <c r="R197" s="57"/>
    </row>
    <row r="198" spans="5:18" x14ac:dyDescent="0.25">
      <c r="E198" s="57"/>
      <c r="F198" s="57"/>
      <c r="G198" s="57"/>
      <c r="H198" s="57"/>
      <c r="I198" s="57"/>
      <c r="J198" s="57"/>
      <c r="K198" s="57"/>
      <c r="L198" s="57"/>
      <c r="M198" s="57"/>
      <c r="N198" s="57"/>
      <c r="O198" s="57"/>
      <c r="P198" s="58"/>
      <c r="Q198" s="57"/>
      <c r="R198" s="57"/>
    </row>
    <row r="199" spans="5:18" x14ac:dyDescent="0.25">
      <c r="E199" s="57"/>
      <c r="F199" s="57"/>
      <c r="G199" s="57"/>
      <c r="H199" s="57"/>
      <c r="I199" s="57"/>
      <c r="J199" s="57"/>
      <c r="K199" s="57"/>
      <c r="L199" s="57"/>
      <c r="M199" s="57"/>
      <c r="N199" s="57"/>
      <c r="O199" s="57"/>
      <c r="P199" s="58"/>
      <c r="Q199" s="57"/>
      <c r="R199" s="57"/>
    </row>
    <row r="200" spans="5:18" x14ac:dyDescent="0.25">
      <c r="E200" s="57"/>
      <c r="F200" s="57"/>
      <c r="G200" s="57"/>
      <c r="H200" s="57"/>
      <c r="I200" s="57"/>
      <c r="J200" s="57"/>
      <c r="K200" s="57"/>
      <c r="L200" s="57"/>
      <c r="M200" s="57"/>
      <c r="N200" s="57"/>
      <c r="O200" s="57"/>
      <c r="P200" s="58"/>
      <c r="Q200" s="57"/>
      <c r="R200" s="57"/>
    </row>
    <row r="201" spans="5:18" x14ac:dyDescent="0.25">
      <c r="E201" s="57"/>
      <c r="F201" s="57"/>
      <c r="G201" s="57"/>
      <c r="H201" s="57"/>
      <c r="I201" s="57"/>
      <c r="J201" s="57"/>
      <c r="K201" s="57"/>
      <c r="L201" s="57"/>
      <c r="M201" s="57"/>
      <c r="N201" s="57"/>
      <c r="O201" s="57"/>
      <c r="P201" s="58"/>
      <c r="Q201" s="57"/>
      <c r="R201" s="57"/>
    </row>
    <row r="202" spans="5:18" x14ac:dyDescent="0.25">
      <c r="E202" s="57"/>
      <c r="F202" s="57"/>
      <c r="G202" s="57"/>
      <c r="H202" s="57"/>
      <c r="I202" s="57"/>
      <c r="J202" s="57"/>
      <c r="K202" s="57"/>
      <c r="L202" s="57"/>
      <c r="M202" s="57"/>
      <c r="N202" s="57"/>
      <c r="O202" s="57"/>
      <c r="P202" s="58"/>
      <c r="Q202" s="57"/>
      <c r="R202" s="57"/>
    </row>
    <row r="203" spans="5:18" x14ac:dyDescent="0.25">
      <c r="E203" s="57"/>
      <c r="F203" s="57"/>
      <c r="G203" s="57"/>
      <c r="H203" s="57"/>
      <c r="I203" s="57"/>
      <c r="J203" s="57"/>
      <c r="K203" s="57"/>
      <c r="L203" s="57"/>
      <c r="M203" s="57"/>
      <c r="N203" s="57"/>
      <c r="O203" s="57"/>
      <c r="P203" s="58"/>
      <c r="Q203" s="57"/>
      <c r="R203" s="57"/>
    </row>
    <row r="204" spans="5:18" x14ac:dyDescent="0.25">
      <c r="E204" s="57"/>
      <c r="F204" s="57"/>
      <c r="G204" s="57"/>
      <c r="H204" s="57"/>
      <c r="I204" s="57"/>
      <c r="J204" s="57"/>
      <c r="K204" s="57"/>
      <c r="L204" s="57"/>
      <c r="M204" s="57"/>
      <c r="N204" s="57"/>
      <c r="O204" s="57"/>
      <c r="P204" s="58"/>
      <c r="Q204" s="57"/>
      <c r="R204" s="57"/>
    </row>
    <row r="205" spans="5:18" x14ac:dyDescent="0.25">
      <c r="E205" s="57"/>
      <c r="F205" s="57"/>
      <c r="G205" s="57"/>
      <c r="H205" s="57"/>
      <c r="I205" s="57"/>
      <c r="J205" s="57"/>
      <c r="K205" s="57"/>
      <c r="L205" s="57"/>
      <c r="M205" s="57"/>
      <c r="N205" s="57"/>
      <c r="O205" s="57"/>
      <c r="P205" s="58"/>
      <c r="Q205" s="57"/>
      <c r="R205" s="57"/>
    </row>
    <row r="206" spans="5:18" x14ac:dyDescent="0.25">
      <c r="E206" s="57"/>
      <c r="F206" s="57"/>
      <c r="G206" s="57"/>
      <c r="H206" s="57"/>
      <c r="I206" s="57"/>
      <c r="J206" s="57"/>
      <c r="K206" s="57"/>
      <c r="L206" s="57"/>
      <c r="M206" s="57"/>
      <c r="N206" s="57"/>
      <c r="O206" s="57"/>
      <c r="P206" s="58"/>
      <c r="Q206" s="57"/>
      <c r="R206" s="57"/>
    </row>
    <row r="207" spans="5:18" x14ac:dyDescent="0.25">
      <c r="E207" s="57"/>
      <c r="F207" s="57"/>
      <c r="G207" s="57"/>
      <c r="H207" s="57"/>
      <c r="I207" s="57"/>
      <c r="J207" s="57"/>
      <c r="K207" s="57"/>
      <c r="L207" s="57"/>
      <c r="M207" s="57"/>
      <c r="N207" s="57"/>
      <c r="O207" s="57"/>
      <c r="P207" s="58"/>
      <c r="Q207" s="57"/>
      <c r="R207" s="57"/>
    </row>
    <row r="208" spans="5:18" x14ac:dyDescent="0.25">
      <c r="E208" s="57"/>
      <c r="F208" s="57"/>
      <c r="G208" s="57"/>
      <c r="H208" s="57"/>
      <c r="I208" s="57"/>
      <c r="J208" s="57"/>
      <c r="K208" s="57"/>
      <c r="L208" s="57"/>
      <c r="M208" s="57"/>
      <c r="N208" s="57"/>
      <c r="O208" s="57"/>
      <c r="P208" s="58"/>
      <c r="Q208" s="57"/>
      <c r="R208" s="57"/>
    </row>
    <row r="209" spans="5:18" x14ac:dyDescent="0.25">
      <c r="E209" s="57"/>
      <c r="F209" s="57"/>
      <c r="G209" s="57"/>
      <c r="H209" s="57"/>
      <c r="I209" s="57"/>
      <c r="J209" s="57"/>
      <c r="K209" s="57"/>
      <c r="L209" s="57"/>
      <c r="M209" s="57"/>
      <c r="N209" s="57"/>
      <c r="O209" s="57"/>
      <c r="P209" s="58"/>
      <c r="Q209" s="57"/>
      <c r="R209" s="57"/>
    </row>
    <row r="210" spans="5:18" x14ac:dyDescent="0.25">
      <c r="E210" s="57"/>
      <c r="F210" s="57"/>
      <c r="G210" s="57"/>
      <c r="H210" s="57"/>
      <c r="I210" s="57"/>
      <c r="J210" s="57"/>
      <c r="K210" s="57"/>
      <c r="L210" s="57"/>
      <c r="M210" s="57"/>
      <c r="N210" s="57"/>
      <c r="O210" s="57"/>
      <c r="P210" s="58"/>
      <c r="Q210" s="57"/>
      <c r="R210" s="57"/>
    </row>
    <row r="211" spans="5:18" x14ac:dyDescent="0.25">
      <c r="E211" s="57"/>
      <c r="F211" s="57"/>
      <c r="G211" s="57"/>
      <c r="H211" s="57"/>
      <c r="I211" s="57"/>
      <c r="J211" s="57"/>
      <c r="K211" s="57"/>
      <c r="L211" s="57"/>
      <c r="M211" s="57"/>
      <c r="N211" s="57"/>
      <c r="O211" s="57"/>
      <c r="P211" s="58"/>
      <c r="Q211" s="57"/>
      <c r="R211" s="57"/>
    </row>
    <row r="212" spans="5:18" x14ac:dyDescent="0.25">
      <c r="E212" s="57"/>
      <c r="F212" s="57"/>
      <c r="G212" s="57"/>
      <c r="H212" s="57"/>
      <c r="I212" s="57"/>
      <c r="J212" s="57"/>
      <c r="K212" s="57"/>
      <c r="L212" s="57"/>
      <c r="M212" s="57"/>
      <c r="N212" s="57"/>
      <c r="O212" s="57"/>
      <c r="P212" s="58"/>
      <c r="Q212" s="57"/>
      <c r="R212" s="57"/>
    </row>
    <row r="213" spans="5:18" x14ac:dyDescent="0.25">
      <c r="E213" s="57"/>
      <c r="F213" s="57"/>
      <c r="G213" s="57"/>
      <c r="H213" s="57"/>
      <c r="I213" s="57"/>
      <c r="J213" s="57"/>
      <c r="K213" s="57"/>
      <c r="L213" s="57"/>
      <c r="M213" s="57"/>
      <c r="N213" s="57"/>
      <c r="O213" s="57"/>
      <c r="P213" s="58"/>
      <c r="Q213" s="57"/>
      <c r="R213" s="57"/>
    </row>
    <row r="214" spans="5:18" x14ac:dyDescent="0.25">
      <c r="E214" s="57"/>
      <c r="F214" s="57"/>
      <c r="G214" s="57"/>
      <c r="H214" s="57"/>
      <c r="I214" s="57"/>
      <c r="J214" s="57"/>
      <c r="K214" s="57"/>
      <c r="L214" s="57"/>
      <c r="M214" s="57"/>
      <c r="N214" s="57"/>
      <c r="O214" s="57"/>
      <c r="P214" s="58"/>
      <c r="Q214" s="57"/>
      <c r="R214" s="57"/>
    </row>
    <row r="215" spans="5:18" x14ac:dyDescent="0.25">
      <c r="E215" s="57"/>
      <c r="F215" s="57"/>
      <c r="G215" s="57"/>
      <c r="H215" s="57"/>
      <c r="I215" s="57"/>
      <c r="J215" s="57"/>
      <c r="K215" s="57"/>
      <c r="L215" s="57"/>
      <c r="M215" s="57"/>
      <c r="N215" s="57"/>
      <c r="O215" s="57"/>
      <c r="P215" s="58"/>
      <c r="Q215" s="57"/>
      <c r="R215" s="57"/>
    </row>
    <row r="216" spans="5:18" x14ac:dyDescent="0.25">
      <c r="E216" s="57"/>
      <c r="F216" s="57"/>
      <c r="G216" s="57"/>
      <c r="H216" s="57"/>
      <c r="I216" s="57"/>
      <c r="J216" s="57"/>
      <c r="K216" s="57"/>
      <c r="L216" s="57"/>
      <c r="M216" s="57"/>
      <c r="N216" s="57"/>
      <c r="O216" s="57"/>
      <c r="P216" s="58"/>
      <c r="Q216" s="57"/>
      <c r="R216" s="57"/>
    </row>
    <row r="217" spans="5:18" x14ac:dyDescent="0.25">
      <c r="E217" s="57"/>
      <c r="F217" s="57"/>
      <c r="G217" s="57"/>
      <c r="H217" s="57"/>
      <c r="I217" s="57"/>
      <c r="J217" s="57"/>
      <c r="K217" s="57"/>
      <c r="L217" s="57"/>
      <c r="M217" s="57"/>
      <c r="N217" s="57"/>
      <c r="O217" s="57"/>
      <c r="P217" s="58"/>
      <c r="Q217" s="57"/>
      <c r="R217" s="57"/>
    </row>
    <row r="218" spans="5:18" x14ac:dyDescent="0.25">
      <c r="E218" s="57"/>
      <c r="F218" s="57"/>
      <c r="G218" s="57"/>
      <c r="H218" s="57"/>
      <c r="I218" s="57"/>
      <c r="J218" s="57"/>
      <c r="K218" s="57"/>
      <c r="L218" s="57"/>
      <c r="M218" s="57"/>
      <c r="N218" s="57"/>
      <c r="O218" s="57"/>
      <c r="P218" s="58"/>
      <c r="Q218" s="57"/>
      <c r="R218" s="57"/>
    </row>
    <row r="219" spans="5:18" x14ac:dyDescent="0.25">
      <c r="E219" s="57"/>
      <c r="F219" s="57"/>
      <c r="G219" s="57"/>
      <c r="H219" s="57"/>
      <c r="I219" s="57"/>
      <c r="J219" s="57"/>
      <c r="K219" s="57"/>
      <c r="L219" s="57"/>
      <c r="M219" s="57"/>
      <c r="N219" s="57"/>
      <c r="O219" s="57"/>
      <c r="P219" s="58"/>
      <c r="Q219" s="57"/>
      <c r="R219" s="57"/>
    </row>
    <row r="220" spans="5:18" x14ac:dyDescent="0.25">
      <c r="E220" s="57"/>
      <c r="F220" s="57"/>
      <c r="G220" s="57"/>
      <c r="H220" s="57"/>
      <c r="I220" s="57"/>
      <c r="J220" s="57"/>
      <c r="K220" s="57"/>
      <c r="L220" s="57"/>
      <c r="M220" s="57"/>
      <c r="N220" s="57"/>
      <c r="O220" s="57"/>
      <c r="P220" s="58"/>
      <c r="Q220" s="57"/>
      <c r="R220" s="57"/>
    </row>
    <row r="221" spans="5:18" x14ac:dyDescent="0.25">
      <c r="E221" s="57"/>
      <c r="F221" s="57"/>
      <c r="G221" s="57"/>
      <c r="H221" s="57"/>
      <c r="I221" s="57"/>
      <c r="J221" s="57"/>
      <c r="K221" s="57"/>
      <c r="L221" s="57"/>
      <c r="M221" s="57"/>
      <c r="N221" s="57"/>
      <c r="O221" s="57"/>
      <c r="P221" s="58"/>
      <c r="Q221" s="57"/>
      <c r="R221" s="57"/>
    </row>
    <row r="222" spans="5:18" x14ac:dyDescent="0.25">
      <c r="E222" s="57"/>
      <c r="F222" s="57"/>
      <c r="G222" s="57"/>
      <c r="H222" s="57"/>
      <c r="I222" s="57"/>
      <c r="J222" s="57"/>
      <c r="K222" s="57"/>
      <c r="L222" s="57"/>
      <c r="M222" s="57"/>
      <c r="N222" s="57"/>
      <c r="O222" s="57"/>
      <c r="P222" s="58"/>
      <c r="Q222" s="57"/>
      <c r="R222" s="57"/>
    </row>
    <row r="223" spans="5:18" x14ac:dyDescent="0.25">
      <c r="E223" s="57"/>
      <c r="F223" s="57"/>
      <c r="G223" s="57"/>
      <c r="H223" s="57"/>
      <c r="I223" s="57"/>
      <c r="J223" s="57"/>
      <c r="K223" s="57"/>
      <c r="L223" s="57"/>
      <c r="M223" s="57"/>
      <c r="N223" s="57"/>
      <c r="O223" s="57"/>
      <c r="P223" s="58"/>
      <c r="Q223" s="57"/>
      <c r="R223" s="57"/>
    </row>
    <row r="224" spans="5:18" x14ac:dyDescent="0.25">
      <c r="E224" s="57"/>
      <c r="F224" s="57"/>
      <c r="G224" s="57"/>
      <c r="H224" s="57"/>
      <c r="I224" s="57"/>
      <c r="J224" s="57"/>
      <c r="K224" s="57"/>
      <c r="L224" s="57"/>
      <c r="M224" s="57"/>
      <c r="N224" s="57"/>
      <c r="O224" s="57"/>
      <c r="P224" s="58"/>
      <c r="Q224" s="57"/>
      <c r="R224" s="57"/>
    </row>
    <row r="225" spans="5:18" x14ac:dyDescent="0.25">
      <c r="E225" s="57"/>
      <c r="F225" s="57"/>
      <c r="G225" s="57"/>
      <c r="H225" s="57"/>
      <c r="I225" s="57"/>
      <c r="J225" s="57"/>
      <c r="K225" s="57"/>
      <c r="L225" s="57"/>
      <c r="M225" s="57"/>
      <c r="N225" s="57"/>
      <c r="O225" s="57"/>
      <c r="P225" s="58"/>
      <c r="Q225" s="57"/>
      <c r="R225" s="57"/>
    </row>
    <row r="226" spans="5:18" x14ac:dyDescent="0.25">
      <c r="E226" s="57"/>
      <c r="F226" s="57"/>
      <c r="G226" s="57"/>
      <c r="H226" s="57"/>
      <c r="I226" s="57"/>
      <c r="J226" s="57"/>
      <c r="K226" s="57"/>
      <c r="L226" s="57"/>
      <c r="M226" s="57"/>
      <c r="N226" s="57"/>
      <c r="O226" s="57"/>
      <c r="P226" s="58"/>
      <c r="Q226" s="57"/>
      <c r="R226" s="57"/>
    </row>
    <row r="227" spans="5:18" x14ac:dyDescent="0.25">
      <c r="E227" s="57"/>
      <c r="F227" s="57"/>
      <c r="G227" s="57"/>
      <c r="H227" s="57"/>
      <c r="I227" s="57"/>
      <c r="J227" s="57"/>
      <c r="K227" s="57"/>
      <c r="L227" s="57"/>
      <c r="M227" s="57"/>
      <c r="N227" s="57"/>
      <c r="O227" s="57"/>
      <c r="P227" s="58"/>
      <c r="Q227" s="57"/>
      <c r="R227" s="57"/>
    </row>
    <row r="228" spans="5:18" x14ac:dyDescent="0.25">
      <c r="E228" s="57"/>
      <c r="F228" s="57"/>
      <c r="G228" s="57"/>
      <c r="H228" s="57"/>
      <c r="I228" s="57"/>
      <c r="J228" s="57"/>
      <c r="K228" s="57"/>
      <c r="L228" s="57"/>
      <c r="M228" s="57"/>
      <c r="N228" s="57"/>
      <c r="O228" s="57"/>
      <c r="P228" s="58"/>
      <c r="Q228" s="57"/>
      <c r="R228" s="57"/>
    </row>
    <row r="229" spans="5:18" x14ac:dyDescent="0.25">
      <c r="E229" s="57"/>
      <c r="F229" s="57"/>
      <c r="G229" s="57"/>
      <c r="H229" s="57"/>
      <c r="I229" s="57"/>
      <c r="J229" s="57"/>
      <c r="K229" s="57"/>
      <c r="L229" s="57"/>
      <c r="M229" s="57"/>
      <c r="N229" s="57"/>
      <c r="O229" s="57"/>
      <c r="P229" s="58"/>
      <c r="Q229" s="57"/>
      <c r="R229" s="57"/>
    </row>
    <row r="230" spans="5:18" x14ac:dyDescent="0.25">
      <c r="E230" s="57"/>
      <c r="F230" s="57"/>
      <c r="G230" s="57"/>
      <c r="H230" s="57"/>
      <c r="I230" s="57"/>
      <c r="J230" s="57"/>
      <c r="K230" s="57"/>
      <c r="L230" s="57"/>
      <c r="M230" s="57"/>
      <c r="N230" s="57"/>
      <c r="O230" s="57"/>
      <c r="P230" s="58"/>
      <c r="Q230" s="57"/>
      <c r="R230" s="57"/>
    </row>
    <row r="231" spans="5:18" x14ac:dyDescent="0.25">
      <c r="E231" s="57"/>
      <c r="F231" s="57"/>
      <c r="G231" s="57"/>
      <c r="H231" s="57"/>
      <c r="I231" s="57"/>
      <c r="J231" s="57"/>
      <c r="K231" s="57"/>
      <c r="L231" s="57"/>
      <c r="M231" s="57"/>
      <c r="N231" s="57"/>
      <c r="O231" s="57"/>
      <c r="P231" s="58"/>
      <c r="Q231" s="57"/>
      <c r="R231" s="57"/>
    </row>
    <row r="232" spans="5:18" x14ac:dyDescent="0.25">
      <c r="E232" s="57"/>
      <c r="F232" s="57"/>
      <c r="G232" s="57"/>
      <c r="H232" s="57"/>
      <c r="I232" s="57"/>
      <c r="J232" s="57"/>
      <c r="K232" s="57"/>
      <c r="L232" s="57"/>
      <c r="M232" s="57"/>
      <c r="N232" s="57"/>
      <c r="O232" s="57"/>
      <c r="P232" s="58"/>
      <c r="Q232" s="57"/>
      <c r="R232" s="57"/>
    </row>
    <row r="233" spans="5:18" x14ac:dyDescent="0.25">
      <c r="E233" s="57"/>
      <c r="F233" s="57"/>
      <c r="G233" s="57"/>
      <c r="H233" s="57"/>
      <c r="I233" s="57"/>
      <c r="J233" s="57"/>
      <c r="K233" s="57"/>
      <c r="L233" s="57"/>
      <c r="M233" s="57"/>
      <c r="N233" s="57"/>
      <c r="O233" s="57"/>
      <c r="P233" s="58"/>
      <c r="Q233" s="57"/>
      <c r="R233" s="57"/>
    </row>
    <row r="234" spans="5:18" x14ac:dyDescent="0.25">
      <c r="E234" s="57"/>
      <c r="F234" s="57"/>
      <c r="G234" s="57"/>
      <c r="H234" s="57"/>
      <c r="I234" s="57"/>
      <c r="J234" s="57"/>
      <c r="K234" s="57"/>
      <c r="L234" s="57"/>
      <c r="M234" s="57"/>
      <c r="N234" s="57"/>
      <c r="O234" s="57"/>
      <c r="P234" s="58"/>
      <c r="Q234" s="57"/>
      <c r="R234" s="57"/>
    </row>
    <row r="235" spans="5:18" x14ac:dyDescent="0.25">
      <c r="E235" s="57"/>
      <c r="F235" s="57"/>
      <c r="G235" s="57"/>
      <c r="H235" s="57"/>
      <c r="I235" s="57"/>
      <c r="J235" s="57"/>
      <c r="K235" s="57"/>
      <c r="L235" s="57"/>
      <c r="M235" s="57"/>
      <c r="N235" s="57"/>
      <c r="O235" s="57"/>
      <c r="P235" s="58"/>
      <c r="Q235" s="57"/>
      <c r="R235" s="57"/>
    </row>
    <row r="236" spans="5:18" x14ac:dyDescent="0.25">
      <c r="E236" s="57"/>
      <c r="F236" s="57"/>
      <c r="G236" s="57"/>
      <c r="H236" s="57"/>
      <c r="I236" s="57"/>
      <c r="J236" s="57"/>
      <c r="K236" s="57"/>
      <c r="L236" s="57"/>
      <c r="M236" s="57"/>
      <c r="N236" s="57"/>
      <c r="O236" s="57"/>
      <c r="P236" s="58"/>
      <c r="Q236" s="57"/>
      <c r="R236" s="57"/>
    </row>
    <row r="237" spans="5:18" x14ac:dyDescent="0.25">
      <c r="E237" s="57"/>
      <c r="F237" s="57"/>
      <c r="G237" s="57"/>
      <c r="H237" s="57"/>
      <c r="I237" s="57"/>
      <c r="J237" s="57"/>
      <c r="K237" s="57"/>
      <c r="L237" s="57"/>
      <c r="M237" s="57"/>
      <c r="N237" s="57"/>
      <c r="O237" s="57"/>
      <c r="P237" s="58"/>
      <c r="Q237" s="57"/>
      <c r="R237" s="57"/>
    </row>
    <row r="238" spans="5:18" x14ac:dyDescent="0.25">
      <c r="E238" s="57"/>
      <c r="F238" s="57"/>
      <c r="G238" s="57"/>
      <c r="H238" s="57"/>
      <c r="I238" s="57"/>
      <c r="J238" s="57"/>
      <c r="K238" s="57"/>
      <c r="L238" s="57"/>
      <c r="M238" s="57"/>
      <c r="N238" s="57"/>
      <c r="O238" s="57"/>
      <c r="P238" s="58"/>
      <c r="Q238" s="57"/>
      <c r="R238" s="57"/>
    </row>
    <row r="239" spans="5:18" x14ac:dyDescent="0.25">
      <c r="E239" s="57"/>
      <c r="F239" s="57"/>
      <c r="G239" s="57"/>
      <c r="H239" s="57"/>
      <c r="I239" s="57"/>
      <c r="J239" s="57"/>
      <c r="K239" s="57"/>
      <c r="L239" s="57"/>
      <c r="M239" s="57"/>
      <c r="N239" s="57"/>
      <c r="O239" s="57"/>
      <c r="P239" s="58"/>
      <c r="Q239" s="57"/>
      <c r="R239" s="57"/>
    </row>
    <row r="240" spans="5:18" x14ac:dyDescent="0.25">
      <c r="E240" s="57"/>
      <c r="F240" s="57"/>
      <c r="G240" s="57"/>
      <c r="H240" s="57"/>
      <c r="I240" s="57"/>
      <c r="J240" s="57"/>
      <c r="K240" s="57"/>
      <c r="L240" s="57"/>
      <c r="M240" s="57"/>
      <c r="N240" s="57"/>
      <c r="O240" s="57"/>
      <c r="P240" s="58"/>
      <c r="Q240" s="57"/>
      <c r="R240" s="57"/>
    </row>
    <row r="241" spans="5:18" x14ac:dyDescent="0.25">
      <c r="E241" s="57"/>
      <c r="F241" s="57"/>
      <c r="G241" s="57"/>
      <c r="H241" s="57"/>
      <c r="I241" s="57"/>
      <c r="J241" s="57"/>
      <c r="K241" s="57"/>
      <c r="L241" s="57"/>
      <c r="M241" s="57"/>
      <c r="N241" s="57"/>
      <c r="O241" s="57"/>
      <c r="P241" s="58"/>
      <c r="Q241" s="57"/>
      <c r="R241" s="57"/>
    </row>
    <row r="242" spans="5:18" x14ac:dyDescent="0.25">
      <c r="E242" s="57"/>
      <c r="F242" s="57"/>
      <c r="G242" s="57"/>
      <c r="H242" s="57"/>
      <c r="I242" s="57"/>
      <c r="J242" s="57"/>
      <c r="K242" s="57"/>
      <c r="L242" s="57"/>
      <c r="M242" s="57"/>
      <c r="N242" s="57"/>
      <c r="O242" s="57"/>
      <c r="P242" s="58"/>
      <c r="Q242" s="57"/>
      <c r="R242" s="57"/>
    </row>
    <row r="243" spans="5:18" x14ac:dyDescent="0.25">
      <c r="E243" s="57"/>
      <c r="F243" s="57"/>
      <c r="G243" s="57"/>
      <c r="H243" s="57"/>
      <c r="I243" s="57"/>
      <c r="J243" s="57"/>
      <c r="K243" s="57"/>
      <c r="L243" s="57"/>
      <c r="M243" s="57"/>
      <c r="N243" s="57"/>
      <c r="O243" s="57"/>
      <c r="P243" s="58"/>
      <c r="Q243" s="57"/>
      <c r="R243" s="57"/>
    </row>
  </sheetData>
  <hyperlinks>
    <hyperlink ref="E4" location="HarvestedAreas!A1" display="HarvestedAreas" xr:uid="{3551D91C-D18D-45F6-87B1-E35ECE9FD8DE}"/>
  </hyperlinks>
  <pageMargins left="0.7" right="0.7" top="0.75" bottom="0.7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88C3E66AB75547B18654CB199B37BE" ma:contentTypeVersion="11" ma:contentTypeDescription="Create a new document." ma:contentTypeScope="" ma:versionID="7f1abdd97311c1744583c626b9c5f5c9">
  <xsd:schema xmlns:xsd="http://www.w3.org/2001/XMLSchema" xmlns:xs="http://www.w3.org/2001/XMLSchema" xmlns:p="http://schemas.microsoft.com/office/2006/metadata/properties" xmlns:ns2="92e85fc9-c59d-4a6e-83f4-fc53e441d8c6" xmlns:ns3="3330e3f4-ca0a-4364-8b24-1b45af06b0ec" targetNamespace="http://schemas.microsoft.com/office/2006/metadata/properties" ma:root="true" ma:fieldsID="588be940771b406d9e0a693962564aa1" ns2:_="" ns3:_="">
    <xsd:import namespace="92e85fc9-c59d-4a6e-83f4-fc53e441d8c6"/>
    <xsd:import namespace="3330e3f4-ca0a-4364-8b24-1b45af06b0e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85fc9-c59d-4a6e-83f4-fc53e441d8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30e3f4-ca0a-4364-8b24-1b45af06b0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f47a410-6c15-4369-b8a8-064dc59b1aa6}" ma:internalName="TaxCatchAll" ma:showField="CatchAllData" ma:web="3330e3f4-ca0a-4364-8b24-1b45af06b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TaxCatchAll xmlns="3330e3f4-ca0a-4364-8b24-1b45af06b0ec" xsi:nil="true"/>
    <lcf76f155ced4ddcb4097134ff3c332f xmlns="92e85fc9-c59d-4a6e-83f4-fc53e441d8c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3C00506-6214-4FDB-97CA-B0E33E8C3A2B}">
  <ds:schemaRefs>
    <ds:schemaRef ds:uri="http://schemas.microsoft.com/sharepoint/v3/contenttype/forms"/>
  </ds:schemaRefs>
</ds:datastoreItem>
</file>

<file path=customXml/itemProps2.xml><?xml version="1.0" encoding="utf-8"?>
<ds:datastoreItem xmlns:ds="http://schemas.openxmlformats.org/officeDocument/2006/customXml" ds:itemID="{60B8C00E-2417-4A55-AFFC-ADDA881F124C}"/>
</file>

<file path=customXml/itemProps3.xml><?xml version="1.0" encoding="utf-8"?>
<ds:datastoreItem xmlns:ds="http://schemas.openxmlformats.org/officeDocument/2006/customXml" ds:itemID="{AB868C1E-7569-4632-B6B9-2BE0DFA4FAC3}">
  <ds:schemaRefs>
    <ds:schemaRef ds:uri="http://purl.org/dc/terms/"/>
    <ds:schemaRef ds:uri="http://purl.org/dc/elements/1.1/"/>
    <ds:schemaRef ds:uri="3330e3f4-ca0a-4364-8b24-1b45af06b0ec"/>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dcd07e8d-b5f9-4871-be7a-b103cd58b3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Couverture</vt:lpstr>
      <vt:lpstr>ProjectedP205_Consumption</vt:lpstr>
      <vt:lpstr>OCPMarketShares</vt:lpstr>
      <vt:lpstr>OCP_SalesProduct</vt:lpstr>
      <vt:lpstr>OCP_Crop mix</vt:lpstr>
      <vt:lpstr>Inputs &gt;</vt:lpstr>
      <vt:lpstr>RAR_OCP</vt:lpstr>
      <vt:lpstr>P2O5Consumption</vt:lpstr>
      <vt:lpstr>HarvestedAreas_TCD_Sudan</vt:lpstr>
      <vt:lpstr>HarvestedAreas</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Decombe.Timothee@bcg.com</dc:creator>
  <cp:keywords/>
  <dc:description/>
  <cp:lastModifiedBy>Leygonie, Marie</cp:lastModifiedBy>
  <cp:revision/>
  <dcterms:created xsi:type="dcterms:W3CDTF">2009-10-20T07:07:16Z</dcterms:created>
  <dcterms:modified xsi:type="dcterms:W3CDTF">2023-07-24T19:48:32Z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0x010100D3F270B43B0E1547BA757A34774E8227</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y fmtid="{D5CDD505-2E9C-101B-9397-08002B2CF9AE}" pid="8" name="MSIP_Label_b0d5c4f4-7a29-4385-b7a5-afbe2154ae6f_Enabled">
    <vt:lpwstr>true</vt:lpwstr>
  </property>
  <property fmtid="{D5CDD505-2E9C-101B-9397-08002B2CF9AE}" pid="9" name="MSIP_Label_b0d5c4f4-7a29-4385-b7a5-afbe2154ae6f_SetDate">
    <vt:lpwstr>2023-07-22T15:33:15Z</vt:lpwstr>
  </property>
  <property fmtid="{D5CDD505-2E9C-101B-9397-08002B2CF9AE}" pid="10" name="MSIP_Label_b0d5c4f4-7a29-4385-b7a5-afbe2154ae6f_Method">
    <vt:lpwstr>Standard</vt:lpwstr>
  </property>
  <property fmtid="{D5CDD505-2E9C-101B-9397-08002B2CF9AE}" pid="11" name="MSIP_Label_b0d5c4f4-7a29-4385-b7a5-afbe2154ae6f_Name">
    <vt:lpwstr>Confidential</vt:lpwstr>
  </property>
  <property fmtid="{D5CDD505-2E9C-101B-9397-08002B2CF9AE}" pid="12" name="MSIP_Label_b0d5c4f4-7a29-4385-b7a5-afbe2154ae6f_SiteId">
    <vt:lpwstr>2dfb2f0b-4d21-4268-9559-72926144c918</vt:lpwstr>
  </property>
  <property fmtid="{D5CDD505-2E9C-101B-9397-08002B2CF9AE}" pid="13" name="MSIP_Label_b0d5c4f4-7a29-4385-b7a5-afbe2154ae6f_ActionId">
    <vt:lpwstr>629c1fa7-8e53-4924-822b-7c1fd823fb60</vt:lpwstr>
  </property>
  <property fmtid="{D5CDD505-2E9C-101B-9397-08002B2CF9AE}" pid="14" name="MSIP_Label_b0d5c4f4-7a29-4385-b7a5-afbe2154ae6f_ContentBits">
    <vt:lpwstr>0</vt:lpwstr>
  </property>
  <property fmtid="{D5CDD505-2E9C-101B-9397-08002B2CF9AE}" pid="15" name="bcgClassification">
    <vt:lpwstr>bcgConfidential</vt:lpwstr>
  </property>
</Properties>
</file>