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bcgcloudeur.sharepoint.com/sites/265453-45/Shared Documents/07. FRP - Working Folders/04. Deliverables/04. Country excels/"/>
    </mc:Choice>
  </mc:AlternateContent>
  <xr:revisionPtr revIDLastSave="2" documentId="8_{29E61800-672F-49EE-A2A1-D41F951483F1}" xr6:coauthVersionLast="47" xr6:coauthVersionMax="47" xr10:uidLastSave="{753A13E9-8356-4CF1-8D51-A521B9BA0DF7}"/>
  <bookViews>
    <workbookView xWindow="-10785" yWindow="-21720" windowWidth="51840" windowHeight="21240" tabRatio="961" activeTab="1" xr2:uid="{00000000-000D-0000-FFFF-FFFF00000000}"/>
  </bookViews>
  <sheets>
    <sheet name="Couverture" sheetId="14" r:id="rId1"/>
    <sheet name="ProjectedP205_Consumption" sheetId="49" r:id="rId2"/>
    <sheet name="OCPMarketShares" sheetId="54" r:id="rId3"/>
    <sheet name="OCP_SalesProduct" sheetId="67" r:id="rId4"/>
    <sheet name="OCP_CropsMix " sheetId="72" r:id="rId5"/>
    <sheet name="Potential commercial farms" sheetId="74" r:id="rId6"/>
    <sheet name="Investments &amp; capabilities" sheetId="75" r:id="rId7"/>
    <sheet name="Inputs &gt;" sheetId="42" r:id="rId8"/>
    <sheet name="RAR_OCP" sheetId="64" r:id="rId9"/>
    <sheet name="P2O5Consumption" sheetId="55" r:id="rId10"/>
    <sheet name="HarvestedAreas_TCD_Uganda" sheetId="71" r:id="rId11"/>
    <sheet name="Harvested areas U" sheetId="68" r:id="rId12"/>
  </sheets>
  <externalReferences>
    <externalReference r:id="rId13"/>
    <externalReference r:id="rId14"/>
    <externalReference r:id="rId15"/>
    <externalReference r:id="rId16"/>
    <externalReference r:id="rId17"/>
  </externalReferences>
  <definedNames>
    <definedName name="AS2DocOpenMode" hidden="1">"AS2DocumentEdit"</definedName>
    <definedName name="DATA">#REF!</definedName>
    <definedName name="Exports" localSheetId="6">_xlfn.IFS('[1]Data Dashboard'!#REF!=1,-'[1]Data Dashboard'!$D$20:$Q$20,'[1]Data Dashboard'!#REF!=2,0,'[1]Data Dashboard'!#REF!=3,'[1]Data Dashboard'!$D$20:$Q$20)</definedName>
    <definedName name="Exports" localSheetId="4">_xlfn.IFS('[1]Data Dashboard'!#REF!=1,-'[1]Data Dashboard'!$D$20:$Q$20,'[1]Data Dashboard'!#REF!=2,0,'[1]Data Dashboard'!#REF!=3,'[1]Data Dashboard'!$D$20:$Q$20)</definedName>
    <definedName name="Exports" localSheetId="3">_xlfn.IFS('[1]Data Dashboard'!#REF!=1,-'[1]Data Dashboard'!$D$20:$Q$20,'[1]Data Dashboard'!#REF!=2,0,'[1]Data Dashboard'!#REF!=3,'[1]Data Dashboard'!$D$20:$Q$20)</definedName>
    <definedName name="Exports" localSheetId="5">_xlfn.IFS('[1]Data Dashboard'!#REF!=1,-'[1]Data Dashboard'!$D$20:$Q$20,'[1]Data Dashboard'!#REF!=2,0,'[1]Data Dashboard'!#REF!=3,'[1]Data Dashboard'!$D$20:$Q$20)</definedName>
    <definedName name="Exports">_xlfn.IFS('[1]Data Dashboard'!#REF!=1,-'[1]Data Dashboard'!$D$20:$Q$20,'[1]Data Dashboard'!#REF!=2,0,'[1]Data Dashboard'!#REF!=3,'[1]Data Dashboard'!$D$20:$Q$20)</definedName>
    <definedName name="ExternalData_1" localSheetId="11" hidden="1">'Harvested areas U'!$A$1:$N$186</definedName>
    <definedName name="icité" localSheetId="6">#REF!</definedName>
    <definedName name="icité" localSheetId="4">#REF!</definedName>
    <definedName name="icité" localSheetId="5">#REF!</definedName>
    <definedName name="icité">#REF!</definedName>
    <definedName name="Imports" localSheetId="6">IF('[1]Data Dashboard'!#REF!&lt;3,'[1]Data Dashboard'!$D$19:$Q$19,0)</definedName>
    <definedName name="Imports" localSheetId="4">IF('[1]Data Dashboard'!#REF!&lt;3,'[1]Data Dashboard'!$D$19:$Q$19,0)</definedName>
    <definedName name="Imports" localSheetId="3">IF('[1]Data Dashboard'!#REF!&lt;3,'[1]Data Dashboard'!$D$19:$Q$19,0)</definedName>
    <definedName name="Imports" localSheetId="5">IF('[1]Data Dashboard'!#REF!&lt;3,'[1]Data Dashboard'!$D$19:$Q$19,0)</definedName>
    <definedName name="Imports">IF('[1]Data Dashboard'!#REF!&lt;3,'[1]Data Dashboard'!$D$19:$Q$19,0)</definedName>
    <definedName name="Sub_Region">[2]CONTROL!$J$3:$J$25</definedName>
    <definedName name="Title" localSheetId="6">[3]Couverture!$C$2</definedName>
    <definedName name="Title" localSheetId="4">[4]Couverture!$C$2</definedName>
    <definedName name="Title" localSheetId="3">[5]Couverture!$C$2</definedName>
    <definedName name="Title" localSheetId="5">[4]Couverture!$C$2</definedName>
    <definedName name="Title">Couverture!$C$2</definedName>
  </definedNames>
  <calcPr calcId="191028"/>
  <pivotCaches>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1" i="72" l="1"/>
  <c r="G90" i="72"/>
  <c r="G89" i="72"/>
  <c r="G88" i="72"/>
  <c r="G87" i="72"/>
  <c r="G86" i="72"/>
  <c r="G85" i="72"/>
  <c r="G84" i="72"/>
  <c r="G83" i="72"/>
  <c r="G82" i="72"/>
  <c r="G81" i="72"/>
  <c r="G80" i="72"/>
  <c r="G79" i="72"/>
  <c r="G78" i="72"/>
  <c r="G77" i="72"/>
  <c r="G76" i="72"/>
  <c r="G75" i="72"/>
  <c r="G74" i="72"/>
  <c r="G73" i="72"/>
  <c r="G72" i="72"/>
  <c r="G71" i="72"/>
  <c r="G70" i="72"/>
  <c r="G69" i="72"/>
  <c r="G68" i="72"/>
  <c r="D91" i="72"/>
  <c r="F91" i="72"/>
  <c r="E91" i="72"/>
  <c r="F90" i="72"/>
  <c r="E90" i="72"/>
  <c r="F89" i="72"/>
  <c r="E89" i="72"/>
  <c r="F88" i="72"/>
  <c r="E88" i="72"/>
  <c r="F87" i="72"/>
  <c r="E87" i="72"/>
  <c r="F86" i="72"/>
  <c r="E86" i="72"/>
  <c r="F85" i="72"/>
  <c r="E85" i="72"/>
  <c r="F84" i="72"/>
  <c r="E84" i="72"/>
  <c r="F83" i="72"/>
  <c r="E83" i="72"/>
  <c r="F82" i="72"/>
  <c r="E82" i="72"/>
  <c r="F81" i="72"/>
  <c r="E81" i="72"/>
  <c r="F80" i="72"/>
  <c r="E80" i="72"/>
  <c r="F79" i="72"/>
  <c r="E79" i="72"/>
  <c r="F78" i="72"/>
  <c r="E78" i="72"/>
  <c r="F77" i="72"/>
  <c r="E77" i="72"/>
  <c r="F76" i="72"/>
  <c r="E76" i="72"/>
  <c r="F75" i="72"/>
  <c r="E75" i="72"/>
  <c r="F74" i="72"/>
  <c r="E74" i="72"/>
  <c r="F73" i="72"/>
  <c r="E73" i="72"/>
  <c r="F72" i="72"/>
  <c r="E72" i="72"/>
  <c r="F71" i="72"/>
  <c r="E71" i="72"/>
  <c r="F70" i="72"/>
  <c r="E70" i="72"/>
  <c r="F69" i="72"/>
  <c r="E69" i="72"/>
  <c r="F68" i="72"/>
  <c r="E68" i="72"/>
  <c r="D90" i="72"/>
  <c r="D89" i="72"/>
  <c r="D88" i="72"/>
  <c r="D87" i="72"/>
  <c r="D86" i="72"/>
  <c r="D85" i="72"/>
  <c r="D84" i="72"/>
  <c r="D83" i="72"/>
  <c r="D82" i="72"/>
  <c r="D81" i="72"/>
  <c r="D80" i="72"/>
  <c r="D79" i="72"/>
  <c r="D78" i="72"/>
  <c r="D77" i="72"/>
  <c r="D76" i="72"/>
  <c r="D75" i="72"/>
  <c r="D74" i="72"/>
  <c r="D73" i="72"/>
  <c r="D72" i="72"/>
  <c r="D71" i="72"/>
  <c r="D70" i="72"/>
  <c r="D69" i="72"/>
  <c r="D68" i="72"/>
  <c r="O53" i="75" l="1"/>
  <c r="N53" i="75"/>
  <c r="M53" i="75"/>
  <c r="L53" i="75"/>
  <c r="K53" i="75"/>
  <c r="J52" i="75"/>
  <c r="P53" i="75" s="1"/>
  <c r="F52" i="75"/>
  <c r="D48" i="75"/>
  <c r="C48" i="75"/>
  <c r="O47" i="75"/>
  <c r="N47" i="75"/>
  <c r="M47" i="75"/>
  <c r="K47" i="75"/>
  <c r="D47" i="75"/>
  <c r="L47" i="75" s="1"/>
  <c r="C47" i="75"/>
  <c r="J46" i="75"/>
  <c r="P47" i="75" s="1"/>
  <c r="H46" i="75"/>
  <c r="P44" i="75"/>
  <c r="M44" i="75"/>
  <c r="M54" i="75" s="1"/>
  <c r="E16" i="75" s="1"/>
  <c r="L44" i="75"/>
  <c r="J43" i="75"/>
  <c r="I43" i="75"/>
  <c r="O44" i="75" s="1"/>
  <c r="O54" i="75" s="1"/>
  <c r="G16" i="75" s="1"/>
  <c r="H43" i="75"/>
  <c r="N44" i="75" s="1"/>
  <c r="N54" i="75" s="1"/>
  <c r="F16" i="75" s="1"/>
  <c r="G43" i="75"/>
  <c r="F43" i="75"/>
  <c r="E43" i="75"/>
  <c r="K44" i="75" s="1"/>
  <c r="K54" i="75" s="1"/>
  <c r="C16" i="75" s="1"/>
  <c r="J42" i="75"/>
  <c r="H42" i="75"/>
  <c r="P31" i="75"/>
  <c r="H15" i="75" s="1"/>
  <c r="O31" i="75"/>
  <c r="G15" i="75" s="1"/>
  <c r="N31" i="75"/>
  <c r="F15" i="75" s="1"/>
  <c r="D31" i="75"/>
  <c r="C31" i="75"/>
  <c r="M31" i="75" s="1"/>
  <c r="E15" i="75" s="1"/>
  <c r="P24" i="75"/>
  <c r="O24" i="75"/>
  <c r="G14" i="75" s="1"/>
  <c r="N24" i="75"/>
  <c r="F14" i="75" s="1"/>
  <c r="M24" i="75"/>
  <c r="L24" i="75"/>
  <c r="K24" i="75"/>
  <c r="P23" i="75"/>
  <c r="O23" i="75"/>
  <c r="N23" i="75"/>
  <c r="M23" i="75"/>
  <c r="E13" i="75" s="1"/>
  <c r="E17" i="75" s="1"/>
  <c r="E18" i="75" s="1"/>
  <c r="L23" i="75"/>
  <c r="D13" i="75" s="1"/>
  <c r="K23" i="75"/>
  <c r="H14" i="75"/>
  <c r="E14" i="75"/>
  <c r="D14" i="75"/>
  <c r="C14" i="75"/>
  <c r="H13" i="75"/>
  <c r="G13" i="75"/>
  <c r="F13" i="75"/>
  <c r="C13" i="75"/>
  <c r="L54" i="75" l="1"/>
  <c r="D16" i="75" s="1"/>
  <c r="F17" i="75"/>
  <c r="F18" i="75" s="1"/>
  <c r="G17" i="75"/>
  <c r="G18" i="75" s="1"/>
  <c r="D17" i="75"/>
  <c r="P54" i="75"/>
  <c r="H16" i="75" s="1"/>
  <c r="H17" i="75" s="1"/>
  <c r="H18" i="75" s="1"/>
  <c r="K31" i="75"/>
  <c r="C15" i="75" s="1"/>
  <c r="C17" i="75" s="1"/>
  <c r="L31" i="75"/>
  <c r="D15" i="75" s="1"/>
  <c r="I104" i="49" l="1"/>
  <c r="N112" i="67" l="1"/>
  <c r="M112" i="67"/>
  <c r="L112" i="67"/>
  <c r="K112" i="67"/>
  <c r="H112" i="67"/>
  <c r="G112" i="67"/>
  <c r="F112" i="67"/>
  <c r="E112" i="67"/>
  <c r="E100" i="67"/>
  <c r="N100" i="67"/>
  <c r="M100" i="67"/>
  <c r="L100" i="67"/>
  <c r="K100" i="67"/>
  <c r="H100" i="67"/>
  <c r="G100" i="67"/>
  <c r="F100" i="67"/>
  <c r="AT36" i="67"/>
  <c r="AS36" i="67"/>
  <c r="AR36" i="67"/>
  <c r="AT33" i="67"/>
  <c r="AS33" i="67"/>
  <c r="AR33" i="67"/>
  <c r="AT24" i="67"/>
  <c r="AS24" i="67"/>
  <c r="AR24" i="67"/>
  <c r="AT21" i="67"/>
  <c r="AS21" i="67"/>
  <c r="AR21" i="67"/>
  <c r="E21" i="67"/>
  <c r="L60" i="67"/>
  <c r="K60" i="67"/>
  <c r="J60" i="67"/>
  <c r="L59" i="67"/>
  <c r="K59" i="67"/>
  <c r="J59" i="67"/>
  <c r="L58" i="67"/>
  <c r="K58" i="67"/>
  <c r="J58" i="67"/>
  <c r="L57" i="67"/>
  <c r="K57" i="67"/>
  <c r="J57" i="67"/>
  <c r="L50" i="67"/>
  <c r="K50" i="67"/>
  <c r="J50" i="67"/>
  <c r="L49" i="67"/>
  <c r="K49" i="67"/>
  <c r="J49" i="67"/>
  <c r="L48" i="67"/>
  <c r="K48" i="67"/>
  <c r="J48" i="67"/>
  <c r="L47" i="67"/>
  <c r="K47" i="67"/>
  <c r="J47" i="67"/>
  <c r="G36" i="67"/>
  <c r="F36" i="67"/>
  <c r="E36" i="67"/>
  <c r="G33" i="67"/>
  <c r="F33" i="67"/>
  <c r="E33" i="67"/>
  <c r="G24" i="67"/>
  <c r="F24" i="67"/>
  <c r="E24" i="67"/>
  <c r="G21" i="67"/>
  <c r="F21" i="67"/>
  <c r="U268" i="67"/>
  <c r="T268" i="67"/>
  <c r="S268" i="67"/>
  <c r="R268" i="67"/>
  <c r="Q268" i="67"/>
  <c r="P268" i="67"/>
  <c r="O268" i="67"/>
  <c r="N268" i="67"/>
  <c r="M268" i="67"/>
  <c r="L268" i="67"/>
  <c r="K268" i="67"/>
  <c r="J268" i="67"/>
  <c r="U267" i="67"/>
  <c r="T267" i="67"/>
  <c r="S267" i="67"/>
  <c r="R267" i="67"/>
  <c r="Q267" i="67"/>
  <c r="P267" i="67"/>
  <c r="O267" i="67"/>
  <c r="N267" i="67"/>
  <c r="M267" i="67"/>
  <c r="L267" i="67"/>
  <c r="K267" i="67"/>
  <c r="J267" i="67"/>
  <c r="U266" i="67"/>
  <c r="T266" i="67"/>
  <c r="S266" i="67"/>
  <c r="R266" i="67"/>
  <c r="Q266" i="67"/>
  <c r="P266" i="67"/>
  <c r="O266" i="67"/>
  <c r="N266" i="67"/>
  <c r="M266" i="67"/>
  <c r="L266" i="67"/>
  <c r="K266" i="67"/>
  <c r="J266" i="67"/>
  <c r="U265" i="67"/>
  <c r="T265" i="67"/>
  <c r="S265" i="67"/>
  <c r="R265" i="67"/>
  <c r="Q265" i="67"/>
  <c r="P265" i="67"/>
  <c r="O265" i="67"/>
  <c r="N265" i="67"/>
  <c r="M265" i="67"/>
  <c r="L265" i="67"/>
  <c r="K265" i="67"/>
  <c r="J265" i="67"/>
  <c r="U264" i="67"/>
  <c r="T264" i="67"/>
  <c r="S264" i="67"/>
  <c r="R264" i="67"/>
  <c r="Q264" i="67"/>
  <c r="P264" i="67"/>
  <c r="O264" i="67"/>
  <c r="N264" i="67"/>
  <c r="M264" i="67"/>
  <c r="L264" i="67"/>
  <c r="K264" i="67"/>
  <c r="J264" i="67"/>
  <c r="U263" i="67"/>
  <c r="T263" i="67"/>
  <c r="S263" i="67"/>
  <c r="R263" i="67"/>
  <c r="Q263" i="67"/>
  <c r="P263" i="67"/>
  <c r="O263" i="67"/>
  <c r="N263" i="67"/>
  <c r="M263" i="67"/>
  <c r="L263" i="67"/>
  <c r="K263" i="67"/>
  <c r="J263" i="67"/>
  <c r="U262" i="67"/>
  <c r="T262" i="67"/>
  <c r="S262" i="67"/>
  <c r="R262" i="67"/>
  <c r="Q262" i="67"/>
  <c r="P262" i="67"/>
  <c r="O262" i="67"/>
  <c r="N262" i="67"/>
  <c r="M262" i="67"/>
  <c r="L262" i="67"/>
  <c r="K262" i="67"/>
  <c r="J262" i="67"/>
  <c r="U261" i="67"/>
  <c r="T261" i="67"/>
  <c r="S261" i="67"/>
  <c r="R261" i="67"/>
  <c r="Q261" i="67"/>
  <c r="P261" i="67"/>
  <c r="O261" i="67"/>
  <c r="N261" i="67"/>
  <c r="M261" i="67"/>
  <c r="L261" i="67"/>
  <c r="K261" i="67"/>
  <c r="J261" i="67"/>
  <c r="U260" i="67"/>
  <c r="T260" i="67"/>
  <c r="S260" i="67"/>
  <c r="R260" i="67"/>
  <c r="Q260" i="67"/>
  <c r="P260" i="67"/>
  <c r="O260" i="67"/>
  <c r="N260" i="67"/>
  <c r="M260" i="67"/>
  <c r="L260" i="67"/>
  <c r="K260" i="67"/>
  <c r="J260" i="67"/>
  <c r="U259" i="67"/>
  <c r="T259" i="67"/>
  <c r="S259" i="67"/>
  <c r="R259" i="67"/>
  <c r="Q259" i="67"/>
  <c r="P259" i="67"/>
  <c r="O259" i="67"/>
  <c r="N259" i="67"/>
  <c r="M259" i="67"/>
  <c r="L259" i="67"/>
  <c r="K259" i="67"/>
  <c r="J259" i="67"/>
  <c r="U258" i="67"/>
  <c r="T258" i="67"/>
  <c r="S258" i="67"/>
  <c r="R258" i="67"/>
  <c r="Q258" i="67"/>
  <c r="P258" i="67"/>
  <c r="O258" i="67"/>
  <c r="N258" i="67"/>
  <c r="M258" i="67"/>
  <c r="L258" i="67"/>
  <c r="K258" i="67"/>
  <c r="J258" i="67"/>
  <c r="U257" i="67"/>
  <c r="T257" i="67"/>
  <c r="S257" i="67"/>
  <c r="R257" i="67"/>
  <c r="Q257" i="67"/>
  <c r="P257" i="67"/>
  <c r="O257" i="67"/>
  <c r="N257" i="67"/>
  <c r="M257" i="67"/>
  <c r="L257" i="67"/>
  <c r="K257" i="67"/>
  <c r="J257" i="67"/>
  <c r="U256" i="67"/>
  <c r="T256" i="67"/>
  <c r="S256" i="67"/>
  <c r="R256" i="67"/>
  <c r="Q256" i="67"/>
  <c r="P256" i="67"/>
  <c r="O256" i="67"/>
  <c r="N256" i="67"/>
  <c r="M256" i="67"/>
  <c r="L256" i="67"/>
  <c r="K256" i="67"/>
  <c r="J256" i="67"/>
  <c r="U255" i="67"/>
  <c r="T255" i="67"/>
  <c r="S255" i="67"/>
  <c r="R255" i="67"/>
  <c r="Q255" i="67"/>
  <c r="P255" i="67"/>
  <c r="O255" i="67"/>
  <c r="N255" i="67"/>
  <c r="M255" i="67"/>
  <c r="L255" i="67"/>
  <c r="K255" i="67"/>
  <c r="J255" i="67"/>
  <c r="U254" i="67"/>
  <c r="T254" i="67"/>
  <c r="S254" i="67"/>
  <c r="R254" i="67"/>
  <c r="Q254" i="67"/>
  <c r="P254" i="67"/>
  <c r="O254" i="67"/>
  <c r="N254" i="67"/>
  <c r="M254" i="67"/>
  <c r="L254" i="67"/>
  <c r="K254" i="67"/>
  <c r="J254" i="67"/>
  <c r="U253" i="67"/>
  <c r="T253" i="67"/>
  <c r="S253" i="67"/>
  <c r="R253" i="67"/>
  <c r="Q253" i="67"/>
  <c r="P253" i="67"/>
  <c r="O253" i="67"/>
  <c r="N253" i="67"/>
  <c r="M253" i="67"/>
  <c r="L253" i="67"/>
  <c r="K253" i="67"/>
  <c r="J253" i="67"/>
  <c r="U252" i="67"/>
  <c r="T252" i="67"/>
  <c r="S252" i="67"/>
  <c r="R252" i="67"/>
  <c r="Q252" i="67"/>
  <c r="P252" i="67"/>
  <c r="O252" i="67"/>
  <c r="N252" i="67"/>
  <c r="M252" i="67"/>
  <c r="L252" i="67"/>
  <c r="K252" i="67"/>
  <c r="J252" i="67"/>
  <c r="U251" i="67"/>
  <c r="T251" i="67"/>
  <c r="S251" i="67"/>
  <c r="R251" i="67"/>
  <c r="Q251" i="67"/>
  <c r="P251" i="67"/>
  <c r="O251" i="67"/>
  <c r="N251" i="67"/>
  <c r="M251" i="67"/>
  <c r="L251" i="67"/>
  <c r="K251" i="67"/>
  <c r="J251" i="67"/>
  <c r="U250" i="67"/>
  <c r="T250" i="67"/>
  <c r="S250" i="67"/>
  <c r="R250" i="67"/>
  <c r="Q250" i="67"/>
  <c r="P250" i="67"/>
  <c r="O250" i="67"/>
  <c r="N250" i="67"/>
  <c r="M250" i="67"/>
  <c r="L250" i="67"/>
  <c r="K250" i="67"/>
  <c r="J250" i="67"/>
  <c r="U249" i="67"/>
  <c r="T249" i="67"/>
  <c r="S249" i="67"/>
  <c r="R249" i="67"/>
  <c r="Q249" i="67"/>
  <c r="P249" i="67"/>
  <c r="O249" i="67"/>
  <c r="N249" i="67"/>
  <c r="M249" i="67"/>
  <c r="L249" i="67"/>
  <c r="K249" i="67"/>
  <c r="J249" i="67"/>
  <c r="U248" i="67"/>
  <c r="T248" i="67"/>
  <c r="S248" i="67"/>
  <c r="R248" i="67"/>
  <c r="Q248" i="67"/>
  <c r="P248" i="67"/>
  <c r="O248" i="67"/>
  <c r="N248" i="67"/>
  <c r="M248" i="67"/>
  <c r="L248" i="67"/>
  <c r="K248" i="67"/>
  <c r="J248" i="67"/>
  <c r="U247" i="67"/>
  <c r="T247" i="67"/>
  <c r="S247" i="67"/>
  <c r="R247" i="67"/>
  <c r="Q247" i="67"/>
  <c r="P247" i="67"/>
  <c r="O247" i="67"/>
  <c r="N247" i="67"/>
  <c r="M247" i="67"/>
  <c r="L247" i="67"/>
  <c r="K247" i="67"/>
  <c r="J247" i="67"/>
  <c r="U246" i="67"/>
  <c r="T246" i="67"/>
  <c r="S246" i="67"/>
  <c r="R246" i="67"/>
  <c r="Q246" i="67"/>
  <c r="P246" i="67"/>
  <c r="O246" i="67"/>
  <c r="N246" i="67"/>
  <c r="M246" i="67"/>
  <c r="L246" i="67"/>
  <c r="K246" i="67"/>
  <c r="J246" i="67"/>
  <c r="U245" i="67"/>
  <c r="T245" i="67"/>
  <c r="S245" i="67"/>
  <c r="R245" i="67"/>
  <c r="Q245" i="67"/>
  <c r="P245" i="67"/>
  <c r="O245" i="67"/>
  <c r="N245" i="67"/>
  <c r="M245" i="67"/>
  <c r="L245" i="67"/>
  <c r="K245" i="67"/>
  <c r="J245" i="67"/>
  <c r="U240" i="67"/>
  <c r="T240" i="67"/>
  <c r="S240" i="67"/>
  <c r="R240" i="67"/>
  <c r="Q240" i="67"/>
  <c r="P240" i="67"/>
  <c r="O240" i="67"/>
  <c r="N240" i="67"/>
  <c r="M240" i="67"/>
  <c r="L240" i="67"/>
  <c r="K240" i="67"/>
  <c r="J240" i="67"/>
  <c r="U239" i="67"/>
  <c r="T239" i="67"/>
  <c r="S239" i="67"/>
  <c r="R239" i="67"/>
  <c r="Q239" i="67"/>
  <c r="P239" i="67"/>
  <c r="O239" i="67"/>
  <c r="N239" i="67"/>
  <c r="M239" i="67"/>
  <c r="L239" i="67"/>
  <c r="K239" i="67"/>
  <c r="J239" i="67"/>
  <c r="U238" i="67"/>
  <c r="T238" i="67"/>
  <c r="S238" i="67"/>
  <c r="R238" i="67"/>
  <c r="Q238" i="67"/>
  <c r="P238" i="67"/>
  <c r="O238" i="67"/>
  <c r="N238" i="67"/>
  <c r="M238" i="67"/>
  <c r="L238" i="67"/>
  <c r="K238" i="67"/>
  <c r="J238" i="67"/>
  <c r="U237" i="67"/>
  <c r="T237" i="67"/>
  <c r="S237" i="67"/>
  <c r="R237" i="67"/>
  <c r="Q237" i="67"/>
  <c r="P237" i="67"/>
  <c r="O237" i="67"/>
  <c r="N237" i="67"/>
  <c r="M237" i="67"/>
  <c r="L237" i="67"/>
  <c r="K237" i="67"/>
  <c r="J237" i="67"/>
  <c r="U236" i="67"/>
  <c r="T236" i="67"/>
  <c r="S236" i="67"/>
  <c r="R236" i="67"/>
  <c r="Q236" i="67"/>
  <c r="P236" i="67"/>
  <c r="O236" i="67"/>
  <c r="N236" i="67"/>
  <c r="M236" i="67"/>
  <c r="L236" i="67"/>
  <c r="K236" i="67"/>
  <c r="J236" i="67"/>
  <c r="U235" i="67"/>
  <c r="T235" i="67"/>
  <c r="S235" i="67"/>
  <c r="R235" i="67"/>
  <c r="Q235" i="67"/>
  <c r="P235" i="67"/>
  <c r="O235" i="67"/>
  <c r="N235" i="67"/>
  <c r="M235" i="67"/>
  <c r="L235" i="67"/>
  <c r="K235" i="67"/>
  <c r="J235" i="67"/>
  <c r="U234" i="67"/>
  <c r="T234" i="67"/>
  <c r="S234" i="67"/>
  <c r="R234" i="67"/>
  <c r="Q234" i="67"/>
  <c r="P234" i="67"/>
  <c r="O234" i="67"/>
  <c r="N234" i="67"/>
  <c r="M234" i="67"/>
  <c r="L234" i="67"/>
  <c r="K234" i="67"/>
  <c r="J234" i="67"/>
  <c r="U233" i="67"/>
  <c r="T233" i="67"/>
  <c r="S233" i="67"/>
  <c r="R233" i="67"/>
  <c r="Q233" i="67"/>
  <c r="P233" i="67"/>
  <c r="O233" i="67"/>
  <c r="N233" i="67"/>
  <c r="M233" i="67"/>
  <c r="L233" i="67"/>
  <c r="K233" i="67"/>
  <c r="J233" i="67"/>
  <c r="U232" i="67"/>
  <c r="T232" i="67"/>
  <c r="S232" i="67"/>
  <c r="R232" i="67"/>
  <c r="Q232" i="67"/>
  <c r="P232" i="67"/>
  <c r="O232" i="67"/>
  <c r="N232" i="67"/>
  <c r="M232" i="67"/>
  <c r="L232" i="67"/>
  <c r="K232" i="67"/>
  <c r="J232" i="67"/>
  <c r="U231" i="67"/>
  <c r="T231" i="67"/>
  <c r="S231" i="67"/>
  <c r="R231" i="67"/>
  <c r="Q231" i="67"/>
  <c r="P231" i="67"/>
  <c r="O231" i="67"/>
  <c r="N231" i="67"/>
  <c r="M231" i="67"/>
  <c r="L231" i="67"/>
  <c r="K231" i="67"/>
  <c r="J231" i="67"/>
  <c r="U230" i="67"/>
  <c r="T230" i="67"/>
  <c r="S230" i="67"/>
  <c r="R230" i="67"/>
  <c r="Q230" i="67"/>
  <c r="P230" i="67"/>
  <c r="O230" i="67"/>
  <c r="N230" i="67"/>
  <c r="M230" i="67"/>
  <c r="L230" i="67"/>
  <c r="K230" i="67"/>
  <c r="J230" i="67"/>
  <c r="U229" i="67"/>
  <c r="T229" i="67"/>
  <c r="S229" i="67"/>
  <c r="R229" i="67"/>
  <c r="Q229" i="67"/>
  <c r="P229" i="67"/>
  <c r="O229" i="67"/>
  <c r="N229" i="67"/>
  <c r="M229" i="67"/>
  <c r="L229" i="67"/>
  <c r="K229" i="67"/>
  <c r="J229" i="67"/>
  <c r="U228" i="67"/>
  <c r="T228" i="67"/>
  <c r="S228" i="67"/>
  <c r="R228" i="67"/>
  <c r="Q228" i="67"/>
  <c r="P228" i="67"/>
  <c r="O228" i="67"/>
  <c r="N228" i="67"/>
  <c r="M228" i="67"/>
  <c r="L228" i="67"/>
  <c r="K228" i="67"/>
  <c r="J228" i="67"/>
  <c r="U227" i="67"/>
  <c r="T227" i="67"/>
  <c r="S227" i="67"/>
  <c r="R227" i="67"/>
  <c r="Q227" i="67"/>
  <c r="P227" i="67"/>
  <c r="O227" i="67"/>
  <c r="N227" i="67"/>
  <c r="M227" i="67"/>
  <c r="L227" i="67"/>
  <c r="K227" i="67"/>
  <c r="J227" i="67"/>
  <c r="U226" i="67"/>
  <c r="T226" i="67"/>
  <c r="S226" i="67"/>
  <c r="R226" i="67"/>
  <c r="Q226" i="67"/>
  <c r="P226" i="67"/>
  <c r="O226" i="67"/>
  <c r="N226" i="67"/>
  <c r="M226" i="67"/>
  <c r="L226" i="67"/>
  <c r="K226" i="67"/>
  <c r="J226" i="67"/>
  <c r="U225" i="67"/>
  <c r="T225" i="67"/>
  <c r="S225" i="67"/>
  <c r="R225" i="67"/>
  <c r="Q225" i="67"/>
  <c r="P225" i="67"/>
  <c r="O225" i="67"/>
  <c r="N225" i="67"/>
  <c r="M225" i="67"/>
  <c r="L225" i="67"/>
  <c r="K225" i="67"/>
  <c r="J225" i="67"/>
  <c r="U224" i="67"/>
  <c r="T224" i="67"/>
  <c r="S224" i="67"/>
  <c r="R224" i="67"/>
  <c r="Q224" i="67"/>
  <c r="P224" i="67"/>
  <c r="O224" i="67"/>
  <c r="N224" i="67"/>
  <c r="M224" i="67"/>
  <c r="L224" i="67"/>
  <c r="K224" i="67"/>
  <c r="J224" i="67"/>
  <c r="U223" i="67"/>
  <c r="T223" i="67"/>
  <c r="S223" i="67"/>
  <c r="R223" i="67"/>
  <c r="Q223" i="67"/>
  <c r="P223" i="67"/>
  <c r="O223" i="67"/>
  <c r="N223" i="67"/>
  <c r="M223" i="67"/>
  <c r="L223" i="67"/>
  <c r="K223" i="67"/>
  <c r="J223" i="67"/>
  <c r="U222" i="67"/>
  <c r="T222" i="67"/>
  <c r="S222" i="67"/>
  <c r="R222" i="67"/>
  <c r="Q222" i="67"/>
  <c r="P222" i="67"/>
  <c r="O222" i="67"/>
  <c r="N222" i="67"/>
  <c r="M222" i="67"/>
  <c r="L222" i="67"/>
  <c r="K222" i="67"/>
  <c r="J222" i="67"/>
  <c r="U221" i="67"/>
  <c r="T221" i="67"/>
  <c r="S221" i="67"/>
  <c r="R221" i="67"/>
  <c r="Q221" i="67"/>
  <c r="P221" i="67"/>
  <c r="O221" i="67"/>
  <c r="N221" i="67"/>
  <c r="M221" i="67"/>
  <c r="L221" i="67"/>
  <c r="K221" i="67"/>
  <c r="J221" i="67"/>
  <c r="U220" i="67"/>
  <c r="T220" i="67"/>
  <c r="S220" i="67"/>
  <c r="R220" i="67"/>
  <c r="Q220" i="67"/>
  <c r="P220" i="67"/>
  <c r="O220" i="67"/>
  <c r="N220" i="67"/>
  <c r="M220" i="67"/>
  <c r="L220" i="67"/>
  <c r="K220" i="67"/>
  <c r="J220" i="67"/>
  <c r="U219" i="67"/>
  <c r="T219" i="67"/>
  <c r="S219" i="67"/>
  <c r="R219" i="67"/>
  <c r="Q219" i="67"/>
  <c r="P219" i="67"/>
  <c r="O219" i="67"/>
  <c r="N219" i="67"/>
  <c r="M219" i="67"/>
  <c r="L219" i="67"/>
  <c r="K219" i="67"/>
  <c r="J219" i="67"/>
  <c r="U218" i="67"/>
  <c r="T218" i="67"/>
  <c r="S218" i="67"/>
  <c r="R218" i="67"/>
  <c r="Q218" i="67"/>
  <c r="P218" i="67"/>
  <c r="O218" i="67"/>
  <c r="N218" i="67"/>
  <c r="M218" i="67"/>
  <c r="L218" i="67"/>
  <c r="K218" i="67"/>
  <c r="J218" i="67"/>
  <c r="U217" i="67"/>
  <c r="T217" i="67"/>
  <c r="S217" i="67"/>
  <c r="R217" i="67"/>
  <c r="Q217" i="67"/>
  <c r="P217" i="67"/>
  <c r="O217" i="67"/>
  <c r="N217" i="67"/>
  <c r="M217" i="67"/>
  <c r="L217" i="67"/>
  <c r="K217" i="67"/>
  <c r="J217" i="67"/>
  <c r="U207" i="67"/>
  <c r="T207" i="67"/>
  <c r="S207" i="67"/>
  <c r="R207" i="67"/>
  <c r="Q207" i="67"/>
  <c r="P207" i="67"/>
  <c r="O207" i="67"/>
  <c r="N207" i="67"/>
  <c r="M207" i="67"/>
  <c r="L207" i="67"/>
  <c r="K207" i="67"/>
  <c r="J207" i="67"/>
  <c r="U206" i="67"/>
  <c r="T206" i="67"/>
  <c r="S206" i="67"/>
  <c r="R206" i="67"/>
  <c r="Q206" i="67"/>
  <c r="P206" i="67"/>
  <c r="O206" i="67"/>
  <c r="N206" i="67"/>
  <c r="M206" i="67"/>
  <c r="L206" i="67"/>
  <c r="K206" i="67"/>
  <c r="J206" i="67"/>
  <c r="U205" i="67"/>
  <c r="T205" i="67"/>
  <c r="S205" i="67"/>
  <c r="R205" i="67"/>
  <c r="Q205" i="67"/>
  <c r="P205" i="67"/>
  <c r="O205" i="67"/>
  <c r="N205" i="67"/>
  <c r="M205" i="67"/>
  <c r="L205" i="67"/>
  <c r="K205" i="67"/>
  <c r="J205" i="67"/>
  <c r="U204" i="67"/>
  <c r="T204" i="67"/>
  <c r="S204" i="67"/>
  <c r="R204" i="67"/>
  <c r="Q204" i="67"/>
  <c r="P204" i="67"/>
  <c r="O204" i="67"/>
  <c r="N204" i="67"/>
  <c r="M204" i="67"/>
  <c r="L204" i="67"/>
  <c r="K204" i="67"/>
  <c r="J204" i="67"/>
  <c r="U203" i="67"/>
  <c r="T203" i="67"/>
  <c r="S203" i="67"/>
  <c r="R203" i="67"/>
  <c r="Q203" i="67"/>
  <c r="P203" i="67"/>
  <c r="O203" i="67"/>
  <c r="N203" i="67"/>
  <c r="M203" i="67"/>
  <c r="L203" i="67"/>
  <c r="K203" i="67"/>
  <c r="J203" i="67"/>
  <c r="U202" i="67"/>
  <c r="T202" i="67"/>
  <c r="S202" i="67"/>
  <c r="R202" i="67"/>
  <c r="Q202" i="67"/>
  <c r="P202" i="67"/>
  <c r="O202" i="67"/>
  <c r="N202" i="67"/>
  <c r="M202" i="67"/>
  <c r="L202" i="67"/>
  <c r="K202" i="67"/>
  <c r="J202" i="67"/>
  <c r="U201" i="67"/>
  <c r="T201" i="67"/>
  <c r="S201" i="67"/>
  <c r="R201" i="67"/>
  <c r="Q201" i="67"/>
  <c r="P201" i="67"/>
  <c r="O201" i="67"/>
  <c r="N201" i="67"/>
  <c r="M201" i="67"/>
  <c r="L201" i="67"/>
  <c r="K201" i="67"/>
  <c r="J201" i="67"/>
  <c r="U200" i="67"/>
  <c r="T200" i="67"/>
  <c r="S200" i="67"/>
  <c r="R200" i="67"/>
  <c r="Q200" i="67"/>
  <c r="P200" i="67"/>
  <c r="O200" i="67"/>
  <c r="N200" i="67"/>
  <c r="M200" i="67"/>
  <c r="L200" i="67"/>
  <c r="K200" i="67"/>
  <c r="J200" i="67"/>
  <c r="U199" i="67"/>
  <c r="T199" i="67"/>
  <c r="S199" i="67"/>
  <c r="R199" i="67"/>
  <c r="Q199" i="67"/>
  <c r="P199" i="67"/>
  <c r="O199" i="67"/>
  <c r="N199" i="67"/>
  <c r="M199" i="67"/>
  <c r="L199" i="67"/>
  <c r="K199" i="67"/>
  <c r="J199" i="67"/>
  <c r="U198" i="67"/>
  <c r="T198" i="67"/>
  <c r="S198" i="67"/>
  <c r="R198" i="67"/>
  <c r="Q198" i="67"/>
  <c r="P198" i="67"/>
  <c r="O198" i="67"/>
  <c r="N198" i="67"/>
  <c r="M198" i="67"/>
  <c r="L198" i="67"/>
  <c r="K198" i="67"/>
  <c r="J198" i="67"/>
  <c r="U197" i="67"/>
  <c r="T197" i="67"/>
  <c r="S197" i="67"/>
  <c r="R197" i="67"/>
  <c r="Q197" i="67"/>
  <c r="P197" i="67"/>
  <c r="O197" i="67"/>
  <c r="N197" i="67"/>
  <c r="M197" i="67"/>
  <c r="L197" i="67"/>
  <c r="K197" i="67"/>
  <c r="J197" i="67"/>
  <c r="U196" i="67"/>
  <c r="T196" i="67"/>
  <c r="S196" i="67"/>
  <c r="R196" i="67"/>
  <c r="Q196" i="67"/>
  <c r="P196" i="67"/>
  <c r="O196" i="67"/>
  <c r="N196" i="67"/>
  <c r="M196" i="67"/>
  <c r="L196" i="67"/>
  <c r="K196" i="67"/>
  <c r="J196" i="67"/>
  <c r="U195" i="67"/>
  <c r="T195" i="67"/>
  <c r="S195" i="67"/>
  <c r="R195" i="67"/>
  <c r="Q195" i="67"/>
  <c r="P195" i="67"/>
  <c r="O195" i="67"/>
  <c r="N195" i="67"/>
  <c r="M195" i="67"/>
  <c r="L195" i="67"/>
  <c r="K195" i="67"/>
  <c r="J195" i="67"/>
  <c r="U194" i="67"/>
  <c r="T194" i="67"/>
  <c r="S194" i="67"/>
  <c r="R194" i="67"/>
  <c r="Q194" i="67"/>
  <c r="P194" i="67"/>
  <c r="O194" i="67"/>
  <c r="N194" i="67"/>
  <c r="M194" i="67"/>
  <c r="L194" i="67"/>
  <c r="K194" i="67"/>
  <c r="J194" i="67"/>
  <c r="U193" i="67"/>
  <c r="T193" i="67"/>
  <c r="S193" i="67"/>
  <c r="R193" i="67"/>
  <c r="Q193" i="67"/>
  <c r="P193" i="67"/>
  <c r="O193" i="67"/>
  <c r="N193" i="67"/>
  <c r="M193" i="67"/>
  <c r="L193" i="67"/>
  <c r="K193" i="67"/>
  <c r="J193" i="67"/>
  <c r="U192" i="67"/>
  <c r="T192" i="67"/>
  <c r="S192" i="67"/>
  <c r="R192" i="67"/>
  <c r="Q192" i="67"/>
  <c r="P192" i="67"/>
  <c r="O192" i="67"/>
  <c r="N192" i="67"/>
  <c r="M192" i="67"/>
  <c r="L192" i="67"/>
  <c r="K192" i="67"/>
  <c r="J192" i="67"/>
  <c r="U191" i="67"/>
  <c r="T191" i="67"/>
  <c r="S191" i="67"/>
  <c r="R191" i="67"/>
  <c r="Q191" i="67"/>
  <c r="P191" i="67"/>
  <c r="O191" i="67"/>
  <c r="N191" i="67"/>
  <c r="M191" i="67"/>
  <c r="L191" i="67"/>
  <c r="K191" i="67"/>
  <c r="J191" i="67"/>
  <c r="U190" i="67"/>
  <c r="T190" i="67"/>
  <c r="S190" i="67"/>
  <c r="R190" i="67"/>
  <c r="Q190" i="67"/>
  <c r="P190" i="67"/>
  <c r="O190" i="67"/>
  <c r="N190" i="67"/>
  <c r="M190" i="67"/>
  <c r="L190" i="67"/>
  <c r="K190" i="67"/>
  <c r="J190" i="67"/>
  <c r="U189" i="67"/>
  <c r="T189" i="67"/>
  <c r="S189" i="67"/>
  <c r="R189" i="67"/>
  <c r="Q189" i="67"/>
  <c r="P189" i="67"/>
  <c r="O189" i="67"/>
  <c r="N189" i="67"/>
  <c r="M189" i="67"/>
  <c r="L189" i="67"/>
  <c r="K189" i="67"/>
  <c r="J189" i="67"/>
  <c r="U188" i="67"/>
  <c r="T188" i="67"/>
  <c r="S188" i="67"/>
  <c r="R188" i="67"/>
  <c r="Q188" i="67"/>
  <c r="P188" i="67"/>
  <c r="O188" i="67"/>
  <c r="N188" i="67"/>
  <c r="M188" i="67"/>
  <c r="L188" i="67"/>
  <c r="K188" i="67"/>
  <c r="J188" i="67"/>
  <c r="U187" i="67"/>
  <c r="T187" i="67"/>
  <c r="S187" i="67"/>
  <c r="R187" i="67"/>
  <c r="Q187" i="67"/>
  <c r="P187" i="67"/>
  <c r="O187" i="67"/>
  <c r="N187" i="67"/>
  <c r="M187" i="67"/>
  <c r="L187" i="67"/>
  <c r="K187" i="67"/>
  <c r="J187" i="67"/>
  <c r="U186" i="67"/>
  <c r="T186" i="67"/>
  <c r="S186" i="67"/>
  <c r="R186" i="67"/>
  <c r="Q186" i="67"/>
  <c r="P186" i="67"/>
  <c r="O186" i="67"/>
  <c r="N186" i="67"/>
  <c r="M186" i="67"/>
  <c r="L186" i="67"/>
  <c r="K186" i="67"/>
  <c r="J186" i="67"/>
  <c r="U185" i="67"/>
  <c r="T185" i="67"/>
  <c r="S185" i="67"/>
  <c r="R185" i="67"/>
  <c r="Q185" i="67"/>
  <c r="P185" i="67"/>
  <c r="O185" i="67"/>
  <c r="N185" i="67"/>
  <c r="M185" i="67"/>
  <c r="L185" i="67"/>
  <c r="K185" i="67"/>
  <c r="J185" i="67"/>
  <c r="U184" i="67"/>
  <c r="T184" i="67"/>
  <c r="S184" i="67"/>
  <c r="R184" i="67"/>
  <c r="Q184" i="67"/>
  <c r="P184" i="67"/>
  <c r="O184" i="67"/>
  <c r="N184" i="67"/>
  <c r="M184" i="67"/>
  <c r="L184" i="67"/>
  <c r="K184" i="67"/>
  <c r="J184" i="67"/>
  <c r="U179" i="67"/>
  <c r="T179" i="67"/>
  <c r="S179" i="67"/>
  <c r="R179" i="67"/>
  <c r="Q179" i="67"/>
  <c r="P179" i="67"/>
  <c r="O179" i="67"/>
  <c r="N179" i="67"/>
  <c r="M179" i="67"/>
  <c r="L179" i="67"/>
  <c r="K179" i="67"/>
  <c r="J179" i="67"/>
  <c r="U178" i="67"/>
  <c r="T178" i="67"/>
  <c r="S178" i="67"/>
  <c r="R178" i="67"/>
  <c r="Q178" i="67"/>
  <c r="P178" i="67"/>
  <c r="O178" i="67"/>
  <c r="N178" i="67"/>
  <c r="M178" i="67"/>
  <c r="L178" i="67"/>
  <c r="K178" i="67"/>
  <c r="J178" i="67"/>
  <c r="U177" i="67"/>
  <c r="T177" i="67"/>
  <c r="S177" i="67"/>
  <c r="R177" i="67"/>
  <c r="Q177" i="67"/>
  <c r="P177" i="67"/>
  <c r="O177" i="67"/>
  <c r="N177" i="67"/>
  <c r="M177" i="67"/>
  <c r="L177" i="67"/>
  <c r="K177" i="67"/>
  <c r="J177" i="67"/>
  <c r="U176" i="67"/>
  <c r="T176" i="67"/>
  <c r="S176" i="67"/>
  <c r="R176" i="67"/>
  <c r="Q176" i="67"/>
  <c r="P176" i="67"/>
  <c r="O176" i="67"/>
  <c r="N176" i="67"/>
  <c r="M176" i="67"/>
  <c r="L176" i="67"/>
  <c r="K176" i="67"/>
  <c r="J176" i="67"/>
  <c r="U175" i="67"/>
  <c r="T175" i="67"/>
  <c r="S175" i="67"/>
  <c r="R175" i="67"/>
  <c r="Q175" i="67"/>
  <c r="P175" i="67"/>
  <c r="O175" i="67"/>
  <c r="N175" i="67"/>
  <c r="M175" i="67"/>
  <c r="L175" i="67"/>
  <c r="K175" i="67"/>
  <c r="J175" i="67"/>
  <c r="U174" i="67"/>
  <c r="T174" i="67"/>
  <c r="S174" i="67"/>
  <c r="R174" i="67"/>
  <c r="Q174" i="67"/>
  <c r="P174" i="67"/>
  <c r="O174" i="67"/>
  <c r="N174" i="67"/>
  <c r="M174" i="67"/>
  <c r="L174" i="67"/>
  <c r="K174" i="67"/>
  <c r="J174" i="67"/>
  <c r="U173" i="67"/>
  <c r="T173" i="67"/>
  <c r="S173" i="67"/>
  <c r="R173" i="67"/>
  <c r="Q173" i="67"/>
  <c r="P173" i="67"/>
  <c r="O173" i="67"/>
  <c r="N173" i="67"/>
  <c r="M173" i="67"/>
  <c r="L173" i="67"/>
  <c r="K173" i="67"/>
  <c r="J173" i="67"/>
  <c r="U172" i="67"/>
  <c r="T172" i="67"/>
  <c r="S172" i="67"/>
  <c r="R172" i="67"/>
  <c r="Q172" i="67"/>
  <c r="P172" i="67"/>
  <c r="O172" i="67"/>
  <c r="N172" i="67"/>
  <c r="M172" i="67"/>
  <c r="L172" i="67"/>
  <c r="K172" i="67"/>
  <c r="J172" i="67"/>
  <c r="U171" i="67"/>
  <c r="T171" i="67"/>
  <c r="S171" i="67"/>
  <c r="R171" i="67"/>
  <c r="Q171" i="67"/>
  <c r="P171" i="67"/>
  <c r="O171" i="67"/>
  <c r="N171" i="67"/>
  <c r="M171" i="67"/>
  <c r="L171" i="67"/>
  <c r="K171" i="67"/>
  <c r="J171" i="67"/>
  <c r="U170" i="67"/>
  <c r="T170" i="67"/>
  <c r="S170" i="67"/>
  <c r="R170" i="67"/>
  <c r="Q170" i="67"/>
  <c r="P170" i="67"/>
  <c r="O170" i="67"/>
  <c r="N170" i="67"/>
  <c r="M170" i="67"/>
  <c r="L170" i="67"/>
  <c r="K170" i="67"/>
  <c r="J170" i="67"/>
  <c r="U169" i="67"/>
  <c r="T169" i="67"/>
  <c r="S169" i="67"/>
  <c r="R169" i="67"/>
  <c r="Q169" i="67"/>
  <c r="P169" i="67"/>
  <c r="O169" i="67"/>
  <c r="N169" i="67"/>
  <c r="M169" i="67"/>
  <c r="L169" i="67"/>
  <c r="K169" i="67"/>
  <c r="J169" i="67"/>
  <c r="U168" i="67"/>
  <c r="T168" i="67"/>
  <c r="S168" i="67"/>
  <c r="R168" i="67"/>
  <c r="Q168" i="67"/>
  <c r="P168" i="67"/>
  <c r="O168" i="67"/>
  <c r="N168" i="67"/>
  <c r="M168" i="67"/>
  <c r="L168" i="67"/>
  <c r="K168" i="67"/>
  <c r="J168" i="67"/>
  <c r="U167" i="67"/>
  <c r="T167" i="67"/>
  <c r="S167" i="67"/>
  <c r="R167" i="67"/>
  <c r="Q167" i="67"/>
  <c r="P167" i="67"/>
  <c r="O167" i="67"/>
  <c r="N167" i="67"/>
  <c r="M167" i="67"/>
  <c r="L167" i="67"/>
  <c r="K167" i="67"/>
  <c r="J167" i="67"/>
  <c r="U166" i="67"/>
  <c r="T166" i="67"/>
  <c r="S166" i="67"/>
  <c r="R166" i="67"/>
  <c r="Q166" i="67"/>
  <c r="P166" i="67"/>
  <c r="O166" i="67"/>
  <c r="N166" i="67"/>
  <c r="M166" i="67"/>
  <c r="L166" i="67"/>
  <c r="K166" i="67"/>
  <c r="J166" i="67"/>
  <c r="U165" i="67"/>
  <c r="T165" i="67"/>
  <c r="S165" i="67"/>
  <c r="R165" i="67"/>
  <c r="Q165" i="67"/>
  <c r="P165" i="67"/>
  <c r="O165" i="67"/>
  <c r="N165" i="67"/>
  <c r="M165" i="67"/>
  <c r="L165" i="67"/>
  <c r="K165" i="67"/>
  <c r="J165" i="67"/>
  <c r="U164" i="67"/>
  <c r="T164" i="67"/>
  <c r="S164" i="67"/>
  <c r="R164" i="67"/>
  <c r="Q164" i="67"/>
  <c r="P164" i="67"/>
  <c r="O164" i="67"/>
  <c r="N164" i="67"/>
  <c r="M164" i="67"/>
  <c r="L164" i="67"/>
  <c r="K164" i="67"/>
  <c r="J164" i="67"/>
  <c r="U163" i="67"/>
  <c r="T163" i="67"/>
  <c r="S163" i="67"/>
  <c r="R163" i="67"/>
  <c r="Q163" i="67"/>
  <c r="P163" i="67"/>
  <c r="O163" i="67"/>
  <c r="N163" i="67"/>
  <c r="M163" i="67"/>
  <c r="L163" i="67"/>
  <c r="K163" i="67"/>
  <c r="J163" i="67"/>
  <c r="U162" i="67"/>
  <c r="T162" i="67"/>
  <c r="S162" i="67"/>
  <c r="R162" i="67"/>
  <c r="Q162" i="67"/>
  <c r="P162" i="67"/>
  <c r="O162" i="67"/>
  <c r="N162" i="67"/>
  <c r="M162" i="67"/>
  <c r="L162" i="67"/>
  <c r="K162" i="67"/>
  <c r="J162" i="67"/>
  <c r="U161" i="67"/>
  <c r="T161" i="67"/>
  <c r="S161" i="67"/>
  <c r="R161" i="67"/>
  <c r="Q161" i="67"/>
  <c r="P161" i="67"/>
  <c r="O161" i="67"/>
  <c r="N161" i="67"/>
  <c r="M161" i="67"/>
  <c r="L161" i="67"/>
  <c r="K161" i="67"/>
  <c r="J161" i="67"/>
  <c r="U160" i="67"/>
  <c r="T160" i="67"/>
  <c r="S160" i="67"/>
  <c r="R160" i="67"/>
  <c r="Q160" i="67"/>
  <c r="P160" i="67"/>
  <c r="O160" i="67"/>
  <c r="N160" i="67"/>
  <c r="M160" i="67"/>
  <c r="L160" i="67"/>
  <c r="K160" i="67"/>
  <c r="J160" i="67"/>
  <c r="U159" i="67"/>
  <c r="T159" i="67"/>
  <c r="S159" i="67"/>
  <c r="R159" i="67"/>
  <c r="Q159" i="67"/>
  <c r="P159" i="67"/>
  <c r="O159" i="67"/>
  <c r="N159" i="67"/>
  <c r="M159" i="67"/>
  <c r="L159" i="67"/>
  <c r="K159" i="67"/>
  <c r="J159" i="67"/>
  <c r="U158" i="67"/>
  <c r="T158" i="67"/>
  <c r="S158" i="67"/>
  <c r="R158" i="67"/>
  <c r="Q158" i="67"/>
  <c r="P158" i="67"/>
  <c r="O158" i="67"/>
  <c r="N158" i="67"/>
  <c r="M158" i="67"/>
  <c r="L158" i="67"/>
  <c r="K158" i="67"/>
  <c r="J158" i="67"/>
  <c r="U157" i="67"/>
  <c r="T157" i="67"/>
  <c r="S157" i="67"/>
  <c r="R157" i="67"/>
  <c r="Q157" i="67"/>
  <c r="P157" i="67"/>
  <c r="O157" i="67"/>
  <c r="N157" i="67"/>
  <c r="M157" i="67"/>
  <c r="L157" i="67"/>
  <c r="K157" i="67"/>
  <c r="J157" i="67"/>
  <c r="U156" i="67"/>
  <c r="T156" i="67"/>
  <c r="S156" i="67"/>
  <c r="R156" i="67"/>
  <c r="Q156" i="67"/>
  <c r="P156" i="67"/>
  <c r="O156" i="67"/>
  <c r="N156" i="67"/>
  <c r="M156" i="67"/>
  <c r="L156" i="67"/>
  <c r="K156" i="67"/>
  <c r="J156" i="67"/>
  <c r="S146" i="67"/>
  <c r="R146" i="67"/>
  <c r="Q146" i="67"/>
  <c r="S145" i="67"/>
  <c r="R145" i="67"/>
  <c r="Q145" i="67"/>
  <c r="S144" i="67"/>
  <c r="R144" i="67"/>
  <c r="Q144" i="67"/>
  <c r="S143" i="67"/>
  <c r="R143" i="67"/>
  <c r="Q143" i="67"/>
  <c r="S142" i="67"/>
  <c r="R142" i="67"/>
  <c r="Q142" i="67"/>
  <c r="S141" i="67"/>
  <c r="R141" i="67"/>
  <c r="Q141" i="67"/>
  <c r="S140" i="67"/>
  <c r="R140" i="67"/>
  <c r="Q140" i="67"/>
  <c r="S139" i="67"/>
  <c r="R139" i="67"/>
  <c r="Q139" i="67"/>
  <c r="S138" i="67"/>
  <c r="R138" i="67"/>
  <c r="Q138" i="67"/>
  <c r="S137" i="67"/>
  <c r="R137" i="67"/>
  <c r="Q137" i="67"/>
  <c r="S136" i="67"/>
  <c r="R136" i="67"/>
  <c r="Q136" i="67"/>
  <c r="S135" i="67"/>
  <c r="R135" i="67"/>
  <c r="Q135" i="67"/>
  <c r="S134" i="67"/>
  <c r="R134" i="67"/>
  <c r="Q134" i="67"/>
  <c r="S133" i="67"/>
  <c r="R133" i="67"/>
  <c r="Q133" i="67"/>
  <c r="S132" i="67"/>
  <c r="R132" i="67"/>
  <c r="Q132" i="67"/>
  <c r="S131" i="67"/>
  <c r="R131" i="67"/>
  <c r="Q131" i="67"/>
  <c r="S130" i="67"/>
  <c r="R130" i="67"/>
  <c r="Q130" i="67"/>
  <c r="S129" i="67"/>
  <c r="R129" i="67"/>
  <c r="Q129" i="67"/>
  <c r="S128" i="67"/>
  <c r="R128" i="67"/>
  <c r="Q128" i="67"/>
  <c r="S127" i="67"/>
  <c r="R127" i="67"/>
  <c r="Q127" i="67"/>
  <c r="S126" i="67"/>
  <c r="R126" i="67"/>
  <c r="Q126" i="67"/>
  <c r="S125" i="67"/>
  <c r="R125" i="67"/>
  <c r="Q125" i="67"/>
  <c r="S124" i="67"/>
  <c r="R124" i="67"/>
  <c r="Q124" i="67"/>
  <c r="S123" i="67"/>
  <c r="R123" i="67"/>
  <c r="Q123" i="67"/>
  <c r="W130" i="54"/>
  <c r="W129" i="54"/>
  <c r="W128" i="54"/>
  <c r="W127" i="54"/>
  <c r="W126" i="54"/>
  <c r="W125" i="54"/>
  <c r="W124" i="54"/>
  <c r="W123" i="54"/>
  <c r="W122" i="54"/>
  <c r="W121" i="54"/>
  <c r="W120" i="54"/>
  <c r="W119" i="54"/>
  <c r="W118" i="54"/>
  <c r="W117" i="54"/>
  <c r="W116" i="54"/>
  <c r="W115" i="54"/>
  <c r="W114" i="54"/>
  <c r="W113" i="54"/>
  <c r="W112" i="54"/>
  <c r="W111" i="54"/>
  <c r="W110" i="54"/>
  <c r="W109" i="54"/>
  <c r="W108" i="54"/>
  <c r="W107" i="54"/>
  <c r="G19" i="74"/>
  <c r="G17" i="74"/>
  <c r="G16" i="74"/>
  <c r="G15" i="74"/>
  <c r="G14" i="74"/>
  <c r="G13" i="74"/>
  <c r="G12" i="74"/>
  <c r="G11" i="74"/>
  <c r="F12" i="74"/>
  <c r="F11" i="74"/>
  <c r="E3" i="74"/>
  <c r="V67" i="49"/>
  <c r="V66" i="49"/>
  <c r="V65" i="49"/>
  <c r="V64" i="49"/>
  <c r="V63" i="49"/>
  <c r="V62" i="49"/>
  <c r="V61" i="49"/>
  <c r="V60" i="49"/>
  <c r="V59" i="49"/>
  <c r="V58" i="49"/>
  <c r="V57" i="49"/>
  <c r="V56" i="49"/>
  <c r="V55" i="49"/>
  <c r="V54" i="49"/>
  <c r="V53" i="49"/>
  <c r="V52" i="49"/>
  <c r="V51" i="49"/>
  <c r="V50" i="49"/>
  <c r="V49" i="49"/>
  <c r="V48" i="49"/>
  <c r="V47" i="49"/>
  <c r="V46" i="49"/>
  <c r="V45" i="49"/>
  <c r="V44" i="49"/>
  <c r="J51" i="67" l="1"/>
  <c r="K51" i="67"/>
  <c r="L51" i="67"/>
  <c r="J61" i="67"/>
  <c r="L61" i="67"/>
  <c r="K61" i="67"/>
  <c r="E3" i="72"/>
  <c r="E336" i="67"/>
  <c r="E335" i="67"/>
  <c r="E334" i="67"/>
  <c r="E333" i="67"/>
  <c r="E332" i="67"/>
  <c r="E331" i="67"/>
  <c r="E330" i="67"/>
  <c r="E329" i="67"/>
  <c r="E328" i="67"/>
  <c r="E327" i="67"/>
  <c r="E326" i="67"/>
  <c r="E325" i="67"/>
  <c r="E324" i="67"/>
  <c r="E323" i="67"/>
  <c r="E322" i="67"/>
  <c r="E321" i="67"/>
  <c r="E320" i="67"/>
  <c r="E319" i="67"/>
  <c r="E318" i="67"/>
  <c r="E317" i="67"/>
  <c r="E316" i="67"/>
  <c r="E315" i="67"/>
  <c r="E314" i="67"/>
  <c r="E313" i="67"/>
  <c r="E304" i="67"/>
  <c r="AJ304" i="67" s="1"/>
  <c r="E303" i="67"/>
  <c r="AJ303" i="67" s="1"/>
  <c r="E302" i="67"/>
  <c r="AJ302" i="67" s="1"/>
  <c r="E301" i="67"/>
  <c r="AJ301" i="67" s="1"/>
  <c r="E300" i="67"/>
  <c r="AJ300" i="67" s="1"/>
  <c r="E299" i="67"/>
  <c r="AJ299" i="67" s="1"/>
  <c r="E298" i="67"/>
  <c r="AJ298" i="67" s="1"/>
  <c r="E297" i="67"/>
  <c r="AJ297" i="67" s="1"/>
  <c r="E296" i="67"/>
  <c r="AJ296" i="67" s="1"/>
  <c r="E295" i="67"/>
  <c r="AJ295" i="67" s="1"/>
  <c r="E294" i="67"/>
  <c r="AJ294" i="67" s="1"/>
  <c r="E293" i="67"/>
  <c r="AJ293" i="67" s="1"/>
  <c r="E292" i="67"/>
  <c r="AJ292" i="67" s="1"/>
  <c r="E291" i="67"/>
  <c r="AJ291" i="67" s="1"/>
  <c r="E290" i="67"/>
  <c r="AJ290" i="67" s="1"/>
  <c r="E289" i="67"/>
  <c r="AJ289" i="67" s="1"/>
  <c r="E288" i="67"/>
  <c r="AJ288" i="67" s="1"/>
  <c r="E287" i="67"/>
  <c r="AJ287" i="67" s="1"/>
  <c r="E286" i="67"/>
  <c r="AJ286" i="67" s="1"/>
  <c r="E285" i="67"/>
  <c r="AJ285" i="67" s="1"/>
  <c r="E284" i="67"/>
  <c r="AJ284" i="67" s="1"/>
  <c r="E283" i="67"/>
  <c r="AJ283" i="67" s="1"/>
  <c r="E282" i="67"/>
  <c r="AJ282" i="67" s="1"/>
  <c r="E281" i="67"/>
  <c r="AJ281" i="67" s="1"/>
  <c r="N34" i="49"/>
  <c r="N28" i="49"/>
  <c r="N26" i="49"/>
  <c r="N24" i="49"/>
  <c r="N23" i="49"/>
  <c r="N22" i="49"/>
  <c r="N15" i="49"/>
  <c r="N13" i="49"/>
  <c r="AJ306" i="67" l="1"/>
  <c r="E98" i="67" s="1"/>
  <c r="K98" i="67" s="1"/>
  <c r="E305" i="67"/>
  <c r="E337" i="67"/>
  <c r="AW36" i="67" l="1"/>
  <c r="AV36" i="67"/>
  <c r="AU36" i="67"/>
  <c r="AW33" i="67"/>
  <c r="AV33" i="67"/>
  <c r="AU33" i="67"/>
  <c r="AW24" i="67"/>
  <c r="AV24" i="67"/>
  <c r="AU24" i="67"/>
  <c r="AW21" i="67"/>
  <c r="AV21" i="67"/>
  <c r="AU21" i="67"/>
  <c r="Z336" i="67"/>
  <c r="Y336" i="67"/>
  <c r="X336" i="67"/>
  <c r="W336" i="67" s="1"/>
  <c r="AR336" i="67" s="1"/>
  <c r="Z335" i="67"/>
  <c r="Y335" i="67"/>
  <c r="X335" i="67"/>
  <c r="W335" i="67" s="1"/>
  <c r="AR335" i="67" s="1"/>
  <c r="Z334" i="67"/>
  <c r="Y334" i="67"/>
  <c r="X334" i="67"/>
  <c r="W334" i="67" s="1"/>
  <c r="AR334" i="67" s="1"/>
  <c r="Z333" i="67"/>
  <c r="Y333" i="67"/>
  <c r="X333" i="67"/>
  <c r="W333" i="67" s="1"/>
  <c r="AR333" i="67" s="1"/>
  <c r="Z332" i="67"/>
  <c r="Y332" i="67"/>
  <c r="X332" i="67"/>
  <c r="W332" i="67" s="1"/>
  <c r="AR332" i="67" s="1"/>
  <c r="Z331" i="67"/>
  <c r="Y331" i="67"/>
  <c r="X331" i="67"/>
  <c r="W331" i="67" s="1"/>
  <c r="AR331" i="67" s="1"/>
  <c r="Z330" i="67"/>
  <c r="Y330" i="67"/>
  <c r="X330" i="67"/>
  <c r="W330" i="67" s="1"/>
  <c r="AR330" i="67" s="1"/>
  <c r="Z329" i="67"/>
  <c r="Y329" i="67"/>
  <c r="X329" i="67"/>
  <c r="W329" i="67" s="1"/>
  <c r="AR329" i="67" s="1"/>
  <c r="Z328" i="67"/>
  <c r="Y328" i="67"/>
  <c r="X328" i="67"/>
  <c r="W328" i="67" s="1"/>
  <c r="AR328" i="67" s="1"/>
  <c r="Z327" i="67"/>
  <c r="Y327" i="67"/>
  <c r="X327" i="67"/>
  <c r="W327" i="67" s="1"/>
  <c r="AR327" i="67" s="1"/>
  <c r="Z326" i="67"/>
  <c r="Y326" i="67"/>
  <c r="X326" i="67"/>
  <c r="W326" i="67" s="1"/>
  <c r="AR326" i="67" s="1"/>
  <c r="Z325" i="67"/>
  <c r="Y325" i="67"/>
  <c r="X325" i="67"/>
  <c r="W325" i="67" s="1"/>
  <c r="AR325" i="67" s="1"/>
  <c r="Z324" i="67"/>
  <c r="Y324" i="67"/>
  <c r="X324" i="67"/>
  <c r="W324" i="67" s="1"/>
  <c r="AR324" i="67" s="1"/>
  <c r="Z323" i="67"/>
  <c r="Y323" i="67"/>
  <c r="X323" i="67"/>
  <c r="W323" i="67" s="1"/>
  <c r="AR323" i="67" s="1"/>
  <c r="Z322" i="67"/>
  <c r="Y322" i="67"/>
  <c r="X322" i="67"/>
  <c r="W322" i="67" s="1"/>
  <c r="AR322" i="67" s="1"/>
  <c r="Z321" i="67"/>
  <c r="Y321" i="67"/>
  <c r="X321" i="67"/>
  <c r="W321" i="67" s="1"/>
  <c r="AR321" i="67" s="1"/>
  <c r="Z320" i="67"/>
  <c r="Y320" i="67"/>
  <c r="X320" i="67"/>
  <c r="W320" i="67" s="1"/>
  <c r="AR320" i="67" s="1"/>
  <c r="Z319" i="67"/>
  <c r="Y319" i="67"/>
  <c r="X319" i="67"/>
  <c r="W319" i="67" s="1"/>
  <c r="AR319" i="67" s="1"/>
  <c r="Z318" i="67"/>
  <c r="Y318" i="67"/>
  <c r="X318" i="67"/>
  <c r="W318" i="67" s="1"/>
  <c r="AR318" i="67" s="1"/>
  <c r="Z317" i="67"/>
  <c r="Y317" i="67"/>
  <c r="X317" i="67"/>
  <c r="W317" i="67" s="1"/>
  <c r="AR317" i="67" s="1"/>
  <c r="Z316" i="67"/>
  <c r="Y316" i="67"/>
  <c r="X316" i="67"/>
  <c r="W316" i="67" s="1"/>
  <c r="AR316" i="67" s="1"/>
  <c r="Z315" i="67"/>
  <c r="Y315" i="67"/>
  <c r="X315" i="67"/>
  <c r="W315" i="67" s="1"/>
  <c r="AR315" i="67" s="1"/>
  <c r="Z314" i="67"/>
  <c r="Y314" i="67"/>
  <c r="X314" i="67"/>
  <c r="W314" i="67" s="1"/>
  <c r="AR314" i="67" s="1"/>
  <c r="Z313" i="67"/>
  <c r="Y313" i="67"/>
  <c r="X313" i="67"/>
  <c r="W313" i="67" s="1"/>
  <c r="AR313" i="67" s="1"/>
  <c r="Z304" i="67"/>
  <c r="Y304" i="67"/>
  <c r="X304" i="67"/>
  <c r="W304" i="67" s="1"/>
  <c r="AR304" i="67" s="1"/>
  <c r="Z303" i="67"/>
  <c r="Y303" i="67"/>
  <c r="X303" i="67"/>
  <c r="W303" i="67" s="1"/>
  <c r="AR303" i="67" s="1"/>
  <c r="Z302" i="67"/>
  <c r="Y302" i="67"/>
  <c r="X302" i="67"/>
  <c r="W302" i="67" s="1"/>
  <c r="AR302" i="67" s="1"/>
  <c r="Z301" i="67"/>
  <c r="Y301" i="67"/>
  <c r="X301" i="67"/>
  <c r="W301" i="67" s="1"/>
  <c r="AR301" i="67" s="1"/>
  <c r="Z300" i="67"/>
  <c r="Y300" i="67"/>
  <c r="X300" i="67"/>
  <c r="W300" i="67" s="1"/>
  <c r="AR300" i="67" s="1"/>
  <c r="Z299" i="67"/>
  <c r="Y299" i="67"/>
  <c r="X299" i="67"/>
  <c r="W299" i="67" s="1"/>
  <c r="AR299" i="67" s="1"/>
  <c r="Z298" i="67"/>
  <c r="Y298" i="67"/>
  <c r="X298" i="67"/>
  <c r="W298" i="67" s="1"/>
  <c r="AR298" i="67" s="1"/>
  <c r="Z297" i="67"/>
  <c r="Y297" i="67"/>
  <c r="X297" i="67"/>
  <c r="W297" i="67" s="1"/>
  <c r="AR297" i="67" s="1"/>
  <c r="Z296" i="67"/>
  <c r="Y296" i="67"/>
  <c r="X296" i="67"/>
  <c r="W296" i="67" s="1"/>
  <c r="AR296" i="67" s="1"/>
  <c r="Z295" i="67"/>
  <c r="Y295" i="67"/>
  <c r="X295" i="67"/>
  <c r="W295" i="67" s="1"/>
  <c r="AR295" i="67" s="1"/>
  <c r="Z294" i="67"/>
  <c r="Y294" i="67"/>
  <c r="X294" i="67"/>
  <c r="W294" i="67" s="1"/>
  <c r="AR294" i="67" s="1"/>
  <c r="Z293" i="67"/>
  <c r="Y293" i="67"/>
  <c r="X293" i="67"/>
  <c r="W293" i="67" s="1"/>
  <c r="AR293" i="67" s="1"/>
  <c r="Z292" i="67"/>
  <c r="Y292" i="67"/>
  <c r="X292" i="67"/>
  <c r="W292" i="67" s="1"/>
  <c r="AR292" i="67" s="1"/>
  <c r="Z291" i="67"/>
  <c r="Y291" i="67"/>
  <c r="X291" i="67"/>
  <c r="W291" i="67" s="1"/>
  <c r="AR291" i="67" s="1"/>
  <c r="Z290" i="67"/>
  <c r="Y290" i="67"/>
  <c r="X290" i="67"/>
  <c r="W290" i="67" s="1"/>
  <c r="AR290" i="67" s="1"/>
  <c r="Z289" i="67"/>
  <c r="Y289" i="67"/>
  <c r="X289" i="67"/>
  <c r="W289" i="67" s="1"/>
  <c r="AR289" i="67" s="1"/>
  <c r="Z288" i="67"/>
  <c r="Y288" i="67"/>
  <c r="X288" i="67"/>
  <c r="W288" i="67" s="1"/>
  <c r="AR288" i="67" s="1"/>
  <c r="Z287" i="67"/>
  <c r="Y287" i="67"/>
  <c r="X287" i="67"/>
  <c r="W287" i="67" s="1"/>
  <c r="AR287" i="67" s="1"/>
  <c r="Z286" i="67"/>
  <c r="Y286" i="67"/>
  <c r="X286" i="67"/>
  <c r="W286" i="67" s="1"/>
  <c r="AR286" i="67" s="1"/>
  <c r="Z285" i="67"/>
  <c r="Y285" i="67"/>
  <c r="X285" i="67"/>
  <c r="W285" i="67" s="1"/>
  <c r="AR285" i="67" s="1"/>
  <c r="Z284" i="67"/>
  <c r="Y284" i="67"/>
  <c r="X284" i="67"/>
  <c r="W284" i="67" s="1"/>
  <c r="AR284" i="67" s="1"/>
  <c r="Z283" i="67"/>
  <c r="Y283" i="67"/>
  <c r="X283" i="67"/>
  <c r="W283" i="67" s="1"/>
  <c r="AR283" i="67" s="1"/>
  <c r="Z282" i="67"/>
  <c r="Y282" i="67"/>
  <c r="X282" i="67"/>
  <c r="W282" i="67" s="1"/>
  <c r="AR282" i="67" s="1"/>
  <c r="Z281" i="67"/>
  <c r="Y281" i="67"/>
  <c r="X281" i="67"/>
  <c r="W281" i="67" s="1"/>
  <c r="AR281" i="67" s="1"/>
  <c r="AR338" i="67" l="1"/>
  <c r="E111" i="67" s="1"/>
  <c r="K111" i="67" s="1"/>
  <c r="AR306" i="67"/>
  <c r="E99" i="67" s="1"/>
  <c r="K99" i="67" s="1"/>
  <c r="AU125" i="67"/>
  <c r="AU124" i="67"/>
  <c r="AU123" i="67"/>
  <c r="E266" i="67"/>
  <c r="AD266" i="67" s="1"/>
  <c r="E260" i="67"/>
  <c r="AD260" i="67" s="1"/>
  <c r="E258" i="67"/>
  <c r="AD258" i="67" s="1"/>
  <c r="E256" i="67"/>
  <c r="AD256" i="67" s="1"/>
  <c r="E255" i="67"/>
  <c r="AD255" i="67" s="1"/>
  <c r="E254" i="67"/>
  <c r="AD254" i="67" s="1"/>
  <c r="E245" i="67"/>
  <c r="AD245" i="67" s="1"/>
  <c r="F238" i="67"/>
  <c r="AE238" i="67" s="1"/>
  <c r="E238" i="67"/>
  <c r="AD238" i="67" s="1"/>
  <c r="F232" i="67"/>
  <c r="AE232" i="67" s="1"/>
  <c r="E232" i="67"/>
  <c r="AD232" i="67" s="1"/>
  <c r="F230" i="67"/>
  <c r="AE230" i="67" s="1"/>
  <c r="E230" i="67"/>
  <c r="AD230" i="67" s="1"/>
  <c r="F228" i="67"/>
  <c r="AE228" i="67" s="1"/>
  <c r="E228" i="67"/>
  <c r="AD228" i="67" s="1"/>
  <c r="F227" i="67"/>
  <c r="AE227" i="67" s="1"/>
  <c r="E227" i="67"/>
  <c r="AD227" i="67" s="1"/>
  <c r="F226" i="67"/>
  <c r="AE226" i="67" s="1"/>
  <c r="E226" i="67"/>
  <c r="AD226" i="67" s="1"/>
  <c r="F217" i="67"/>
  <c r="AE217" i="67" s="1"/>
  <c r="E217" i="67"/>
  <c r="AD217" i="67" s="1"/>
  <c r="E205" i="67"/>
  <c r="E199" i="67"/>
  <c r="E197" i="67"/>
  <c r="E195" i="67"/>
  <c r="E194" i="67"/>
  <c r="E193" i="67"/>
  <c r="E184" i="67"/>
  <c r="G177" i="67"/>
  <c r="AF177" i="67" s="1"/>
  <c r="F177" i="67"/>
  <c r="AE177" i="67" s="1"/>
  <c r="E177" i="67"/>
  <c r="AD177" i="67" s="1"/>
  <c r="G171" i="67"/>
  <c r="AF171" i="67" s="1"/>
  <c r="F171" i="67"/>
  <c r="AE171" i="67" s="1"/>
  <c r="E171" i="67"/>
  <c r="AD171" i="67" s="1"/>
  <c r="G169" i="67"/>
  <c r="AF169" i="67" s="1"/>
  <c r="F169" i="67"/>
  <c r="AE169" i="67" s="1"/>
  <c r="E169" i="67"/>
  <c r="AD169" i="67" s="1"/>
  <c r="G167" i="67"/>
  <c r="AF167" i="67" s="1"/>
  <c r="F167" i="67"/>
  <c r="AE167" i="67" s="1"/>
  <c r="E167" i="67"/>
  <c r="AD167" i="67" s="1"/>
  <c r="G166" i="67"/>
  <c r="AF166" i="67" s="1"/>
  <c r="F166" i="67"/>
  <c r="AE166" i="67" s="1"/>
  <c r="E166" i="67"/>
  <c r="AD166" i="67" s="1"/>
  <c r="G165" i="67"/>
  <c r="AF165" i="67" s="1"/>
  <c r="F165" i="67"/>
  <c r="AE165" i="67" s="1"/>
  <c r="E165" i="67"/>
  <c r="AD165" i="67" s="1"/>
  <c r="G156" i="67"/>
  <c r="AF156" i="67" s="1"/>
  <c r="F156" i="67"/>
  <c r="AE156" i="67" s="1"/>
  <c r="E156" i="67"/>
  <c r="AD156" i="67" s="1"/>
  <c r="G50" i="67"/>
  <c r="F50" i="67"/>
  <c r="E50" i="67"/>
  <c r="G47" i="67"/>
  <c r="F47" i="67"/>
  <c r="E47" i="67"/>
  <c r="G60" i="67"/>
  <c r="F60" i="67"/>
  <c r="E60" i="67"/>
  <c r="G57" i="67"/>
  <c r="F57" i="67"/>
  <c r="E57" i="67"/>
  <c r="AQ36" i="67"/>
  <c r="AP36" i="67"/>
  <c r="AO36" i="67"/>
  <c r="AN36" i="67"/>
  <c r="AK36" i="67" s="1"/>
  <c r="AM36" i="67"/>
  <c r="AJ36" i="67" s="1"/>
  <c r="AL36" i="67"/>
  <c r="AI36" i="67" s="1"/>
  <c r="AQ33" i="67"/>
  <c r="AP33" i="67"/>
  <c r="AO33" i="67"/>
  <c r="AN33" i="67"/>
  <c r="AM33" i="67"/>
  <c r="AL33" i="67"/>
  <c r="AI33" i="67" s="1"/>
  <c r="AQ24" i="67"/>
  <c r="AP24" i="67"/>
  <c r="AO24" i="67"/>
  <c r="AQ21" i="67"/>
  <c r="AP21" i="67"/>
  <c r="AO21" i="67"/>
  <c r="AN24" i="67"/>
  <c r="AM24" i="67"/>
  <c r="AN21" i="67"/>
  <c r="AM21" i="67"/>
  <c r="AL24" i="67"/>
  <c r="AI24" i="67" s="1"/>
  <c r="AL21" i="67"/>
  <c r="AJ24" i="67" l="1"/>
  <c r="AK24" i="67"/>
  <c r="AJ33" i="67"/>
  <c r="AK33" i="67"/>
  <c r="AJ21" i="67"/>
  <c r="AI21" i="67"/>
  <c r="AK21" i="67"/>
  <c r="AH167" i="67"/>
  <c r="G292" i="67"/>
  <c r="AG227" i="67"/>
  <c r="F334" i="67"/>
  <c r="AG205" i="67"/>
  <c r="AD205" i="67"/>
  <c r="G290" i="67"/>
  <c r="AH165" i="67"/>
  <c r="F294" i="67"/>
  <c r="AG169" i="67"/>
  <c r="AI177" i="67"/>
  <c r="AG217" i="67"/>
  <c r="AH232" i="67"/>
  <c r="AG256" i="67"/>
  <c r="F322" i="67"/>
  <c r="AG254" i="67"/>
  <c r="F290" i="67"/>
  <c r="AG165" i="67"/>
  <c r="AI167" i="67"/>
  <c r="G302" i="67"/>
  <c r="AH177" i="67"/>
  <c r="AI165" i="67"/>
  <c r="G294" i="67"/>
  <c r="AH169" i="67"/>
  <c r="F313" i="67"/>
  <c r="AD184" i="67"/>
  <c r="AG184" i="67"/>
  <c r="AH217" i="67"/>
  <c r="AG228" i="67"/>
  <c r="AG258" i="67"/>
  <c r="F328" i="67"/>
  <c r="AD199" i="67"/>
  <c r="AG199" i="67"/>
  <c r="AG232" i="67"/>
  <c r="AG166" i="67"/>
  <c r="F291" i="67"/>
  <c r="AI169" i="67"/>
  <c r="AD193" i="67"/>
  <c r="AG193" i="67"/>
  <c r="AH228" i="67"/>
  <c r="AG238" i="67"/>
  <c r="AG260" i="67"/>
  <c r="AH166" i="67"/>
  <c r="G291" i="67"/>
  <c r="AG171" i="67"/>
  <c r="F296" i="67"/>
  <c r="F323" i="67"/>
  <c r="AG194" i="67"/>
  <c r="AD194" i="67"/>
  <c r="AG226" i="67"/>
  <c r="AH238" i="67"/>
  <c r="AG266" i="67"/>
  <c r="F302" i="67"/>
  <c r="AG177" i="67"/>
  <c r="AG255" i="67"/>
  <c r="AG156" i="67"/>
  <c r="F281" i="67"/>
  <c r="AI166" i="67"/>
  <c r="AH171" i="67"/>
  <c r="G296" i="67"/>
  <c r="F324" i="67"/>
  <c r="AG195" i="67"/>
  <c r="AD195" i="67"/>
  <c r="AH226" i="67"/>
  <c r="AG230" i="67"/>
  <c r="AI156" i="67"/>
  <c r="AH227" i="67"/>
  <c r="AH156" i="67"/>
  <c r="G281" i="67"/>
  <c r="AG167" i="67"/>
  <c r="F292" i="67"/>
  <c r="AI171" i="67"/>
  <c r="F326" i="67"/>
  <c r="AG197" i="67"/>
  <c r="AD197" i="67"/>
  <c r="AH230" i="67"/>
  <c r="AG245" i="67"/>
  <c r="AM145" i="67"/>
  <c r="AK143" i="67"/>
  <c r="AL140" i="67"/>
  <c r="AM137" i="67"/>
  <c r="AK135" i="67"/>
  <c r="AL132" i="67"/>
  <c r="AM129" i="67"/>
  <c r="AK127" i="67"/>
  <c r="AL124" i="67"/>
  <c r="AL129" i="67"/>
  <c r="AM133" i="67"/>
  <c r="AL141" i="67"/>
  <c r="AK128" i="67"/>
  <c r="AL145" i="67"/>
  <c r="AM142" i="67"/>
  <c r="AK140" i="67"/>
  <c r="AN140" i="67" s="1"/>
  <c r="AL137" i="67"/>
  <c r="AM134" i="67"/>
  <c r="AK132" i="67"/>
  <c r="AM126" i="67"/>
  <c r="AK124" i="67"/>
  <c r="AN124" i="67" s="1"/>
  <c r="AM141" i="67"/>
  <c r="AP141" i="67" s="1"/>
  <c r="AK131" i="67"/>
  <c r="AK136" i="67"/>
  <c r="AN136" i="67" s="1"/>
  <c r="AK145" i="67"/>
  <c r="AN145" i="67" s="1"/>
  <c r="AL142" i="67"/>
  <c r="AO142" i="67" s="1"/>
  <c r="AM139" i="67"/>
  <c r="AK137" i="67"/>
  <c r="AL134" i="67"/>
  <c r="AM131" i="67"/>
  <c r="AK129" i="67"/>
  <c r="AL126" i="67"/>
  <c r="AM123" i="67"/>
  <c r="AP123" i="67" s="1"/>
  <c r="AK139" i="67"/>
  <c r="AL128" i="67"/>
  <c r="AO128" i="67" s="1"/>
  <c r="AM146" i="67"/>
  <c r="AP146" i="67" s="1"/>
  <c r="AM130" i="67"/>
  <c r="AM144" i="67"/>
  <c r="AK142" i="67"/>
  <c r="AL139" i="67"/>
  <c r="AO139" i="67" s="1"/>
  <c r="AM136" i="67"/>
  <c r="AP136" i="67" s="1"/>
  <c r="AK134" i="67"/>
  <c r="AN134" i="67" s="1"/>
  <c r="AL131" i="67"/>
  <c r="AO131" i="67" s="1"/>
  <c r="AM128" i="67"/>
  <c r="AK126" i="67"/>
  <c r="AN126" i="67" s="1"/>
  <c r="AL123" i="67"/>
  <c r="AO123" i="67" s="1"/>
  <c r="AK123" i="67"/>
  <c r="AK144" i="67"/>
  <c r="AN144" i="67" s="1"/>
  <c r="AL133" i="67"/>
  <c r="AL146" i="67"/>
  <c r="AM143" i="67"/>
  <c r="AP143" i="67" s="1"/>
  <c r="AK141" i="67"/>
  <c r="AL138" i="67"/>
  <c r="AO138" i="67" s="1"/>
  <c r="AM135" i="67"/>
  <c r="AP135" i="67" s="1"/>
  <c r="AK133" i="67"/>
  <c r="AL130" i="67"/>
  <c r="AO130" i="67" s="1"/>
  <c r="AM127" i="67"/>
  <c r="AK125" i="67"/>
  <c r="AL143" i="67"/>
  <c r="AO143" i="67" s="1"/>
  <c r="AM140" i="67"/>
  <c r="AL135" i="67"/>
  <c r="AK130" i="67"/>
  <c r="AM124" i="67"/>
  <c r="AL144" i="67"/>
  <c r="AO144" i="67" s="1"/>
  <c r="AM125" i="67"/>
  <c r="AK146" i="67"/>
  <c r="AK138" i="67"/>
  <c r="AN138" i="67" s="1"/>
  <c r="AM132" i="67"/>
  <c r="AP132" i="67" s="1"/>
  <c r="AL127" i="67"/>
  <c r="AO127" i="67" s="1"/>
  <c r="AL136" i="67"/>
  <c r="AM138" i="67"/>
  <c r="AL125" i="67"/>
  <c r="AO125" i="67" s="1"/>
  <c r="AT291" i="67" l="1"/>
  <c r="AS292" i="67"/>
  <c r="AS302" i="67"/>
  <c r="AS328" i="67"/>
  <c r="AS281" i="67"/>
  <c r="AS324" i="67"/>
  <c r="AS290" i="67"/>
  <c r="AS326" i="67"/>
  <c r="AT281" i="67"/>
  <c r="AT296" i="67"/>
  <c r="AS323" i="67"/>
  <c r="AS313" i="67"/>
  <c r="AS294" i="67"/>
  <c r="AS296" i="67"/>
  <c r="AT302" i="67"/>
  <c r="AS291" i="67"/>
  <c r="AT294" i="67"/>
  <c r="AS322" i="67"/>
  <c r="AT292" i="67"/>
  <c r="AS334" i="67"/>
  <c r="AT290" i="67"/>
  <c r="AD314" i="67"/>
  <c r="AD282" i="67"/>
  <c r="AP129" i="67"/>
  <c r="AD334" i="67"/>
  <c r="AD302" i="67"/>
  <c r="AO132" i="67"/>
  <c r="AC293" i="67"/>
  <c r="AC325" i="67"/>
  <c r="AC328" i="67"/>
  <c r="AC296" i="67"/>
  <c r="AX296" i="67" s="1"/>
  <c r="AB316" i="67"/>
  <c r="AA316" i="67" s="1"/>
  <c r="AV316" i="67" s="1"/>
  <c r="AB284" i="67"/>
  <c r="AA284" i="67" s="1"/>
  <c r="AV284" i="67" s="1"/>
  <c r="AD320" i="67"/>
  <c r="AD288" i="67"/>
  <c r="AC292" i="67"/>
  <c r="AX292" i="67" s="1"/>
  <c r="AC324" i="67"/>
  <c r="AB314" i="67"/>
  <c r="AA314" i="67" s="1"/>
  <c r="AV314" i="67" s="1"/>
  <c r="AB282" i="67"/>
  <c r="AA282" i="67" s="1"/>
  <c r="AV282" i="67" s="1"/>
  <c r="AB318" i="67"/>
  <c r="AA318" i="67" s="1"/>
  <c r="AV318" i="67" s="1"/>
  <c r="AB286" i="67"/>
  <c r="AA286" i="67" s="1"/>
  <c r="AV286" i="67" s="1"/>
  <c r="AB325" i="67"/>
  <c r="AA325" i="67" s="1"/>
  <c r="AV325" i="67" s="1"/>
  <c r="AB293" i="67"/>
  <c r="AA293" i="67" s="1"/>
  <c r="AV293" i="67" s="1"/>
  <c r="AP124" i="67"/>
  <c r="AN141" i="67"/>
  <c r="AN129" i="67"/>
  <c r="AO129" i="67"/>
  <c r="AN135" i="67"/>
  <c r="AD328" i="67"/>
  <c r="AD296" i="67"/>
  <c r="AD321" i="67"/>
  <c r="AD289" i="67"/>
  <c r="AD330" i="67"/>
  <c r="AD298" i="67"/>
  <c r="AD304" i="67"/>
  <c r="AD336" i="67"/>
  <c r="AD327" i="67"/>
  <c r="AD295" i="67"/>
  <c r="AN130" i="67"/>
  <c r="AN137" i="67"/>
  <c r="AP131" i="67"/>
  <c r="AN123" i="67"/>
  <c r="AP134" i="67"/>
  <c r="AP137" i="67"/>
  <c r="AB332" i="67"/>
  <c r="AA332" i="67" s="1"/>
  <c r="AV332" i="67" s="1"/>
  <c r="AB300" i="67"/>
  <c r="AA300" i="67" s="1"/>
  <c r="AV300" i="67" s="1"/>
  <c r="AD332" i="67"/>
  <c r="AD300" i="67"/>
  <c r="AB320" i="67"/>
  <c r="AA320" i="67" s="1"/>
  <c r="AV320" i="67" s="1"/>
  <c r="AB288" i="67"/>
  <c r="AA288" i="67" s="1"/>
  <c r="AV288" i="67" s="1"/>
  <c r="AO136" i="67"/>
  <c r="AD318" i="67"/>
  <c r="AD286" i="67"/>
  <c r="AB328" i="67"/>
  <c r="AB296" i="67"/>
  <c r="AC301" i="67"/>
  <c r="AC333" i="67"/>
  <c r="AD333" i="67"/>
  <c r="AD301" i="67"/>
  <c r="AC321" i="67"/>
  <c r="AC289" i="67"/>
  <c r="AC318" i="67"/>
  <c r="AC286" i="67"/>
  <c r="AD329" i="67"/>
  <c r="AD297" i="67"/>
  <c r="AB322" i="67"/>
  <c r="AB290" i="67"/>
  <c r="AD323" i="67"/>
  <c r="AD291" i="67"/>
  <c r="AC330" i="67"/>
  <c r="AC298" i="67"/>
  <c r="AO135" i="67"/>
  <c r="AN125" i="67"/>
  <c r="AO146" i="67"/>
  <c r="AP139" i="67"/>
  <c r="AN139" i="67"/>
  <c r="AO140" i="67"/>
  <c r="AB313" i="67"/>
  <c r="AB281" i="67"/>
  <c r="AD319" i="67"/>
  <c r="AD287" i="67"/>
  <c r="AP142" i="67"/>
  <c r="AC326" i="67"/>
  <c r="AC294" i="67"/>
  <c r="AX294" i="67" s="1"/>
  <c r="AC335" i="67"/>
  <c r="AC303" i="67"/>
  <c r="AB295" i="67"/>
  <c r="AA295" i="67" s="1"/>
  <c r="AV295" i="67" s="1"/>
  <c r="AB327" i="67"/>
  <c r="AA327" i="67" s="1"/>
  <c r="AV327" i="67" s="1"/>
  <c r="AB336" i="67"/>
  <c r="AA336" i="67" s="1"/>
  <c r="AV336" i="67" s="1"/>
  <c r="AB304" i="67"/>
  <c r="AA304" i="67" s="1"/>
  <c r="AV304" i="67" s="1"/>
  <c r="AB315" i="67"/>
  <c r="AA315" i="67" s="1"/>
  <c r="AV315" i="67" s="1"/>
  <c r="AB283" i="67"/>
  <c r="AA283" i="67" s="1"/>
  <c r="AV283" i="67" s="1"/>
  <c r="AB324" i="67"/>
  <c r="AB292" i="67"/>
  <c r="AB329" i="67"/>
  <c r="AA329" i="67" s="1"/>
  <c r="AV329" i="67" s="1"/>
  <c r="AB297" i="67"/>
  <c r="AA297" i="67" s="1"/>
  <c r="AV297" i="67" s="1"/>
  <c r="AC332" i="67"/>
  <c r="AC300" i="67"/>
  <c r="AD324" i="67"/>
  <c r="AD292" i="67"/>
  <c r="AC319" i="67"/>
  <c r="AC287" i="67"/>
  <c r="AB333" i="67"/>
  <c r="AA333" i="67" s="1"/>
  <c r="AV333" i="67" s="1"/>
  <c r="AB301" i="67"/>
  <c r="AA301" i="67" s="1"/>
  <c r="AV301" i="67" s="1"/>
  <c r="AP140" i="67"/>
  <c r="AP127" i="67"/>
  <c r="AN128" i="67"/>
  <c r="AN142" i="67"/>
  <c r="AP130" i="67"/>
  <c r="AP126" i="67"/>
  <c r="AP128" i="67"/>
  <c r="AO145" i="67"/>
  <c r="AN143" i="67"/>
  <c r="AB319" i="67"/>
  <c r="AA319" i="67" s="1"/>
  <c r="AV319" i="67" s="1"/>
  <c r="AB287" i="67"/>
  <c r="AA287" i="67" s="1"/>
  <c r="AV287" i="67" s="1"/>
  <c r="AC281" i="67"/>
  <c r="AX281" i="67" s="1"/>
  <c r="AC313" i="67"/>
  <c r="AD322" i="67"/>
  <c r="AD290" i="67"/>
  <c r="AD316" i="67"/>
  <c r="AD284" i="67"/>
  <c r="AD315" i="67"/>
  <c r="AD283" i="67"/>
  <c r="AD317" i="67"/>
  <c r="AD285" i="67"/>
  <c r="AC323" i="67"/>
  <c r="AC291" i="67"/>
  <c r="AX291" i="67" s="1"/>
  <c r="AD326" i="67"/>
  <c r="AD294" i="67"/>
  <c r="AD313" i="67"/>
  <c r="AD281" i="67"/>
  <c r="AB335" i="67"/>
  <c r="AA335" i="67" s="1"/>
  <c r="AV335" i="67" s="1"/>
  <c r="AB303" i="67"/>
  <c r="AA303" i="67" s="1"/>
  <c r="AV303" i="67" s="1"/>
  <c r="AC327" i="67"/>
  <c r="AC295" i="67"/>
  <c r="AC314" i="67"/>
  <c r="AC282" i="67"/>
  <c r="AD335" i="67"/>
  <c r="AD303" i="67"/>
  <c r="AN146" i="67"/>
  <c r="AO141" i="67"/>
  <c r="AP144" i="67"/>
  <c r="AN132" i="67"/>
  <c r="AO126" i="67"/>
  <c r="AO124" i="67"/>
  <c r="AP145" i="67"/>
  <c r="AB323" i="67"/>
  <c r="AB291" i="67"/>
  <c r="AB321" i="67"/>
  <c r="AA321" i="67" s="1"/>
  <c r="AV321" i="67" s="1"/>
  <c r="AB289" i="67"/>
  <c r="AA289" i="67" s="1"/>
  <c r="AV289" i="67" s="1"/>
  <c r="AD325" i="67"/>
  <c r="AD293" i="67"/>
  <c r="AD331" i="67"/>
  <c r="AD299" i="67"/>
  <c r="AC322" i="67"/>
  <c r="AC290" i="67"/>
  <c r="AX290" i="67" s="1"/>
  <c r="AC285" i="67"/>
  <c r="AC317" i="67"/>
  <c r="AB331" i="67"/>
  <c r="AA331" i="67" s="1"/>
  <c r="AV331" i="67" s="1"/>
  <c r="AB299" i="67"/>
  <c r="AA299" i="67" s="1"/>
  <c r="AV299" i="67" s="1"/>
  <c r="AC331" i="67"/>
  <c r="AC299" i="67"/>
  <c r="AC336" i="67"/>
  <c r="AC304" i="67"/>
  <c r="AC315" i="67"/>
  <c r="AC283" i="67"/>
  <c r="AC334" i="67"/>
  <c r="AC302" i="67"/>
  <c r="AX302" i="67" s="1"/>
  <c r="AC288" i="67"/>
  <c r="AC320" i="67"/>
  <c r="AB334" i="67"/>
  <c r="AB302" i="67"/>
  <c r="AC329" i="67"/>
  <c r="AC297" i="67"/>
  <c r="AC316" i="67"/>
  <c r="AC284" i="67"/>
  <c r="AB326" i="67"/>
  <c r="AB294" i="67"/>
  <c r="AB330" i="67"/>
  <c r="AA330" i="67" s="1"/>
  <c r="AV330" i="67" s="1"/>
  <c r="AB298" i="67"/>
  <c r="AA298" i="67" s="1"/>
  <c r="AV298" i="67" s="1"/>
  <c r="AB317" i="67"/>
  <c r="AA317" i="67" s="1"/>
  <c r="AV317" i="67" s="1"/>
  <c r="AB285" i="67"/>
  <c r="AA285" i="67" s="1"/>
  <c r="AV285" i="67" s="1"/>
  <c r="AO133" i="67"/>
  <c r="AP125" i="67"/>
  <c r="AN133" i="67"/>
  <c r="AP133" i="67"/>
  <c r="AP138" i="67"/>
  <c r="AN131" i="67"/>
  <c r="AO137" i="67"/>
  <c r="AO134" i="67"/>
  <c r="AN127" i="67"/>
  <c r="AW334" i="67" l="1"/>
  <c r="AA334" i="67"/>
  <c r="AV334" i="67" s="1"/>
  <c r="AW322" i="67"/>
  <c r="AA322" i="67"/>
  <c r="AV322" i="67" s="1"/>
  <c r="AW323" i="67"/>
  <c r="AA323" i="67"/>
  <c r="AV323" i="67" s="1"/>
  <c r="AW326" i="67"/>
  <c r="AA326" i="67"/>
  <c r="AV326" i="67" s="1"/>
  <c r="AW324" i="67"/>
  <c r="AA324" i="67"/>
  <c r="AV324" i="67" s="1"/>
  <c r="AW313" i="67"/>
  <c r="AA313" i="67"/>
  <c r="AV313" i="67" s="1"/>
  <c r="AW328" i="67"/>
  <c r="AA328" i="67"/>
  <c r="AV328" i="67" s="1"/>
  <c r="AW302" i="67"/>
  <c r="AA302" i="67"/>
  <c r="AV302" i="67" s="1"/>
  <c r="AW291" i="67"/>
  <c r="AA291" i="67"/>
  <c r="AV291" i="67" s="1"/>
  <c r="AW290" i="67"/>
  <c r="AA290" i="67"/>
  <c r="AV290" i="67" s="1"/>
  <c r="AW294" i="67"/>
  <c r="AA294" i="67"/>
  <c r="AV294" i="67" s="1"/>
  <c r="AW281" i="67"/>
  <c r="AA281" i="67"/>
  <c r="AV281" i="67" s="1"/>
  <c r="AW296" i="67"/>
  <c r="AA296" i="67"/>
  <c r="AV296" i="67" s="1"/>
  <c r="AW292" i="67"/>
  <c r="AA292" i="67"/>
  <c r="AV292" i="67" s="1"/>
  <c r="D24" i="67"/>
  <c r="D36" i="67" s="1"/>
  <c r="D23" i="67"/>
  <c r="D35" i="67" s="1"/>
  <c r="D22" i="67"/>
  <c r="D34" i="67" s="1"/>
  <c r="D21" i="67"/>
  <c r="D33" i="67" s="1"/>
  <c r="M128" i="54"/>
  <c r="G238" i="67" s="1"/>
  <c r="AF238" i="67" s="1"/>
  <c r="M122" i="54"/>
  <c r="G232" i="67" s="1"/>
  <c r="AF232" i="67" s="1"/>
  <c r="M120" i="54"/>
  <c r="G230" i="67" s="1"/>
  <c r="AF230" i="67" s="1"/>
  <c r="M118" i="54"/>
  <c r="G228" i="67" s="1"/>
  <c r="AF228" i="67" s="1"/>
  <c r="M117" i="54"/>
  <c r="G227" i="67" s="1"/>
  <c r="AF227" i="67" s="1"/>
  <c r="M116" i="54"/>
  <c r="G226" i="67" s="1"/>
  <c r="AF226" i="67" s="1"/>
  <c r="M107" i="54"/>
  <c r="G217" i="67" s="1"/>
  <c r="AF217" i="67" s="1"/>
  <c r="W137" i="54"/>
  <c r="W135" i="54"/>
  <c r="W152" i="54"/>
  <c r="W150" i="54"/>
  <c r="W144" i="54"/>
  <c r="W143" i="54"/>
  <c r="W136" i="54"/>
  <c r="W141" i="54"/>
  <c r="T134" i="54"/>
  <c r="L107" i="54"/>
  <c r="K155" i="54"/>
  <c r="K149" i="54"/>
  <c r="K147" i="54"/>
  <c r="K145" i="54"/>
  <c r="K144" i="54"/>
  <c r="K143" i="54"/>
  <c r="K134" i="54"/>
  <c r="W157" i="54"/>
  <c r="W156" i="54"/>
  <c r="W155" i="54"/>
  <c r="W154" i="54"/>
  <c r="W153" i="54"/>
  <c r="W149" i="54"/>
  <c r="W148" i="54"/>
  <c r="W147" i="54"/>
  <c r="W146" i="54"/>
  <c r="W145" i="54"/>
  <c r="W142" i="54"/>
  <c r="W140" i="54"/>
  <c r="W139" i="54"/>
  <c r="W138" i="54"/>
  <c r="W134" i="54"/>
  <c r="T157" i="54"/>
  <c r="T156" i="54"/>
  <c r="T155" i="54"/>
  <c r="T154" i="54"/>
  <c r="T153" i="54"/>
  <c r="T152" i="54"/>
  <c r="T151" i="54"/>
  <c r="T150" i="54"/>
  <c r="T149" i="54"/>
  <c r="T148" i="54"/>
  <c r="T147" i="54"/>
  <c r="T146" i="54"/>
  <c r="T145" i="54"/>
  <c r="T144" i="54"/>
  <c r="T143" i="54"/>
  <c r="T142" i="54"/>
  <c r="T141" i="54"/>
  <c r="T140" i="54"/>
  <c r="T139" i="54"/>
  <c r="T138" i="54"/>
  <c r="T137" i="54"/>
  <c r="T136" i="54"/>
  <c r="T135" i="54"/>
  <c r="V157" i="54"/>
  <c r="V156" i="54"/>
  <c r="V155" i="54"/>
  <c r="V154" i="54"/>
  <c r="V153" i="54"/>
  <c r="V152" i="54"/>
  <c r="V151" i="54"/>
  <c r="V150" i="54"/>
  <c r="V149" i="54"/>
  <c r="V148" i="54"/>
  <c r="V147" i="54"/>
  <c r="V146" i="54"/>
  <c r="V145" i="54"/>
  <c r="V144" i="54"/>
  <c r="V143" i="54"/>
  <c r="V142" i="54"/>
  <c r="V141" i="54"/>
  <c r="V140" i="54"/>
  <c r="V139" i="54"/>
  <c r="V138" i="54"/>
  <c r="V137" i="54"/>
  <c r="V136" i="54"/>
  <c r="V135" i="54"/>
  <c r="V134" i="54"/>
  <c r="S157" i="54"/>
  <c r="S156" i="54"/>
  <c r="S155" i="54"/>
  <c r="S154" i="54"/>
  <c r="S153" i="54"/>
  <c r="S152" i="54"/>
  <c r="S151" i="54"/>
  <c r="S150" i="54"/>
  <c r="S149" i="54"/>
  <c r="S148" i="54"/>
  <c r="S147" i="54"/>
  <c r="S146" i="54"/>
  <c r="S145" i="54"/>
  <c r="S144" i="54"/>
  <c r="S143" i="54"/>
  <c r="S142" i="54"/>
  <c r="S141" i="54"/>
  <c r="S140" i="54"/>
  <c r="S139" i="54"/>
  <c r="S138" i="54"/>
  <c r="S137" i="54"/>
  <c r="S136" i="54"/>
  <c r="S135" i="54"/>
  <c r="S134" i="54"/>
  <c r="R157" i="54"/>
  <c r="R156" i="54"/>
  <c r="R155" i="54"/>
  <c r="R154" i="54"/>
  <c r="R153" i="54"/>
  <c r="R152" i="54"/>
  <c r="R151" i="54"/>
  <c r="R150" i="54"/>
  <c r="R149" i="54"/>
  <c r="R148" i="54"/>
  <c r="R147" i="54"/>
  <c r="R146" i="54"/>
  <c r="R145" i="54"/>
  <c r="R144" i="54"/>
  <c r="R143" i="54"/>
  <c r="R142" i="54"/>
  <c r="R141" i="54"/>
  <c r="R140" i="54"/>
  <c r="R139" i="54"/>
  <c r="R138" i="54"/>
  <c r="R137" i="54"/>
  <c r="R136" i="54"/>
  <c r="R135" i="54"/>
  <c r="R134" i="54"/>
  <c r="Q157" i="54"/>
  <c r="Q156" i="54"/>
  <c r="Q155" i="54"/>
  <c r="Q154" i="54"/>
  <c r="Q153" i="54"/>
  <c r="Q152" i="54"/>
  <c r="Q151" i="54"/>
  <c r="Q150" i="54"/>
  <c r="Q149" i="54"/>
  <c r="Q148" i="54"/>
  <c r="Q147" i="54"/>
  <c r="Q146" i="54"/>
  <c r="Q145" i="54"/>
  <c r="Q144" i="54"/>
  <c r="Q143" i="54"/>
  <c r="Q142" i="54"/>
  <c r="Q141" i="54"/>
  <c r="Q140" i="54"/>
  <c r="Q139" i="54"/>
  <c r="Q138" i="54"/>
  <c r="Q137" i="54"/>
  <c r="Q136" i="54"/>
  <c r="Q135" i="54"/>
  <c r="Q134" i="54"/>
  <c r="L128" i="54"/>
  <c r="L122" i="54"/>
  <c r="L120" i="54"/>
  <c r="L118" i="54"/>
  <c r="L117" i="54"/>
  <c r="L116" i="54"/>
  <c r="S130" i="54"/>
  <c r="S129" i="54"/>
  <c r="S128" i="54"/>
  <c r="S127" i="54"/>
  <c r="S126" i="54"/>
  <c r="S125" i="54"/>
  <c r="S124" i="54"/>
  <c r="S123" i="54"/>
  <c r="S122" i="54"/>
  <c r="S121" i="54"/>
  <c r="S120" i="54"/>
  <c r="S119" i="54"/>
  <c r="S118" i="54"/>
  <c r="S117" i="54"/>
  <c r="S116" i="54"/>
  <c r="S115" i="54"/>
  <c r="S114" i="54"/>
  <c r="S113" i="54"/>
  <c r="S112" i="54"/>
  <c r="S111" i="54"/>
  <c r="S110" i="54"/>
  <c r="S109" i="54"/>
  <c r="S108" i="54"/>
  <c r="Q108" i="54"/>
  <c r="K128" i="54"/>
  <c r="K122" i="54"/>
  <c r="K120" i="54"/>
  <c r="K118" i="54"/>
  <c r="K117" i="54"/>
  <c r="K116" i="54"/>
  <c r="K107" i="54"/>
  <c r="K96" i="54"/>
  <c r="K90" i="54"/>
  <c r="K88" i="54"/>
  <c r="K86" i="54"/>
  <c r="K85" i="54"/>
  <c r="K84" i="54"/>
  <c r="K75" i="54"/>
  <c r="V98" i="54"/>
  <c r="U98" i="54"/>
  <c r="T98" i="54"/>
  <c r="S98" i="54"/>
  <c r="R98" i="54"/>
  <c r="Q98" i="54"/>
  <c r="P98" i="54"/>
  <c r="V97" i="54"/>
  <c r="U97" i="54"/>
  <c r="T97" i="54"/>
  <c r="S97" i="54"/>
  <c r="R97" i="54"/>
  <c r="Q97" i="54"/>
  <c r="P97" i="54"/>
  <c r="V96" i="54"/>
  <c r="U96" i="54"/>
  <c r="T96" i="54"/>
  <c r="S96" i="54"/>
  <c r="R96" i="54"/>
  <c r="Q96" i="54"/>
  <c r="P96" i="54"/>
  <c r="V95" i="54"/>
  <c r="U95" i="54"/>
  <c r="T95" i="54"/>
  <c r="S95" i="54"/>
  <c r="R95" i="54"/>
  <c r="Q95" i="54"/>
  <c r="P95" i="54"/>
  <c r="V94" i="54"/>
  <c r="U94" i="54"/>
  <c r="T94" i="54"/>
  <c r="S94" i="54"/>
  <c r="R94" i="54"/>
  <c r="Q94" i="54"/>
  <c r="P94" i="54"/>
  <c r="V93" i="54"/>
  <c r="U93" i="54"/>
  <c r="T93" i="54"/>
  <c r="S93" i="54"/>
  <c r="R93" i="54"/>
  <c r="Q93" i="54"/>
  <c r="P93" i="54"/>
  <c r="V92" i="54"/>
  <c r="U92" i="54"/>
  <c r="T92" i="54"/>
  <c r="S92" i="54"/>
  <c r="R92" i="54"/>
  <c r="Q92" i="54"/>
  <c r="P92" i="54"/>
  <c r="V91" i="54"/>
  <c r="U91" i="54"/>
  <c r="T91" i="54"/>
  <c r="S91" i="54"/>
  <c r="R91" i="54"/>
  <c r="Q91" i="54"/>
  <c r="P91" i="54"/>
  <c r="V90" i="54"/>
  <c r="U90" i="54"/>
  <c r="T90" i="54"/>
  <c r="S90" i="54"/>
  <c r="R90" i="54"/>
  <c r="Q90" i="54"/>
  <c r="P90" i="54"/>
  <c r="V89" i="54"/>
  <c r="U89" i="54"/>
  <c r="T89" i="54"/>
  <c r="S89" i="54"/>
  <c r="R89" i="54"/>
  <c r="Q89" i="54"/>
  <c r="P89" i="54"/>
  <c r="V88" i="54"/>
  <c r="U88" i="54"/>
  <c r="T88" i="54"/>
  <c r="S88" i="54"/>
  <c r="R88" i="54"/>
  <c r="Q88" i="54"/>
  <c r="P88" i="54"/>
  <c r="V87" i="54"/>
  <c r="U87" i="54"/>
  <c r="T87" i="54"/>
  <c r="S87" i="54"/>
  <c r="R87" i="54"/>
  <c r="Q87" i="54"/>
  <c r="P87" i="54"/>
  <c r="V86" i="54"/>
  <c r="U86" i="54"/>
  <c r="T86" i="54"/>
  <c r="S86" i="54"/>
  <c r="R86" i="54"/>
  <c r="Q86" i="54"/>
  <c r="P86" i="54"/>
  <c r="V85" i="54"/>
  <c r="U85" i="54"/>
  <c r="T85" i="54"/>
  <c r="S85" i="54"/>
  <c r="R85" i="54"/>
  <c r="Q85" i="54"/>
  <c r="P85" i="54"/>
  <c r="V84" i="54"/>
  <c r="U84" i="54"/>
  <c r="T84" i="54"/>
  <c r="S84" i="54"/>
  <c r="R84" i="54"/>
  <c r="Q84" i="54"/>
  <c r="P84" i="54"/>
  <c r="V83" i="54"/>
  <c r="U83" i="54"/>
  <c r="T83" i="54"/>
  <c r="S83" i="54"/>
  <c r="R83" i="54"/>
  <c r="Q83" i="54"/>
  <c r="P83" i="54"/>
  <c r="V82" i="54"/>
  <c r="U82" i="54"/>
  <c r="T82" i="54"/>
  <c r="S82" i="54"/>
  <c r="R82" i="54"/>
  <c r="Q82" i="54"/>
  <c r="P82" i="54"/>
  <c r="V81" i="54"/>
  <c r="U81" i="54"/>
  <c r="T81" i="54"/>
  <c r="S81" i="54"/>
  <c r="R81" i="54"/>
  <c r="Q81" i="54"/>
  <c r="P81" i="54"/>
  <c r="V80" i="54"/>
  <c r="U80" i="54"/>
  <c r="T80" i="54"/>
  <c r="S80" i="54"/>
  <c r="R80" i="54"/>
  <c r="Q80" i="54"/>
  <c r="P80" i="54"/>
  <c r="V79" i="54"/>
  <c r="U79" i="54"/>
  <c r="T79" i="54"/>
  <c r="S79" i="54"/>
  <c r="R79" i="54"/>
  <c r="Q79" i="54"/>
  <c r="P79" i="54"/>
  <c r="V78" i="54"/>
  <c r="U78" i="54"/>
  <c r="T78" i="54"/>
  <c r="S78" i="54"/>
  <c r="R78" i="54"/>
  <c r="Q78" i="54"/>
  <c r="P78" i="54"/>
  <c r="V77" i="54"/>
  <c r="U77" i="54"/>
  <c r="T77" i="54"/>
  <c r="S77" i="54"/>
  <c r="R77" i="54"/>
  <c r="Q77" i="54"/>
  <c r="P77" i="54"/>
  <c r="V76" i="54"/>
  <c r="U76" i="54"/>
  <c r="T76" i="54"/>
  <c r="S76" i="54"/>
  <c r="R76" i="54"/>
  <c r="Q76" i="54"/>
  <c r="P76" i="54"/>
  <c r="V75" i="54"/>
  <c r="U75" i="54"/>
  <c r="T75" i="54"/>
  <c r="S75" i="54"/>
  <c r="R75" i="54"/>
  <c r="Q75" i="54"/>
  <c r="P75" i="54"/>
  <c r="V71" i="54"/>
  <c r="V70" i="54"/>
  <c r="V69" i="54"/>
  <c r="V68" i="54"/>
  <c r="V67" i="54"/>
  <c r="V66" i="54"/>
  <c r="V65" i="54"/>
  <c r="V64" i="54"/>
  <c r="V63" i="54"/>
  <c r="V62" i="54"/>
  <c r="V61" i="54"/>
  <c r="V60" i="54"/>
  <c r="V59" i="54"/>
  <c r="V58" i="54"/>
  <c r="V57" i="54"/>
  <c r="V56" i="54"/>
  <c r="V55" i="54"/>
  <c r="V54" i="54"/>
  <c r="V53" i="54"/>
  <c r="V52" i="54"/>
  <c r="V51" i="54"/>
  <c r="V50" i="54"/>
  <c r="V49" i="54"/>
  <c r="M69" i="54"/>
  <c r="M63" i="54"/>
  <c r="M61" i="54"/>
  <c r="M59" i="54"/>
  <c r="M58" i="54"/>
  <c r="M57" i="54"/>
  <c r="M48" i="54"/>
  <c r="L69" i="54"/>
  <c r="L63" i="54"/>
  <c r="L61" i="54"/>
  <c r="L59" i="54"/>
  <c r="L58" i="54"/>
  <c r="L57" i="54"/>
  <c r="L48" i="54"/>
  <c r="U71" i="54"/>
  <c r="U70" i="54"/>
  <c r="U69" i="54"/>
  <c r="U68" i="54"/>
  <c r="U67" i="54"/>
  <c r="U66" i="54"/>
  <c r="U65" i="54"/>
  <c r="U64" i="54"/>
  <c r="U63" i="54"/>
  <c r="U62" i="54"/>
  <c r="U61" i="54"/>
  <c r="U60" i="54"/>
  <c r="U59" i="54"/>
  <c r="U58" i="54"/>
  <c r="U57" i="54"/>
  <c r="U56" i="54"/>
  <c r="U55" i="54"/>
  <c r="U54" i="54"/>
  <c r="U53" i="54"/>
  <c r="U52" i="54"/>
  <c r="U51" i="54"/>
  <c r="U50" i="54"/>
  <c r="U49" i="54"/>
  <c r="S71" i="54"/>
  <c r="S70" i="54"/>
  <c r="S69" i="54"/>
  <c r="S68" i="54"/>
  <c r="S67" i="54"/>
  <c r="S66" i="54"/>
  <c r="S65" i="54"/>
  <c r="S64" i="54"/>
  <c r="S63" i="54"/>
  <c r="S62" i="54"/>
  <c r="S61" i="54"/>
  <c r="S60" i="54"/>
  <c r="S59" i="54"/>
  <c r="S58" i="54"/>
  <c r="S57" i="54"/>
  <c r="S56" i="54"/>
  <c r="S55" i="54"/>
  <c r="S54" i="54"/>
  <c r="S53" i="54"/>
  <c r="S52" i="54"/>
  <c r="S51" i="54"/>
  <c r="S50" i="54"/>
  <c r="S49" i="54"/>
  <c r="S48" i="54"/>
  <c r="P48" i="54"/>
  <c r="P71" i="54" s="1"/>
  <c r="U48" i="54"/>
  <c r="R71" i="54"/>
  <c r="R70" i="54"/>
  <c r="R69" i="54"/>
  <c r="R68" i="54"/>
  <c r="R67" i="54"/>
  <c r="R66" i="54"/>
  <c r="R65" i="54"/>
  <c r="R64" i="54"/>
  <c r="R63" i="54"/>
  <c r="R62" i="54"/>
  <c r="R61" i="54"/>
  <c r="R60" i="54"/>
  <c r="R59" i="54"/>
  <c r="R58" i="54"/>
  <c r="R57" i="54"/>
  <c r="R56" i="54"/>
  <c r="R55" i="54"/>
  <c r="R54" i="54"/>
  <c r="R53" i="54"/>
  <c r="R52" i="54"/>
  <c r="R51" i="54"/>
  <c r="R50" i="54"/>
  <c r="R49" i="54"/>
  <c r="Q48" i="54"/>
  <c r="T48" i="54" s="1"/>
  <c r="H296" i="67" l="1"/>
  <c r="G26" i="72"/>
  <c r="AI232" i="67"/>
  <c r="H26" i="72" s="1"/>
  <c r="AI238" i="67"/>
  <c r="H32" i="72" s="1"/>
  <c r="G32" i="72"/>
  <c r="H302" i="67"/>
  <c r="AI226" i="67"/>
  <c r="H20" i="72" s="1"/>
  <c r="G20" i="72"/>
  <c r="H290" i="67"/>
  <c r="H291" i="67"/>
  <c r="G21" i="72"/>
  <c r="AI227" i="67"/>
  <c r="H21" i="72" s="1"/>
  <c r="H292" i="67"/>
  <c r="G22" i="72"/>
  <c r="AI228" i="67"/>
  <c r="H22" i="72" s="1"/>
  <c r="H294" i="67"/>
  <c r="G24" i="72"/>
  <c r="AI230" i="67"/>
  <c r="H24" i="72" s="1"/>
  <c r="AI217" i="67"/>
  <c r="H11" i="72" s="1"/>
  <c r="G11" i="72"/>
  <c r="H281" i="67"/>
  <c r="AV338" i="67"/>
  <c r="E113" i="67" s="1"/>
  <c r="K113" i="67" s="1"/>
  <c r="AV306" i="67"/>
  <c r="E101" i="67" s="1"/>
  <c r="K101" i="67" s="1"/>
  <c r="W151" i="54"/>
  <c r="P65" i="54"/>
  <c r="P51" i="54"/>
  <c r="P59" i="54"/>
  <c r="P67" i="54"/>
  <c r="P64" i="54"/>
  <c r="P49" i="54"/>
  <c r="P52" i="54"/>
  <c r="P60" i="54"/>
  <c r="P68" i="54"/>
  <c r="P56" i="54"/>
  <c r="P57" i="54"/>
  <c r="K57" i="54" s="1"/>
  <c r="P53" i="54"/>
  <c r="P61" i="54"/>
  <c r="K61" i="54" s="1"/>
  <c r="P69" i="54"/>
  <c r="K69" i="54" s="1"/>
  <c r="P50" i="54"/>
  <c r="P58" i="54"/>
  <c r="P66" i="54"/>
  <c r="P54" i="54"/>
  <c r="P62" i="54"/>
  <c r="P70" i="54"/>
  <c r="K48" i="54"/>
  <c r="P55" i="54"/>
  <c r="P63" i="54"/>
  <c r="T64" i="54"/>
  <c r="T56" i="54"/>
  <c r="T57" i="54"/>
  <c r="T71" i="54"/>
  <c r="T63" i="54"/>
  <c r="T55" i="54"/>
  <c r="T70" i="54"/>
  <c r="T62" i="54"/>
  <c r="T54" i="54"/>
  <c r="T65" i="54"/>
  <c r="T69" i="54"/>
  <c r="T61" i="54"/>
  <c r="T53" i="54"/>
  <c r="T68" i="54"/>
  <c r="T60" i="54"/>
  <c r="T52" i="54"/>
  <c r="T67" i="54"/>
  <c r="T59" i="54"/>
  <c r="T51" i="54"/>
  <c r="T49" i="54"/>
  <c r="T66" i="54"/>
  <c r="T58" i="54"/>
  <c r="T50" i="54"/>
  <c r="Q65" i="54"/>
  <c r="Q66" i="54"/>
  <c r="Q56" i="54"/>
  <c r="Q58" i="54"/>
  <c r="Q51" i="54"/>
  <c r="Q59" i="54"/>
  <c r="Q67" i="54"/>
  <c r="Q49" i="54"/>
  <c r="Q68" i="54"/>
  <c r="Q52" i="54"/>
  <c r="Q53" i="54"/>
  <c r="Q61" i="54"/>
  <c r="Q69" i="54"/>
  <c r="Q50" i="54"/>
  <c r="Q54" i="54"/>
  <c r="Q62" i="54"/>
  <c r="Q70" i="54"/>
  <c r="Q64" i="54"/>
  <c r="Q57" i="54"/>
  <c r="Q60" i="54"/>
  <c r="Q55" i="54"/>
  <c r="Q63" i="54"/>
  <c r="Q71" i="54"/>
  <c r="AU302" i="67" l="1"/>
  <c r="AY302" i="67"/>
  <c r="AU292" i="67"/>
  <c r="AY292" i="67"/>
  <c r="AU294" i="67"/>
  <c r="AY294" i="67"/>
  <c r="AU291" i="67"/>
  <c r="AY291" i="67"/>
  <c r="AU290" i="67"/>
  <c r="AY290" i="67"/>
  <c r="AU296" i="67"/>
  <c r="AY296" i="67"/>
  <c r="AU281" i="67"/>
  <c r="AY281" i="67"/>
  <c r="K63" i="54"/>
  <c r="K59" i="54"/>
  <c r="K58" i="54"/>
  <c r="M26" i="54" l="1"/>
  <c r="L26" i="54"/>
  <c r="K26" i="54"/>
  <c r="Q92" i="49"/>
  <c r="Q90" i="49"/>
  <c r="Q94" i="49"/>
  <c r="Q101" i="49"/>
  <c r="Q100" i="49"/>
  <c r="Q97" i="49"/>
  <c r="Q96" i="49"/>
  <c r="Q95" i="49"/>
  <c r="Q83" i="49"/>
  <c r="Q82" i="49"/>
  <c r="Q98" i="49"/>
  <c r="Q99" i="49"/>
  <c r="Q81" i="49"/>
  <c r="O173" i="49" l="1"/>
  <c r="O172" i="49"/>
  <c r="O171" i="49"/>
  <c r="O170" i="49"/>
  <c r="O169" i="49"/>
  <c r="O168" i="49"/>
  <c r="O167" i="49"/>
  <c r="O166" i="49"/>
  <c r="O165" i="49"/>
  <c r="O164" i="49"/>
  <c r="O163" i="49"/>
  <c r="O162" i="49"/>
  <c r="O161" i="49"/>
  <c r="O160" i="49"/>
  <c r="O159" i="49"/>
  <c r="O158" i="49"/>
  <c r="O157" i="49"/>
  <c r="O156" i="49"/>
  <c r="O155" i="49"/>
  <c r="O154" i="49"/>
  <c r="O153" i="49"/>
  <c r="O150" i="49"/>
  <c r="I140" i="49" l="1"/>
  <c r="H140" i="49"/>
  <c r="G140" i="49"/>
  <c r="F140" i="49"/>
  <c r="E140" i="49"/>
  <c r="S22" i="55"/>
  <c r="R22" i="55"/>
  <c r="Q22" i="55"/>
  <c r="P22" i="55"/>
  <c r="O22" i="55"/>
  <c r="S21" i="55"/>
  <c r="R21" i="55"/>
  <c r="Q21" i="55"/>
  <c r="P21" i="55"/>
  <c r="O21" i="55"/>
  <c r="J20" i="55"/>
  <c r="I20" i="55"/>
  <c r="H20" i="55"/>
  <c r="G20" i="55"/>
  <c r="F20" i="55"/>
  <c r="S19" i="55"/>
  <c r="R19" i="55"/>
  <c r="Q19" i="55"/>
  <c r="P19" i="55"/>
  <c r="O19" i="55"/>
  <c r="S18" i="55"/>
  <c r="R18" i="55"/>
  <c r="Q18" i="55"/>
  <c r="P18" i="55"/>
  <c r="O18" i="55"/>
  <c r="S17" i="55"/>
  <c r="R17" i="55"/>
  <c r="Q17" i="55"/>
  <c r="P17" i="55"/>
  <c r="O17" i="55"/>
  <c r="L16" i="55"/>
  <c r="S16" i="55" s="1"/>
  <c r="S20" i="55" s="1"/>
  <c r="I101" i="49"/>
  <c r="I100" i="49"/>
  <c r="I99" i="49"/>
  <c r="I98" i="49"/>
  <c r="I97" i="49"/>
  <c r="I96" i="49"/>
  <c r="I95" i="49"/>
  <c r="I94" i="49"/>
  <c r="I93" i="49"/>
  <c r="I92" i="49"/>
  <c r="I91" i="49"/>
  <c r="I90" i="49"/>
  <c r="I89" i="49"/>
  <c r="I88" i="49"/>
  <c r="I87" i="49"/>
  <c r="I86" i="49"/>
  <c r="I85" i="49"/>
  <c r="I84" i="49"/>
  <c r="I83" i="49"/>
  <c r="I82" i="49"/>
  <c r="I81" i="49"/>
  <c r="I80" i="49"/>
  <c r="I79" i="49"/>
  <c r="I78" i="49"/>
  <c r="H101" i="49"/>
  <c r="G101" i="49"/>
  <c r="F101" i="49"/>
  <c r="E101" i="49"/>
  <c r="H100" i="49"/>
  <c r="G100" i="49"/>
  <c r="F100" i="49"/>
  <c r="E100" i="49"/>
  <c r="H99" i="49"/>
  <c r="G99" i="49"/>
  <c r="F99" i="49"/>
  <c r="E99" i="49"/>
  <c r="H98" i="49"/>
  <c r="G98" i="49"/>
  <c r="F98" i="49"/>
  <c r="E98" i="49"/>
  <c r="H97" i="49"/>
  <c r="G97" i="49"/>
  <c r="F97" i="49"/>
  <c r="E97" i="49"/>
  <c r="H96" i="49"/>
  <c r="G96" i="49"/>
  <c r="F96" i="49"/>
  <c r="E96" i="49"/>
  <c r="H95" i="49"/>
  <c r="G95" i="49"/>
  <c r="F95" i="49"/>
  <c r="E95" i="49"/>
  <c r="H94" i="49"/>
  <c r="G94" i="49"/>
  <c r="F94" i="49"/>
  <c r="E94" i="49"/>
  <c r="H93" i="49"/>
  <c r="G93" i="49"/>
  <c r="F93" i="49"/>
  <c r="E93" i="49"/>
  <c r="H92" i="49"/>
  <c r="G92" i="49"/>
  <c r="F92" i="49"/>
  <c r="E92" i="49"/>
  <c r="H91" i="49"/>
  <c r="G91" i="49"/>
  <c r="F91" i="49"/>
  <c r="E91" i="49"/>
  <c r="H90" i="49"/>
  <c r="G90" i="49"/>
  <c r="F90" i="49"/>
  <c r="E90" i="49"/>
  <c r="H89" i="49"/>
  <c r="G89" i="49"/>
  <c r="F89" i="49"/>
  <c r="E89" i="49"/>
  <c r="H88" i="49"/>
  <c r="G88" i="49"/>
  <c r="F88" i="49"/>
  <c r="E88" i="49"/>
  <c r="H87" i="49"/>
  <c r="G87" i="49"/>
  <c r="F87" i="49"/>
  <c r="E87" i="49"/>
  <c r="H86" i="49"/>
  <c r="G86" i="49"/>
  <c r="F86" i="49"/>
  <c r="E86" i="49"/>
  <c r="H85" i="49"/>
  <c r="G85" i="49"/>
  <c r="F85" i="49"/>
  <c r="E85" i="49"/>
  <c r="H84" i="49"/>
  <c r="G84" i="49"/>
  <c r="F84" i="49"/>
  <c r="E84" i="49"/>
  <c r="H83" i="49"/>
  <c r="G83" i="49"/>
  <c r="F83" i="49"/>
  <c r="E83" i="49"/>
  <c r="H82" i="49"/>
  <c r="G82" i="49"/>
  <c r="F82" i="49"/>
  <c r="E82" i="49"/>
  <c r="H81" i="49"/>
  <c r="G81" i="49"/>
  <c r="F81" i="49"/>
  <c r="E81" i="49"/>
  <c r="H80" i="49"/>
  <c r="G80" i="49"/>
  <c r="F80" i="49"/>
  <c r="E80" i="49"/>
  <c r="H79" i="49"/>
  <c r="G79" i="49"/>
  <c r="F79" i="49"/>
  <c r="E79" i="49"/>
  <c r="H78" i="49"/>
  <c r="G78" i="49"/>
  <c r="F78" i="49"/>
  <c r="E78" i="49"/>
  <c r="D36" i="49"/>
  <c r="D67" i="49" s="1"/>
  <c r="D35" i="49"/>
  <c r="D66" i="49" s="1"/>
  <c r="D34" i="49"/>
  <c r="D65" i="49" s="1"/>
  <c r="D33" i="49"/>
  <c r="D64" i="49" s="1"/>
  <c r="D32" i="49"/>
  <c r="D63" i="49" s="1"/>
  <c r="D31" i="49"/>
  <c r="D62" i="49" s="1"/>
  <c r="D30" i="49"/>
  <c r="D61" i="49" s="1"/>
  <c r="D29" i="49"/>
  <c r="D60" i="49" s="1"/>
  <c r="D28" i="49"/>
  <c r="D59" i="49" s="1"/>
  <c r="D27" i="49"/>
  <c r="D58" i="49" s="1"/>
  <c r="D26" i="49"/>
  <c r="D57" i="49" s="1"/>
  <c r="D25" i="49"/>
  <c r="D56" i="49" s="1"/>
  <c r="D24" i="49"/>
  <c r="D55" i="49" s="1"/>
  <c r="D23" i="49"/>
  <c r="D54" i="49" s="1"/>
  <c r="D22" i="49"/>
  <c r="D53" i="49" s="1"/>
  <c r="D21" i="49"/>
  <c r="D52" i="49" s="1"/>
  <c r="D20" i="49"/>
  <c r="D51" i="49" s="1"/>
  <c r="D19" i="49"/>
  <c r="D50" i="49" s="1"/>
  <c r="D18" i="49"/>
  <c r="D49" i="49" s="1"/>
  <c r="D17" i="49"/>
  <c r="D48" i="49" s="1"/>
  <c r="D16" i="49"/>
  <c r="D47" i="49" s="1"/>
  <c r="D15" i="49"/>
  <c r="D46" i="49" s="1"/>
  <c r="D14" i="49"/>
  <c r="D45" i="49" s="1"/>
  <c r="D13" i="49"/>
  <c r="D44" i="49" s="1"/>
  <c r="I48" i="71"/>
  <c r="I49" i="71" s="1"/>
  <c r="E3" i="71"/>
  <c r="E2" i="71"/>
  <c r="O16" i="55" l="1"/>
  <c r="O20" i="55" s="1"/>
  <c r="P16" i="55"/>
  <c r="P20" i="55" s="1"/>
  <c r="Q16" i="55"/>
  <c r="Q20" i="55" s="1"/>
  <c r="R16" i="55"/>
  <c r="R20" i="55" s="1"/>
  <c r="D94" i="49"/>
  <c r="D79" i="49"/>
  <c r="D87" i="49"/>
  <c r="D95" i="49"/>
  <c r="D78" i="49"/>
  <c r="D96" i="49"/>
  <c r="D81" i="49"/>
  <c r="D89" i="49"/>
  <c r="D97" i="49"/>
  <c r="D88" i="49"/>
  <c r="D82" i="49"/>
  <c r="D90" i="49"/>
  <c r="D98" i="49"/>
  <c r="D86" i="49"/>
  <c r="D80" i="49"/>
  <c r="D83" i="49"/>
  <c r="D91" i="49"/>
  <c r="D99" i="49"/>
  <c r="D84" i="49"/>
  <c r="D92" i="49"/>
  <c r="D100" i="49"/>
  <c r="D85" i="49"/>
  <c r="D93" i="49"/>
  <c r="D101" i="49"/>
  <c r="D209" i="49"/>
  <c r="L209" i="49"/>
  <c r="J200" i="49"/>
  <c r="J208" i="49" s="1"/>
  <c r="J199" i="49"/>
  <c r="J207" i="49" s="1"/>
  <c r="J198" i="49"/>
  <c r="J206" i="49" s="1"/>
  <c r="D200" i="49"/>
  <c r="D208" i="49" s="1"/>
  <c r="D199" i="49"/>
  <c r="D207" i="49" s="1"/>
  <c r="D198" i="49"/>
  <c r="D206" i="49" s="1"/>
  <c r="L199" i="49" l="1"/>
  <c r="L207" i="49" s="1"/>
  <c r="L200" i="49"/>
  <c r="L208" i="49" s="1"/>
  <c r="L198" i="49"/>
  <c r="L206" i="49" s="1"/>
  <c r="V336" i="67"/>
  <c r="U336" i="67"/>
  <c r="T336" i="67"/>
  <c r="S336" i="67" s="1"/>
  <c r="AN336" i="67" s="1"/>
  <c r="R336" i="67"/>
  <c r="Q336" i="67"/>
  <c r="P336" i="67"/>
  <c r="O336" i="67" s="1"/>
  <c r="AJ336" i="67" s="1"/>
  <c r="N336" i="67"/>
  <c r="M336" i="67"/>
  <c r="L336" i="67"/>
  <c r="K336" i="67" s="1"/>
  <c r="AF336" i="67" s="1"/>
  <c r="V335" i="67"/>
  <c r="U335" i="67"/>
  <c r="T335" i="67"/>
  <c r="S335" i="67" s="1"/>
  <c r="AN335" i="67" s="1"/>
  <c r="R335" i="67"/>
  <c r="Q335" i="67"/>
  <c r="P335" i="67"/>
  <c r="O335" i="67" s="1"/>
  <c r="AJ335" i="67" s="1"/>
  <c r="N335" i="67"/>
  <c r="M335" i="67"/>
  <c r="L335" i="67"/>
  <c r="K335" i="67" s="1"/>
  <c r="AF335" i="67" s="1"/>
  <c r="V334" i="67"/>
  <c r="U334" i="67"/>
  <c r="T334" i="67"/>
  <c r="S334" i="67" s="1"/>
  <c r="AN334" i="67" s="1"/>
  <c r="R334" i="67"/>
  <c r="Q334" i="67"/>
  <c r="P334" i="67"/>
  <c r="O334" i="67" s="1"/>
  <c r="AJ334" i="67" s="1"/>
  <c r="N334" i="67"/>
  <c r="M334" i="67"/>
  <c r="L334" i="67"/>
  <c r="K334" i="67" s="1"/>
  <c r="AF334" i="67" s="1"/>
  <c r="V333" i="67"/>
  <c r="U333" i="67"/>
  <c r="T333" i="67"/>
  <c r="S333" i="67" s="1"/>
  <c r="AN333" i="67" s="1"/>
  <c r="R333" i="67"/>
  <c r="Q333" i="67"/>
  <c r="P333" i="67"/>
  <c r="O333" i="67" s="1"/>
  <c r="AJ333" i="67" s="1"/>
  <c r="N333" i="67"/>
  <c r="M333" i="67"/>
  <c r="L333" i="67"/>
  <c r="K333" i="67" s="1"/>
  <c r="AF333" i="67" s="1"/>
  <c r="V332" i="67"/>
  <c r="U332" i="67"/>
  <c r="T332" i="67"/>
  <c r="S332" i="67" s="1"/>
  <c r="AN332" i="67" s="1"/>
  <c r="R332" i="67"/>
  <c r="Q332" i="67"/>
  <c r="P332" i="67"/>
  <c r="O332" i="67" s="1"/>
  <c r="AJ332" i="67" s="1"/>
  <c r="N332" i="67"/>
  <c r="M332" i="67"/>
  <c r="L332" i="67"/>
  <c r="K332" i="67" s="1"/>
  <c r="AF332" i="67" s="1"/>
  <c r="V331" i="67"/>
  <c r="U331" i="67"/>
  <c r="T331" i="67"/>
  <c r="S331" i="67" s="1"/>
  <c r="AN331" i="67" s="1"/>
  <c r="R331" i="67"/>
  <c r="Q331" i="67"/>
  <c r="P331" i="67"/>
  <c r="O331" i="67" s="1"/>
  <c r="AJ331" i="67" s="1"/>
  <c r="N331" i="67"/>
  <c r="M331" i="67"/>
  <c r="L331" i="67"/>
  <c r="K331" i="67" s="1"/>
  <c r="AF331" i="67" s="1"/>
  <c r="V304" i="67"/>
  <c r="U304" i="67"/>
  <c r="T304" i="67"/>
  <c r="S304" i="67" s="1"/>
  <c r="AN304" i="67" s="1"/>
  <c r="R304" i="67"/>
  <c r="Q304" i="67"/>
  <c r="P304" i="67"/>
  <c r="N304" i="67"/>
  <c r="M304" i="67"/>
  <c r="L304" i="67"/>
  <c r="K304" i="67" s="1"/>
  <c r="AF304" i="67" s="1"/>
  <c r="V303" i="67"/>
  <c r="U303" i="67"/>
  <c r="T303" i="67"/>
  <c r="S303" i="67" s="1"/>
  <c r="AN303" i="67" s="1"/>
  <c r="R303" i="67"/>
  <c r="Q303" i="67"/>
  <c r="P303" i="67"/>
  <c r="N303" i="67"/>
  <c r="M303" i="67"/>
  <c r="L303" i="67"/>
  <c r="K303" i="67" s="1"/>
  <c r="AF303" i="67" s="1"/>
  <c r="V302" i="67"/>
  <c r="U302" i="67"/>
  <c r="T302" i="67"/>
  <c r="S302" i="67" s="1"/>
  <c r="AN302" i="67" s="1"/>
  <c r="R302" i="67"/>
  <c r="Q302" i="67"/>
  <c r="P302" i="67"/>
  <c r="N302" i="67"/>
  <c r="M302" i="67"/>
  <c r="L302" i="67"/>
  <c r="K302" i="67" s="1"/>
  <c r="AF302" i="67" s="1"/>
  <c r="V301" i="67"/>
  <c r="U301" i="67"/>
  <c r="T301" i="67"/>
  <c r="S301" i="67" s="1"/>
  <c r="AN301" i="67" s="1"/>
  <c r="R301" i="67"/>
  <c r="Q301" i="67"/>
  <c r="P301" i="67"/>
  <c r="N301" i="67"/>
  <c r="M301" i="67"/>
  <c r="L301" i="67"/>
  <c r="K301" i="67" s="1"/>
  <c r="AF301" i="67" s="1"/>
  <c r="V300" i="67"/>
  <c r="U300" i="67"/>
  <c r="T300" i="67"/>
  <c r="S300" i="67" s="1"/>
  <c r="AN300" i="67" s="1"/>
  <c r="R300" i="67"/>
  <c r="Q300" i="67"/>
  <c r="P300" i="67"/>
  <c r="N300" i="67"/>
  <c r="M300" i="67"/>
  <c r="L300" i="67"/>
  <c r="K300" i="67" s="1"/>
  <c r="AF300" i="67" s="1"/>
  <c r="M284" i="67"/>
  <c r="R330" i="67" l="1"/>
  <c r="Q330" i="67"/>
  <c r="P330" i="67"/>
  <c r="O330" i="67" s="1"/>
  <c r="AJ330" i="67" s="1"/>
  <c r="R329" i="67"/>
  <c r="Q329" i="67"/>
  <c r="P329" i="67"/>
  <c r="O329" i="67" s="1"/>
  <c r="AJ329" i="67" s="1"/>
  <c r="R328" i="67"/>
  <c r="Q328" i="67"/>
  <c r="P328" i="67"/>
  <c r="O328" i="67" s="1"/>
  <c r="AJ328" i="67" s="1"/>
  <c r="R327" i="67"/>
  <c r="Q327" i="67"/>
  <c r="P327" i="67"/>
  <c r="O327" i="67" s="1"/>
  <c r="AJ327" i="67" s="1"/>
  <c r="R326" i="67"/>
  <c r="Q326" i="67"/>
  <c r="P326" i="67"/>
  <c r="O326" i="67" s="1"/>
  <c r="AJ326" i="67" s="1"/>
  <c r="R325" i="67"/>
  <c r="Q325" i="67"/>
  <c r="P325" i="67"/>
  <c r="O325" i="67" s="1"/>
  <c r="AJ325" i="67" s="1"/>
  <c r="R324" i="67"/>
  <c r="Q324" i="67"/>
  <c r="P324" i="67"/>
  <c r="O324" i="67" s="1"/>
  <c r="AJ324" i="67" s="1"/>
  <c r="R323" i="67"/>
  <c r="Q323" i="67"/>
  <c r="P323" i="67"/>
  <c r="O323" i="67" s="1"/>
  <c r="AJ323" i="67" s="1"/>
  <c r="R322" i="67"/>
  <c r="Q322" i="67"/>
  <c r="P322" i="67"/>
  <c r="O322" i="67" s="1"/>
  <c r="AJ322" i="67" s="1"/>
  <c r="R321" i="67"/>
  <c r="Q321" i="67"/>
  <c r="P321" i="67"/>
  <c r="O321" i="67" s="1"/>
  <c r="AJ321" i="67" s="1"/>
  <c r="R320" i="67"/>
  <c r="Q320" i="67"/>
  <c r="P320" i="67"/>
  <c r="O320" i="67" s="1"/>
  <c r="AJ320" i="67" s="1"/>
  <c r="R319" i="67"/>
  <c r="Q319" i="67"/>
  <c r="P319" i="67"/>
  <c r="O319" i="67" s="1"/>
  <c r="AJ319" i="67" s="1"/>
  <c r="R318" i="67"/>
  <c r="Q318" i="67"/>
  <c r="P318" i="67"/>
  <c r="O318" i="67" s="1"/>
  <c r="AJ318" i="67" s="1"/>
  <c r="R317" i="67"/>
  <c r="Q317" i="67"/>
  <c r="P317" i="67"/>
  <c r="O317" i="67" s="1"/>
  <c r="AJ317" i="67" s="1"/>
  <c r="R316" i="67"/>
  <c r="Q316" i="67"/>
  <c r="P316" i="67"/>
  <c r="O316" i="67" s="1"/>
  <c r="AJ316" i="67" s="1"/>
  <c r="R315" i="67"/>
  <c r="Q315" i="67"/>
  <c r="P315" i="67"/>
  <c r="O315" i="67" s="1"/>
  <c r="AJ315" i="67" s="1"/>
  <c r="R314" i="67"/>
  <c r="Q314" i="67"/>
  <c r="P314" i="67"/>
  <c r="O314" i="67" s="1"/>
  <c r="AJ314" i="67" s="1"/>
  <c r="R313" i="67"/>
  <c r="Q313" i="67"/>
  <c r="P313" i="67"/>
  <c r="O313" i="67" s="1"/>
  <c r="AJ313" i="67" s="1"/>
  <c r="R299" i="67"/>
  <c r="Q299" i="67"/>
  <c r="P299" i="67"/>
  <c r="R298" i="67"/>
  <c r="Q298" i="67"/>
  <c r="P298" i="67"/>
  <c r="R297" i="67"/>
  <c r="Q297" i="67"/>
  <c r="P297" i="67"/>
  <c r="R296" i="67"/>
  <c r="Q296" i="67"/>
  <c r="P296" i="67"/>
  <c r="R295" i="67"/>
  <c r="Q295" i="67"/>
  <c r="P295" i="67"/>
  <c r="R294" i="67"/>
  <c r="Q294" i="67"/>
  <c r="P294" i="67"/>
  <c r="R293" i="67"/>
  <c r="Q293" i="67"/>
  <c r="P293" i="67"/>
  <c r="R292" i="67"/>
  <c r="Q292" i="67"/>
  <c r="P292" i="67"/>
  <c r="R291" i="67"/>
  <c r="Q291" i="67"/>
  <c r="P291" i="67"/>
  <c r="R290" i="67"/>
  <c r="Q290" i="67"/>
  <c r="P290" i="67"/>
  <c r="R289" i="67"/>
  <c r="Q289" i="67"/>
  <c r="P289" i="67"/>
  <c r="R288" i="67"/>
  <c r="Q288" i="67"/>
  <c r="P288" i="67"/>
  <c r="R287" i="67"/>
  <c r="Q287" i="67"/>
  <c r="P287" i="67"/>
  <c r="R286" i="67"/>
  <c r="Q286" i="67"/>
  <c r="P286" i="67"/>
  <c r="R285" i="67"/>
  <c r="Q285" i="67"/>
  <c r="P285" i="67"/>
  <c r="R284" i="67"/>
  <c r="Q284" i="67"/>
  <c r="P284" i="67"/>
  <c r="R283" i="67"/>
  <c r="Q283" i="67"/>
  <c r="P283" i="67"/>
  <c r="R282" i="67"/>
  <c r="Q282" i="67"/>
  <c r="P282" i="67"/>
  <c r="R281" i="67"/>
  <c r="Q281" i="67"/>
  <c r="P281" i="67"/>
  <c r="E3" i="67"/>
  <c r="M147" i="49"/>
  <c r="L147" i="49"/>
  <c r="AJ338" i="67" l="1"/>
  <c r="E110" i="67" s="1"/>
  <c r="K110" i="67" s="1"/>
  <c r="T298" i="67"/>
  <c r="S298" i="67" s="1"/>
  <c r="AN298" i="67" s="1"/>
  <c r="T330" i="67"/>
  <c r="S330" i="67" s="1"/>
  <c r="AN330" i="67" s="1"/>
  <c r="U294" i="67"/>
  <c r="U326" i="67"/>
  <c r="U317" i="67"/>
  <c r="U285" i="67"/>
  <c r="M296" i="67"/>
  <c r="M328" i="67"/>
  <c r="T315" i="67"/>
  <c r="S315" i="67" s="1"/>
  <c r="AN315" i="67" s="1"/>
  <c r="T283" i="67"/>
  <c r="S283" i="67" s="1"/>
  <c r="AN283" i="67" s="1"/>
  <c r="V295" i="67"/>
  <c r="V327" i="67"/>
  <c r="V299" i="67"/>
  <c r="T317" i="67"/>
  <c r="S317" i="67" s="1"/>
  <c r="AN317" i="67" s="1"/>
  <c r="T285" i="67"/>
  <c r="S285" i="67" s="1"/>
  <c r="AN285" i="67" s="1"/>
  <c r="T299" i="67"/>
  <c r="S299" i="67" s="1"/>
  <c r="AN299" i="67" s="1"/>
  <c r="V320" i="67"/>
  <c r="V288" i="67"/>
  <c r="U299" i="67"/>
  <c r="N315" i="67"/>
  <c r="N283" i="67"/>
  <c r="M316" i="67"/>
  <c r="M313" i="67"/>
  <c r="M281" i="67"/>
  <c r="N313" i="67"/>
  <c r="N281" i="67"/>
  <c r="L319" i="67"/>
  <c r="K319" i="67" s="1"/>
  <c r="AF319" i="67" s="1"/>
  <c r="L287" i="67"/>
  <c r="K287" i="67" s="1"/>
  <c r="AF287" i="67" s="1"/>
  <c r="M289" i="67"/>
  <c r="M321" i="67"/>
  <c r="L314" i="67"/>
  <c r="K314" i="67" s="1"/>
  <c r="AF314" i="67" s="1"/>
  <c r="L282" i="67"/>
  <c r="K282" i="67" s="1"/>
  <c r="AF282" i="67" s="1"/>
  <c r="N290" i="67"/>
  <c r="N322" i="67"/>
  <c r="T316" i="67"/>
  <c r="S316" i="67" s="1"/>
  <c r="AN316" i="67" s="1"/>
  <c r="T284" i="67"/>
  <c r="S284" i="67" s="1"/>
  <c r="AN284" i="67" s="1"/>
  <c r="N295" i="67"/>
  <c r="N327" i="67"/>
  <c r="V328" i="67"/>
  <c r="V296" i="67"/>
  <c r="U318" i="67"/>
  <c r="U286" i="67"/>
  <c r="U296" i="67"/>
  <c r="U328" i="67"/>
  <c r="V322" i="67"/>
  <c r="V290" i="67"/>
  <c r="V324" i="67"/>
  <c r="V292" i="67"/>
  <c r="M314" i="67"/>
  <c r="M282" i="67"/>
  <c r="N314" i="67"/>
  <c r="N282" i="67"/>
  <c r="L320" i="67"/>
  <c r="K320" i="67" s="1"/>
  <c r="AF320" i="67" s="1"/>
  <c r="L288" i="67"/>
  <c r="K288" i="67" s="1"/>
  <c r="AF288" i="67" s="1"/>
  <c r="N292" i="67"/>
  <c r="N324" i="67"/>
  <c r="M315" i="67"/>
  <c r="M283" i="67"/>
  <c r="L324" i="67"/>
  <c r="K324" i="67" s="1"/>
  <c r="AF324" i="67" s="1"/>
  <c r="L292" i="67"/>
  <c r="K292" i="67" s="1"/>
  <c r="AF292" i="67" s="1"/>
  <c r="N329" i="67"/>
  <c r="N297" i="67"/>
  <c r="M294" i="67"/>
  <c r="M326" i="67"/>
  <c r="M298" i="67"/>
  <c r="M330" i="67"/>
  <c r="N294" i="67"/>
  <c r="N326" i="67"/>
  <c r="L328" i="67"/>
  <c r="K328" i="67" s="1"/>
  <c r="AF328" i="67" s="1"/>
  <c r="L296" i="67"/>
  <c r="K296" i="67" s="1"/>
  <c r="AF296" i="67" s="1"/>
  <c r="T313" i="67"/>
  <c r="S313" i="67" s="1"/>
  <c r="AN313" i="67" s="1"/>
  <c r="T281" i="67"/>
  <c r="S281" i="67" s="1"/>
  <c r="AN281" i="67" s="1"/>
  <c r="M297" i="67"/>
  <c r="M329" i="67"/>
  <c r="L291" i="67"/>
  <c r="K291" i="67" s="1"/>
  <c r="AF291" i="67" s="1"/>
  <c r="L323" i="67"/>
  <c r="K323" i="67" s="1"/>
  <c r="AF323" i="67" s="1"/>
  <c r="V318" i="67"/>
  <c r="V286" i="67"/>
  <c r="T318" i="67"/>
  <c r="S318" i="67" s="1"/>
  <c r="AN318" i="67" s="1"/>
  <c r="T286" i="67"/>
  <c r="S286" i="67" s="1"/>
  <c r="AN286" i="67" s="1"/>
  <c r="U315" i="67"/>
  <c r="U283" i="67"/>
  <c r="T292" i="67"/>
  <c r="S292" i="67" s="1"/>
  <c r="AN292" i="67" s="1"/>
  <c r="T324" i="67"/>
  <c r="S324" i="67" s="1"/>
  <c r="AN324" i="67" s="1"/>
  <c r="V314" i="67"/>
  <c r="V282" i="67"/>
  <c r="T294" i="67"/>
  <c r="S294" i="67" s="1"/>
  <c r="AN294" i="67" s="1"/>
  <c r="T326" i="67"/>
  <c r="S326" i="67" s="1"/>
  <c r="AN326" i="67" s="1"/>
  <c r="N298" i="67"/>
  <c r="N330" i="67"/>
  <c r="M290" i="67"/>
  <c r="M322" i="67"/>
  <c r="L315" i="67"/>
  <c r="K315" i="67" s="1"/>
  <c r="AF315" i="67" s="1"/>
  <c r="L283" i="67"/>
  <c r="K283" i="67" s="1"/>
  <c r="AF283" i="67" s="1"/>
  <c r="N325" i="67"/>
  <c r="N293" i="67"/>
  <c r="N321" i="67"/>
  <c r="N289" i="67"/>
  <c r="T297" i="67"/>
  <c r="S297" i="67" s="1"/>
  <c r="AN297" i="67" s="1"/>
  <c r="T329" i="67"/>
  <c r="S329" i="67" s="1"/>
  <c r="AN329" i="67" s="1"/>
  <c r="V319" i="67"/>
  <c r="V287" i="67"/>
  <c r="T320" i="67"/>
  <c r="S320" i="67" s="1"/>
  <c r="AN320" i="67" s="1"/>
  <c r="T288" i="67"/>
  <c r="S288" i="67" s="1"/>
  <c r="AN288" i="67" s="1"/>
  <c r="T321" i="67"/>
  <c r="S321" i="67" s="1"/>
  <c r="AN321" i="67" s="1"/>
  <c r="T289" i="67"/>
  <c r="S289" i="67" s="1"/>
  <c r="AN289" i="67" s="1"/>
  <c r="U298" i="67"/>
  <c r="U330" i="67"/>
  <c r="T290" i="67"/>
  <c r="S290" i="67" s="1"/>
  <c r="AN290" i="67" s="1"/>
  <c r="T322" i="67"/>
  <c r="S322" i="67" s="1"/>
  <c r="AN322" i="67" s="1"/>
  <c r="V298" i="67"/>
  <c r="V330" i="67"/>
  <c r="M317" i="67"/>
  <c r="M285" i="67"/>
  <c r="N317" i="67"/>
  <c r="N285" i="67"/>
  <c r="L322" i="67"/>
  <c r="K322" i="67" s="1"/>
  <c r="AF322" i="67" s="1"/>
  <c r="L290" i="67"/>
  <c r="K290" i="67" s="1"/>
  <c r="AF290" i="67" s="1"/>
  <c r="M291" i="67"/>
  <c r="M323" i="67"/>
  <c r="L294" i="67"/>
  <c r="K294" i="67" s="1"/>
  <c r="AF294" i="67" s="1"/>
  <c r="L326" i="67"/>
  <c r="K326" i="67" s="1"/>
  <c r="AF326" i="67" s="1"/>
  <c r="N316" i="67"/>
  <c r="N284" i="67"/>
  <c r="M295" i="67"/>
  <c r="M327" i="67"/>
  <c r="L297" i="67"/>
  <c r="K297" i="67" s="1"/>
  <c r="AF297" i="67" s="1"/>
  <c r="L329" i="67"/>
  <c r="K329" i="67" s="1"/>
  <c r="AF329" i="67" s="1"/>
  <c r="U292" i="67"/>
  <c r="U324" i="67"/>
  <c r="V291" i="67"/>
  <c r="V323" i="67"/>
  <c r="L299" i="67"/>
  <c r="K299" i="67" s="1"/>
  <c r="AF299" i="67" s="1"/>
  <c r="M287" i="67"/>
  <c r="M319" i="67"/>
  <c r="L317" i="67"/>
  <c r="K317" i="67" s="1"/>
  <c r="AF317" i="67" s="1"/>
  <c r="L285" i="67"/>
  <c r="K285" i="67" s="1"/>
  <c r="AF285" i="67" s="1"/>
  <c r="T293" i="67"/>
  <c r="S293" i="67" s="1"/>
  <c r="AN293" i="67" s="1"/>
  <c r="T325" i="67"/>
  <c r="S325" i="67" s="1"/>
  <c r="AN325" i="67" s="1"/>
  <c r="L298" i="67"/>
  <c r="K298" i="67" s="1"/>
  <c r="AF298" i="67" s="1"/>
  <c r="L330" i="67"/>
  <c r="K330" i="67" s="1"/>
  <c r="AF330" i="67" s="1"/>
  <c r="M288" i="67"/>
  <c r="M320" i="67"/>
  <c r="N320" i="67"/>
  <c r="N288" i="67"/>
  <c r="T319" i="67"/>
  <c r="S319" i="67" s="1"/>
  <c r="AN319" i="67" s="1"/>
  <c r="T287" i="67"/>
  <c r="S287" i="67" s="1"/>
  <c r="AN287" i="67" s="1"/>
  <c r="U288" i="67"/>
  <c r="U320" i="67"/>
  <c r="U291" i="67"/>
  <c r="U323" i="67"/>
  <c r="U293" i="67"/>
  <c r="U325" i="67"/>
  <c r="U313" i="67"/>
  <c r="U281" i="67"/>
  <c r="V313" i="67"/>
  <c r="V281" i="67"/>
  <c r="T323" i="67"/>
  <c r="S323" i="67" s="1"/>
  <c r="AN323" i="67" s="1"/>
  <c r="T291" i="67"/>
  <c r="S291" i="67" s="1"/>
  <c r="AN291" i="67" s="1"/>
  <c r="V321" i="67"/>
  <c r="V289" i="67"/>
  <c r="V316" i="67"/>
  <c r="V284" i="67"/>
  <c r="U295" i="67"/>
  <c r="U327" i="67"/>
  <c r="V297" i="67"/>
  <c r="V329" i="67"/>
  <c r="L316" i="67"/>
  <c r="K316" i="67" s="1"/>
  <c r="AF316" i="67" s="1"/>
  <c r="L284" i="67"/>
  <c r="K284" i="67" s="1"/>
  <c r="AF284" i="67" s="1"/>
  <c r="M292" i="67"/>
  <c r="M324" i="67"/>
  <c r="L295" i="67"/>
  <c r="K295" i="67" s="1"/>
  <c r="AF295" i="67" s="1"/>
  <c r="L327" i="67"/>
  <c r="K327" i="67" s="1"/>
  <c r="AF327" i="67" s="1"/>
  <c r="N319" i="67"/>
  <c r="N287" i="67"/>
  <c r="N323" i="67"/>
  <c r="N291" i="67"/>
  <c r="V293" i="67"/>
  <c r="V325" i="67"/>
  <c r="M299" i="67"/>
  <c r="V294" i="67"/>
  <c r="V326" i="67"/>
  <c r="V317" i="67"/>
  <c r="V285" i="67"/>
  <c r="L318" i="67"/>
  <c r="K318" i="67" s="1"/>
  <c r="AF318" i="67" s="1"/>
  <c r="L286" i="67"/>
  <c r="K286" i="67" s="1"/>
  <c r="AF286" i="67" s="1"/>
  <c r="M318" i="67"/>
  <c r="M286" i="67"/>
  <c r="U290" i="67"/>
  <c r="U322" i="67"/>
  <c r="U289" i="67"/>
  <c r="U321" i="67"/>
  <c r="V315" i="67"/>
  <c r="V283" i="67"/>
  <c r="T296" i="67"/>
  <c r="S296" i="67" s="1"/>
  <c r="AN296" i="67" s="1"/>
  <c r="T328" i="67"/>
  <c r="S328" i="67" s="1"/>
  <c r="AN328" i="67" s="1"/>
  <c r="U316" i="67"/>
  <c r="U284" i="67"/>
  <c r="T314" i="67"/>
  <c r="S314" i="67" s="1"/>
  <c r="AN314" i="67" s="1"/>
  <c r="T282" i="67"/>
  <c r="S282" i="67" s="1"/>
  <c r="AN282" i="67" s="1"/>
  <c r="U314" i="67"/>
  <c r="U282" i="67"/>
  <c r="U297" i="67"/>
  <c r="U329" i="67"/>
  <c r="T327" i="67"/>
  <c r="S327" i="67" s="1"/>
  <c r="AN327" i="67" s="1"/>
  <c r="T295" i="67"/>
  <c r="S295" i="67" s="1"/>
  <c r="AN295" i="67" s="1"/>
  <c r="U287" i="67"/>
  <c r="U319" i="67"/>
  <c r="N299" i="67"/>
  <c r="M293" i="67"/>
  <c r="M325" i="67"/>
  <c r="N318" i="67"/>
  <c r="N286" i="67"/>
  <c r="N296" i="67"/>
  <c r="N328" i="67"/>
  <c r="L321" i="67"/>
  <c r="K321" i="67" s="1"/>
  <c r="AF321" i="67" s="1"/>
  <c r="L289" i="67"/>
  <c r="K289" i="67" s="1"/>
  <c r="AF289" i="67" s="1"/>
  <c r="L313" i="67"/>
  <c r="K313" i="67" s="1"/>
  <c r="AF313" i="67" s="1"/>
  <c r="L281" i="67"/>
  <c r="K281" i="67" s="1"/>
  <c r="AF281" i="67" s="1"/>
  <c r="L293" i="67"/>
  <c r="K293" i="67" s="1"/>
  <c r="AF293" i="67" s="1"/>
  <c r="L325" i="67"/>
  <c r="K325" i="67" s="1"/>
  <c r="AF325" i="67" s="1"/>
  <c r="AN338" i="67" l="1"/>
  <c r="AF338" i="67"/>
  <c r="E109" i="67" s="1"/>
  <c r="AN306" i="67"/>
  <c r="AF306" i="67"/>
  <c r="E97" i="67" s="1"/>
  <c r="R134" i="49"/>
  <c r="K109" i="67" l="1"/>
  <c r="K114" i="67" s="1"/>
  <c r="E114" i="67"/>
  <c r="E102" i="67"/>
  <c r="K97" i="67"/>
  <c r="K102" i="67" s="1"/>
  <c r="D133" i="49"/>
  <c r="D173" i="49" s="1"/>
  <c r="D132" i="49"/>
  <c r="D172" i="49" s="1"/>
  <c r="D131" i="49"/>
  <c r="D171" i="49" s="1"/>
  <c r="D130" i="49"/>
  <c r="D170" i="49" s="1"/>
  <c r="D129" i="49"/>
  <c r="D169" i="49" s="1"/>
  <c r="D128" i="49"/>
  <c r="D168" i="49" s="1"/>
  <c r="D127" i="49"/>
  <c r="D167" i="49" s="1"/>
  <c r="D126" i="49"/>
  <c r="D166" i="49" s="1"/>
  <c r="D125" i="49"/>
  <c r="D165" i="49" s="1"/>
  <c r="D124" i="49"/>
  <c r="D164" i="49" s="1"/>
  <c r="D123" i="49"/>
  <c r="D163" i="49" s="1"/>
  <c r="D122" i="49"/>
  <c r="D162" i="49" s="1"/>
  <c r="D121" i="49"/>
  <c r="D161" i="49" s="1"/>
  <c r="D120" i="49"/>
  <c r="D160" i="49" s="1"/>
  <c r="D119" i="49"/>
  <c r="D159" i="49" s="1"/>
  <c r="D118" i="49"/>
  <c r="D158" i="49" s="1"/>
  <c r="D117" i="49"/>
  <c r="D157" i="49" s="1"/>
  <c r="D116" i="49"/>
  <c r="D156" i="49" s="1"/>
  <c r="D115" i="49"/>
  <c r="D155" i="49" s="1"/>
  <c r="D114" i="49"/>
  <c r="D154" i="49" s="1"/>
  <c r="D113" i="49"/>
  <c r="D153" i="49" s="1"/>
  <c r="D112" i="49"/>
  <c r="D152" i="49" s="1"/>
  <c r="D111" i="49"/>
  <c r="D151" i="49" s="1"/>
  <c r="D110" i="49"/>
  <c r="D150" i="49" s="1"/>
  <c r="O82" i="49" l="1"/>
  <c r="O90" i="49"/>
  <c r="O98" i="49"/>
  <c r="P83" i="49"/>
  <c r="P82" i="49"/>
  <c r="P90" i="49"/>
  <c r="I102" i="49"/>
  <c r="I141" i="49" s="1"/>
  <c r="H102" i="49"/>
  <c r="E102" i="49"/>
  <c r="F102" i="49"/>
  <c r="G102" i="49"/>
  <c r="P98" i="49"/>
  <c r="O84" i="49"/>
  <c r="P85" i="49"/>
  <c r="O92" i="49"/>
  <c r="O100" i="49"/>
  <c r="P96" i="49"/>
  <c r="O81" i="49"/>
  <c r="O89" i="49"/>
  <c r="O97" i="49"/>
  <c r="P78" i="49"/>
  <c r="P93" i="49"/>
  <c r="P81" i="49"/>
  <c r="P89" i="49"/>
  <c r="P97" i="49"/>
  <c r="P80" i="49"/>
  <c r="P88" i="49"/>
  <c r="P101" i="49"/>
  <c r="O83" i="49"/>
  <c r="O91" i="49"/>
  <c r="O99" i="49"/>
  <c r="O80" i="49"/>
  <c r="O88" i="49"/>
  <c r="O96" i="49"/>
  <c r="O85" i="49"/>
  <c r="P86" i="49"/>
  <c r="O93" i="49"/>
  <c r="P94" i="49"/>
  <c r="O101" i="49"/>
  <c r="P84" i="49"/>
  <c r="P92" i="49"/>
  <c r="P100" i="49"/>
  <c r="P91" i="49"/>
  <c r="P99" i="49"/>
  <c r="O79" i="49"/>
  <c r="O87" i="49"/>
  <c r="O95" i="49"/>
  <c r="O78" i="49"/>
  <c r="P79" i="49"/>
  <c r="O86" i="49"/>
  <c r="P87" i="49"/>
  <c r="O94" i="49"/>
  <c r="P95" i="49"/>
  <c r="J92" i="49" l="1"/>
  <c r="J99" i="49"/>
  <c r="K99" i="49" s="1"/>
  <c r="D142" i="67"/>
  <c r="D145" i="67"/>
  <c r="J95" i="49"/>
  <c r="K95" i="49" s="1"/>
  <c r="J100" i="49"/>
  <c r="K100" i="49" s="1"/>
  <c r="D136" i="67"/>
  <c r="D130" i="67"/>
  <c r="J87" i="49"/>
  <c r="K87" i="49" s="1"/>
  <c r="D126" i="67"/>
  <c r="D137" i="67"/>
  <c r="J79" i="49"/>
  <c r="K79" i="49" s="1"/>
  <c r="J96" i="49"/>
  <c r="K96" i="49" s="1"/>
  <c r="D129" i="67"/>
  <c r="J89" i="49"/>
  <c r="K89" i="49" s="1"/>
  <c r="J85" i="49"/>
  <c r="K85" i="49" s="1"/>
  <c r="D138" i="67"/>
  <c r="J83" i="49"/>
  <c r="K83" i="49" s="1"/>
  <c r="D132" i="67"/>
  <c r="J93" i="49"/>
  <c r="K93" i="49" s="1"/>
  <c r="D128" i="67"/>
  <c r="J86" i="49"/>
  <c r="K86" i="49" s="1"/>
  <c r="J101" i="49"/>
  <c r="K101" i="49" s="1"/>
  <c r="J88" i="49"/>
  <c r="K88" i="49" s="1"/>
  <c r="J97" i="49"/>
  <c r="K97" i="49" s="1"/>
  <c r="L97" i="49" s="1"/>
  <c r="M97" i="49" s="1"/>
  <c r="J84" i="49"/>
  <c r="K84" i="49" s="1"/>
  <c r="D143" i="67"/>
  <c r="D141" i="67"/>
  <c r="D139" i="67"/>
  <c r="D146" i="67"/>
  <c r="J91" i="49"/>
  <c r="K91" i="49" s="1"/>
  <c r="D144" i="67"/>
  <c r="D140" i="67"/>
  <c r="D134" i="67"/>
  <c r="D124" i="67"/>
  <c r="J94" i="49"/>
  <c r="K94" i="49" s="1"/>
  <c r="J80" i="49"/>
  <c r="K80" i="49" s="1"/>
  <c r="J82" i="49"/>
  <c r="K82" i="49" s="1"/>
  <c r="D135" i="67"/>
  <c r="D133" i="67"/>
  <c r="D131" i="67"/>
  <c r="J98" i="49"/>
  <c r="K98" i="49" s="1"/>
  <c r="J78" i="49"/>
  <c r="K78" i="49" s="1"/>
  <c r="J81" i="49"/>
  <c r="K81" i="49" s="1"/>
  <c r="D127" i="67"/>
  <c r="D125" i="67"/>
  <c r="D123" i="67"/>
  <c r="J90" i="49"/>
  <c r="K90" i="49" s="1"/>
  <c r="K92" i="49"/>
  <c r="D179" i="67" l="1"/>
  <c r="D207" i="67" s="1"/>
  <c r="D34" i="72"/>
  <c r="D63" i="72" s="1"/>
  <c r="D162" i="67"/>
  <c r="D17" i="72"/>
  <c r="D46" i="72" s="1"/>
  <c r="D166" i="67"/>
  <c r="D227" i="67" s="1"/>
  <c r="D255" i="67" s="1"/>
  <c r="D323" i="67" s="1"/>
  <c r="D21" i="72"/>
  <c r="D50" i="72" s="1"/>
  <c r="D168" i="67"/>
  <c r="D229" i="67" s="1"/>
  <c r="D257" i="67" s="1"/>
  <c r="D325" i="67" s="1"/>
  <c r="D23" i="72"/>
  <c r="D52" i="72" s="1"/>
  <c r="D178" i="67"/>
  <c r="D206" i="67" s="1"/>
  <c r="D33" i="72"/>
  <c r="D62" i="72" s="1"/>
  <c r="D163" i="67"/>
  <c r="D18" i="72"/>
  <c r="D47" i="72" s="1"/>
  <c r="D160" i="67"/>
  <c r="D188" i="67" s="1"/>
  <c r="D15" i="72"/>
  <c r="D44" i="72" s="1"/>
  <c r="D175" i="67"/>
  <c r="D203" i="67" s="1"/>
  <c r="D30" i="72"/>
  <c r="D59" i="72" s="1"/>
  <c r="D177" i="67"/>
  <c r="D32" i="72"/>
  <c r="D61" i="72" s="1"/>
  <c r="D156" i="67"/>
  <c r="D217" i="67" s="1"/>
  <c r="D245" i="67" s="1"/>
  <c r="D313" i="67" s="1"/>
  <c r="D11" i="72"/>
  <c r="D40" i="72" s="1"/>
  <c r="D158" i="67"/>
  <c r="D219" i="67" s="1"/>
  <c r="D247" i="67" s="1"/>
  <c r="D315" i="67" s="1"/>
  <c r="D13" i="72"/>
  <c r="D42" i="72" s="1"/>
  <c r="D172" i="67"/>
  <c r="D200" i="67" s="1"/>
  <c r="D27" i="72"/>
  <c r="D56" i="72" s="1"/>
  <c r="D174" i="67"/>
  <c r="D29" i="72"/>
  <c r="D58" i="72" s="1"/>
  <c r="D176" i="67"/>
  <c r="D31" i="72"/>
  <c r="D60" i="72" s="1"/>
  <c r="D170" i="67"/>
  <c r="D198" i="67" s="1"/>
  <c r="D25" i="72"/>
  <c r="D54" i="72" s="1"/>
  <c r="D167" i="67"/>
  <c r="D195" i="67" s="1"/>
  <c r="D22" i="72"/>
  <c r="D51" i="72" s="1"/>
  <c r="D159" i="67"/>
  <c r="D220" i="67" s="1"/>
  <c r="D248" i="67" s="1"/>
  <c r="D316" i="67" s="1"/>
  <c r="D14" i="72"/>
  <c r="D43" i="72" s="1"/>
  <c r="D169" i="67"/>
  <c r="D197" i="67" s="1"/>
  <c r="D24" i="72"/>
  <c r="D53" i="72" s="1"/>
  <c r="D161" i="67"/>
  <c r="D189" i="67" s="1"/>
  <c r="D16" i="72"/>
  <c r="D45" i="72" s="1"/>
  <c r="D157" i="67"/>
  <c r="D218" i="67" s="1"/>
  <c r="D246" i="67" s="1"/>
  <c r="D314" i="67" s="1"/>
  <c r="D12" i="72"/>
  <c r="D41" i="72" s="1"/>
  <c r="D165" i="67"/>
  <c r="D193" i="67" s="1"/>
  <c r="D20" i="72"/>
  <c r="D49" i="72" s="1"/>
  <c r="D164" i="67"/>
  <c r="D19" i="72"/>
  <c r="D48" i="72" s="1"/>
  <c r="D173" i="67"/>
  <c r="D201" i="67" s="1"/>
  <c r="D28" i="72"/>
  <c r="D57" i="72" s="1"/>
  <c r="D171" i="67"/>
  <c r="D199" i="67" s="1"/>
  <c r="D26" i="72"/>
  <c r="D55" i="72" s="1"/>
  <c r="D202" i="67"/>
  <c r="D235" i="67"/>
  <c r="D263" i="67" s="1"/>
  <c r="D331" i="67" s="1"/>
  <c r="D191" i="67"/>
  <c r="D224" i="67"/>
  <c r="D252" i="67" s="1"/>
  <c r="D320" i="67" s="1"/>
  <c r="D192" i="67"/>
  <c r="D225" i="67"/>
  <c r="D253" i="67" s="1"/>
  <c r="D321" i="67" s="1"/>
  <c r="D238" i="67"/>
  <c r="D266" i="67" s="1"/>
  <c r="D334" i="67" s="1"/>
  <c r="D205" i="67"/>
  <c r="D186" i="67"/>
  <c r="D184" i="67"/>
  <c r="D204" i="67"/>
  <c r="D237" i="67"/>
  <c r="D265" i="67" s="1"/>
  <c r="D333" i="67" s="1"/>
  <c r="D190" i="67"/>
  <c r="D223" i="67"/>
  <c r="D251" i="67" s="1"/>
  <c r="D319" i="67" s="1"/>
  <c r="L98" i="49"/>
  <c r="L100" i="49"/>
  <c r="L101" i="49"/>
  <c r="L99" i="49"/>
  <c r="L82" i="49"/>
  <c r="L86" i="49"/>
  <c r="L80" i="49"/>
  <c r="L96" i="49"/>
  <c r="L83" i="49"/>
  <c r="L91" i="49"/>
  <c r="L87" i="49"/>
  <c r="L94" i="49"/>
  <c r="L79" i="49"/>
  <c r="L92" i="49"/>
  <c r="L89" i="49"/>
  <c r="L88" i="49"/>
  <c r="L85" i="49"/>
  <c r="L81" i="49"/>
  <c r="L90" i="49"/>
  <c r="L84" i="49"/>
  <c r="L93" i="49"/>
  <c r="L95" i="49"/>
  <c r="J102" i="49"/>
  <c r="L78" i="49"/>
  <c r="D187" i="67" l="1"/>
  <c r="D240" i="67"/>
  <c r="D268" i="67" s="1"/>
  <c r="D336" i="67" s="1"/>
  <c r="D239" i="67"/>
  <c r="D267" i="67" s="1"/>
  <c r="D335" i="67" s="1"/>
  <c r="D226" i="67"/>
  <c r="D254" i="67" s="1"/>
  <c r="D322" i="67" s="1"/>
  <c r="D194" i="67"/>
  <c r="D221" i="67"/>
  <c r="D249" i="67" s="1"/>
  <c r="D317" i="67" s="1"/>
  <c r="D231" i="67"/>
  <c r="D259" i="67" s="1"/>
  <c r="D327" i="67" s="1"/>
  <c r="D234" i="67"/>
  <c r="D262" i="67" s="1"/>
  <c r="D330" i="67" s="1"/>
  <c r="D230" i="67"/>
  <c r="D258" i="67" s="1"/>
  <c r="D326" i="67" s="1"/>
  <c r="D222" i="67"/>
  <c r="D250" i="67" s="1"/>
  <c r="D318" i="67" s="1"/>
  <c r="D196" i="67"/>
  <c r="D232" i="67"/>
  <c r="D260" i="67" s="1"/>
  <c r="D328" i="67" s="1"/>
  <c r="D233" i="67"/>
  <c r="D261" i="67" s="1"/>
  <c r="D329" i="67" s="1"/>
  <c r="D228" i="67"/>
  <c r="D256" i="67" s="1"/>
  <c r="D324" i="67" s="1"/>
  <c r="D185" i="67"/>
  <c r="D236" i="67"/>
  <c r="D264" i="67" s="1"/>
  <c r="D332" i="67" s="1"/>
  <c r="M99" i="49"/>
  <c r="K102" i="49"/>
  <c r="M101" i="49"/>
  <c r="M98" i="49"/>
  <c r="M100" i="49"/>
  <c r="M88" i="49"/>
  <c r="M80" i="49"/>
  <c r="M96" i="49"/>
  <c r="M87" i="49"/>
  <c r="M95" i="49"/>
  <c r="M91" i="49"/>
  <c r="M86" i="49"/>
  <c r="M84" i="49"/>
  <c r="M89" i="49"/>
  <c r="M81" i="49"/>
  <c r="M93" i="49"/>
  <c r="M85" i="49"/>
  <c r="M79" i="49"/>
  <c r="M83" i="49"/>
  <c r="M82" i="49"/>
  <c r="M94" i="49"/>
  <c r="M90" i="49"/>
  <c r="M92" i="49"/>
  <c r="M78" i="49"/>
  <c r="L102" i="49" l="1"/>
  <c r="M102" i="49" l="1"/>
  <c r="W168" i="49" l="1"/>
  <c r="W166" i="49"/>
  <c r="W162" i="49"/>
  <c r="W161" i="49"/>
  <c r="W159" i="49"/>
  <c r="W158" i="49"/>
  <c r="W157" i="49"/>
  <c r="W156" i="49"/>
  <c r="W155" i="49"/>
  <c r="W153" i="49"/>
  <c r="W152" i="49"/>
  <c r="W151" i="49"/>
  <c r="W150" i="49"/>
  <c r="E180" i="49"/>
  <c r="E181" i="49"/>
  <c r="E182" i="49"/>
  <c r="E183" i="49"/>
  <c r="E184" i="49"/>
  <c r="G184" i="49" s="1"/>
  <c r="E185" i="49"/>
  <c r="G185" i="49" s="1"/>
  <c r="E186" i="49"/>
  <c r="G186" i="49" s="1"/>
  <c r="E187" i="49"/>
  <c r="G187" i="49" s="1"/>
  <c r="E188" i="49"/>
  <c r="G188" i="49" s="1"/>
  <c r="E189" i="49"/>
  <c r="G189" i="49" s="1"/>
  <c r="E190" i="49"/>
  <c r="G190" i="49" s="1"/>
  <c r="E179" i="49"/>
  <c r="D180" i="49"/>
  <c r="D181" i="49"/>
  <c r="D182" i="49"/>
  <c r="D183" i="49"/>
  <c r="D184" i="49"/>
  <c r="D185" i="49"/>
  <c r="D188" i="49"/>
  <c r="D190" i="49"/>
  <c r="E3" i="64"/>
  <c r="S173" i="49" l="1"/>
  <c r="P173" i="49" s="1"/>
  <c r="S170" i="49"/>
  <c r="P170" i="49" s="1"/>
  <c r="S172" i="49"/>
  <c r="P172" i="49" s="1"/>
  <c r="S171" i="49"/>
  <c r="P171" i="49" s="1"/>
  <c r="S154" i="49"/>
  <c r="P154" i="49" s="1"/>
  <c r="G182" i="49"/>
  <c r="G179" i="49"/>
  <c r="S162" i="49" s="1"/>
  <c r="P162" i="49" s="1"/>
  <c r="G183" i="49"/>
  <c r="S157" i="49" s="1"/>
  <c r="P157" i="49" s="1"/>
  <c r="G181" i="49"/>
  <c r="G180" i="49"/>
  <c r="S159" i="49"/>
  <c r="P159" i="49" s="1"/>
  <c r="S166" i="49"/>
  <c r="P166" i="49" s="1"/>
  <c r="S158" i="49"/>
  <c r="P158" i="49" s="1"/>
  <c r="S165" i="49"/>
  <c r="P165" i="49" s="1"/>
  <c r="S164" i="49"/>
  <c r="P164" i="49" s="1"/>
  <c r="S163" i="49"/>
  <c r="P163" i="49" s="1"/>
  <c r="S155" i="49"/>
  <c r="P155" i="49" s="1"/>
  <c r="S150" i="49"/>
  <c r="P150" i="49" s="1"/>
  <c r="S169" i="49"/>
  <c r="P169" i="49" s="1"/>
  <c r="S153" i="49"/>
  <c r="P153" i="49" s="1"/>
  <c r="S168" i="49"/>
  <c r="P168" i="49" s="1"/>
  <c r="S160" i="49"/>
  <c r="P160" i="49" s="1"/>
  <c r="S152" i="49"/>
  <c r="P152" i="49" s="1"/>
  <c r="S167" i="49"/>
  <c r="P167" i="49" s="1"/>
  <c r="S156" i="49" l="1"/>
  <c r="P156" i="49" s="1"/>
  <c r="S161" i="49"/>
  <c r="P161" i="49" s="1"/>
  <c r="S151" i="49"/>
  <c r="P151" i="49" s="1"/>
  <c r="H132" i="49"/>
  <c r="H172" i="49" s="1"/>
  <c r="H66" i="49" s="1"/>
  <c r="H133" i="49"/>
  <c r="H173" i="49" s="1"/>
  <c r="H67" i="49" s="1"/>
  <c r="H131" i="49"/>
  <c r="H171" i="49" s="1"/>
  <c r="H65" i="49" s="1"/>
  <c r="H130" i="49"/>
  <c r="H170" i="49" s="1"/>
  <c r="H64" i="49" s="1"/>
  <c r="E141" i="49"/>
  <c r="E133" i="49"/>
  <c r="E173" i="49" s="1"/>
  <c r="E67" i="49" s="1"/>
  <c r="E130" i="49"/>
  <c r="E131" i="49"/>
  <c r="E171" i="49" s="1"/>
  <c r="E65" i="49" s="1"/>
  <c r="E132" i="49"/>
  <c r="E172" i="49" s="1"/>
  <c r="E66" i="49" s="1"/>
  <c r="F141" i="49"/>
  <c r="F130" i="49"/>
  <c r="F131" i="49"/>
  <c r="F132" i="49"/>
  <c r="F133" i="49"/>
  <c r="G141" i="49"/>
  <c r="G131" i="49"/>
  <c r="G132" i="49"/>
  <c r="G133" i="49"/>
  <c r="G130" i="49"/>
  <c r="H141" i="49"/>
  <c r="H117" i="49"/>
  <c r="H20" i="49" s="1"/>
  <c r="H125" i="49"/>
  <c r="H28" i="49" s="1"/>
  <c r="H110" i="49"/>
  <c r="H128" i="49"/>
  <c r="H31" i="49" s="1"/>
  <c r="H114" i="49"/>
  <c r="H17" i="49" s="1"/>
  <c r="H122" i="49"/>
  <c r="H25" i="49" s="1"/>
  <c r="H111" i="49"/>
  <c r="H119" i="49"/>
  <c r="H22" i="49" s="1"/>
  <c r="H127" i="49"/>
  <c r="H30" i="49" s="1"/>
  <c r="H116" i="49"/>
  <c r="H19" i="49" s="1"/>
  <c r="H124" i="49"/>
  <c r="H27" i="49" s="1"/>
  <c r="H113" i="49"/>
  <c r="H16" i="49" s="1"/>
  <c r="H121" i="49"/>
  <c r="H129" i="49"/>
  <c r="H32" i="49" s="1"/>
  <c r="H118" i="49"/>
  <c r="H21" i="49" s="1"/>
  <c r="H126" i="49"/>
  <c r="H29" i="49" s="1"/>
  <c r="H115" i="49"/>
  <c r="H18" i="49" s="1"/>
  <c r="H123" i="49"/>
  <c r="H26" i="49" s="1"/>
  <c r="H112" i="49"/>
  <c r="H15" i="49" s="1"/>
  <c r="H120" i="49"/>
  <c r="H23" i="49" s="1"/>
  <c r="E116" i="49"/>
  <c r="E19" i="49" s="1"/>
  <c r="E124" i="49"/>
  <c r="E27" i="49" s="1"/>
  <c r="E113" i="49"/>
  <c r="E16" i="49" s="1"/>
  <c r="E121" i="49"/>
  <c r="E129" i="49"/>
  <c r="E32" i="49" s="1"/>
  <c r="E118" i="49"/>
  <c r="E21" i="49" s="1"/>
  <c r="E126" i="49"/>
  <c r="E29" i="49" s="1"/>
  <c r="E110" i="49"/>
  <c r="E115" i="49"/>
  <c r="E18" i="49" s="1"/>
  <c r="E123" i="49"/>
  <c r="E26" i="49" s="1"/>
  <c r="E112" i="49"/>
  <c r="E15" i="49" s="1"/>
  <c r="E120" i="49"/>
  <c r="E23" i="49" s="1"/>
  <c r="E128" i="49"/>
  <c r="E31" i="49" s="1"/>
  <c r="E117" i="49"/>
  <c r="E20" i="49" s="1"/>
  <c r="E125" i="49"/>
  <c r="E28" i="49" s="1"/>
  <c r="E114" i="49"/>
  <c r="E17" i="49" s="1"/>
  <c r="E122" i="49"/>
  <c r="E25" i="49" s="1"/>
  <c r="E111" i="49"/>
  <c r="E119" i="49"/>
  <c r="E22" i="49" s="1"/>
  <c r="E127" i="49"/>
  <c r="E30" i="49" s="1"/>
  <c r="F111" i="49"/>
  <c r="F119" i="49"/>
  <c r="F22" i="49" s="1"/>
  <c r="F127" i="49"/>
  <c r="F30" i="49" s="1"/>
  <c r="F122" i="49"/>
  <c r="F25" i="49" s="1"/>
  <c r="F116" i="49"/>
  <c r="F19" i="49" s="1"/>
  <c r="F124" i="49"/>
  <c r="F27" i="49" s="1"/>
  <c r="F113" i="49"/>
  <c r="F16" i="49" s="1"/>
  <c r="F121" i="49"/>
  <c r="F129" i="49"/>
  <c r="F32" i="49" s="1"/>
  <c r="F118" i="49"/>
  <c r="F21" i="49" s="1"/>
  <c r="F126" i="49"/>
  <c r="F29" i="49" s="1"/>
  <c r="F115" i="49"/>
  <c r="F18" i="49" s="1"/>
  <c r="F123" i="49"/>
  <c r="F26" i="49" s="1"/>
  <c r="F112" i="49"/>
  <c r="F15" i="49" s="1"/>
  <c r="F120" i="49"/>
  <c r="F23" i="49" s="1"/>
  <c r="F128" i="49"/>
  <c r="F31" i="49" s="1"/>
  <c r="F117" i="49"/>
  <c r="F20" i="49" s="1"/>
  <c r="F125" i="49"/>
  <c r="F28" i="49" s="1"/>
  <c r="F110" i="49"/>
  <c r="F114" i="49"/>
  <c r="F17" i="49" s="1"/>
  <c r="G114" i="49"/>
  <c r="G17" i="49" s="1"/>
  <c r="G122" i="49"/>
  <c r="G25" i="49" s="1"/>
  <c r="G111" i="49"/>
  <c r="G119" i="49"/>
  <c r="G22" i="49" s="1"/>
  <c r="G127" i="49"/>
  <c r="G30" i="49" s="1"/>
  <c r="G116" i="49"/>
  <c r="G19" i="49" s="1"/>
  <c r="G124" i="49"/>
  <c r="G27" i="49" s="1"/>
  <c r="G113" i="49"/>
  <c r="G16" i="49" s="1"/>
  <c r="G121" i="49"/>
  <c r="G129" i="49"/>
  <c r="G32" i="49" s="1"/>
  <c r="G118" i="49"/>
  <c r="G21" i="49" s="1"/>
  <c r="G126" i="49"/>
  <c r="G29" i="49" s="1"/>
  <c r="G110" i="49"/>
  <c r="G115" i="49"/>
  <c r="G18" i="49" s="1"/>
  <c r="G123" i="49"/>
  <c r="G26" i="49" s="1"/>
  <c r="G112" i="49"/>
  <c r="G15" i="49" s="1"/>
  <c r="G120" i="49"/>
  <c r="G23" i="49" s="1"/>
  <c r="G128" i="49"/>
  <c r="G31" i="49" s="1"/>
  <c r="G117" i="49"/>
  <c r="G20" i="49" s="1"/>
  <c r="G125" i="49"/>
  <c r="G28" i="49" s="1"/>
  <c r="E3" i="55"/>
  <c r="E3" i="54"/>
  <c r="F24" i="49" l="1"/>
  <c r="F137" i="49"/>
  <c r="E24" i="49"/>
  <c r="E137" i="49"/>
  <c r="H24" i="49"/>
  <c r="H137" i="49"/>
  <c r="G24" i="49"/>
  <c r="G137" i="49"/>
  <c r="F14" i="49"/>
  <c r="H14" i="49"/>
  <c r="G14" i="49"/>
  <c r="E14" i="49"/>
  <c r="G13" i="49"/>
  <c r="F13" i="49"/>
  <c r="H13" i="49"/>
  <c r="E170" i="49"/>
  <c r="E64" i="49" s="1"/>
  <c r="E13" i="49"/>
  <c r="O110" i="49"/>
  <c r="G33" i="49"/>
  <c r="G170" i="49"/>
  <c r="G64" i="49" s="1"/>
  <c r="G36" i="49"/>
  <c r="G173" i="49"/>
  <c r="G67" i="49" s="1"/>
  <c r="F34" i="49"/>
  <c r="F171" i="49"/>
  <c r="F65" i="49" s="1"/>
  <c r="F36" i="49"/>
  <c r="F173" i="49"/>
  <c r="F67" i="49" s="1"/>
  <c r="G35" i="49"/>
  <c r="G172" i="49"/>
  <c r="G66" i="49" s="1"/>
  <c r="F33" i="49"/>
  <c r="F170" i="49"/>
  <c r="F64" i="49" s="1"/>
  <c r="G34" i="49"/>
  <c r="G171" i="49"/>
  <c r="G65" i="49" s="1"/>
  <c r="F35" i="49"/>
  <c r="F172" i="49"/>
  <c r="F66" i="49" s="1"/>
  <c r="E35" i="49"/>
  <c r="O132" i="49"/>
  <c r="E36" i="49"/>
  <c r="O133" i="49"/>
  <c r="H33" i="49"/>
  <c r="H35" i="49"/>
  <c r="E34" i="49"/>
  <c r="O131" i="49"/>
  <c r="H34" i="49"/>
  <c r="E33" i="49"/>
  <c r="O130" i="49"/>
  <c r="H36" i="49"/>
  <c r="I132" i="49"/>
  <c r="I133" i="49"/>
  <c r="I173" i="49" s="1"/>
  <c r="I130" i="49"/>
  <c r="I131" i="49"/>
  <c r="I112" i="49"/>
  <c r="I120" i="49"/>
  <c r="I128" i="49"/>
  <c r="I117" i="49"/>
  <c r="I125" i="49"/>
  <c r="I110" i="49"/>
  <c r="I114" i="49"/>
  <c r="I122" i="49"/>
  <c r="I111" i="49"/>
  <c r="I119" i="49"/>
  <c r="I127" i="49"/>
  <c r="I30" i="49" s="1"/>
  <c r="I116" i="49"/>
  <c r="I124" i="49"/>
  <c r="I123" i="49"/>
  <c r="I113" i="49"/>
  <c r="I121" i="49"/>
  <c r="I129" i="49"/>
  <c r="I118" i="49"/>
  <c r="I126" i="49"/>
  <c r="I29" i="49" s="1"/>
  <c r="I115" i="49"/>
  <c r="G152" i="49"/>
  <c r="G46" i="49" s="1"/>
  <c r="G153" i="49"/>
  <c r="G47" i="49" s="1"/>
  <c r="F157" i="49"/>
  <c r="F51" i="49" s="1"/>
  <c r="F169" i="49"/>
  <c r="F63" i="49" s="1"/>
  <c r="F151" i="49"/>
  <c r="F45" i="49" s="1"/>
  <c r="O125" i="49"/>
  <c r="E165" i="49"/>
  <c r="E59" i="49" s="1"/>
  <c r="O126" i="49"/>
  <c r="E166" i="49"/>
  <c r="E60" i="49" s="1"/>
  <c r="H158" i="49"/>
  <c r="H52" i="49" s="1"/>
  <c r="H151" i="49"/>
  <c r="H45" i="49" s="1"/>
  <c r="G163" i="49"/>
  <c r="G57" i="49" s="1"/>
  <c r="G164" i="49"/>
  <c r="G58" i="49" s="1"/>
  <c r="F168" i="49"/>
  <c r="F62" i="49" s="1"/>
  <c r="F161" i="49"/>
  <c r="F55" i="49" s="1"/>
  <c r="O117" i="49"/>
  <c r="E157" i="49"/>
  <c r="E51" i="49" s="1"/>
  <c r="O118" i="49"/>
  <c r="E158" i="49"/>
  <c r="E52" i="49" s="1"/>
  <c r="H169" i="49"/>
  <c r="H63" i="49" s="1"/>
  <c r="H162" i="49"/>
  <c r="H56" i="49" s="1"/>
  <c r="G155" i="49"/>
  <c r="G49" i="49" s="1"/>
  <c r="G156" i="49"/>
  <c r="G50" i="49" s="1"/>
  <c r="F160" i="49"/>
  <c r="F54" i="49" s="1"/>
  <c r="F153" i="49"/>
  <c r="F47" i="49" s="1"/>
  <c r="E168" i="49"/>
  <c r="E62" i="49" s="1"/>
  <c r="O128" i="49"/>
  <c r="O129" i="49"/>
  <c r="E169" i="49"/>
  <c r="E63" i="49" s="1"/>
  <c r="H161" i="49"/>
  <c r="H55" i="49" s="1"/>
  <c r="H154" i="49"/>
  <c r="H48" i="49" s="1"/>
  <c r="G150" i="49"/>
  <c r="G44" i="49" s="1"/>
  <c r="G167" i="49"/>
  <c r="G61" i="49" s="1"/>
  <c r="F152" i="49"/>
  <c r="F46" i="49" s="1"/>
  <c r="F164" i="49"/>
  <c r="F58" i="49" s="1"/>
  <c r="O127" i="49"/>
  <c r="E167" i="49"/>
  <c r="E61" i="49" s="1"/>
  <c r="E160" i="49"/>
  <c r="E54" i="49" s="1"/>
  <c r="O120" i="49"/>
  <c r="O121" i="49"/>
  <c r="E161" i="49"/>
  <c r="E55" i="49" s="1"/>
  <c r="H160" i="49"/>
  <c r="H54" i="49" s="1"/>
  <c r="H153" i="49"/>
  <c r="H47" i="49" s="1"/>
  <c r="H168" i="49"/>
  <c r="H62" i="49" s="1"/>
  <c r="G165" i="49"/>
  <c r="G59" i="49" s="1"/>
  <c r="G166" i="49"/>
  <c r="G60" i="49" s="1"/>
  <c r="G159" i="49"/>
  <c r="G53" i="49" s="1"/>
  <c r="F163" i="49"/>
  <c r="F57" i="49" s="1"/>
  <c r="F156" i="49"/>
  <c r="F50" i="49" s="1"/>
  <c r="O119" i="49"/>
  <c r="E159" i="49"/>
  <c r="E53" i="49" s="1"/>
  <c r="E152" i="49"/>
  <c r="E46" i="49" s="1"/>
  <c r="O112" i="49"/>
  <c r="O113" i="49"/>
  <c r="E153" i="49"/>
  <c r="E47" i="49" s="1"/>
  <c r="H152" i="49"/>
  <c r="H46" i="49" s="1"/>
  <c r="H164" i="49"/>
  <c r="H58" i="49" s="1"/>
  <c r="H150" i="49"/>
  <c r="H44" i="49" s="1"/>
  <c r="P102" i="49"/>
  <c r="G157" i="49"/>
  <c r="G51" i="49" s="1"/>
  <c r="G158" i="49"/>
  <c r="G52" i="49" s="1"/>
  <c r="G151" i="49"/>
  <c r="G45" i="49" s="1"/>
  <c r="F154" i="49"/>
  <c r="F48" i="49" s="1"/>
  <c r="F155" i="49"/>
  <c r="F49" i="49" s="1"/>
  <c r="F162" i="49"/>
  <c r="F56" i="49" s="1"/>
  <c r="O111" i="49"/>
  <c r="E151" i="49"/>
  <c r="E45" i="49" s="1"/>
  <c r="O123" i="49"/>
  <c r="E163" i="49"/>
  <c r="E57" i="49" s="1"/>
  <c r="O124" i="49"/>
  <c r="E164" i="49"/>
  <c r="E58" i="49" s="1"/>
  <c r="H163" i="49"/>
  <c r="H57" i="49" s="1"/>
  <c r="H156" i="49"/>
  <c r="H50" i="49" s="1"/>
  <c r="H165" i="49"/>
  <c r="H59" i="49" s="1"/>
  <c r="G168" i="49"/>
  <c r="G62" i="49" s="1"/>
  <c r="G169" i="49"/>
  <c r="G63" i="49" s="1"/>
  <c r="G162" i="49"/>
  <c r="G56" i="49" s="1"/>
  <c r="F150" i="49"/>
  <c r="F44" i="49" s="1"/>
  <c r="F166" i="49"/>
  <c r="F60" i="49" s="1"/>
  <c r="F167" i="49"/>
  <c r="F61" i="49" s="1"/>
  <c r="E162" i="49"/>
  <c r="E56" i="49" s="1"/>
  <c r="O122" i="49"/>
  <c r="O115" i="49"/>
  <c r="E155" i="49"/>
  <c r="E49" i="49" s="1"/>
  <c r="O116" i="49"/>
  <c r="E156" i="49"/>
  <c r="E50" i="49" s="1"/>
  <c r="H155" i="49"/>
  <c r="H49" i="49" s="1"/>
  <c r="H167" i="49"/>
  <c r="H61" i="49" s="1"/>
  <c r="H157" i="49"/>
  <c r="H51" i="49" s="1"/>
  <c r="O102" i="49"/>
  <c r="G160" i="49"/>
  <c r="G54" i="49" s="1"/>
  <c r="G161" i="49"/>
  <c r="G55" i="49" s="1"/>
  <c r="G154" i="49"/>
  <c r="G48" i="49" s="1"/>
  <c r="F165" i="49"/>
  <c r="F59" i="49" s="1"/>
  <c r="F158" i="49"/>
  <c r="F52" i="49" s="1"/>
  <c r="F159" i="49"/>
  <c r="F53" i="49" s="1"/>
  <c r="E154" i="49"/>
  <c r="E48" i="49" s="1"/>
  <c r="O114" i="49"/>
  <c r="E150" i="49"/>
  <c r="H166" i="49"/>
  <c r="H60" i="49" s="1"/>
  <c r="H159" i="49"/>
  <c r="H53" i="49" s="1"/>
  <c r="E3" i="49"/>
  <c r="I137" i="49" l="1"/>
  <c r="I13" i="49"/>
  <c r="G37" i="49"/>
  <c r="G38" i="49" s="1"/>
  <c r="H37" i="49"/>
  <c r="H38" i="49" s="1"/>
  <c r="F37" i="49"/>
  <c r="F38" i="49" s="1"/>
  <c r="E37" i="49"/>
  <c r="P133" i="49"/>
  <c r="P132" i="49"/>
  <c r="I172" i="49"/>
  <c r="P131" i="49"/>
  <c r="I171" i="49"/>
  <c r="E44" i="49"/>
  <c r="P130" i="49"/>
  <c r="I170" i="49"/>
  <c r="I67" i="49"/>
  <c r="P113" i="49"/>
  <c r="I16" i="49"/>
  <c r="O16" i="49" s="1"/>
  <c r="P114" i="49"/>
  <c r="I17" i="49"/>
  <c r="O17" i="49" s="1"/>
  <c r="P123" i="49"/>
  <c r="I26" i="49"/>
  <c r="P124" i="49"/>
  <c r="I27" i="49"/>
  <c r="O27" i="49" s="1"/>
  <c r="P125" i="49"/>
  <c r="I28" i="49"/>
  <c r="O28" i="49" s="1"/>
  <c r="P115" i="49"/>
  <c r="I18" i="49"/>
  <c r="P116" i="49"/>
  <c r="I19" i="49"/>
  <c r="P117" i="49"/>
  <c r="I20" i="49"/>
  <c r="P128" i="49"/>
  <c r="I31" i="49"/>
  <c r="P118" i="49"/>
  <c r="I21" i="49"/>
  <c r="P119" i="49"/>
  <c r="I22" i="49"/>
  <c r="O22" i="49" s="1"/>
  <c r="P120" i="49"/>
  <c r="I23" i="49"/>
  <c r="O23" i="49" s="1"/>
  <c r="P111" i="49"/>
  <c r="I14" i="49"/>
  <c r="P112" i="49"/>
  <c r="I15" i="49"/>
  <c r="P121" i="49"/>
  <c r="I24" i="49"/>
  <c r="O24" i="49" s="1"/>
  <c r="P122" i="49"/>
  <c r="I25" i="49"/>
  <c r="J132" i="49"/>
  <c r="J172" i="49" s="1"/>
  <c r="I35" i="49"/>
  <c r="J131" i="49"/>
  <c r="J171" i="49" s="1"/>
  <c r="I34" i="49"/>
  <c r="J130" i="49"/>
  <c r="J170" i="49" s="1"/>
  <c r="I33" i="49"/>
  <c r="P129" i="49"/>
  <c r="I32" i="49"/>
  <c r="O32" i="49" s="1"/>
  <c r="J133" i="49"/>
  <c r="J173" i="49" s="1"/>
  <c r="I36" i="49"/>
  <c r="H68" i="49"/>
  <c r="H69" i="49" s="1"/>
  <c r="F68" i="49"/>
  <c r="F69" i="49" s="1"/>
  <c r="G68" i="49"/>
  <c r="G69" i="49" s="1"/>
  <c r="P110" i="49"/>
  <c r="O13" i="49"/>
  <c r="J117" i="49"/>
  <c r="J157" i="49" s="1"/>
  <c r="J113" i="49"/>
  <c r="J110" i="49"/>
  <c r="J124" i="49"/>
  <c r="J164" i="49" s="1"/>
  <c r="J112" i="49"/>
  <c r="J152" i="49" s="1"/>
  <c r="J111" i="49"/>
  <c r="J126" i="49"/>
  <c r="J166" i="49" s="1"/>
  <c r="J127" i="49"/>
  <c r="J167" i="49" s="1"/>
  <c r="P127" i="49"/>
  <c r="P126" i="49"/>
  <c r="J123" i="49"/>
  <c r="J163" i="49" s="1"/>
  <c r="I161" i="49"/>
  <c r="I55" i="49" s="1"/>
  <c r="I163" i="49"/>
  <c r="I57" i="49" s="1"/>
  <c r="I162" i="49"/>
  <c r="I56" i="49" s="1"/>
  <c r="J116" i="49"/>
  <c r="I156" i="49"/>
  <c r="I50" i="49" s="1"/>
  <c r="J122" i="49"/>
  <c r="I164" i="49"/>
  <c r="I58" i="49" s="1"/>
  <c r="I160" i="49"/>
  <c r="I54" i="49" s="1"/>
  <c r="J120" i="49"/>
  <c r="I153" i="49"/>
  <c r="I157" i="49"/>
  <c r="I51" i="49" s="1"/>
  <c r="I168" i="49"/>
  <c r="I62" i="49" s="1"/>
  <c r="I151" i="49"/>
  <c r="I45" i="49" s="1"/>
  <c r="J128" i="49"/>
  <c r="O29" i="49"/>
  <c r="I166" i="49"/>
  <c r="I60" i="49" s="1"/>
  <c r="I154" i="49"/>
  <c r="I48" i="49" s="1"/>
  <c r="J114" i="49"/>
  <c r="I155" i="49"/>
  <c r="I49" i="49" s="1"/>
  <c r="J121" i="49"/>
  <c r="I167" i="49"/>
  <c r="I61" i="49" s="1"/>
  <c r="I150" i="49"/>
  <c r="I165" i="49"/>
  <c r="I59" i="49" s="1"/>
  <c r="J125" i="49"/>
  <c r="I158" i="49"/>
  <c r="I52" i="49" s="1"/>
  <c r="J115" i="49"/>
  <c r="J118" i="49"/>
  <c r="I159" i="49"/>
  <c r="I53" i="49" s="1"/>
  <c r="J119" i="49"/>
  <c r="I169" i="49"/>
  <c r="J129" i="49"/>
  <c r="I152" i="49"/>
  <c r="I46" i="49" s="1"/>
  <c r="C2" i="14"/>
  <c r="C3" i="14"/>
  <c r="J21" i="49" l="1"/>
  <c r="J158" i="49"/>
  <c r="J14" i="49"/>
  <c r="J151" i="49"/>
  <c r="J45" i="49" s="1"/>
  <c r="J18" i="49"/>
  <c r="J155" i="49"/>
  <c r="J49" i="49" s="1"/>
  <c r="J23" i="49"/>
  <c r="J160" i="49"/>
  <c r="J54" i="49" s="1"/>
  <c r="J28" i="49"/>
  <c r="J165" i="49"/>
  <c r="J17" i="49"/>
  <c r="J154" i="49"/>
  <c r="J48" i="49" s="1"/>
  <c r="J32" i="49"/>
  <c r="J169" i="49"/>
  <c r="J63" i="49" s="1"/>
  <c r="J31" i="49"/>
  <c r="J168" i="49"/>
  <c r="J62" i="49" s="1"/>
  <c r="J25" i="49"/>
  <c r="J162" i="49"/>
  <c r="J22" i="49"/>
  <c r="J159" i="49"/>
  <c r="J53" i="49" s="1"/>
  <c r="J24" i="49"/>
  <c r="J161" i="49"/>
  <c r="J55" i="49" s="1"/>
  <c r="J19" i="49"/>
  <c r="J156" i="49"/>
  <c r="J50" i="49" s="1"/>
  <c r="J16" i="49"/>
  <c r="J153" i="49"/>
  <c r="J13" i="49"/>
  <c r="J150" i="49"/>
  <c r="I47" i="49"/>
  <c r="O47" i="49" s="1"/>
  <c r="I44" i="49"/>
  <c r="I37" i="49"/>
  <c r="I38" i="49" s="1"/>
  <c r="E68" i="49"/>
  <c r="E69" i="49" s="1"/>
  <c r="O44" i="49"/>
  <c r="I65" i="49"/>
  <c r="I64" i="49"/>
  <c r="O67" i="49"/>
  <c r="J67" i="49"/>
  <c r="I63" i="49"/>
  <c r="O63" i="49" s="1"/>
  <c r="I66" i="49"/>
  <c r="K123" i="49"/>
  <c r="K163" i="49" s="1"/>
  <c r="J26" i="49"/>
  <c r="K124" i="49"/>
  <c r="K164" i="49" s="1"/>
  <c r="J27" i="49"/>
  <c r="K117" i="49"/>
  <c r="K157" i="49" s="1"/>
  <c r="J20" i="49"/>
  <c r="K112" i="49"/>
  <c r="K152" i="49" s="1"/>
  <c r="J15" i="49"/>
  <c r="K127" i="49"/>
  <c r="J30" i="49"/>
  <c r="K126" i="49"/>
  <c r="K166" i="49" s="1"/>
  <c r="J29" i="49"/>
  <c r="O36" i="49"/>
  <c r="K133" i="49"/>
  <c r="K173" i="49" s="1"/>
  <c r="J36" i="49"/>
  <c r="O33" i="49"/>
  <c r="K130" i="49"/>
  <c r="K170" i="49" s="1"/>
  <c r="J33" i="49"/>
  <c r="O34" i="49"/>
  <c r="K131" i="49"/>
  <c r="K171" i="49" s="1"/>
  <c r="J34" i="49"/>
  <c r="O35" i="49"/>
  <c r="K132" i="49"/>
  <c r="K172" i="49" s="1"/>
  <c r="J35" i="49"/>
  <c r="J58" i="49"/>
  <c r="O60" i="49"/>
  <c r="J60" i="49"/>
  <c r="O51" i="49"/>
  <c r="J51" i="49"/>
  <c r="O46" i="49"/>
  <c r="J46" i="49"/>
  <c r="J61" i="49"/>
  <c r="J47" i="49"/>
  <c r="O48" i="49"/>
  <c r="O49" i="49"/>
  <c r="O52" i="49"/>
  <c r="J52" i="49"/>
  <c r="O50" i="49"/>
  <c r="O56" i="49"/>
  <c r="J56" i="49"/>
  <c r="O59" i="49"/>
  <c r="J59" i="49"/>
  <c r="O54" i="49"/>
  <c r="J57" i="49"/>
  <c r="E2" i="64"/>
  <c r="E2" i="54"/>
  <c r="E2" i="55"/>
  <c r="O15" i="49"/>
  <c r="O30" i="49"/>
  <c r="O19" i="49"/>
  <c r="O20" i="49"/>
  <c r="O18" i="49"/>
  <c r="O14" i="49"/>
  <c r="O21" i="49"/>
  <c r="O25" i="49"/>
  <c r="E38" i="49"/>
  <c r="O31" i="49"/>
  <c r="O26" i="49"/>
  <c r="K111" i="49"/>
  <c r="K151" i="49" s="1"/>
  <c r="K113" i="49"/>
  <c r="K153" i="49" s="1"/>
  <c r="K122" i="49"/>
  <c r="K120" i="49"/>
  <c r="K129" i="49"/>
  <c r="K115" i="49"/>
  <c r="K118" i="49"/>
  <c r="K121" i="49"/>
  <c r="K125" i="49"/>
  <c r="K128" i="49"/>
  <c r="K114" i="49"/>
  <c r="K119" i="49"/>
  <c r="K116" i="49"/>
  <c r="E2" i="49"/>
  <c r="K21" i="49" l="1"/>
  <c r="K158" i="49"/>
  <c r="K52" i="49" s="1"/>
  <c r="K24" i="49"/>
  <c r="K161" i="49"/>
  <c r="K55" i="49" s="1"/>
  <c r="K18" i="49"/>
  <c r="K155" i="49"/>
  <c r="K49" i="49" s="1"/>
  <c r="K30" i="49"/>
  <c r="K167" i="49"/>
  <c r="K61" i="49" s="1"/>
  <c r="K32" i="49"/>
  <c r="K169" i="49"/>
  <c r="K63" i="49" s="1"/>
  <c r="K22" i="49"/>
  <c r="K159" i="49"/>
  <c r="K53" i="49" s="1"/>
  <c r="K23" i="49"/>
  <c r="K160" i="49"/>
  <c r="K17" i="49"/>
  <c r="K154" i="49"/>
  <c r="K48" i="49" s="1"/>
  <c r="K31" i="49"/>
  <c r="K168" i="49"/>
  <c r="K62" i="49" s="1"/>
  <c r="K19" i="49"/>
  <c r="K156" i="49"/>
  <c r="K50" i="49" s="1"/>
  <c r="K25" i="49"/>
  <c r="K162" i="49"/>
  <c r="K56" i="49" s="1"/>
  <c r="K28" i="49"/>
  <c r="K165" i="49"/>
  <c r="K59" i="49" s="1"/>
  <c r="J37" i="49"/>
  <c r="O65" i="49"/>
  <c r="O66" i="49"/>
  <c r="L173" i="49"/>
  <c r="K67" i="49"/>
  <c r="O64" i="49"/>
  <c r="J66" i="49"/>
  <c r="J65" i="49"/>
  <c r="L127" i="49"/>
  <c r="L30" i="49" s="1"/>
  <c r="J64" i="49"/>
  <c r="J44" i="49"/>
  <c r="L112" i="49"/>
  <c r="K15" i="49"/>
  <c r="L113" i="49"/>
  <c r="L16" i="49" s="1"/>
  <c r="K16" i="49"/>
  <c r="L117" i="49"/>
  <c r="K20" i="49"/>
  <c r="L126" i="49"/>
  <c r="K29" i="49"/>
  <c r="L124" i="49"/>
  <c r="K27" i="49"/>
  <c r="L111" i="49"/>
  <c r="L14" i="49" s="1"/>
  <c r="K14" i="49"/>
  <c r="L123" i="49"/>
  <c r="K26" i="49"/>
  <c r="L131" i="49"/>
  <c r="K34" i="49"/>
  <c r="L133" i="49"/>
  <c r="K36" i="49"/>
  <c r="L132" i="49"/>
  <c r="K35" i="49"/>
  <c r="L130" i="49"/>
  <c r="K33" i="49"/>
  <c r="I68" i="49"/>
  <c r="O68" i="49" s="1"/>
  <c r="O58" i="49"/>
  <c r="O61" i="49"/>
  <c r="O62" i="49"/>
  <c r="O53" i="49"/>
  <c r="O55" i="49"/>
  <c r="K57" i="49"/>
  <c r="K46" i="49"/>
  <c r="K54" i="49"/>
  <c r="K45" i="49"/>
  <c r="K51" i="49"/>
  <c r="K47" i="49"/>
  <c r="K60" i="49"/>
  <c r="O45" i="49"/>
  <c r="O57" i="49"/>
  <c r="K58" i="49"/>
  <c r="O37" i="49"/>
  <c r="O38" i="49"/>
  <c r="L114" i="49"/>
  <c r="L17" i="49" s="1"/>
  <c r="L118" i="49"/>
  <c r="L21" i="49" s="1"/>
  <c r="L122" i="49"/>
  <c r="L25" i="49" s="1"/>
  <c r="L128" i="49"/>
  <c r="L31" i="49" s="1"/>
  <c r="L115" i="49"/>
  <c r="L18" i="49" s="1"/>
  <c r="L119" i="49"/>
  <c r="L22" i="49" s="1"/>
  <c r="L116" i="49"/>
  <c r="L19" i="49" s="1"/>
  <c r="L125" i="49"/>
  <c r="L28" i="49" s="1"/>
  <c r="L129" i="49"/>
  <c r="L32" i="49" s="1"/>
  <c r="L121" i="49"/>
  <c r="L24" i="49" s="1"/>
  <c r="L120" i="49"/>
  <c r="L23" i="49" s="1"/>
  <c r="K110" i="49"/>
  <c r="K108" i="54" l="1"/>
  <c r="E218" i="67" s="1"/>
  <c r="AD218" i="67" s="1"/>
  <c r="K49" i="54"/>
  <c r="E157" i="67" s="1"/>
  <c r="AD157" i="67" s="1"/>
  <c r="K135" i="54"/>
  <c r="E246" i="67" s="1"/>
  <c r="AD246" i="67" s="1"/>
  <c r="K76" i="54"/>
  <c r="E185" i="67" s="1"/>
  <c r="L108" i="54"/>
  <c r="F218" i="67" s="1"/>
  <c r="AE218" i="67" s="1"/>
  <c r="L49" i="54"/>
  <c r="F157" i="67" s="1"/>
  <c r="AE157" i="67" s="1"/>
  <c r="K157" i="54"/>
  <c r="E268" i="67" s="1"/>
  <c r="AD268" i="67" s="1"/>
  <c r="K98" i="54"/>
  <c r="E207" i="67" s="1"/>
  <c r="K130" i="54"/>
  <c r="E240" i="67" s="1"/>
  <c r="AD240" i="67" s="1"/>
  <c r="K71" i="54"/>
  <c r="E179" i="67" s="1"/>
  <c r="AD179" i="67" s="1"/>
  <c r="K129" i="54"/>
  <c r="E239" i="67" s="1"/>
  <c r="AD239" i="67" s="1"/>
  <c r="K70" i="54"/>
  <c r="E178" i="67" s="1"/>
  <c r="AD178" i="67" s="1"/>
  <c r="K127" i="54"/>
  <c r="E237" i="67" s="1"/>
  <c r="AD237" i="67" s="1"/>
  <c r="K68" i="54"/>
  <c r="E176" i="67" s="1"/>
  <c r="AD176" i="67" s="1"/>
  <c r="L67" i="54"/>
  <c r="F175" i="67" s="1"/>
  <c r="AE175" i="67" s="1"/>
  <c r="L126" i="54"/>
  <c r="F236" i="67" s="1"/>
  <c r="AE236" i="67" s="1"/>
  <c r="K153" i="54"/>
  <c r="E264" i="67" s="1"/>
  <c r="AD264" i="67" s="1"/>
  <c r="K94" i="54"/>
  <c r="E203" i="67" s="1"/>
  <c r="K126" i="54"/>
  <c r="E236" i="67" s="1"/>
  <c r="AD236" i="67" s="1"/>
  <c r="K67" i="54"/>
  <c r="E175" i="67" s="1"/>
  <c r="AD175" i="67" s="1"/>
  <c r="L125" i="54"/>
  <c r="F235" i="67" s="1"/>
  <c r="AE235" i="67" s="1"/>
  <c r="L66" i="54"/>
  <c r="F174" i="67" s="1"/>
  <c r="AE174" i="67" s="1"/>
  <c r="K93" i="54"/>
  <c r="E202" i="67" s="1"/>
  <c r="K152" i="54"/>
  <c r="E263" i="67" s="1"/>
  <c r="AD263" i="67" s="1"/>
  <c r="K125" i="54"/>
  <c r="E235" i="67" s="1"/>
  <c r="AD235" i="67" s="1"/>
  <c r="K66" i="54"/>
  <c r="E174" i="67" s="1"/>
  <c r="AD174" i="67" s="1"/>
  <c r="K151" i="54"/>
  <c r="E262" i="67" s="1"/>
  <c r="AD262" i="67" s="1"/>
  <c r="K92" i="54"/>
  <c r="E201" i="67" s="1"/>
  <c r="K124" i="54"/>
  <c r="E234" i="67" s="1"/>
  <c r="AD234" i="67" s="1"/>
  <c r="K65" i="54"/>
  <c r="E173" i="67" s="1"/>
  <c r="AD173" i="67" s="1"/>
  <c r="L65" i="54"/>
  <c r="F173" i="67" s="1"/>
  <c r="AE173" i="67" s="1"/>
  <c r="L124" i="54"/>
  <c r="F234" i="67" s="1"/>
  <c r="AE234" i="67" s="1"/>
  <c r="K83" i="54"/>
  <c r="E192" i="67" s="1"/>
  <c r="K142" i="54"/>
  <c r="E253" i="67" s="1"/>
  <c r="AD253" i="67" s="1"/>
  <c r="L115" i="54"/>
  <c r="F225" i="67" s="1"/>
  <c r="AE225" i="67" s="1"/>
  <c r="L56" i="54"/>
  <c r="F164" i="67" s="1"/>
  <c r="AE164" i="67" s="1"/>
  <c r="K115" i="54"/>
  <c r="E225" i="67" s="1"/>
  <c r="AD225" i="67" s="1"/>
  <c r="K56" i="54"/>
  <c r="E164" i="67" s="1"/>
  <c r="AD164" i="67" s="1"/>
  <c r="K82" i="54"/>
  <c r="E191" i="67" s="1"/>
  <c r="K141" i="54"/>
  <c r="E252" i="67" s="1"/>
  <c r="AD252" i="67" s="1"/>
  <c r="K114" i="54"/>
  <c r="E224" i="67" s="1"/>
  <c r="AD224" i="67" s="1"/>
  <c r="K55" i="54"/>
  <c r="E163" i="67" s="1"/>
  <c r="AD163" i="67" s="1"/>
  <c r="K113" i="54"/>
  <c r="E223" i="67" s="1"/>
  <c r="AD223" i="67" s="1"/>
  <c r="K54" i="54"/>
  <c r="E162" i="67" s="1"/>
  <c r="AD162" i="67" s="1"/>
  <c r="L113" i="54"/>
  <c r="F223" i="67" s="1"/>
  <c r="AE223" i="67" s="1"/>
  <c r="L54" i="54"/>
  <c r="F162" i="67" s="1"/>
  <c r="AE162" i="67" s="1"/>
  <c r="K140" i="54"/>
  <c r="E251" i="67" s="1"/>
  <c r="AD251" i="67" s="1"/>
  <c r="K81" i="54"/>
  <c r="E190" i="67" s="1"/>
  <c r="K139" i="54"/>
  <c r="E250" i="67" s="1"/>
  <c r="AD250" i="67" s="1"/>
  <c r="K80" i="54"/>
  <c r="E189" i="67" s="1"/>
  <c r="K112" i="54"/>
  <c r="E222" i="67" s="1"/>
  <c r="AD222" i="67" s="1"/>
  <c r="K53" i="54"/>
  <c r="E161" i="67" s="1"/>
  <c r="AD161" i="67" s="1"/>
  <c r="L53" i="54"/>
  <c r="F161" i="67" s="1"/>
  <c r="AE161" i="67" s="1"/>
  <c r="L112" i="54"/>
  <c r="F222" i="67" s="1"/>
  <c r="AE222" i="67" s="1"/>
  <c r="K138" i="54"/>
  <c r="E249" i="67" s="1"/>
  <c r="AD249" i="67" s="1"/>
  <c r="K79" i="54"/>
  <c r="E188" i="67" s="1"/>
  <c r="K111" i="54"/>
  <c r="E221" i="67" s="1"/>
  <c r="AD221" i="67" s="1"/>
  <c r="K52" i="54"/>
  <c r="E160" i="67" s="1"/>
  <c r="AD160" i="67" s="1"/>
  <c r="L52" i="54"/>
  <c r="F160" i="67" s="1"/>
  <c r="AE160" i="67" s="1"/>
  <c r="L111" i="54"/>
  <c r="F221" i="67" s="1"/>
  <c r="AE221" i="67" s="1"/>
  <c r="K91" i="54"/>
  <c r="E200" i="67" s="1"/>
  <c r="K150" i="54"/>
  <c r="E261" i="67" s="1"/>
  <c r="AD261" i="67" s="1"/>
  <c r="K123" i="54"/>
  <c r="E233" i="67" s="1"/>
  <c r="AD233" i="67" s="1"/>
  <c r="K64" i="54"/>
  <c r="E172" i="67" s="1"/>
  <c r="AD172" i="67" s="1"/>
  <c r="K121" i="54"/>
  <c r="E231" i="67" s="1"/>
  <c r="AD231" i="67" s="1"/>
  <c r="K62" i="54"/>
  <c r="E170" i="67" s="1"/>
  <c r="AD170" i="67" s="1"/>
  <c r="K148" i="54"/>
  <c r="E259" i="67" s="1"/>
  <c r="AD259" i="67" s="1"/>
  <c r="K89" i="54"/>
  <c r="E198" i="67" s="1"/>
  <c r="K146" i="54"/>
  <c r="E257" i="67" s="1"/>
  <c r="AD257" i="67" s="1"/>
  <c r="K87" i="54"/>
  <c r="E196" i="67" s="1"/>
  <c r="L119" i="54"/>
  <c r="F229" i="67" s="1"/>
  <c r="AE229" i="67" s="1"/>
  <c r="L60" i="54"/>
  <c r="F168" i="67" s="1"/>
  <c r="AE168" i="67" s="1"/>
  <c r="K119" i="54"/>
  <c r="E229" i="67" s="1"/>
  <c r="AD229" i="67" s="1"/>
  <c r="K60" i="54"/>
  <c r="E168" i="67" s="1"/>
  <c r="AD168" i="67" s="1"/>
  <c r="L110" i="54"/>
  <c r="F220" i="67" s="1"/>
  <c r="AE220" i="67" s="1"/>
  <c r="L51" i="54"/>
  <c r="F159" i="67" s="1"/>
  <c r="AE159" i="67" s="1"/>
  <c r="K78" i="54"/>
  <c r="E187" i="67" s="1"/>
  <c r="K137" i="54"/>
  <c r="E248" i="67" s="1"/>
  <c r="AD248" i="67" s="1"/>
  <c r="K110" i="54"/>
  <c r="E220" i="67" s="1"/>
  <c r="AD220" i="67" s="1"/>
  <c r="K51" i="54"/>
  <c r="E159" i="67" s="1"/>
  <c r="AD159" i="67" s="1"/>
  <c r="K109" i="54"/>
  <c r="K50" i="54"/>
  <c r="K77" i="54"/>
  <c r="K136" i="54"/>
  <c r="K13" i="49"/>
  <c r="K37" i="49" s="1"/>
  <c r="K150" i="49"/>
  <c r="L150" i="49" s="1"/>
  <c r="R19" i="49"/>
  <c r="R34" i="49"/>
  <c r="R26" i="49"/>
  <c r="R18" i="49"/>
  <c r="R24" i="49"/>
  <c r="R33" i="49"/>
  <c r="R25" i="49"/>
  <c r="R17" i="49"/>
  <c r="R32" i="49"/>
  <c r="R16" i="49"/>
  <c r="R29" i="49"/>
  <c r="R31" i="49"/>
  <c r="R23" i="49"/>
  <c r="R15" i="49"/>
  <c r="R30" i="49"/>
  <c r="R22" i="49"/>
  <c r="R14" i="49"/>
  <c r="R13" i="49"/>
  <c r="R36" i="49"/>
  <c r="R28" i="49"/>
  <c r="R20" i="49"/>
  <c r="R35" i="49"/>
  <c r="R27" i="49"/>
  <c r="R21" i="49"/>
  <c r="M113" i="49"/>
  <c r="M16" i="49" s="1"/>
  <c r="M127" i="49"/>
  <c r="M30" i="49" s="1"/>
  <c r="K64" i="49"/>
  <c r="L170" i="49"/>
  <c r="M111" i="49"/>
  <c r="K66" i="49"/>
  <c r="L172" i="49"/>
  <c r="M173" i="49"/>
  <c r="M67" i="49" s="1"/>
  <c r="L67" i="49"/>
  <c r="L171" i="49"/>
  <c r="K65" i="49"/>
  <c r="L26" i="49"/>
  <c r="M123" i="49"/>
  <c r="L20" i="49"/>
  <c r="M117" i="49"/>
  <c r="L27" i="49"/>
  <c r="M124" i="49"/>
  <c r="L29" i="49"/>
  <c r="M126" i="49"/>
  <c r="L15" i="49"/>
  <c r="M112" i="49"/>
  <c r="M133" i="49"/>
  <c r="L36" i="49"/>
  <c r="M130" i="49"/>
  <c r="L33" i="49"/>
  <c r="M131" i="49"/>
  <c r="L34" i="49"/>
  <c r="M132" i="49"/>
  <c r="L35" i="49"/>
  <c r="I69" i="49"/>
  <c r="O69" i="49" s="1"/>
  <c r="L158" i="49"/>
  <c r="L52" i="49" s="1"/>
  <c r="L162" i="49"/>
  <c r="L56" i="49" s="1"/>
  <c r="L152" i="49"/>
  <c r="L46" i="49" s="1"/>
  <c r="L164" i="49"/>
  <c r="L58" i="49" s="1"/>
  <c r="L165" i="49"/>
  <c r="L59" i="49" s="1"/>
  <c r="L156" i="49"/>
  <c r="L50" i="49" s="1"/>
  <c r="L157" i="49"/>
  <c r="L51" i="49" s="1"/>
  <c r="L160" i="49"/>
  <c r="L54" i="49" s="1"/>
  <c r="L169" i="49"/>
  <c r="L63" i="49" s="1"/>
  <c r="L155" i="49"/>
  <c r="L49" i="49" s="1"/>
  <c r="L167" i="49"/>
  <c r="L61" i="49" s="1"/>
  <c r="L166" i="49"/>
  <c r="L60" i="49" s="1"/>
  <c r="L168" i="49"/>
  <c r="L62" i="49" s="1"/>
  <c r="L161" i="49"/>
  <c r="L55" i="49" s="1"/>
  <c r="L159" i="49"/>
  <c r="L53" i="49" s="1"/>
  <c r="L154" i="49"/>
  <c r="L48" i="49" s="1"/>
  <c r="L153" i="49"/>
  <c r="L47" i="49" s="1"/>
  <c r="L151" i="49"/>
  <c r="L45" i="49" s="1"/>
  <c r="L163" i="49"/>
  <c r="L57" i="49" s="1"/>
  <c r="M120" i="49"/>
  <c r="M122" i="49"/>
  <c r="M121" i="49"/>
  <c r="M115" i="49"/>
  <c r="M129" i="49"/>
  <c r="M128" i="49"/>
  <c r="M116" i="49"/>
  <c r="M118" i="49"/>
  <c r="M119" i="49"/>
  <c r="M114" i="49"/>
  <c r="M125" i="49"/>
  <c r="L110" i="49"/>
  <c r="L13" i="49" s="1"/>
  <c r="G287" i="67" l="1"/>
  <c r="AX287" i="67" s="1"/>
  <c r="F300" i="67"/>
  <c r="AW300" i="67" s="1"/>
  <c r="F282" i="67"/>
  <c r="AS282" i="67" s="1"/>
  <c r="G298" i="67"/>
  <c r="AX298" i="67" s="1"/>
  <c r="G285" i="67"/>
  <c r="AT285" i="67" s="1"/>
  <c r="AH157" i="67"/>
  <c r="AH218" i="67"/>
  <c r="G282" i="67"/>
  <c r="AD185" i="67"/>
  <c r="AG185" i="67"/>
  <c r="F314" i="67"/>
  <c r="AG246" i="67"/>
  <c r="AG157" i="67"/>
  <c r="AG218" i="67"/>
  <c r="AG179" i="67"/>
  <c r="L130" i="54"/>
  <c r="F240" i="67" s="1"/>
  <c r="AE240" i="67" s="1"/>
  <c r="L71" i="54"/>
  <c r="F179" i="67" s="1"/>
  <c r="AE179" i="67" s="1"/>
  <c r="AG240" i="67"/>
  <c r="F304" i="67"/>
  <c r="F336" i="67"/>
  <c r="AD207" i="67"/>
  <c r="AG207" i="67"/>
  <c r="AG268" i="67"/>
  <c r="K97" i="54"/>
  <c r="E206" i="67" s="1"/>
  <c r="K156" i="54"/>
  <c r="E267" i="67" s="1"/>
  <c r="AD267" i="67" s="1"/>
  <c r="AG178" i="67"/>
  <c r="L70" i="54"/>
  <c r="F178" i="67" s="1"/>
  <c r="AE178" i="67" s="1"/>
  <c r="L129" i="54"/>
  <c r="F239" i="67" s="1"/>
  <c r="AE239" i="67" s="1"/>
  <c r="AG239" i="67"/>
  <c r="F303" i="67"/>
  <c r="L127" i="54"/>
  <c r="F237" i="67" s="1"/>
  <c r="AE237" i="67" s="1"/>
  <c r="L68" i="54"/>
  <c r="F176" i="67" s="1"/>
  <c r="AE176" i="67" s="1"/>
  <c r="K95" i="54"/>
  <c r="E204" i="67" s="1"/>
  <c r="K154" i="54"/>
  <c r="E265" i="67" s="1"/>
  <c r="AD265" i="67" s="1"/>
  <c r="AG176" i="67"/>
  <c r="AG237" i="67"/>
  <c r="F301" i="67"/>
  <c r="AG236" i="67"/>
  <c r="F332" i="67"/>
  <c r="AG203" i="67"/>
  <c r="AD203" i="67"/>
  <c r="AG264" i="67"/>
  <c r="AH236" i="67"/>
  <c r="AG175" i="67"/>
  <c r="AH175" i="67"/>
  <c r="G300" i="67"/>
  <c r="AG174" i="67"/>
  <c r="F299" i="67"/>
  <c r="AG235" i="67"/>
  <c r="AG263" i="67"/>
  <c r="F331" i="67"/>
  <c r="AG202" i="67"/>
  <c r="AD202" i="67"/>
  <c r="AH174" i="67"/>
  <c r="AH235" i="67"/>
  <c r="G299" i="67"/>
  <c r="AH234" i="67"/>
  <c r="AG173" i="67"/>
  <c r="AG234" i="67"/>
  <c r="M124" i="54"/>
  <c r="G234" i="67" s="1"/>
  <c r="AF234" i="67" s="1"/>
  <c r="M65" i="54"/>
  <c r="G173" i="67" s="1"/>
  <c r="AF173" i="67" s="1"/>
  <c r="F298" i="67"/>
  <c r="AH173" i="67"/>
  <c r="AG201" i="67"/>
  <c r="AD201" i="67"/>
  <c r="F330" i="67"/>
  <c r="AG262" i="67"/>
  <c r="AG164" i="67"/>
  <c r="F289" i="67"/>
  <c r="AH164" i="67"/>
  <c r="AH225" i="67"/>
  <c r="G289" i="67"/>
  <c r="AG225" i="67"/>
  <c r="AG253" i="67"/>
  <c r="F321" i="67"/>
  <c r="AG192" i="67"/>
  <c r="AD192" i="67"/>
  <c r="AG163" i="67"/>
  <c r="AG224" i="67"/>
  <c r="F288" i="67"/>
  <c r="L55" i="54"/>
  <c r="F163" i="67" s="1"/>
  <c r="AE163" i="67" s="1"/>
  <c r="L114" i="54"/>
  <c r="F224" i="67" s="1"/>
  <c r="AE224" i="67" s="1"/>
  <c r="AG252" i="67"/>
  <c r="F320" i="67"/>
  <c r="AG191" i="67"/>
  <c r="AD191" i="67"/>
  <c r="AT287" i="67"/>
  <c r="AG251" i="67"/>
  <c r="AH223" i="67"/>
  <c r="AG162" i="67"/>
  <c r="AH162" i="67"/>
  <c r="AG223" i="67"/>
  <c r="F319" i="67"/>
  <c r="AD190" i="67"/>
  <c r="AG190" i="67"/>
  <c r="F287" i="67"/>
  <c r="AH222" i="67"/>
  <c r="AG161" i="67"/>
  <c r="AG222" i="67"/>
  <c r="AH161" i="67"/>
  <c r="F286" i="67"/>
  <c r="F318" i="67"/>
  <c r="AG189" i="67"/>
  <c r="AD189" i="67"/>
  <c r="G286" i="67"/>
  <c r="AG250" i="67"/>
  <c r="AH221" i="67"/>
  <c r="AG160" i="67"/>
  <c r="AH160" i="67"/>
  <c r="AG221" i="67"/>
  <c r="F285" i="67"/>
  <c r="F317" i="67"/>
  <c r="AD188" i="67"/>
  <c r="AG188" i="67"/>
  <c r="AG249" i="67"/>
  <c r="F329" i="67"/>
  <c r="AG200" i="67"/>
  <c r="AD200" i="67"/>
  <c r="AG172" i="67"/>
  <c r="AG233" i="67"/>
  <c r="F297" i="67"/>
  <c r="L123" i="54"/>
  <c r="F233" i="67" s="1"/>
  <c r="AE233" i="67" s="1"/>
  <c r="L64" i="54"/>
  <c r="F172" i="67" s="1"/>
  <c r="AE172" i="67" s="1"/>
  <c r="AG261" i="67"/>
  <c r="L121" i="54"/>
  <c r="F231" i="67" s="1"/>
  <c r="AE231" i="67" s="1"/>
  <c r="L62" i="54"/>
  <c r="F170" i="67" s="1"/>
  <c r="AE170" i="67" s="1"/>
  <c r="F327" i="67"/>
  <c r="AG198" i="67"/>
  <c r="AD198" i="67"/>
  <c r="AG259" i="67"/>
  <c r="AG170" i="67"/>
  <c r="AG231" i="67"/>
  <c r="F295" i="67"/>
  <c r="AG168" i="67"/>
  <c r="AH168" i="67"/>
  <c r="AH229" i="67"/>
  <c r="AG229" i="67"/>
  <c r="F293" i="67"/>
  <c r="G293" i="67"/>
  <c r="F325" i="67"/>
  <c r="AG196" i="67"/>
  <c r="AD196" i="67"/>
  <c r="AG257" i="67"/>
  <c r="AG159" i="67"/>
  <c r="F284" i="67"/>
  <c r="AG248" i="67"/>
  <c r="F316" i="67"/>
  <c r="AG187" i="67"/>
  <c r="AD187" i="67"/>
  <c r="M110" i="54"/>
  <c r="G220" i="67" s="1"/>
  <c r="AF220" i="67" s="1"/>
  <c r="M51" i="54"/>
  <c r="G159" i="67" s="1"/>
  <c r="AF159" i="67" s="1"/>
  <c r="AH159" i="67"/>
  <c r="AG220" i="67"/>
  <c r="AH220" i="67"/>
  <c r="G284" i="67"/>
  <c r="E247" i="67"/>
  <c r="AD247" i="67" s="1"/>
  <c r="K158" i="54"/>
  <c r="K25" i="54" s="1"/>
  <c r="E186" i="67"/>
  <c r="AA186" i="67" s="1"/>
  <c r="K99" i="54"/>
  <c r="K24" i="54" s="1"/>
  <c r="E158" i="67"/>
  <c r="K72" i="54"/>
  <c r="K13" i="54" s="1"/>
  <c r="E219" i="67"/>
  <c r="K131" i="54"/>
  <c r="K14" i="54" s="1"/>
  <c r="L50" i="54"/>
  <c r="L109" i="54"/>
  <c r="L88" i="54"/>
  <c r="F197" i="67" s="1"/>
  <c r="L147" i="54"/>
  <c r="F258" i="67" s="1"/>
  <c r="AE258" i="67" s="1"/>
  <c r="L85" i="54"/>
  <c r="F194" i="67" s="1"/>
  <c r="L144" i="54"/>
  <c r="F255" i="67" s="1"/>
  <c r="AE255" i="67" s="1"/>
  <c r="L98" i="54"/>
  <c r="F207" i="67" s="1"/>
  <c r="L157" i="54"/>
  <c r="F268" i="67" s="1"/>
  <c r="AE268" i="67" s="1"/>
  <c r="M98" i="54"/>
  <c r="G207" i="67" s="1"/>
  <c r="M157" i="54"/>
  <c r="G268" i="67" s="1"/>
  <c r="AF268" i="67" s="1"/>
  <c r="L94" i="54"/>
  <c r="F203" i="67" s="1"/>
  <c r="L153" i="54"/>
  <c r="F264" i="67" s="1"/>
  <c r="AE264" i="67" s="1"/>
  <c r="L93" i="54"/>
  <c r="F202" i="67" s="1"/>
  <c r="L152" i="54"/>
  <c r="F263" i="67" s="1"/>
  <c r="AE263" i="67" s="1"/>
  <c r="L151" i="54"/>
  <c r="F262" i="67" s="1"/>
  <c r="AE262" i="67" s="1"/>
  <c r="L92" i="54"/>
  <c r="F201" i="67" s="1"/>
  <c r="L90" i="54"/>
  <c r="F199" i="67" s="1"/>
  <c r="L149" i="54"/>
  <c r="F260" i="67" s="1"/>
  <c r="AE260" i="67" s="1"/>
  <c r="L145" i="54"/>
  <c r="F256" i="67" s="1"/>
  <c r="AE256" i="67" s="1"/>
  <c r="L86" i="54"/>
  <c r="F195" i="67" s="1"/>
  <c r="L84" i="54"/>
  <c r="F193" i="67" s="1"/>
  <c r="L143" i="54"/>
  <c r="F254" i="67" s="1"/>
  <c r="AE254" i="67" s="1"/>
  <c r="L83" i="54"/>
  <c r="F192" i="67" s="1"/>
  <c r="L142" i="54"/>
  <c r="F253" i="67" s="1"/>
  <c r="AE253" i="67" s="1"/>
  <c r="L82" i="54"/>
  <c r="F191" i="67" s="1"/>
  <c r="L141" i="54"/>
  <c r="F252" i="67" s="1"/>
  <c r="AE252" i="67" s="1"/>
  <c r="L81" i="54"/>
  <c r="F190" i="67" s="1"/>
  <c r="L140" i="54"/>
  <c r="F251" i="67" s="1"/>
  <c r="AE251" i="67" s="1"/>
  <c r="L80" i="54"/>
  <c r="F189" i="67" s="1"/>
  <c r="L139" i="54"/>
  <c r="F250" i="67" s="1"/>
  <c r="AE250" i="67" s="1"/>
  <c r="L79" i="54"/>
  <c r="F188" i="67" s="1"/>
  <c r="L138" i="54"/>
  <c r="F249" i="67" s="1"/>
  <c r="AE249" i="67" s="1"/>
  <c r="L77" i="54"/>
  <c r="F186" i="67" s="1"/>
  <c r="L136" i="54"/>
  <c r="F247" i="67" s="1"/>
  <c r="AE247" i="67" s="1"/>
  <c r="L150" i="54"/>
  <c r="F261" i="67" s="1"/>
  <c r="AE261" i="67" s="1"/>
  <c r="L91" i="54"/>
  <c r="F200" i="67" s="1"/>
  <c r="L89" i="54"/>
  <c r="F198" i="67" s="1"/>
  <c r="L148" i="54"/>
  <c r="F259" i="67" s="1"/>
  <c r="AE259" i="67" s="1"/>
  <c r="L87" i="54"/>
  <c r="F196" i="67" s="1"/>
  <c r="L146" i="54"/>
  <c r="F257" i="67" s="1"/>
  <c r="AE257" i="67" s="1"/>
  <c r="L78" i="54"/>
  <c r="F187" i="67" s="1"/>
  <c r="L137" i="54"/>
  <c r="F248" i="67" s="1"/>
  <c r="AE248" i="67" s="1"/>
  <c r="L76" i="54"/>
  <c r="L135" i="54"/>
  <c r="K44" i="49"/>
  <c r="AA226" i="67"/>
  <c r="X226" i="67"/>
  <c r="AA201" i="67"/>
  <c r="X201" i="67"/>
  <c r="AB235" i="67"/>
  <c r="Y235" i="67"/>
  <c r="AA171" i="67"/>
  <c r="X171" i="67"/>
  <c r="AA231" i="67"/>
  <c r="X231" i="67"/>
  <c r="AA165" i="67"/>
  <c r="X165" i="67"/>
  <c r="AB166" i="67"/>
  <c r="Y166" i="67"/>
  <c r="AA237" i="67"/>
  <c r="X237" i="67"/>
  <c r="AA168" i="67"/>
  <c r="X168" i="67"/>
  <c r="AA246" i="67"/>
  <c r="X246" i="67"/>
  <c r="AA172" i="67"/>
  <c r="X172" i="67"/>
  <c r="AA223" i="67"/>
  <c r="X223" i="67"/>
  <c r="X255" i="67"/>
  <c r="AA255" i="67"/>
  <c r="AA218" i="67"/>
  <c r="X218" i="67"/>
  <c r="AA189" i="67"/>
  <c r="X189" i="67"/>
  <c r="AA176" i="67"/>
  <c r="X176" i="67"/>
  <c r="AB234" i="67"/>
  <c r="Y234" i="67"/>
  <c r="AA230" i="67"/>
  <c r="X230" i="67"/>
  <c r="AB165" i="67"/>
  <c r="Y165" i="67"/>
  <c r="AA249" i="67"/>
  <c r="X249" i="67"/>
  <c r="AB161" i="67"/>
  <c r="Y161" i="67"/>
  <c r="AB167" i="67"/>
  <c r="Y167" i="67"/>
  <c r="AB223" i="67"/>
  <c r="Y223" i="67"/>
  <c r="AA185" i="67"/>
  <c r="X185" i="67"/>
  <c r="AA188" i="67"/>
  <c r="X188" i="67"/>
  <c r="AA197" i="67"/>
  <c r="X197" i="67"/>
  <c r="AA194" i="67"/>
  <c r="X194" i="67"/>
  <c r="AA222" i="67"/>
  <c r="X222" i="67"/>
  <c r="AB173" i="67"/>
  <c r="Y173" i="67"/>
  <c r="AA196" i="67"/>
  <c r="X196" i="67"/>
  <c r="X238" i="67"/>
  <c r="AA238" i="67"/>
  <c r="X263" i="67"/>
  <c r="AA263" i="67"/>
  <c r="X261" i="67"/>
  <c r="AA261" i="67"/>
  <c r="AA193" i="67"/>
  <c r="X193" i="67"/>
  <c r="AA190" i="67"/>
  <c r="X190" i="67"/>
  <c r="AA169" i="67"/>
  <c r="X169" i="67"/>
  <c r="AA257" i="67"/>
  <c r="X257" i="67"/>
  <c r="AA160" i="67"/>
  <c r="X160" i="67"/>
  <c r="X268" i="67"/>
  <c r="AA268" i="67"/>
  <c r="AA260" i="67"/>
  <c r="X260" i="67"/>
  <c r="AA202" i="67"/>
  <c r="X202" i="67"/>
  <c r="X262" i="67"/>
  <c r="AA262" i="67"/>
  <c r="X258" i="67"/>
  <c r="AA258" i="67"/>
  <c r="AA250" i="67"/>
  <c r="X250" i="67"/>
  <c r="AA225" i="67"/>
  <c r="X225" i="67"/>
  <c r="AB162" i="67"/>
  <c r="Y162" i="67"/>
  <c r="AB160" i="67"/>
  <c r="Y160" i="67"/>
  <c r="AA167" i="67"/>
  <c r="X167" i="67"/>
  <c r="AA200" i="67"/>
  <c r="X200" i="67"/>
  <c r="AA254" i="67"/>
  <c r="X254" i="67"/>
  <c r="AB222" i="67"/>
  <c r="Y222" i="67"/>
  <c r="X251" i="67"/>
  <c r="AA251" i="67"/>
  <c r="AA240" i="67"/>
  <c r="X240" i="67"/>
  <c r="AA232" i="67"/>
  <c r="X232" i="67"/>
  <c r="AA236" i="67"/>
  <c r="X236" i="67"/>
  <c r="X207" i="67"/>
  <c r="AA207" i="67"/>
  <c r="AA203" i="67"/>
  <c r="X203" i="67"/>
  <c r="AB221" i="67"/>
  <c r="Y221" i="67"/>
  <c r="AB226" i="67"/>
  <c r="Y226" i="67"/>
  <c r="AA221" i="67"/>
  <c r="X221" i="67"/>
  <c r="AA174" i="67"/>
  <c r="X174" i="67"/>
  <c r="T67" i="49"/>
  <c r="T30" i="49"/>
  <c r="AA228" i="67"/>
  <c r="X228" i="67"/>
  <c r="AB218" i="67"/>
  <c r="Y218" i="67"/>
  <c r="AB164" i="67"/>
  <c r="Y164" i="67"/>
  <c r="AB228" i="67"/>
  <c r="Y228" i="67"/>
  <c r="AB168" i="67"/>
  <c r="Y168" i="67"/>
  <c r="AA198" i="67"/>
  <c r="X198" i="67"/>
  <c r="AA166" i="67"/>
  <c r="X166" i="67"/>
  <c r="X239" i="67"/>
  <c r="AA239" i="67"/>
  <c r="AA173" i="67"/>
  <c r="X173" i="67"/>
  <c r="AA235" i="67"/>
  <c r="X235" i="67"/>
  <c r="AA195" i="67"/>
  <c r="X195" i="67"/>
  <c r="AA192" i="67"/>
  <c r="X192" i="67"/>
  <c r="AA233" i="67"/>
  <c r="X233" i="67"/>
  <c r="AA157" i="67"/>
  <c r="X157" i="67"/>
  <c r="AA227" i="67"/>
  <c r="X227" i="67"/>
  <c r="AB174" i="67"/>
  <c r="Y174" i="67"/>
  <c r="AB171" i="67"/>
  <c r="Y171" i="67"/>
  <c r="X179" i="67"/>
  <c r="AA179" i="67"/>
  <c r="AA234" i="67"/>
  <c r="X234" i="67"/>
  <c r="AA177" i="67"/>
  <c r="X177" i="67"/>
  <c r="AB236" i="67"/>
  <c r="Y236" i="67"/>
  <c r="AA175" i="67"/>
  <c r="X175" i="67"/>
  <c r="AA170" i="67"/>
  <c r="X170" i="67"/>
  <c r="AA191" i="67"/>
  <c r="X191" i="67"/>
  <c r="AB229" i="67"/>
  <c r="Y229" i="67"/>
  <c r="AA161" i="67"/>
  <c r="X161" i="67"/>
  <c r="AB232" i="67"/>
  <c r="Y232" i="67"/>
  <c r="AA199" i="67"/>
  <c r="X199" i="67"/>
  <c r="X253" i="67"/>
  <c r="AA253" i="67"/>
  <c r="AA229" i="67"/>
  <c r="X229" i="67"/>
  <c r="AB175" i="67"/>
  <c r="Y175" i="67"/>
  <c r="AB225" i="67"/>
  <c r="Y225" i="67"/>
  <c r="X259" i="67"/>
  <c r="AA259" i="67"/>
  <c r="AA164" i="67"/>
  <c r="X164" i="67"/>
  <c r="X256" i="67"/>
  <c r="AA256" i="67"/>
  <c r="AA178" i="67"/>
  <c r="X178" i="67"/>
  <c r="X264" i="67"/>
  <c r="AA264" i="67"/>
  <c r="Y157" i="67"/>
  <c r="AB157" i="67"/>
  <c r="AB227" i="67"/>
  <c r="Y227" i="67"/>
  <c r="AA162" i="67"/>
  <c r="X162" i="67"/>
  <c r="AA248" i="67"/>
  <c r="X248" i="67"/>
  <c r="AA187" i="67"/>
  <c r="X187" i="67"/>
  <c r="T16" i="49"/>
  <c r="M36" i="49"/>
  <c r="M35" i="49"/>
  <c r="M34" i="49"/>
  <c r="M33" i="49"/>
  <c r="M14" i="49"/>
  <c r="P67" i="49"/>
  <c r="P30" i="49"/>
  <c r="P16" i="49"/>
  <c r="L37" i="49"/>
  <c r="L65" i="49"/>
  <c r="M171" i="49"/>
  <c r="M65" i="49" s="1"/>
  <c r="L66" i="49"/>
  <c r="M172" i="49"/>
  <c r="M66" i="49" s="1"/>
  <c r="L64" i="49"/>
  <c r="M170" i="49"/>
  <c r="M64" i="49" s="1"/>
  <c r="M150" i="49"/>
  <c r="L44" i="49"/>
  <c r="M24" i="49"/>
  <c r="M18" i="49"/>
  <c r="M15" i="49"/>
  <c r="M29" i="49"/>
  <c r="M20" i="49"/>
  <c r="M28" i="49"/>
  <c r="M25" i="49"/>
  <c r="M23" i="49"/>
  <c r="M17" i="49"/>
  <c r="M22" i="49"/>
  <c r="M21" i="49"/>
  <c r="M26" i="49"/>
  <c r="M19" i="49"/>
  <c r="M31" i="49"/>
  <c r="M27" i="49"/>
  <c r="M32" i="49"/>
  <c r="M153" i="49"/>
  <c r="M168" i="49"/>
  <c r="M62" i="49" s="1"/>
  <c r="M155" i="49"/>
  <c r="M152" i="49"/>
  <c r="M154" i="49"/>
  <c r="M166" i="49"/>
  <c r="M60" i="49" s="1"/>
  <c r="M169" i="49"/>
  <c r="M156" i="49"/>
  <c r="M162" i="49"/>
  <c r="M163" i="49"/>
  <c r="M57" i="49" s="1"/>
  <c r="M159" i="49"/>
  <c r="M53" i="49" s="1"/>
  <c r="M167" i="49"/>
  <c r="M160" i="49"/>
  <c r="M54" i="49" s="1"/>
  <c r="M165" i="49"/>
  <c r="M59" i="49" s="1"/>
  <c r="M151" i="49"/>
  <c r="M45" i="49" s="1"/>
  <c r="M161" i="49"/>
  <c r="M55" i="49" s="1"/>
  <c r="M157" i="49"/>
  <c r="M164" i="49"/>
  <c r="M158" i="49"/>
  <c r="M52" i="49" s="1"/>
  <c r="M110" i="49"/>
  <c r="M13" i="49" s="1"/>
  <c r="J68" i="49"/>
  <c r="AA219" i="67" l="1"/>
  <c r="AD219" i="67"/>
  <c r="AA158" i="67"/>
  <c r="AD158" i="67"/>
  <c r="AD181" i="67" s="1"/>
  <c r="N22" i="67" s="1"/>
  <c r="AR22" i="67" s="1"/>
  <c r="AT298" i="67"/>
  <c r="AX285" i="67"/>
  <c r="AS300" i="67"/>
  <c r="AW282" i="67"/>
  <c r="X247" i="67"/>
  <c r="AA247" i="67"/>
  <c r="X186" i="67"/>
  <c r="X158" i="67"/>
  <c r="G288" i="67"/>
  <c r="AX288" i="67" s="1"/>
  <c r="AW314" i="67"/>
  <c r="AS314" i="67"/>
  <c r="N14" i="49"/>
  <c r="M108" i="54"/>
  <c r="G218" i="67" s="1"/>
  <c r="AF218" i="67" s="1"/>
  <c r="M49" i="54"/>
  <c r="G157" i="67" s="1"/>
  <c r="AF157" i="67" s="1"/>
  <c r="AT282" i="67"/>
  <c r="AX282" i="67"/>
  <c r="AS304" i="67"/>
  <c r="AW304" i="67"/>
  <c r="AH179" i="67"/>
  <c r="AH240" i="67"/>
  <c r="G304" i="67"/>
  <c r="N36" i="49"/>
  <c r="M130" i="54"/>
  <c r="G240" i="67" s="1"/>
  <c r="AF240" i="67" s="1"/>
  <c r="M71" i="54"/>
  <c r="G179" i="67" s="1"/>
  <c r="AF179" i="67" s="1"/>
  <c r="AS336" i="67"/>
  <c r="AW336" i="67"/>
  <c r="N35" i="49"/>
  <c r="M70" i="54"/>
  <c r="G178" i="67" s="1"/>
  <c r="AF178" i="67" s="1"/>
  <c r="M129" i="54"/>
  <c r="G239" i="67" s="1"/>
  <c r="AF239" i="67" s="1"/>
  <c r="AH239" i="67"/>
  <c r="AH178" i="67"/>
  <c r="G303" i="67"/>
  <c r="AS303" i="67"/>
  <c r="AW303" i="67"/>
  <c r="AG267" i="67"/>
  <c r="F335" i="67"/>
  <c r="AG206" i="67"/>
  <c r="AD206" i="67"/>
  <c r="N33" i="49"/>
  <c r="M68" i="54"/>
  <c r="G176" i="67" s="1"/>
  <c r="AF176" i="67" s="1"/>
  <c r="M127" i="54"/>
  <c r="G237" i="67" s="1"/>
  <c r="AF237" i="67" s="1"/>
  <c r="AG265" i="67"/>
  <c r="F333" i="67"/>
  <c r="AD204" i="67"/>
  <c r="AG204" i="67"/>
  <c r="AH176" i="67"/>
  <c r="AS301" i="67"/>
  <c r="AW301" i="67"/>
  <c r="AH237" i="67"/>
  <c r="G301" i="67"/>
  <c r="AX300" i="67"/>
  <c r="AT300" i="67"/>
  <c r="AW332" i="67"/>
  <c r="AS332" i="67"/>
  <c r="M126" i="54"/>
  <c r="G236" i="67" s="1"/>
  <c r="AF236" i="67" s="1"/>
  <c r="M67" i="54"/>
  <c r="G175" i="67" s="1"/>
  <c r="AF175" i="67" s="1"/>
  <c r="AS331" i="67"/>
  <c r="AW331" i="67"/>
  <c r="AX299" i="67"/>
  <c r="AT299" i="67"/>
  <c r="AW299" i="67"/>
  <c r="AS299" i="67"/>
  <c r="N31" i="49"/>
  <c r="M125" i="54"/>
  <c r="G235" i="67" s="1"/>
  <c r="AF235" i="67" s="1"/>
  <c r="M66" i="54"/>
  <c r="G174" i="67" s="1"/>
  <c r="AF174" i="67" s="1"/>
  <c r="AW298" i="67"/>
  <c r="AS298" i="67"/>
  <c r="AI173" i="67"/>
  <c r="AI234" i="67"/>
  <c r="AW330" i="67"/>
  <c r="AS330" i="67"/>
  <c r="H298" i="67"/>
  <c r="AX289" i="67"/>
  <c r="AT289" i="67"/>
  <c r="N21" i="49"/>
  <c r="M115" i="54"/>
  <c r="G225" i="67" s="1"/>
  <c r="AF225" i="67" s="1"/>
  <c r="M56" i="54"/>
  <c r="G164" i="67" s="1"/>
  <c r="AF164" i="67" s="1"/>
  <c r="AW321" i="67"/>
  <c r="AS321" i="67"/>
  <c r="AW289" i="67"/>
  <c r="AS289" i="67"/>
  <c r="AH224" i="67"/>
  <c r="AH163" i="67"/>
  <c r="AW288" i="67"/>
  <c r="AS288" i="67"/>
  <c r="AS320" i="67"/>
  <c r="AW320" i="67"/>
  <c r="M114" i="54"/>
  <c r="G224" i="67" s="1"/>
  <c r="AF224" i="67" s="1"/>
  <c r="M55" i="54"/>
  <c r="G163" i="67" s="1"/>
  <c r="AF163" i="67" s="1"/>
  <c r="AW287" i="67"/>
  <c r="AS287" i="67"/>
  <c r="AG287" i="67"/>
  <c r="AW319" i="67"/>
  <c r="AS319" i="67"/>
  <c r="M113" i="54"/>
  <c r="G223" i="67" s="1"/>
  <c r="AF223" i="67" s="1"/>
  <c r="M54" i="54"/>
  <c r="G162" i="67" s="1"/>
  <c r="AF162" i="67" s="1"/>
  <c r="AT286" i="67"/>
  <c r="AX286" i="67"/>
  <c r="AS318" i="67"/>
  <c r="AW318" i="67"/>
  <c r="M53" i="54"/>
  <c r="G161" i="67" s="1"/>
  <c r="AF161" i="67" s="1"/>
  <c r="M112" i="54"/>
  <c r="G222" i="67" s="1"/>
  <c r="AF222" i="67" s="1"/>
  <c r="AW286" i="67"/>
  <c r="AS286" i="67"/>
  <c r="AS317" i="67"/>
  <c r="AW317" i="67"/>
  <c r="AS285" i="67"/>
  <c r="AW285" i="67"/>
  <c r="M111" i="54"/>
  <c r="G221" i="67" s="1"/>
  <c r="AF221" i="67" s="1"/>
  <c r="M52" i="54"/>
  <c r="G160" i="67" s="1"/>
  <c r="AF160" i="67" s="1"/>
  <c r="AW297" i="67"/>
  <c r="AS297" i="67"/>
  <c r="N29" i="49"/>
  <c r="M64" i="54"/>
  <c r="G172" i="67" s="1"/>
  <c r="AF172" i="67" s="1"/>
  <c r="M123" i="54"/>
  <c r="G233" i="67" s="1"/>
  <c r="AF233" i="67" s="1"/>
  <c r="AH172" i="67"/>
  <c r="AH233" i="67"/>
  <c r="G297" i="67"/>
  <c r="AW329" i="67"/>
  <c r="AS329" i="67"/>
  <c r="AS295" i="67"/>
  <c r="AW295" i="67"/>
  <c r="M62" i="54"/>
  <c r="G170" i="67" s="1"/>
  <c r="AF170" i="67" s="1"/>
  <c r="M121" i="54"/>
  <c r="G231" i="67" s="1"/>
  <c r="AF231" i="67" s="1"/>
  <c r="AW327" i="67"/>
  <c r="AS327" i="67"/>
  <c r="AH170" i="67"/>
  <c r="AH231" i="67"/>
  <c r="G295" i="67"/>
  <c r="M60" i="54"/>
  <c r="G168" i="67" s="1"/>
  <c r="AF168" i="67" s="1"/>
  <c r="M119" i="54"/>
  <c r="G229" i="67" s="1"/>
  <c r="AF229" i="67" s="1"/>
  <c r="AW325" i="67"/>
  <c r="AS325" i="67"/>
  <c r="AX293" i="67"/>
  <c r="AT293" i="67"/>
  <c r="AW293" i="67"/>
  <c r="AS293" i="67"/>
  <c r="AW316" i="67"/>
  <c r="AS316" i="67"/>
  <c r="AI159" i="67"/>
  <c r="AW284" i="67"/>
  <c r="AS284" i="67"/>
  <c r="AX284" i="67"/>
  <c r="AT284" i="67"/>
  <c r="AI220" i="67"/>
  <c r="H284" i="67"/>
  <c r="AD242" i="67"/>
  <c r="N23" i="67" s="1"/>
  <c r="AR23" i="67" s="1"/>
  <c r="AG219" i="67"/>
  <c r="AG242" i="67" s="1"/>
  <c r="M109" i="54"/>
  <c r="M50" i="54"/>
  <c r="AG158" i="67"/>
  <c r="AG181" i="67" s="1"/>
  <c r="F283" i="67"/>
  <c r="AK283" i="67" s="1"/>
  <c r="F219" i="67"/>
  <c r="AE219" i="67" s="1"/>
  <c r="L131" i="54"/>
  <c r="L14" i="54" s="1"/>
  <c r="F315" i="67"/>
  <c r="AO315" i="67" s="1"/>
  <c r="AD186" i="67"/>
  <c r="AG186" i="67"/>
  <c r="F158" i="67"/>
  <c r="AE158" i="67" s="1"/>
  <c r="L72" i="54"/>
  <c r="L13" i="54" s="1"/>
  <c r="X219" i="67"/>
  <c r="AG247" i="67"/>
  <c r="L134" i="54"/>
  <c r="F245" i="67" s="1"/>
  <c r="AE245" i="67" s="1"/>
  <c r="L75" i="54"/>
  <c r="F184" i="67" s="1"/>
  <c r="M88" i="54"/>
  <c r="G197" i="67" s="1"/>
  <c r="M147" i="54"/>
  <c r="G258" i="67" s="1"/>
  <c r="AF258" i="67" s="1"/>
  <c r="AH258" i="67"/>
  <c r="G326" i="67"/>
  <c r="AH197" i="67"/>
  <c r="AE197" i="67"/>
  <c r="M85" i="54"/>
  <c r="G194" i="67" s="1"/>
  <c r="M144" i="54"/>
  <c r="G255" i="67" s="1"/>
  <c r="AF255" i="67" s="1"/>
  <c r="AH255" i="67"/>
  <c r="G323" i="67"/>
  <c r="AE194" i="67"/>
  <c r="AH194" i="67"/>
  <c r="AI268" i="67"/>
  <c r="H336" i="67"/>
  <c r="AM336" i="67" s="1"/>
  <c r="AF207" i="67"/>
  <c r="AI207" i="67"/>
  <c r="AH268" i="67"/>
  <c r="G336" i="67"/>
  <c r="AE207" i="67"/>
  <c r="AH207" i="67"/>
  <c r="M97" i="54"/>
  <c r="G206" i="67" s="1"/>
  <c r="M156" i="54"/>
  <c r="G267" i="67" s="1"/>
  <c r="AF267" i="67" s="1"/>
  <c r="L97" i="54"/>
  <c r="F206" i="67" s="1"/>
  <c r="L156" i="54"/>
  <c r="F267" i="67" s="1"/>
  <c r="AE267" i="67" s="1"/>
  <c r="M96" i="54"/>
  <c r="G205" i="67" s="1"/>
  <c r="M155" i="54"/>
  <c r="G266" i="67" s="1"/>
  <c r="AF266" i="67" s="1"/>
  <c r="L155" i="54"/>
  <c r="F266" i="67" s="1"/>
  <c r="AE266" i="67" s="1"/>
  <c r="L96" i="54"/>
  <c r="F205" i="67" s="1"/>
  <c r="M95" i="54"/>
  <c r="G204" i="67" s="1"/>
  <c r="M154" i="54"/>
  <c r="G265" i="67" s="1"/>
  <c r="AF265" i="67" s="1"/>
  <c r="L95" i="54"/>
  <c r="F204" i="67" s="1"/>
  <c r="L154" i="54"/>
  <c r="F265" i="67" s="1"/>
  <c r="AE265" i="67" s="1"/>
  <c r="AH264" i="67"/>
  <c r="G332" i="67"/>
  <c r="AE203" i="67"/>
  <c r="AH203" i="67"/>
  <c r="M93" i="54"/>
  <c r="G202" i="67" s="1"/>
  <c r="M152" i="54"/>
  <c r="G263" i="67" s="1"/>
  <c r="AF263" i="67" s="1"/>
  <c r="AH263" i="67"/>
  <c r="G331" i="67"/>
  <c r="AE202" i="67"/>
  <c r="AH202" i="67"/>
  <c r="G330" i="67"/>
  <c r="AH201" i="67"/>
  <c r="AE201" i="67"/>
  <c r="AH262" i="67"/>
  <c r="M149" i="54"/>
  <c r="G260" i="67" s="1"/>
  <c r="AF260" i="67" s="1"/>
  <c r="M90" i="54"/>
  <c r="G199" i="67" s="1"/>
  <c r="AH260" i="67"/>
  <c r="G328" i="67"/>
  <c r="AH199" i="67"/>
  <c r="AE199" i="67"/>
  <c r="M86" i="54"/>
  <c r="G195" i="67" s="1"/>
  <c r="M145" i="54"/>
  <c r="G256" i="67" s="1"/>
  <c r="AF256" i="67" s="1"/>
  <c r="G324" i="67"/>
  <c r="AH195" i="67"/>
  <c r="AE195" i="67"/>
  <c r="AH256" i="67"/>
  <c r="AH254" i="67"/>
  <c r="M84" i="54"/>
  <c r="G193" i="67" s="1"/>
  <c r="M143" i="54"/>
  <c r="G254" i="67" s="1"/>
  <c r="AF254" i="67" s="1"/>
  <c r="G322" i="67"/>
  <c r="AH193" i="67"/>
  <c r="AE193" i="67"/>
  <c r="M83" i="54"/>
  <c r="G192" i="67" s="1"/>
  <c r="M142" i="54"/>
  <c r="G253" i="67" s="1"/>
  <c r="AF253" i="67" s="1"/>
  <c r="AH253" i="67"/>
  <c r="G321" i="67"/>
  <c r="AH192" i="67"/>
  <c r="AE192" i="67"/>
  <c r="G320" i="67"/>
  <c r="AH191" i="67"/>
  <c r="AE191" i="67"/>
  <c r="AH252" i="67"/>
  <c r="G319" i="67"/>
  <c r="AH251" i="67"/>
  <c r="AE190" i="67"/>
  <c r="AH190" i="67"/>
  <c r="AH250" i="67"/>
  <c r="G318" i="67"/>
  <c r="AE189" i="67"/>
  <c r="AH189" i="67"/>
  <c r="AH249" i="67"/>
  <c r="G317" i="67"/>
  <c r="AE188" i="67"/>
  <c r="AH188" i="67"/>
  <c r="AH247" i="67"/>
  <c r="G315" i="67"/>
  <c r="AE186" i="67"/>
  <c r="AH186" i="67"/>
  <c r="M91" i="54"/>
  <c r="G200" i="67" s="1"/>
  <c r="M150" i="54"/>
  <c r="G261" i="67" s="1"/>
  <c r="AF261" i="67" s="1"/>
  <c r="G329" i="67"/>
  <c r="AE200" i="67"/>
  <c r="AH200" i="67"/>
  <c r="AH261" i="67"/>
  <c r="G327" i="67"/>
  <c r="AH259" i="67"/>
  <c r="AH198" i="67"/>
  <c r="AE198" i="67"/>
  <c r="AH257" i="67"/>
  <c r="G325" i="67"/>
  <c r="AH196" i="67"/>
  <c r="AE196" i="67"/>
  <c r="AH248" i="67"/>
  <c r="G316" i="67"/>
  <c r="AH187" i="67"/>
  <c r="AE187" i="67"/>
  <c r="M76" i="54"/>
  <c r="M135" i="54"/>
  <c r="F246" i="67"/>
  <c r="F185" i="67"/>
  <c r="AH285" i="67"/>
  <c r="P14" i="49"/>
  <c r="P34" i="49"/>
  <c r="AH287" i="67"/>
  <c r="AB256" i="67"/>
  <c r="Y256" i="67"/>
  <c r="AB170" i="67"/>
  <c r="Y170" i="67"/>
  <c r="Y178" i="67"/>
  <c r="AB178" i="67"/>
  <c r="AB258" i="67"/>
  <c r="Y258" i="67"/>
  <c r="AB198" i="67"/>
  <c r="Y198" i="67"/>
  <c r="X206" i="67"/>
  <c r="AA206" i="67"/>
  <c r="Y203" i="67"/>
  <c r="AB203" i="67"/>
  <c r="X267" i="67"/>
  <c r="AA267" i="67"/>
  <c r="Y249" i="67"/>
  <c r="AB249" i="67"/>
  <c r="AB240" i="67"/>
  <c r="Y240" i="67"/>
  <c r="Y253" i="67"/>
  <c r="AB253" i="67"/>
  <c r="AB238" i="67"/>
  <c r="Y238" i="67"/>
  <c r="Y264" i="67"/>
  <c r="AB264" i="67"/>
  <c r="AC234" i="67"/>
  <c r="Z234" i="67"/>
  <c r="AB261" i="67"/>
  <c r="Y261" i="67"/>
  <c r="AB179" i="67"/>
  <c r="Y179" i="67"/>
  <c r="AC173" i="67"/>
  <c r="Z173" i="67"/>
  <c r="AB196" i="67"/>
  <c r="Y196" i="67"/>
  <c r="Y251" i="67"/>
  <c r="AB251" i="67"/>
  <c r="AB231" i="67"/>
  <c r="Y231" i="67"/>
  <c r="AB233" i="67"/>
  <c r="Y233" i="67"/>
  <c r="AB192" i="67"/>
  <c r="Y192" i="67"/>
  <c r="X204" i="67"/>
  <c r="AA204" i="67"/>
  <c r="AB197" i="67"/>
  <c r="Y197" i="67"/>
  <c r="AB188" i="67"/>
  <c r="Y188" i="67"/>
  <c r="AB239" i="67"/>
  <c r="Y239" i="67"/>
  <c r="AB200" i="67"/>
  <c r="Y200" i="67"/>
  <c r="AB190" i="67"/>
  <c r="Y190" i="67"/>
  <c r="AB259" i="67"/>
  <c r="Y259" i="67"/>
  <c r="AB172" i="67"/>
  <c r="Y172" i="67"/>
  <c r="Y268" i="67"/>
  <c r="AB268" i="67"/>
  <c r="T65" i="49"/>
  <c r="Y262" i="67"/>
  <c r="AB262" i="67"/>
  <c r="AB193" i="67"/>
  <c r="Y193" i="67"/>
  <c r="AO332" i="67"/>
  <c r="AG332" i="67"/>
  <c r="AK332" i="67"/>
  <c r="AK292" i="67"/>
  <c r="AO292" i="67"/>
  <c r="AG292" i="67"/>
  <c r="AO331" i="67"/>
  <c r="AK331" i="67"/>
  <c r="AG331" i="67"/>
  <c r="AK326" i="67"/>
  <c r="AG326" i="67"/>
  <c r="AO326" i="67"/>
  <c r="AK297" i="67"/>
  <c r="AO297" i="67"/>
  <c r="AG297" i="67"/>
  <c r="AK290" i="67"/>
  <c r="AG290" i="67"/>
  <c r="AO290" i="67"/>
  <c r="T24" i="49"/>
  <c r="AO303" i="67"/>
  <c r="AG303" i="67"/>
  <c r="AK303" i="67"/>
  <c r="AB237" i="67"/>
  <c r="Y237" i="67"/>
  <c r="AB254" i="67"/>
  <c r="Y254" i="67"/>
  <c r="AK298" i="67"/>
  <c r="AG298" i="67"/>
  <c r="AO298" i="67"/>
  <c r="AB230" i="67"/>
  <c r="Y230" i="67"/>
  <c r="AB177" i="67"/>
  <c r="Y177" i="67"/>
  <c r="AG329" i="67"/>
  <c r="AK329" i="67"/>
  <c r="AO329" i="67"/>
  <c r="AG325" i="67"/>
  <c r="AO325" i="67"/>
  <c r="AK325" i="67"/>
  <c r="AL292" i="67"/>
  <c r="AP292" i="67"/>
  <c r="AH292" i="67"/>
  <c r="AL290" i="67"/>
  <c r="AH290" i="67"/>
  <c r="AP290" i="67"/>
  <c r="AG301" i="67"/>
  <c r="AK301" i="67"/>
  <c r="AO301" i="67"/>
  <c r="T62" i="49"/>
  <c r="T36" i="49"/>
  <c r="X205" i="67"/>
  <c r="AA205" i="67"/>
  <c r="AL289" i="67"/>
  <c r="AP289" i="67"/>
  <c r="AH289" i="67"/>
  <c r="T17" i="49"/>
  <c r="T55" i="49"/>
  <c r="T32" i="49"/>
  <c r="T23" i="49"/>
  <c r="AG321" i="67"/>
  <c r="AK321" i="67"/>
  <c r="AO321" i="67"/>
  <c r="AK291" i="67"/>
  <c r="AO291" i="67"/>
  <c r="AG291" i="67"/>
  <c r="AL293" i="67"/>
  <c r="AH293" i="67"/>
  <c r="AP293" i="67"/>
  <c r="AK285" i="67"/>
  <c r="AO285" i="67"/>
  <c r="AG285" i="67"/>
  <c r="AK318" i="67"/>
  <c r="AG318" i="67"/>
  <c r="AO318" i="67"/>
  <c r="AK296" i="67"/>
  <c r="AO296" i="67"/>
  <c r="AG296" i="67"/>
  <c r="Z207" i="67"/>
  <c r="AC207" i="67"/>
  <c r="T27" i="49"/>
  <c r="AB257" i="67"/>
  <c r="Y257" i="67"/>
  <c r="AB195" i="67"/>
  <c r="Y195" i="67"/>
  <c r="AP300" i="67"/>
  <c r="AH300" i="67"/>
  <c r="AL300" i="67"/>
  <c r="AL299" i="67"/>
  <c r="AH299" i="67"/>
  <c r="AP299" i="67"/>
  <c r="AB194" i="67"/>
  <c r="Y194" i="67"/>
  <c r="AB207" i="67"/>
  <c r="Y207" i="67"/>
  <c r="AO336" i="67"/>
  <c r="AK336" i="67"/>
  <c r="AG336" i="67"/>
  <c r="AL291" i="67"/>
  <c r="AH291" i="67"/>
  <c r="AP291" i="67"/>
  <c r="T18" i="49"/>
  <c r="AK299" i="67"/>
  <c r="AO299" i="67"/>
  <c r="AG299" i="67"/>
  <c r="T25" i="49"/>
  <c r="AK287" i="67"/>
  <c r="AO287" i="67"/>
  <c r="Y263" i="67"/>
  <c r="AB263" i="67"/>
  <c r="T60" i="49"/>
  <c r="AB199" i="67"/>
  <c r="Y199" i="67"/>
  <c r="X252" i="67"/>
  <c r="AA252" i="67"/>
  <c r="AB202" i="67"/>
  <c r="Y202" i="67"/>
  <c r="AK302" i="67"/>
  <c r="AO302" i="67"/>
  <c r="AG302" i="67"/>
  <c r="AL296" i="67"/>
  <c r="AH296" i="67"/>
  <c r="AP296" i="67"/>
  <c r="AA265" i="67"/>
  <c r="X265" i="67"/>
  <c r="AB255" i="67"/>
  <c r="Y255" i="67"/>
  <c r="AG317" i="67"/>
  <c r="AK317" i="67"/>
  <c r="AO317" i="67"/>
  <c r="AK327" i="67"/>
  <c r="AO327" i="67"/>
  <c r="AG327" i="67"/>
  <c r="T22" i="49"/>
  <c r="AA224" i="67"/>
  <c r="X224" i="67"/>
  <c r="T59" i="49"/>
  <c r="T31" i="49"/>
  <c r="T28" i="49"/>
  <c r="T14" i="49"/>
  <c r="T54" i="49"/>
  <c r="T19" i="49"/>
  <c r="T20" i="49"/>
  <c r="T33" i="49"/>
  <c r="AK286" i="67"/>
  <c r="AG286" i="67"/>
  <c r="AO286" i="67"/>
  <c r="AK300" i="67"/>
  <c r="AO300" i="67"/>
  <c r="AG300" i="67"/>
  <c r="AK282" i="67"/>
  <c r="AO282" i="67"/>
  <c r="AG282" i="67"/>
  <c r="AK294" i="67"/>
  <c r="AO294" i="67"/>
  <c r="AG294" i="67"/>
  <c r="AG322" i="67"/>
  <c r="AK322" i="67"/>
  <c r="AO322" i="67"/>
  <c r="AO323" i="67"/>
  <c r="AK323" i="67"/>
  <c r="AG323" i="67"/>
  <c r="AK293" i="67"/>
  <c r="AG293" i="67"/>
  <c r="AO293" i="67"/>
  <c r="T57" i="49"/>
  <c r="T26" i="49"/>
  <c r="T29" i="49"/>
  <c r="T64" i="49"/>
  <c r="T34" i="49"/>
  <c r="AB189" i="67"/>
  <c r="Y189" i="67"/>
  <c r="Y260" i="67"/>
  <c r="AB260" i="67"/>
  <c r="AK295" i="67"/>
  <c r="AG295" i="67"/>
  <c r="AO295" i="67"/>
  <c r="AG304" i="67"/>
  <c r="AK304" i="67"/>
  <c r="AO304" i="67"/>
  <c r="AK319" i="67"/>
  <c r="AO319" i="67"/>
  <c r="AG319" i="67"/>
  <c r="AL298" i="67"/>
  <c r="AH298" i="67"/>
  <c r="AP298" i="67"/>
  <c r="AO324" i="67"/>
  <c r="AG324" i="67"/>
  <c r="AK324" i="67"/>
  <c r="T66" i="49"/>
  <c r="T52" i="49"/>
  <c r="T53" i="49"/>
  <c r="T21" i="49"/>
  <c r="T15" i="49"/>
  <c r="P35" i="49"/>
  <c r="T35" i="49"/>
  <c r="AB250" i="67"/>
  <c r="Y250" i="67"/>
  <c r="AB201" i="67"/>
  <c r="Y201" i="67"/>
  <c r="AK289" i="67"/>
  <c r="AG289" i="67"/>
  <c r="AO289" i="67"/>
  <c r="X266" i="67"/>
  <c r="AA266" i="67"/>
  <c r="AA163" i="67"/>
  <c r="X163" i="67"/>
  <c r="Y176" i="67"/>
  <c r="AB176" i="67"/>
  <c r="AC268" i="67"/>
  <c r="Z268" i="67"/>
  <c r="AB169" i="67"/>
  <c r="Y169" i="67"/>
  <c r="AO328" i="67"/>
  <c r="AK328" i="67"/>
  <c r="AG328" i="67"/>
  <c r="AO314" i="67"/>
  <c r="AK314" i="67"/>
  <c r="AG314" i="67"/>
  <c r="AG330" i="67"/>
  <c r="AK330" i="67"/>
  <c r="AO330" i="67"/>
  <c r="AB187" i="67"/>
  <c r="Y187" i="67"/>
  <c r="Y248" i="67"/>
  <c r="AB248" i="67"/>
  <c r="AA220" i="67"/>
  <c r="X220" i="67"/>
  <c r="AB159" i="67"/>
  <c r="Y159" i="67"/>
  <c r="AG316" i="67"/>
  <c r="AO316" i="67"/>
  <c r="AK316" i="67"/>
  <c r="AB220" i="67"/>
  <c r="Y220" i="67"/>
  <c r="AA159" i="67"/>
  <c r="X159" i="67"/>
  <c r="AA217" i="67"/>
  <c r="X217" i="67"/>
  <c r="E241" i="67"/>
  <c r="E242" i="67" s="1"/>
  <c r="AB156" i="67"/>
  <c r="Y156" i="67"/>
  <c r="T13" i="49"/>
  <c r="E208" i="67"/>
  <c r="E209" i="67" s="1"/>
  <c r="R61" i="49"/>
  <c r="R53" i="49"/>
  <c r="R45" i="49"/>
  <c r="R67" i="49"/>
  <c r="R51" i="49"/>
  <c r="R60" i="49"/>
  <c r="R52" i="49"/>
  <c r="R44" i="49"/>
  <c r="R59" i="49"/>
  <c r="R66" i="49"/>
  <c r="R58" i="49"/>
  <c r="R50" i="49"/>
  <c r="R56" i="49"/>
  <c r="R65" i="49"/>
  <c r="R57" i="49"/>
  <c r="R49" i="49"/>
  <c r="R64" i="49"/>
  <c r="R48" i="49"/>
  <c r="R63" i="49"/>
  <c r="R55" i="49"/>
  <c r="R47" i="49"/>
  <c r="R62" i="49"/>
  <c r="R54" i="49"/>
  <c r="R46" i="49"/>
  <c r="Y247" i="67"/>
  <c r="AB247" i="67"/>
  <c r="AB186" i="67"/>
  <c r="Y186" i="67"/>
  <c r="T45" i="49"/>
  <c r="P33" i="49"/>
  <c r="M51" i="49"/>
  <c r="N20" i="49" s="1"/>
  <c r="M58" i="49"/>
  <c r="N27" i="49" s="1"/>
  <c r="M48" i="49"/>
  <c r="N17" i="49" s="1"/>
  <c r="M47" i="49"/>
  <c r="N16" i="49" s="1"/>
  <c r="M49" i="49"/>
  <c r="N18" i="49" s="1"/>
  <c r="M50" i="49"/>
  <c r="N19" i="49" s="1"/>
  <c r="M56" i="49"/>
  <c r="N25" i="49" s="1"/>
  <c r="M61" i="49"/>
  <c r="N30" i="49" s="1"/>
  <c r="P36" i="49"/>
  <c r="M46" i="49"/>
  <c r="M44" i="49"/>
  <c r="P66" i="49"/>
  <c r="P65" i="49"/>
  <c r="P64" i="49"/>
  <c r="P18" i="49"/>
  <c r="P22" i="49"/>
  <c r="P23" i="49"/>
  <c r="P27" i="49"/>
  <c r="P24" i="49"/>
  <c r="P17" i="49"/>
  <c r="P19" i="49"/>
  <c r="P25" i="49"/>
  <c r="P28" i="49"/>
  <c r="P26" i="49"/>
  <c r="P32" i="49"/>
  <c r="P20" i="49"/>
  <c r="P21" i="49"/>
  <c r="M37" i="49"/>
  <c r="M63" i="49"/>
  <c r="N32" i="49" s="1"/>
  <c r="P31" i="49"/>
  <c r="P15" i="49"/>
  <c r="P29" i="49"/>
  <c r="P53" i="49"/>
  <c r="P55" i="49"/>
  <c r="P60" i="49"/>
  <c r="P52" i="49"/>
  <c r="P45" i="49"/>
  <c r="P54" i="49"/>
  <c r="P62" i="49"/>
  <c r="P57" i="49"/>
  <c r="P59" i="49"/>
  <c r="J69" i="49"/>
  <c r="J38" i="49"/>
  <c r="AG315" i="67" l="1"/>
  <c r="Q23" i="67"/>
  <c r="AU23" i="67" s="1"/>
  <c r="Y246" i="67"/>
  <c r="AE246" i="67"/>
  <c r="E74" i="67"/>
  <c r="J74" i="67" s="1"/>
  <c r="Q22" i="67"/>
  <c r="Q25" i="67" s="1"/>
  <c r="E73" i="67"/>
  <c r="J73" i="67" s="1"/>
  <c r="AG270" i="67"/>
  <c r="Q35" i="67" s="1"/>
  <c r="AU35" i="67" s="1"/>
  <c r="G63" i="72"/>
  <c r="G14" i="72"/>
  <c r="F28" i="72"/>
  <c r="F180" i="67"/>
  <c r="AE180" i="67" s="1"/>
  <c r="AB219" i="67"/>
  <c r="AB246" i="67"/>
  <c r="H14" i="72"/>
  <c r="F63" i="72"/>
  <c r="E63" i="72"/>
  <c r="H63" i="72"/>
  <c r="H28" i="72"/>
  <c r="G28" i="72"/>
  <c r="E28" i="72"/>
  <c r="H285" i="67"/>
  <c r="AY285" i="67" s="1"/>
  <c r="AT288" i="67"/>
  <c r="AD209" i="67"/>
  <c r="H299" i="67"/>
  <c r="AY299" i="67" s="1"/>
  <c r="AD270" i="67"/>
  <c r="N35" i="67" s="1"/>
  <c r="AK315" i="67"/>
  <c r="Y219" i="67"/>
  <c r="Y158" i="67"/>
  <c r="AB158" i="67"/>
  <c r="AG209" i="67"/>
  <c r="H287" i="67"/>
  <c r="AY287" i="67" s="1"/>
  <c r="AI157" i="67"/>
  <c r="H282" i="67"/>
  <c r="AI218" i="67"/>
  <c r="AT304" i="67"/>
  <c r="AX304" i="67"/>
  <c r="AI179" i="67"/>
  <c r="AI240" i="67"/>
  <c r="H304" i="67"/>
  <c r="AS335" i="67"/>
  <c r="AW335" i="67"/>
  <c r="AI239" i="67"/>
  <c r="AI178" i="67"/>
  <c r="H303" i="67"/>
  <c r="AX303" i="67"/>
  <c r="AT303" i="67"/>
  <c r="AT301" i="67"/>
  <c r="AX301" i="67"/>
  <c r="AS333" i="67"/>
  <c r="AW333" i="67"/>
  <c r="AI237" i="67"/>
  <c r="AI176" i="67"/>
  <c r="H301" i="67"/>
  <c r="AI175" i="67"/>
  <c r="AI236" i="67"/>
  <c r="H300" i="67"/>
  <c r="AI174" i="67"/>
  <c r="AI235" i="67"/>
  <c r="AU298" i="67"/>
  <c r="AY298" i="67"/>
  <c r="AI164" i="67"/>
  <c r="AI225" i="67"/>
  <c r="H289" i="67"/>
  <c r="AI163" i="67"/>
  <c r="AI224" i="67"/>
  <c r="H288" i="67"/>
  <c r="AI223" i="67"/>
  <c r="AI162" i="67"/>
  <c r="AI222" i="67"/>
  <c r="AI161" i="67"/>
  <c r="H286" i="67"/>
  <c r="AI221" i="67"/>
  <c r="AI160" i="67"/>
  <c r="AI172" i="67"/>
  <c r="AI233" i="67"/>
  <c r="H297" i="67"/>
  <c r="AX297" i="67"/>
  <c r="AT297" i="67"/>
  <c r="AI231" i="67"/>
  <c r="AT295" i="67"/>
  <c r="AX295" i="67"/>
  <c r="AI170" i="67"/>
  <c r="H295" i="67"/>
  <c r="AI229" i="67"/>
  <c r="AI168" i="67"/>
  <c r="H293" i="67"/>
  <c r="AY284" i="67"/>
  <c r="AU284" i="67"/>
  <c r="AG283" i="67"/>
  <c r="AE181" i="67"/>
  <c r="O22" i="67" s="1"/>
  <c r="AS22" i="67" s="1"/>
  <c r="AH158" i="67"/>
  <c r="AH181" i="67" s="1"/>
  <c r="G283" i="67"/>
  <c r="AU22" i="67"/>
  <c r="AO283" i="67"/>
  <c r="N25" i="67"/>
  <c r="G158" i="67"/>
  <c r="AF158" i="67" s="1"/>
  <c r="M72" i="54"/>
  <c r="M13" i="54" s="1"/>
  <c r="M131" i="54"/>
  <c r="M14" i="54" s="1"/>
  <c r="G219" i="67"/>
  <c r="AF219" i="67" s="1"/>
  <c r="AS283" i="67"/>
  <c r="AS306" i="67" s="1"/>
  <c r="AW283" i="67"/>
  <c r="AW306" i="67" s="1"/>
  <c r="AW315" i="67"/>
  <c r="AS315" i="67"/>
  <c r="AE242" i="67"/>
  <c r="O23" i="67" s="1"/>
  <c r="AS23" i="67" s="1"/>
  <c r="AH219" i="67"/>
  <c r="AH242" i="67" s="1"/>
  <c r="R23" i="67" s="1"/>
  <c r="L99" i="54"/>
  <c r="L24" i="54" s="1"/>
  <c r="M75" i="54"/>
  <c r="G184" i="67" s="1"/>
  <c r="M134" i="54"/>
  <c r="G245" i="67" s="1"/>
  <c r="AF245" i="67" s="1"/>
  <c r="G313" i="67"/>
  <c r="AE184" i="67"/>
  <c r="AH184" i="67"/>
  <c r="AH245" i="67"/>
  <c r="AT326" i="67"/>
  <c r="AX326" i="67"/>
  <c r="AI258" i="67"/>
  <c r="H326" i="67"/>
  <c r="AI197" i="67"/>
  <c r="AF197" i="67"/>
  <c r="AX323" i="67"/>
  <c r="AT323" i="67"/>
  <c r="AI255" i="67"/>
  <c r="H323" i="67"/>
  <c r="AI194" i="67"/>
  <c r="AF194" i="67"/>
  <c r="AT336" i="67"/>
  <c r="AX336" i="67"/>
  <c r="AU336" i="67"/>
  <c r="AY336" i="67"/>
  <c r="G335" i="67"/>
  <c r="AH267" i="67"/>
  <c r="AH206" i="67"/>
  <c r="AE206" i="67"/>
  <c r="AI267" i="67"/>
  <c r="L158" i="54"/>
  <c r="L25" i="54" s="1"/>
  <c r="H335" i="67"/>
  <c r="AI206" i="67"/>
  <c r="AF206" i="67"/>
  <c r="G334" i="67"/>
  <c r="AH205" i="67"/>
  <c r="AE205" i="67"/>
  <c r="AH266" i="67"/>
  <c r="AI266" i="67"/>
  <c r="H334" i="67"/>
  <c r="AI205" i="67"/>
  <c r="AF205" i="67"/>
  <c r="AH265" i="67"/>
  <c r="G333" i="67"/>
  <c r="AE204" i="67"/>
  <c r="AH204" i="67"/>
  <c r="AI265" i="67"/>
  <c r="H333" i="67"/>
  <c r="AF204" i="67"/>
  <c r="AI204" i="67"/>
  <c r="M94" i="54"/>
  <c r="G203" i="67" s="1"/>
  <c r="M153" i="54"/>
  <c r="G264" i="67" s="1"/>
  <c r="AF264" i="67" s="1"/>
  <c r="AX332" i="67"/>
  <c r="AT332" i="67"/>
  <c r="AX331" i="67"/>
  <c r="AT331" i="67"/>
  <c r="AI263" i="67"/>
  <c r="H331" i="67"/>
  <c r="AM331" i="67" s="1"/>
  <c r="AF202" i="67"/>
  <c r="AI202" i="67"/>
  <c r="M92" i="54"/>
  <c r="G201" i="67" s="1"/>
  <c r="M151" i="54"/>
  <c r="G262" i="67" s="1"/>
  <c r="AF262" i="67" s="1"/>
  <c r="AT330" i="67"/>
  <c r="AX330" i="67"/>
  <c r="AX328" i="67"/>
  <c r="AT328" i="67"/>
  <c r="H328" i="67"/>
  <c r="AI199" i="67"/>
  <c r="AF199" i="67"/>
  <c r="AI260" i="67"/>
  <c r="AT324" i="67"/>
  <c r="AX324" i="67"/>
  <c r="H324" i="67"/>
  <c r="AI256" i="67"/>
  <c r="AI195" i="67"/>
  <c r="AF195" i="67"/>
  <c r="AI254" i="67"/>
  <c r="AX322" i="67"/>
  <c r="AT322" i="67"/>
  <c r="H322" i="67"/>
  <c r="AI193" i="67"/>
  <c r="AF193" i="67"/>
  <c r="AX321" i="67"/>
  <c r="AT321" i="67"/>
  <c r="AI253" i="67"/>
  <c r="H321" i="67"/>
  <c r="AI192" i="67"/>
  <c r="AF192" i="67"/>
  <c r="M82" i="54"/>
  <c r="G191" i="67" s="1"/>
  <c r="M141" i="54"/>
  <c r="G252" i="67" s="1"/>
  <c r="AF252" i="67" s="1"/>
  <c r="AX320" i="67"/>
  <c r="AT320" i="67"/>
  <c r="M81" i="54"/>
  <c r="G190" i="67" s="1"/>
  <c r="M140" i="54"/>
  <c r="G251" i="67" s="1"/>
  <c r="AF251" i="67" s="1"/>
  <c r="AX319" i="67"/>
  <c r="AT319" i="67"/>
  <c r="M80" i="54"/>
  <c r="G189" i="67" s="1"/>
  <c r="M139" i="54"/>
  <c r="G250" i="67" s="1"/>
  <c r="AF250" i="67" s="1"/>
  <c r="AT318" i="67"/>
  <c r="AX318" i="67"/>
  <c r="M138" i="54"/>
  <c r="G249" i="67" s="1"/>
  <c r="AF249" i="67" s="1"/>
  <c r="M79" i="54"/>
  <c r="G188" i="67" s="1"/>
  <c r="AT317" i="67"/>
  <c r="AX317" i="67"/>
  <c r="AX315" i="67"/>
  <c r="AT315" i="67"/>
  <c r="M77" i="54"/>
  <c r="G186" i="67" s="1"/>
  <c r="M136" i="54"/>
  <c r="G247" i="67" s="1"/>
  <c r="AF247" i="67" s="1"/>
  <c r="AX329" i="67"/>
  <c r="AT329" i="67"/>
  <c r="AI261" i="67"/>
  <c r="H329" i="67"/>
  <c r="AQ329" i="67" s="1"/>
  <c r="AF200" i="67"/>
  <c r="AI200" i="67"/>
  <c r="M89" i="54"/>
  <c r="G198" i="67" s="1"/>
  <c r="M148" i="54"/>
  <c r="G259" i="67" s="1"/>
  <c r="AF259" i="67" s="1"/>
  <c r="AT327" i="67"/>
  <c r="AX327" i="67"/>
  <c r="AT325" i="67"/>
  <c r="AX325" i="67"/>
  <c r="M87" i="54"/>
  <c r="G196" i="67" s="1"/>
  <c r="M146" i="54"/>
  <c r="G257" i="67" s="1"/>
  <c r="AF257" i="67" s="1"/>
  <c r="M78" i="54"/>
  <c r="G187" i="67" s="1"/>
  <c r="M137" i="54"/>
  <c r="G248" i="67" s="1"/>
  <c r="AF248" i="67" s="1"/>
  <c r="AT316" i="67"/>
  <c r="AX316" i="67"/>
  <c r="G314" i="67"/>
  <c r="AH314" i="67" s="1"/>
  <c r="AE185" i="67"/>
  <c r="AH185" i="67"/>
  <c r="AH246" i="67"/>
  <c r="G246" i="67"/>
  <c r="AF246" i="67" s="1"/>
  <c r="G185" i="67"/>
  <c r="AL285" i="67"/>
  <c r="AP285" i="67"/>
  <c r="AP327" i="67"/>
  <c r="AP287" i="67"/>
  <c r="AL287" i="67"/>
  <c r="F241" i="67"/>
  <c r="F242" i="67" s="1"/>
  <c r="AQ336" i="67"/>
  <c r="AI336" i="67"/>
  <c r="AP281" i="67"/>
  <c r="AC168" i="67"/>
  <c r="Z168" i="67"/>
  <c r="Y266" i="67"/>
  <c r="AB266" i="67"/>
  <c r="Z255" i="67"/>
  <c r="AC255" i="67"/>
  <c r="AC221" i="67"/>
  <c r="Z221" i="67"/>
  <c r="Z157" i="67"/>
  <c r="AC157" i="67"/>
  <c r="AC229" i="67"/>
  <c r="Z229" i="67"/>
  <c r="Z175" i="67"/>
  <c r="AC175" i="67"/>
  <c r="AC166" i="67"/>
  <c r="Z166" i="67"/>
  <c r="Z178" i="67"/>
  <c r="AC178" i="67"/>
  <c r="Z204" i="67"/>
  <c r="AC204" i="67"/>
  <c r="Z237" i="67"/>
  <c r="AC237" i="67"/>
  <c r="AC235" i="67"/>
  <c r="Z235" i="67"/>
  <c r="AC199" i="67"/>
  <c r="Z199" i="67"/>
  <c r="AC231" i="67"/>
  <c r="Z231" i="67"/>
  <c r="AC236" i="67"/>
  <c r="Z236" i="67"/>
  <c r="AC195" i="67"/>
  <c r="Z195" i="67"/>
  <c r="AC169" i="67"/>
  <c r="Z169" i="67"/>
  <c r="AC160" i="67"/>
  <c r="Z160" i="67"/>
  <c r="Z240" i="67"/>
  <c r="AC240" i="67"/>
  <c r="AC228" i="67"/>
  <c r="Z228" i="67"/>
  <c r="AC170" i="67"/>
  <c r="Z170" i="67"/>
  <c r="AC258" i="67"/>
  <c r="Z258" i="67"/>
  <c r="AP319" i="67"/>
  <c r="AL319" i="67"/>
  <c r="AH319" i="67"/>
  <c r="AL295" i="67"/>
  <c r="AP295" i="67"/>
  <c r="AH295" i="67"/>
  <c r="AC179" i="67"/>
  <c r="Z179" i="67"/>
  <c r="AC192" i="67"/>
  <c r="Z192" i="67"/>
  <c r="AC176" i="67"/>
  <c r="Z176" i="67"/>
  <c r="AC194" i="67"/>
  <c r="Z194" i="67"/>
  <c r="AC232" i="67"/>
  <c r="Z232" i="67"/>
  <c r="Z205" i="67"/>
  <c r="AC205" i="67"/>
  <c r="AC164" i="67"/>
  <c r="Z164" i="67"/>
  <c r="AC167" i="67"/>
  <c r="Z167" i="67"/>
  <c r="AC172" i="67"/>
  <c r="Z172" i="67"/>
  <c r="AC230" i="67"/>
  <c r="Z230" i="67"/>
  <c r="Z218" i="67"/>
  <c r="AC218" i="67"/>
  <c r="AC227" i="67"/>
  <c r="Z227" i="67"/>
  <c r="AB204" i="67"/>
  <c r="Y204" i="67"/>
  <c r="AC233" i="67"/>
  <c r="Z233" i="67"/>
  <c r="AB205" i="67"/>
  <c r="Y205" i="67"/>
  <c r="AC165" i="67"/>
  <c r="Z165" i="67"/>
  <c r="AC161" i="67"/>
  <c r="Z161" i="67"/>
  <c r="AC174" i="67"/>
  <c r="Z174" i="67"/>
  <c r="Z193" i="67"/>
  <c r="AC193" i="67"/>
  <c r="Z267" i="67"/>
  <c r="AC267" i="67"/>
  <c r="Z263" i="67"/>
  <c r="AC263" i="67"/>
  <c r="AC162" i="67"/>
  <c r="Z162" i="67"/>
  <c r="AC266" i="67"/>
  <c r="Z266" i="67"/>
  <c r="AP303" i="67"/>
  <c r="AL303" i="67"/>
  <c r="AH303" i="67"/>
  <c r="T63" i="49"/>
  <c r="Y265" i="67"/>
  <c r="AB265" i="67"/>
  <c r="Z238" i="67"/>
  <c r="AC238" i="67"/>
  <c r="AC223" i="67"/>
  <c r="Z223" i="67"/>
  <c r="AC260" i="67"/>
  <c r="Z260" i="67"/>
  <c r="Z256" i="67"/>
  <c r="AC256" i="67"/>
  <c r="Y267" i="67"/>
  <c r="AB267" i="67"/>
  <c r="AH304" i="67"/>
  <c r="AP304" i="67"/>
  <c r="AL304" i="67"/>
  <c r="AC226" i="67"/>
  <c r="Z226" i="67"/>
  <c r="AC200" i="67"/>
  <c r="Z200" i="67"/>
  <c r="T49" i="49"/>
  <c r="AK288" i="67"/>
  <c r="AG288" i="67"/>
  <c r="AO288" i="67"/>
  <c r="Z254" i="67"/>
  <c r="AC254" i="67"/>
  <c r="Z253" i="67"/>
  <c r="AC253" i="67"/>
  <c r="AC197" i="67"/>
  <c r="Z197" i="67"/>
  <c r="AH332" i="67"/>
  <c r="AP332" i="67"/>
  <c r="AL332" i="67"/>
  <c r="AK335" i="67"/>
  <c r="AO335" i="67"/>
  <c r="AG335" i="67"/>
  <c r="AB224" i="67"/>
  <c r="Y224" i="67"/>
  <c r="AB191" i="67"/>
  <c r="Y191" i="67"/>
  <c r="AC261" i="67"/>
  <c r="Z261" i="67"/>
  <c r="AC202" i="67"/>
  <c r="Z202" i="67"/>
  <c r="AB206" i="67"/>
  <c r="Y206" i="67"/>
  <c r="Z206" i="67"/>
  <c r="AC206" i="67"/>
  <c r="AB252" i="67"/>
  <c r="Y252" i="67"/>
  <c r="AH336" i="67"/>
  <c r="AL336" i="67"/>
  <c r="AP336" i="67"/>
  <c r="AC222" i="67"/>
  <c r="Z222" i="67"/>
  <c r="AP323" i="67"/>
  <c r="AH323" i="67"/>
  <c r="AL323" i="67"/>
  <c r="AH324" i="67"/>
  <c r="AL324" i="67"/>
  <c r="AP324" i="67"/>
  <c r="AL297" i="67"/>
  <c r="AH297" i="67"/>
  <c r="AP297" i="67"/>
  <c r="AH329" i="67"/>
  <c r="AL329" i="67"/>
  <c r="AP329" i="67"/>
  <c r="AL326" i="67"/>
  <c r="AP326" i="67"/>
  <c r="AH326" i="67"/>
  <c r="AH321" i="67"/>
  <c r="AL321" i="67"/>
  <c r="AP321" i="67"/>
  <c r="AH328" i="67"/>
  <c r="AL328" i="67"/>
  <c r="AP328" i="67"/>
  <c r="T50" i="49"/>
  <c r="Z239" i="67"/>
  <c r="AC239" i="67"/>
  <c r="Z265" i="67"/>
  <c r="AC265" i="67"/>
  <c r="F60" i="72" s="1"/>
  <c r="AC225" i="67"/>
  <c r="Z225" i="67"/>
  <c r="T48" i="49"/>
  <c r="T58" i="49"/>
  <c r="T61" i="49"/>
  <c r="X242" i="67"/>
  <c r="H23" i="67" s="1"/>
  <c r="AL301" i="67"/>
  <c r="AH301" i="67"/>
  <c r="AP301" i="67"/>
  <c r="AG333" i="67"/>
  <c r="AO333" i="67"/>
  <c r="AK333" i="67"/>
  <c r="AM298" i="67"/>
  <c r="AI298" i="67"/>
  <c r="AQ298" i="67"/>
  <c r="AK334" i="67"/>
  <c r="AG334" i="67"/>
  <c r="AO334" i="67"/>
  <c r="AC171" i="67"/>
  <c r="Z171" i="67"/>
  <c r="T56" i="49"/>
  <c r="T51" i="49"/>
  <c r="AA242" i="67"/>
  <c r="AL294" i="67"/>
  <c r="AH294" i="67"/>
  <c r="AP294" i="67"/>
  <c r="AC177" i="67"/>
  <c r="Z177" i="67"/>
  <c r="AP331" i="67"/>
  <c r="AH331" i="67"/>
  <c r="AL331" i="67"/>
  <c r="AO320" i="67"/>
  <c r="AK320" i="67"/>
  <c r="AG320" i="67"/>
  <c r="AL325" i="67"/>
  <c r="AH325" i="67"/>
  <c r="AP325" i="67"/>
  <c r="AB163" i="67"/>
  <c r="Y163" i="67"/>
  <c r="AL302" i="67"/>
  <c r="AP302" i="67"/>
  <c r="AH302" i="67"/>
  <c r="AP322" i="67"/>
  <c r="AL322" i="67"/>
  <c r="AH322" i="67"/>
  <c r="AP330" i="67"/>
  <c r="AL330" i="67"/>
  <c r="AH330" i="67"/>
  <c r="AL318" i="67"/>
  <c r="AP318" i="67"/>
  <c r="AH318" i="67"/>
  <c r="AC220" i="67"/>
  <c r="Z220" i="67"/>
  <c r="AH284" i="67"/>
  <c r="AL284" i="67"/>
  <c r="AP284" i="67"/>
  <c r="K16" i="54"/>
  <c r="K18" i="54" s="1"/>
  <c r="AH316" i="67"/>
  <c r="AP316" i="67"/>
  <c r="AL316" i="67"/>
  <c r="AK284" i="67"/>
  <c r="AG284" i="67"/>
  <c r="AO284" i="67"/>
  <c r="T47" i="49"/>
  <c r="AC159" i="67"/>
  <c r="Z159" i="67"/>
  <c r="AB217" i="67"/>
  <c r="Y217" i="67"/>
  <c r="AA156" i="67"/>
  <c r="AA181" i="67" s="1"/>
  <c r="X156" i="67"/>
  <c r="X181" i="67" s="1"/>
  <c r="E180" i="67"/>
  <c r="AA184" i="67"/>
  <c r="AA209" i="67" s="1"/>
  <c r="X184" i="67"/>
  <c r="X209" i="67" s="1"/>
  <c r="T44" i="49"/>
  <c r="AB184" i="67"/>
  <c r="Y184" i="67"/>
  <c r="U29" i="49"/>
  <c r="U21" i="49"/>
  <c r="U13" i="49"/>
  <c r="S35" i="49"/>
  <c r="S27" i="49"/>
  <c r="S19" i="49"/>
  <c r="U27" i="49"/>
  <c r="S17" i="49"/>
  <c r="U32" i="49"/>
  <c r="U36" i="49"/>
  <c r="U28" i="49"/>
  <c r="U20" i="49"/>
  <c r="S34" i="49"/>
  <c r="S26" i="49"/>
  <c r="S18" i="49"/>
  <c r="U35" i="49"/>
  <c r="U19" i="49"/>
  <c r="S33" i="49"/>
  <c r="S25" i="49"/>
  <c r="U24" i="49"/>
  <c r="S22" i="49"/>
  <c r="U34" i="49"/>
  <c r="U26" i="49"/>
  <c r="U18" i="49"/>
  <c r="S32" i="49"/>
  <c r="S24" i="49"/>
  <c r="S16" i="49"/>
  <c r="U33" i="49"/>
  <c r="U25" i="49"/>
  <c r="U17" i="49"/>
  <c r="S31" i="49"/>
  <c r="S23" i="49"/>
  <c r="S15" i="49"/>
  <c r="U16" i="49"/>
  <c r="S14" i="49"/>
  <c r="U31" i="49"/>
  <c r="U23" i="49"/>
  <c r="U15" i="49"/>
  <c r="S29" i="49"/>
  <c r="S21" i="49"/>
  <c r="S13" i="49"/>
  <c r="U30" i="49"/>
  <c r="U22" i="49"/>
  <c r="U14" i="49"/>
  <c r="S36" i="49"/>
  <c r="S28" i="49"/>
  <c r="S20" i="49"/>
  <c r="S30" i="49"/>
  <c r="T46" i="49"/>
  <c r="AP315" i="67"/>
  <c r="AL315" i="67"/>
  <c r="AH315" i="67"/>
  <c r="Y185" i="67"/>
  <c r="AB185" i="67"/>
  <c r="P49" i="49"/>
  <c r="P46" i="49"/>
  <c r="P47" i="49"/>
  <c r="P48" i="49"/>
  <c r="P61" i="49"/>
  <c r="P58" i="49"/>
  <c r="P51" i="49"/>
  <c r="P56" i="49"/>
  <c r="P50" i="49"/>
  <c r="P63" i="49"/>
  <c r="K68" i="49"/>
  <c r="K69" i="49" s="1"/>
  <c r="K38" i="49"/>
  <c r="F58" i="72" l="1"/>
  <c r="K34" i="67"/>
  <c r="R22" i="67"/>
  <c r="F74" i="67"/>
  <c r="K74" i="67" s="1"/>
  <c r="K23" i="67"/>
  <c r="AO23" i="67" s="1"/>
  <c r="H34" i="67"/>
  <c r="E181" i="67"/>
  <c r="AD180" i="67"/>
  <c r="E71" i="67"/>
  <c r="J71" i="67" s="1"/>
  <c r="H22" i="67"/>
  <c r="AB181" i="67"/>
  <c r="AR35" i="67"/>
  <c r="AU25" i="67"/>
  <c r="E72" i="67"/>
  <c r="J72" i="67" s="1"/>
  <c r="K22" i="67"/>
  <c r="K25" i="67" s="1"/>
  <c r="N34" i="67"/>
  <c r="AR34" i="67" s="1"/>
  <c r="AR37" i="67" s="1"/>
  <c r="E84" i="67"/>
  <c r="Q34" i="67"/>
  <c r="AU34" i="67" s="1"/>
  <c r="AU37" i="67" s="1"/>
  <c r="E85" i="67"/>
  <c r="J85" i="67" s="1"/>
  <c r="F73" i="67"/>
  <c r="K73" i="67" s="1"/>
  <c r="AR25" i="67"/>
  <c r="E61" i="72"/>
  <c r="AL23" i="67"/>
  <c r="E23" i="67"/>
  <c r="E49" i="67" s="1"/>
  <c r="F12" i="72"/>
  <c r="E55" i="72"/>
  <c r="E34" i="72"/>
  <c r="E51" i="72"/>
  <c r="E49" i="72"/>
  <c r="F61" i="72"/>
  <c r="E27" i="72"/>
  <c r="F31" i="72"/>
  <c r="G31" i="72"/>
  <c r="F24" i="72"/>
  <c r="H49" i="72"/>
  <c r="E21" i="72"/>
  <c r="F17" i="72"/>
  <c r="H55" i="72"/>
  <c r="F49" i="72"/>
  <c r="G49" i="72"/>
  <c r="F51" i="72"/>
  <c r="H51" i="72"/>
  <c r="G18" i="72"/>
  <c r="F21" i="72"/>
  <c r="F20" i="72"/>
  <c r="F27" i="72"/>
  <c r="H18" i="72"/>
  <c r="F26" i="72"/>
  <c r="F22" i="72"/>
  <c r="E12" i="72"/>
  <c r="E22" i="72"/>
  <c r="E15" i="72"/>
  <c r="F55" i="72"/>
  <c r="AC158" i="67"/>
  <c r="H34" i="72"/>
  <c r="E53" i="72"/>
  <c r="G60" i="72"/>
  <c r="H15" i="72"/>
  <c r="G30" i="72"/>
  <c r="G34" i="72"/>
  <c r="F62" i="72"/>
  <c r="E20" i="72"/>
  <c r="E17" i="72"/>
  <c r="F16" i="72"/>
  <c r="F53" i="72"/>
  <c r="F50" i="72"/>
  <c r="F23" i="72"/>
  <c r="H60" i="72"/>
  <c r="G62" i="72"/>
  <c r="G25" i="72"/>
  <c r="G15" i="72"/>
  <c r="AC246" i="67"/>
  <c r="E31" i="72"/>
  <c r="G48" i="72"/>
  <c r="H58" i="72"/>
  <c r="G61" i="72"/>
  <c r="H62" i="72"/>
  <c r="H53" i="72"/>
  <c r="H25" i="72"/>
  <c r="AU285" i="67"/>
  <c r="E60" i="72"/>
  <c r="E14" i="72"/>
  <c r="E62" i="72"/>
  <c r="E56" i="72"/>
  <c r="E50" i="72"/>
  <c r="H48" i="72"/>
  <c r="G51" i="72"/>
  <c r="G58" i="72"/>
  <c r="H61" i="72"/>
  <c r="G50" i="72"/>
  <c r="G53" i="72"/>
  <c r="H27" i="72"/>
  <c r="E32" i="72"/>
  <c r="F14" i="72"/>
  <c r="F32" i="72"/>
  <c r="E24" i="72"/>
  <c r="AC185" i="67"/>
  <c r="H50" i="72"/>
  <c r="G23" i="72"/>
  <c r="H12" i="72"/>
  <c r="F181" i="67"/>
  <c r="M63" i="72"/>
  <c r="H31" i="72"/>
  <c r="H17" i="72"/>
  <c r="G17" i="72"/>
  <c r="G55" i="72"/>
  <c r="E26" i="72"/>
  <c r="G12" i="72"/>
  <c r="F34" i="72"/>
  <c r="H30" i="72"/>
  <c r="G29" i="72"/>
  <c r="E29" i="72"/>
  <c r="H33" i="72"/>
  <c r="H56" i="72"/>
  <c r="G27" i="72"/>
  <c r="G56" i="72"/>
  <c r="F56" i="72"/>
  <c r="J63" i="72"/>
  <c r="L63" i="72"/>
  <c r="K63" i="72"/>
  <c r="F33" i="72"/>
  <c r="G33" i="72"/>
  <c r="E33" i="72"/>
  <c r="H29" i="72"/>
  <c r="H23" i="72"/>
  <c r="G19" i="72"/>
  <c r="F19" i="72"/>
  <c r="H19" i="72"/>
  <c r="G16" i="72"/>
  <c r="E16" i="72"/>
  <c r="H16" i="72"/>
  <c r="F30" i="72"/>
  <c r="E30" i="72"/>
  <c r="F29" i="72"/>
  <c r="E58" i="72"/>
  <c r="M28" i="72"/>
  <c r="L28" i="72"/>
  <c r="J28" i="72"/>
  <c r="K28" i="72"/>
  <c r="E25" i="72"/>
  <c r="F25" i="72"/>
  <c r="E23" i="72"/>
  <c r="E19" i="72"/>
  <c r="E48" i="72"/>
  <c r="F48" i="72"/>
  <c r="F15" i="72"/>
  <c r="AL34" i="67"/>
  <c r="Q37" i="67"/>
  <c r="F101" i="67" s="1"/>
  <c r="L101" i="67" s="1"/>
  <c r="AO34" i="67"/>
  <c r="AL22" i="67"/>
  <c r="AL25" i="67" s="1"/>
  <c r="AV23" i="67"/>
  <c r="Z158" i="67"/>
  <c r="AU299" i="67"/>
  <c r="Z219" i="67"/>
  <c r="Z185" i="67"/>
  <c r="AC219" i="67"/>
  <c r="AP314" i="67"/>
  <c r="AL314" i="67"/>
  <c r="Y181" i="67"/>
  <c r="AU287" i="67"/>
  <c r="AW338" i="67"/>
  <c r="AS338" i="67"/>
  <c r="F99" i="67"/>
  <c r="L99" i="67" s="1"/>
  <c r="AY282" i="67"/>
  <c r="AU282" i="67"/>
  <c r="AU304" i="67"/>
  <c r="AY304" i="67"/>
  <c r="AY303" i="67"/>
  <c r="AU303" i="67"/>
  <c r="AE209" i="67"/>
  <c r="AU301" i="67"/>
  <c r="AY301" i="67"/>
  <c r="AY300" i="67"/>
  <c r="AU300" i="67"/>
  <c r="AY289" i="67"/>
  <c r="AU289" i="67"/>
  <c r="AU288" i="67"/>
  <c r="AY288" i="67"/>
  <c r="AY286" i="67"/>
  <c r="AU286" i="67"/>
  <c r="AY297" i="67"/>
  <c r="AU297" i="67"/>
  <c r="AY295" i="67"/>
  <c r="AU295" i="67"/>
  <c r="AY293" i="67"/>
  <c r="AU293" i="67"/>
  <c r="AI158" i="67"/>
  <c r="AI181" i="67" s="1"/>
  <c r="AF181" i="67"/>
  <c r="P22" i="67" s="1"/>
  <c r="AT22" i="67" s="1"/>
  <c r="H283" i="67"/>
  <c r="AT283" i="67"/>
  <c r="AT306" i="67" s="1"/>
  <c r="AX283" i="67"/>
  <c r="AX306" i="67" s="1"/>
  <c r="AV22" i="67"/>
  <c r="R25" i="67"/>
  <c r="O25" i="67"/>
  <c r="AI219" i="67"/>
  <c r="AH209" i="67"/>
  <c r="AX313" i="67"/>
  <c r="AT313" i="67"/>
  <c r="AI245" i="67"/>
  <c r="AE270" i="67"/>
  <c r="O35" i="67" s="1"/>
  <c r="AS35" i="67" s="1"/>
  <c r="H313" i="67"/>
  <c r="AF184" i="67"/>
  <c r="AI184" i="67"/>
  <c r="AH270" i="67"/>
  <c r="R35" i="67" s="1"/>
  <c r="AY326" i="67"/>
  <c r="AU326" i="67"/>
  <c r="AY323" i="67"/>
  <c r="AU323" i="67"/>
  <c r="AT335" i="67"/>
  <c r="AX335" i="67"/>
  <c r="AU335" i="67"/>
  <c r="AY335" i="67"/>
  <c r="AY334" i="67"/>
  <c r="AU334" i="67"/>
  <c r="AX334" i="67"/>
  <c r="AT334" i="67"/>
  <c r="AY333" i="67"/>
  <c r="AU333" i="67"/>
  <c r="AX333" i="67"/>
  <c r="AT333" i="67"/>
  <c r="H332" i="67"/>
  <c r="AI264" i="67"/>
  <c r="AF203" i="67"/>
  <c r="AI203" i="67"/>
  <c r="AY331" i="67"/>
  <c r="AU331" i="67"/>
  <c r="AI262" i="67"/>
  <c r="H330" i="67"/>
  <c r="AI201" i="67"/>
  <c r="AF201" i="67"/>
  <c r="AY328" i="67"/>
  <c r="AU328" i="67"/>
  <c r="AY324" i="67"/>
  <c r="AU324" i="67"/>
  <c r="AU322" i="67"/>
  <c r="AY322" i="67"/>
  <c r="AY321" i="67"/>
  <c r="AU321" i="67"/>
  <c r="H320" i="67"/>
  <c r="AF191" i="67"/>
  <c r="AI191" i="67"/>
  <c r="AI252" i="67"/>
  <c r="AI251" i="67"/>
  <c r="H319" i="67"/>
  <c r="AF190" i="67"/>
  <c r="AI190" i="67"/>
  <c r="AI250" i="67"/>
  <c r="H318" i="67"/>
  <c r="AF189" i="67"/>
  <c r="AI189" i="67"/>
  <c r="H317" i="67"/>
  <c r="AF188" i="67"/>
  <c r="AI188" i="67"/>
  <c r="AI249" i="67"/>
  <c r="AI247" i="67"/>
  <c r="H315" i="67"/>
  <c r="AI186" i="67"/>
  <c r="AF186" i="67"/>
  <c r="M99" i="54"/>
  <c r="M24" i="54" s="1"/>
  <c r="AU329" i="67"/>
  <c r="AY329" i="67"/>
  <c r="AI259" i="67"/>
  <c r="H327" i="67"/>
  <c r="AI198" i="67"/>
  <c r="AF198" i="67"/>
  <c r="AI257" i="67"/>
  <c r="H325" i="67"/>
  <c r="AI196" i="67"/>
  <c r="AF196" i="67"/>
  <c r="M158" i="54"/>
  <c r="M25" i="54" s="1"/>
  <c r="H316" i="67"/>
  <c r="AI248" i="67"/>
  <c r="AI187" i="67"/>
  <c r="AF187" i="67"/>
  <c r="H314" i="67"/>
  <c r="AQ314" i="67" s="1"/>
  <c r="AF185" i="67"/>
  <c r="AI185" i="67"/>
  <c r="AI246" i="67"/>
  <c r="Z246" i="67"/>
  <c r="AT314" i="67"/>
  <c r="AX314" i="67"/>
  <c r="AH327" i="67"/>
  <c r="AL327" i="67"/>
  <c r="K27" i="54"/>
  <c r="L16" i="54"/>
  <c r="AL281" i="67"/>
  <c r="AH281" i="67"/>
  <c r="AM329" i="67"/>
  <c r="AI329" i="67"/>
  <c r="AQ331" i="67"/>
  <c r="AI331" i="67"/>
  <c r="Y242" i="67"/>
  <c r="I23" i="67" s="1"/>
  <c r="Z251" i="67"/>
  <c r="AC251" i="67"/>
  <c r="Z250" i="67"/>
  <c r="AC250" i="67"/>
  <c r="AC262" i="67"/>
  <c r="Z262" i="67"/>
  <c r="AC201" i="67"/>
  <c r="Z201" i="67"/>
  <c r="AM324" i="67"/>
  <c r="AI324" i="67"/>
  <c r="AQ324" i="67"/>
  <c r="AC196" i="67"/>
  <c r="Z196" i="67"/>
  <c r="AQ322" i="67"/>
  <c r="AI322" i="67"/>
  <c r="AM322" i="67"/>
  <c r="AM292" i="67"/>
  <c r="AQ292" i="67"/>
  <c r="AI292" i="67"/>
  <c r="AM294" i="67"/>
  <c r="AI294" i="67"/>
  <c r="AQ294" i="67"/>
  <c r="AM286" i="67"/>
  <c r="AI286" i="67"/>
  <c r="AQ286" i="67"/>
  <c r="AI323" i="67"/>
  <c r="AQ323" i="67"/>
  <c r="AM323" i="67"/>
  <c r="AC257" i="67"/>
  <c r="Z257" i="67"/>
  <c r="AC249" i="67"/>
  <c r="Z249" i="67"/>
  <c r="AQ326" i="67"/>
  <c r="AM326" i="67"/>
  <c r="AI326" i="67"/>
  <c r="AH320" i="67"/>
  <c r="AL320" i="67"/>
  <c r="AP320" i="67"/>
  <c r="Z203" i="67"/>
  <c r="AC203" i="67"/>
  <c r="AM296" i="67"/>
  <c r="AI296" i="67"/>
  <c r="AQ296" i="67"/>
  <c r="AQ334" i="67"/>
  <c r="AI334" i="67"/>
  <c r="AM334" i="67"/>
  <c r="AM304" i="67"/>
  <c r="AQ304" i="67"/>
  <c r="AI304" i="67"/>
  <c r="AM291" i="67"/>
  <c r="AI291" i="67"/>
  <c r="AQ291" i="67"/>
  <c r="Z264" i="67"/>
  <c r="AC264" i="67"/>
  <c r="AM299" i="67"/>
  <c r="AI299" i="67"/>
  <c r="AQ299" i="67"/>
  <c r="AM290" i="67"/>
  <c r="AQ290" i="67"/>
  <c r="AI290" i="67"/>
  <c r="AQ321" i="67"/>
  <c r="AM321" i="67"/>
  <c r="AI321" i="67"/>
  <c r="AL286" i="67"/>
  <c r="AH286" i="67"/>
  <c r="AP286" i="67"/>
  <c r="AB242" i="67"/>
  <c r="L23" i="67" s="1"/>
  <c r="AL288" i="67"/>
  <c r="AH288" i="67"/>
  <c r="AP288" i="67"/>
  <c r="AI335" i="67"/>
  <c r="AM335" i="67"/>
  <c r="AQ335" i="67"/>
  <c r="AL334" i="67"/>
  <c r="AP334" i="67"/>
  <c r="AH334" i="67"/>
  <c r="AM297" i="67"/>
  <c r="AI297" i="67"/>
  <c r="AQ297" i="67"/>
  <c r="AM289" i="67"/>
  <c r="AQ289" i="67"/>
  <c r="AI289" i="67"/>
  <c r="AI328" i="67"/>
  <c r="AM328" i="67"/>
  <c r="AQ328" i="67"/>
  <c r="AM333" i="67"/>
  <c r="AQ333" i="67"/>
  <c r="AI333" i="67"/>
  <c r="G269" i="67"/>
  <c r="G270" i="67" s="1"/>
  <c r="AI302" i="67"/>
  <c r="AQ302" i="67"/>
  <c r="AM302" i="67"/>
  <c r="AC259" i="67"/>
  <c r="Z259" i="67"/>
  <c r="AP335" i="67"/>
  <c r="AL335" i="67"/>
  <c r="AH335" i="67"/>
  <c r="AC163" i="67"/>
  <c r="Z163" i="67"/>
  <c r="AL317" i="67"/>
  <c r="AH317" i="67"/>
  <c r="AP317" i="67"/>
  <c r="AL333" i="67"/>
  <c r="AH333" i="67"/>
  <c r="AP333" i="67"/>
  <c r="AC224" i="67"/>
  <c r="F18" i="72" s="1"/>
  <c r="Z224" i="67"/>
  <c r="E18" i="72" s="1"/>
  <c r="AM301" i="67"/>
  <c r="AQ301" i="67"/>
  <c r="AI301" i="67"/>
  <c r="AQ303" i="67"/>
  <c r="AI303" i="67"/>
  <c r="AM303" i="67"/>
  <c r="AQ300" i="67"/>
  <c r="AI300" i="67"/>
  <c r="AM300" i="67"/>
  <c r="AM293" i="67"/>
  <c r="AQ293" i="67"/>
  <c r="AI293" i="67"/>
  <c r="K17" i="54"/>
  <c r="AC187" i="67"/>
  <c r="Z187" i="67"/>
  <c r="AC248" i="67"/>
  <c r="Z248" i="67"/>
  <c r="AM284" i="67"/>
  <c r="AI284" i="67"/>
  <c r="AQ284" i="67"/>
  <c r="AC156" i="67"/>
  <c r="Z156" i="67"/>
  <c r="G180" i="67"/>
  <c r="AF180" i="67" s="1"/>
  <c r="AC217" i="67"/>
  <c r="Z217" i="67"/>
  <c r="G241" i="67"/>
  <c r="G242" i="67" s="1"/>
  <c r="H25" i="67"/>
  <c r="AA245" i="67"/>
  <c r="AA270" i="67" s="1"/>
  <c r="E83" i="67" s="1"/>
  <c r="J83" i="67" s="1"/>
  <c r="X245" i="67"/>
  <c r="X270" i="67" s="1"/>
  <c r="H35" i="67" s="1"/>
  <c r="E269" i="67"/>
  <c r="E270" i="67" s="1"/>
  <c r="AK281" i="67"/>
  <c r="AK306" i="67" s="1"/>
  <c r="AG281" i="67"/>
  <c r="AG306" i="67" s="1"/>
  <c r="AO281" i="67"/>
  <c r="AO306" i="67" s="1"/>
  <c r="F305" i="67"/>
  <c r="F307" i="67" s="1"/>
  <c r="AC245" i="67"/>
  <c r="Z245" i="67"/>
  <c r="AC184" i="67"/>
  <c r="Z184" i="67"/>
  <c r="F208" i="67"/>
  <c r="AB209" i="67"/>
  <c r="Y209" i="67"/>
  <c r="Z247" i="67"/>
  <c r="AC247" i="67"/>
  <c r="AL283" i="67"/>
  <c r="AH283" i="67"/>
  <c r="AP283" i="67"/>
  <c r="AL282" i="67"/>
  <c r="G305" i="67"/>
  <c r="G307" i="67" s="1"/>
  <c r="AH282" i="67"/>
  <c r="AP282" i="67"/>
  <c r="L68" i="49"/>
  <c r="L69" i="49" s="1"/>
  <c r="Q102" i="49"/>
  <c r="M68" i="49"/>
  <c r="L38" i="49"/>
  <c r="AO22" i="67" l="1"/>
  <c r="N37" i="67"/>
  <c r="J84" i="67" s="1"/>
  <c r="J75" i="67"/>
  <c r="E34" i="67"/>
  <c r="E58" i="67" s="1"/>
  <c r="E22" i="67"/>
  <c r="I22" i="67"/>
  <c r="AM22" i="67" s="1"/>
  <c r="F71" i="67"/>
  <c r="K71" i="67" s="1"/>
  <c r="AO25" i="67"/>
  <c r="L22" i="67"/>
  <c r="AP22" i="67" s="1"/>
  <c r="F72" i="67"/>
  <c r="K72" i="67" s="1"/>
  <c r="R34" i="67"/>
  <c r="AV34" i="67" s="1"/>
  <c r="F85" i="67"/>
  <c r="K85" i="67" s="1"/>
  <c r="AI23" i="67"/>
  <c r="S22" i="67"/>
  <c r="I34" i="67"/>
  <c r="AM34" i="67" s="1"/>
  <c r="O34" i="67"/>
  <c r="AS34" i="67" s="1"/>
  <c r="F84" i="67"/>
  <c r="L34" i="67"/>
  <c r="AP34" i="67" s="1"/>
  <c r="AI34" i="67"/>
  <c r="E82" i="67"/>
  <c r="J82" i="67" s="1"/>
  <c r="J86" i="67" s="1"/>
  <c r="AI22" i="67"/>
  <c r="AL35" i="67"/>
  <c r="K21" i="72"/>
  <c r="E13" i="72"/>
  <c r="J21" i="72"/>
  <c r="M21" i="72"/>
  <c r="F23" i="67"/>
  <c r="Y23" i="67" s="1"/>
  <c r="F13" i="72"/>
  <c r="J31" i="72"/>
  <c r="J22" i="72"/>
  <c r="K62" i="72"/>
  <c r="G52" i="72"/>
  <c r="H45" i="72"/>
  <c r="H52" i="72"/>
  <c r="K22" i="72"/>
  <c r="K55" i="72"/>
  <c r="J49" i="72"/>
  <c r="L22" i="72"/>
  <c r="M22" i="72"/>
  <c r="J60" i="72"/>
  <c r="L21" i="72"/>
  <c r="M17" i="72"/>
  <c r="M31" i="72"/>
  <c r="J20" i="72"/>
  <c r="L20" i="72"/>
  <c r="G57" i="72"/>
  <c r="H40" i="72"/>
  <c r="G47" i="72"/>
  <c r="M51" i="72"/>
  <c r="K14" i="72"/>
  <c r="K20" i="72"/>
  <c r="M12" i="72"/>
  <c r="J32" i="72"/>
  <c r="G44" i="72"/>
  <c r="M49" i="72"/>
  <c r="L31" i="72"/>
  <c r="M20" i="72"/>
  <c r="H44" i="72"/>
  <c r="L49" i="72"/>
  <c r="K31" i="72"/>
  <c r="J24" i="72"/>
  <c r="L51" i="72"/>
  <c r="F43" i="72"/>
  <c r="H54" i="72"/>
  <c r="G59" i="72"/>
  <c r="L17" i="72"/>
  <c r="J14" i="72"/>
  <c r="K18" i="72"/>
  <c r="H57" i="72"/>
  <c r="G40" i="72"/>
  <c r="K48" i="72"/>
  <c r="K51" i="72"/>
  <c r="J51" i="72"/>
  <c r="F41" i="72"/>
  <c r="F209" i="67"/>
  <c r="E59" i="72"/>
  <c r="M32" i="72"/>
  <c r="K24" i="72"/>
  <c r="M14" i="72"/>
  <c r="K32" i="72"/>
  <c r="E11" i="72"/>
  <c r="L14" i="72"/>
  <c r="L26" i="72"/>
  <c r="L32" i="72"/>
  <c r="J26" i="72"/>
  <c r="J50" i="72"/>
  <c r="K12" i="72"/>
  <c r="E40" i="72"/>
  <c r="E43" i="72"/>
  <c r="H41" i="72"/>
  <c r="G43" i="72"/>
  <c r="L61" i="72"/>
  <c r="F11" i="72"/>
  <c r="F40" i="72"/>
  <c r="G181" i="67"/>
  <c r="G41" i="72"/>
  <c r="H43" i="72"/>
  <c r="G54" i="72"/>
  <c r="K61" i="72"/>
  <c r="K34" i="72"/>
  <c r="M24" i="72"/>
  <c r="K49" i="72"/>
  <c r="L24" i="72"/>
  <c r="M61" i="72"/>
  <c r="K17" i="72"/>
  <c r="J61" i="72"/>
  <c r="L50" i="72"/>
  <c r="K50" i="72"/>
  <c r="H47" i="72"/>
  <c r="M34" i="72"/>
  <c r="L60" i="72"/>
  <c r="J34" i="72"/>
  <c r="M50" i="72"/>
  <c r="L12" i="72"/>
  <c r="L53" i="72"/>
  <c r="J12" i="72"/>
  <c r="J53" i="72"/>
  <c r="K29" i="72"/>
  <c r="L33" i="72"/>
  <c r="M53" i="72"/>
  <c r="K53" i="72"/>
  <c r="J17" i="72"/>
  <c r="H46" i="72"/>
  <c r="K60" i="72"/>
  <c r="G46" i="72"/>
  <c r="M60" i="72"/>
  <c r="M26" i="72"/>
  <c r="J55" i="72"/>
  <c r="G42" i="72"/>
  <c r="L62" i="72"/>
  <c r="K56" i="72"/>
  <c r="M55" i="72"/>
  <c r="H42" i="72"/>
  <c r="L55" i="72"/>
  <c r="K27" i="72"/>
  <c r="E41" i="72"/>
  <c r="K26" i="72"/>
  <c r="M62" i="72"/>
  <c r="M56" i="72"/>
  <c r="AI242" i="67"/>
  <c r="G74" i="67" s="1"/>
  <c r="L74" i="67" s="1"/>
  <c r="H13" i="72"/>
  <c r="H35" i="72" s="1"/>
  <c r="J62" i="72"/>
  <c r="M27" i="72"/>
  <c r="J27" i="72"/>
  <c r="K23" i="72"/>
  <c r="L27" i="72"/>
  <c r="L34" i="72"/>
  <c r="AF242" i="67"/>
  <c r="P23" i="67" s="1"/>
  <c r="AT23" i="67" s="1"/>
  <c r="G13" i="72"/>
  <c r="K25" i="72"/>
  <c r="J56" i="72"/>
  <c r="L56" i="72"/>
  <c r="M33" i="72"/>
  <c r="K33" i="72"/>
  <c r="J33" i="72"/>
  <c r="H59" i="72"/>
  <c r="F57" i="72"/>
  <c r="E57" i="72"/>
  <c r="AV25" i="67"/>
  <c r="AS25" i="67"/>
  <c r="M16" i="72"/>
  <c r="J16" i="72"/>
  <c r="G45" i="72"/>
  <c r="F111" i="67"/>
  <c r="L111" i="67" s="1"/>
  <c r="F113" i="67"/>
  <c r="L113" i="67" s="1"/>
  <c r="L16" i="72"/>
  <c r="K16" i="72"/>
  <c r="F59" i="72"/>
  <c r="M30" i="72"/>
  <c r="L30" i="72"/>
  <c r="J30" i="72"/>
  <c r="K30" i="72"/>
  <c r="J58" i="72"/>
  <c r="M58" i="72"/>
  <c r="L58" i="72"/>
  <c r="J29" i="72"/>
  <c r="L29" i="72"/>
  <c r="M29" i="72"/>
  <c r="K58" i="72"/>
  <c r="L25" i="72"/>
  <c r="J25" i="72"/>
  <c r="M25" i="72"/>
  <c r="E52" i="72"/>
  <c r="F52" i="72"/>
  <c r="J23" i="72"/>
  <c r="L23" i="72"/>
  <c r="M23" i="72"/>
  <c r="M48" i="72"/>
  <c r="L48" i="72"/>
  <c r="J48" i="72"/>
  <c r="J19" i="72"/>
  <c r="M19" i="72"/>
  <c r="L19" i="72"/>
  <c r="K19" i="72"/>
  <c r="M15" i="72"/>
  <c r="L15" i="72"/>
  <c r="K15" i="72"/>
  <c r="J15" i="72"/>
  <c r="AP23" i="67"/>
  <c r="AV35" i="67"/>
  <c r="AA34" i="67"/>
  <c r="AM23" i="67"/>
  <c r="E48" i="67"/>
  <c r="E51" i="67" s="1"/>
  <c r="AD22" i="67"/>
  <c r="AA22" i="67"/>
  <c r="X22" i="67"/>
  <c r="U22" i="67"/>
  <c r="Z181" i="67"/>
  <c r="AM314" i="67"/>
  <c r="AI314" i="67"/>
  <c r="AX338" i="67"/>
  <c r="G99" i="67"/>
  <c r="M99" i="67" s="1"/>
  <c r="AY283" i="67"/>
  <c r="AY306" i="67" s="1"/>
  <c r="AU283" i="67"/>
  <c r="AU306" i="67" s="1"/>
  <c r="K35" i="67"/>
  <c r="AO35" i="67" s="1"/>
  <c r="AO37" i="67" s="1"/>
  <c r="AW22" i="67"/>
  <c r="AT338" i="67"/>
  <c r="AY313" i="67"/>
  <c r="AU313" i="67"/>
  <c r="AU332" i="67"/>
  <c r="AY332" i="67"/>
  <c r="AY330" i="67"/>
  <c r="AU330" i="67"/>
  <c r="AY320" i="67"/>
  <c r="AU320" i="67"/>
  <c r="AI270" i="67"/>
  <c r="S35" i="67" s="1"/>
  <c r="AU319" i="67"/>
  <c r="AY319" i="67"/>
  <c r="AU318" i="67"/>
  <c r="AY318" i="67"/>
  <c r="AU317" i="67"/>
  <c r="AY317" i="67"/>
  <c r="AY315" i="67"/>
  <c r="AU315" i="67"/>
  <c r="AF209" i="67"/>
  <c r="AU327" i="67"/>
  <c r="AY327" i="67"/>
  <c r="AY325" i="67"/>
  <c r="AU325" i="67"/>
  <c r="AF270" i="67"/>
  <c r="P35" i="67" s="1"/>
  <c r="AT35" i="67" s="1"/>
  <c r="AI209" i="67"/>
  <c r="AY316" i="67"/>
  <c r="AU316" i="67"/>
  <c r="AU314" i="67"/>
  <c r="AY314" i="67"/>
  <c r="G306" i="67"/>
  <c r="F306" i="67"/>
  <c r="AI25" i="67"/>
  <c r="AI26" i="67" s="1"/>
  <c r="AC181" i="67"/>
  <c r="AL37" i="67"/>
  <c r="L17" i="54"/>
  <c r="L18" i="54"/>
  <c r="K28" i="54"/>
  <c r="K29" i="54"/>
  <c r="E25" i="67"/>
  <c r="AP306" i="67"/>
  <c r="Z242" i="67"/>
  <c r="J23" i="67" s="1"/>
  <c r="AM319" i="67"/>
  <c r="H37" i="67"/>
  <c r="AM332" i="67"/>
  <c r="AI332" i="67"/>
  <c r="AQ332" i="67"/>
  <c r="AC189" i="67"/>
  <c r="F45" i="72" s="1"/>
  <c r="Z189" i="67"/>
  <c r="E45" i="72" s="1"/>
  <c r="AC191" i="67"/>
  <c r="Z191" i="67"/>
  <c r="AC198" i="67"/>
  <c r="F54" i="72" s="1"/>
  <c r="Z198" i="67"/>
  <c r="E54" i="72" s="1"/>
  <c r="AM288" i="67"/>
  <c r="AI288" i="67"/>
  <c r="AQ288" i="67"/>
  <c r="AQ330" i="67"/>
  <c r="AI330" i="67"/>
  <c r="AM330" i="67"/>
  <c r="AC188" i="67"/>
  <c r="F44" i="72" s="1"/>
  <c r="Z188" i="67"/>
  <c r="E44" i="72" s="1"/>
  <c r="AC242" i="67"/>
  <c r="M23" i="67" s="1"/>
  <c r="AC190" i="67"/>
  <c r="F46" i="72" s="1"/>
  <c r="Z190" i="67"/>
  <c r="E46" i="72" s="1"/>
  <c r="Z252" i="67"/>
  <c r="AC252" i="67"/>
  <c r="AM325" i="67"/>
  <c r="AQ325" i="67"/>
  <c r="AI325" i="67"/>
  <c r="AI316" i="67"/>
  <c r="AQ316" i="67"/>
  <c r="AM316" i="67"/>
  <c r="F97" i="67"/>
  <c r="L97" i="67" s="1"/>
  <c r="AO313" i="67"/>
  <c r="AO338" i="67" s="1"/>
  <c r="AK313" i="67"/>
  <c r="AK338" i="67" s="1"/>
  <c r="AG313" i="67"/>
  <c r="AG338" i="67" s="1"/>
  <c r="F337" i="67"/>
  <c r="F338" i="67" s="1"/>
  <c r="F98" i="67"/>
  <c r="L98" i="67" s="1"/>
  <c r="AM281" i="67"/>
  <c r="AI281" i="67"/>
  <c r="AQ281" i="67"/>
  <c r="AQ313" i="67"/>
  <c r="AI313" i="67"/>
  <c r="AM313" i="67"/>
  <c r="AB245" i="67"/>
  <c r="AB270" i="67" s="1"/>
  <c r="L35" i="67" s="1"/>
  <c r="Y245" i="67"/>
  <c r="Y270" i="67" s="1"/>
  <c r="I35" i="67" s="1"/>
  <c r="G337" i="67"/>
  <c r="G338" i="67" s="1"/>
  <c r="F269" i="67"/>
  <c r="F270" i="67" s="1"/>
  <c r="AH306" i="67"/>
  <c r="AC186" i="67"/>
  <c r="F42" i="72" s="1"/>
  <c r="Z186" i="67"/>
  <c r="E42" i="72" s="1"/>
  <c r="G208" i="67"/>
  <c r="AL306" i="67"/>
  <c r="I25" i="67"/>
  <c r="M16" i="54"/>
  <c r="M18" i="54" s="1"/>
  <c r="U62" i="49"/>
  <c r="U54" i="49"/>
  <c r="U46" i="49"/>
  <c r="S60" i="49"/>
  <c r="S52" i="49"/>
  <c r="S44" i="49"/>
  <c r="S66" i="49"/>
  <c r="U65" i="49"/>
  <c r="U48" i="49"/>
  <c r="S46" i="49"/>
  <c r="U47" i="49"/>
  <c r="S53" i="49"/>
  <c r="U61" i="49"/>
  <c r="U53" i="49"/>
  <c r="S67" i="49"/>
  <c r="S59" i="49"/>
  <c r="S51" i="49"/>
  <c r="S58" i="49"/>
  <c r="S47" i="49"/>
  <c r="U64" i="49"/>
  <c r="U63" i="49"/>
  <c r="U60" i="49"/>
  <c r="U52" i="49"/>
  <c r="U44" i="49"/>
  <c r="S50" i="49"/>
  <c r="S62" i="49"/>
  <c r="U55" i="49"/>
  <c r="S61" i="49"/>
  <c r="U67" i="49"/>
  <c r="U59" i="49"/>
  <c r="U51" i="49"/>
  <c r="S65" i="49"/>
  <c r="S57" i="49"/>
  <c r="S49" i="49"/>
  <c r="U57" i="49"/>
  <c r="U49" i="49"/>
  <c r="S55" i="49"/>
  <c r="U56" i="49"/>
  <c r="S54" i="49"/>
  <c r="U66" i="49"/>
  <c r="U58" i="49"/>
  <c r="U50" i="49"/>
  <c r="S64" i="49"/>
  <c r="S56" i="49"/>
  <c r="S48" i="49"/>
  <c r="S63" i="49"/>
  <c r="S45" i="49"/>
  <c r="U45" i="49"/>
  <c r="AM282" i="67"/>
  <c r="AQ282" i="67"/>
  <c r="AI282" i="67"/>
  <c r="L27" i="54"/>
  <c r="L29" i="54" s="1"/>
  <c r="P13" i="49"/>
  <c r="P44" i="49"/>
  <c r="O37" i="67" l="1"/>
  <c r="U34" i="67"/>
  <c r="AD34" i="67"/>
  <c r="X34" i="67"/>
  <c r="K84" i="67"/>
  <c r="E35" i="72"/>
  <c r="K75" i="67"/>
  <c r="R37" i="67"/>
  <c r="AJ23" i="67"/>
  <c r="AP25" i="67"/>
  <c r="L25" i="67"/>
  <c r="F22" i="67"/>
  <c r="F48" i="67" s="1"/>
  <c r="J18" i="72"/>
  <c r="AJ22" i="67"/>
  <c r="AJ34" i="67"/>
  <c r="AI35" i="67"/>
  <c r="AI37" i="67" s="1"/>
  <c r="P34" i="67"/>
  <c r="AT34" i="67" s="1"/>
  <c r="G84" i="67"/>
  <c r="G101" i="67"/>
  <c r="M101" i="67" s="1"/>
  <c r="M22" i="67"/>
  <c r="AQ22" i="67" s="1"/>
  <c r="G72" i="67"/>
  <c r="L72" i="67" s="1"/>
  <c r="F82" i="67"/>
  <c r="K82" i="67" s="1"/>
  <c r="S34" i="67"/>
  <c r="AW34" i="67" s="1"/>
  <c r="G85" i="67"/>
  <c r="L85" i="67" s="1"/>
  <c r="F34" i="67"/>
  <c r="F58" i="67" s="1"/>
  <c r="S23" i="67"/>
  <c r="AW23" i="67" s="1"/>
  <c r="AW25" i="67" s="1"/>
  <c r="J22" i="67"/>
  <c r="AN22" i="67" s="1"/>
  <c r="G71" i="67"/>
  <c r="L71" i="67" s="1"/>
  <c r="F83" i="67"/>
  <c r="K83" i="67" s="1"/>
  <c r="G73" i="67"/>
  <c r="L73" i="67" s="1"/>
  <c r="F35" i="67"/>
  <c r="E35" i="67"/>
  <c r="E59" i="67" s="1"/>
  <c r="E61" i="67" s="1"/>
  <c r="F35" i="72"/>
  <c r="L13" i="72"/>
  <c r="M11" i="72"/>
  <c r="M40" i="72"/>
  <c r="L11" i="72"/>
  <c r="J11" i="72"/>
  <c r="M18" i="72"/>
  <c r="L18" i="72"/>
  <c r="H64" i="72"/>
  <c r="G209" i="67"/>
  <c r="L43" i="72"/>
  <c r="G35" i="72"/>
  <c r="L40" i="72"/>
  <c r="K40" i="72"/>
  <c r="J40" i="72"/>
  <c r="K11" i="72"/>
  <c r="K41" i="72"/>
  <c r="J57" i="72"/>
  <c r="M43" i="72"/>
  <c r="M41" i="72"/>
  <c r="J41" i="72"/>
  <c r="M59" i="72"/>
  <c r="J43" i="72"/>
  <c r="K43" i="72"/>
  <c r="L41" i="72"/>
  <c r="L42" i="72"/>
  <c r="J42" i="72"/>
  <c r="K42" i="72"/>
  <c r="K46" i="72"/>
  <c r="M46" i="72"/>
  <c r="L46" i="72"/>
  <c r="J46" i="72"/>
  <c r="M42" i="72"/>
  <c r="L59" i="72"/>
  <c r="K45" i="72"/>
  <c r="K59" i="72"/>
  <c r="K57" i="72"/>
  <c r="P25" i="67"/>
  <c r="M57" i="72"/>
  <c r="Z270" i="67"/>
  <c r="J35" i="67" s="1"/>
  <c r="E47" i="72"/>
  <c r="J59" i="72"/>
  <c r="M13" i="72"/>
  <c r="AC270" i="67"/>
  <c r="M35" i="67" s="1"/>
  <c r="AQ35" i="67" s="1"/>
  <c r="F47" i="72"/>
  <c r="M45" i="72"/>
  <c r="L57" i="72"/>
  <c r="J13" i="72"/>
  <c r="K13" i="72"/>
  <c r="AT25" i="67"/>
  <c r="AS37" i="67"/>
  <c r="K54" i="72"/>
  <c r="K52" i="72"/>
  <c r="G64" i="72"/>
  <c r="L45" i="72"/>
  <c r="AV37" i="67"/>
  <c r="J45" i="72"/>
  <c r="V23" i="67"/>
  <c r="AM25" i="67"/>
  <c r="L54" i="72"/>
  <c r="M54" i="72"/>
  <c r="J54" i="72"/>
  <c r="K37" i="67"/>
  <c r="AB34" i="67"/>
  <c r="M52" i="72"/>
  <c r="L52" i="72"/>
  <c r="J52" i="72"/>
  <c r="M44" i="72"/>
  <c r="L44" i="72"/>
  <c r="K44" i="72"/>
  <c r="J44" i="72"/>
  <c r="AN23" i="67"/>
  <c r="V34" i="67"/>
  <c r="AW35" i="67"/>
  <c r="AP35" i="67"/>
  <c r="AP37" i="67" s="1"/>
  <c r="AM35" i="67"/>
  <c r="AQ23" i="67"/>
  <c r="F49" i="67"/>
  <c r="AE23" i="67"/>
  <c r="AB23" i="67"/>
  <c r="Y34" i="67"/>
  <c r="G113" i="67"/>
  <c r="M113" i="67" s="1"/>
  <c r="G98" i="67"/>
  <c r="M98" i="67" s="1"/>
  <c r="F109" i="67"/>
  <c r="L109" i="67" s="1"/>
  <c r="G111" i="67"/>
  <c r="M111" i="67" s="1"/>
  <c r="AY338" i="67"/>
  <c r="AU338" i="67"/>
  <c r="E75" i="67"/>
  <c r="AI319" i="67"/>
  <c r="AQ319" i="67"/>
  <c r="H305" i="67"/>
  <c r="H307" i="67" s="1"/>
  <c r="Z209" i="67"/>
  <c r="AQ318" i="67"/>
  <c r="AM318" i="67"/>
  <c r="AI318" i="67"/>
  <c r="AI320" i="67"/>
  <c r="AM320" i="67"/>
  <c r="AQ320" i="67"/>
  <c r="AM317" i="67"/>
  <c r="AQ317" i="67"/>
  <c r="AI317" i="67"/>
  <c r="I37" i="67"/>
  <c r="N199" i="49"/>
  <c r="F199" i="49" s="1"/>
  <c r="AM285" i="67"/>
  <c r="AQ285" i="67"/>
  <c r="AI285" i="67"/>
  <c r="AC209" i="67"/>
  <c r="AM287" i="67"/>
  <c r="AQ287" i="67"/>
  <c r="AI287" i="67"/>
  <c r="AM295" i="67"/>
  <c r="AI295" i="67"/>
  <c r="AQ295" i="67"/>
  <c r="AI327" i="67"/>
  <c r="AM327" i="67"/>
  <c r="AQ327" i="67"/>
  <c r="N198" i="49"/>
  <c r="F75" i="67"/>
  <c r="L37" i="67"/>
  <c r="AH313" i="67"/>
  <c r="AH338" i="67" s="1"/>
  <c r="AL313" i="67"/>
  <c r="AL338" i="67" s="1"/>
  <c r="AP313" i="67"/>
  <c r="AP338" i="67" s="1"/>
  <c r="M27" i="54"/>
  <c r="AM283" i="67"/>
  <c r="AQ283" i="67"/>
  <c r="AI283" i="67"/>
  <c r="AM315" i="67"/>
  <c r="AQ315" i="67"/>
  <c r="AI315" i="67"/>
  <c r="H337" i="67"/>
  <c r="H338" i="67" s="1"/>
  <c r="L28" i="54"/>
  <c r="M17" i="54"/>
  <c r="M38" i="49"/>
  <c r="H8" i="49"/>
  <c r="P37" i="49"/>
  <c r="L8" i="49" s="1"/>
  <c r="I8" i="49"/>
  <c r="P68" i="49"/>
  <c r="L9" i="49" s="1"/>
  <c r="M69" i="49"/>
  <c r="F42" i="49"/>
  <c r="AE34" i="67" l="1"/>
  <c r="F25" i="67"/>
  <c r="V22" i="67"/>
  <c r="AB22" i="67"/>
  <c r="Y22" i="67"/>
  <c r="G23" i="67"/>
  <c r="Z23" i="67" s="1"/>
  <c r="S25" i="67"/>
  <c r="H36" i="72" s="1"/>
  <c r="AE22" i="67"/>
  <c r="AJ25" i="67"/>
  <c r="AJ26" i="67" s="1"/>
  <c r="K86" i="67"/>
  <c r="H99" i="67"/>
  <c r="N99" i="67" s="1"/>
  <c r="AW37" i="67"/>
  <c r="L75" i="67"/>
  <c r="S37" i="67"/>
  <c r="P37" i="67"/>
  <c r="L84" i="67" s="1"/>
  <c r="AK22" i="67"/>
  <c r="AM37" i="67"/>
  <c r="AJ35" i="67"/>
  <c r="AJ37" i="67" s="1"/>
  <c r="AB38" i="67" s="1"/>
  <c r="J34" i="67"/>
  <c r="J37" i="67" s="1"/>
  <c r="G82" i="67"/>
  <c r="L82" i="67" s="1"/>
  <c r="AK23" i="67"/>
  <c r="J35" i="72"/>
  <c r="G22" i="67"/>
  <c r="G48" i="67" s="1"/>
  <c r="AQ25" i="67"/>
  <c r="G83" i="67"/>
  <c r="L83" i="67" s="1"/>
  <c r="AN25" i="67"/>
  <c r="AT37" i="67"/>
  <c r="AN35" i="67"/>
  <c r="AK35" i="67" s="1"/>
  <c r="G35" i="67"/>
  <c r="G59" i="67" s="1"/>
  <c r="K35" i="72"/>
  <c r="L35" i="72"/>
  <c r="H65" i="72"/>
  <c r="M35" i="72"/>
  <c r="K47" i="72"/>
  <c r="G36" i="72"/>
  <c r="J47" i="72"/>
  <c r="M47" i="72"/>
  <c r="L47" i="72"/>
  <c r="F64" i="72"/>
  <c r="E64" i="72"/>
  <c r="G65" i="72"/>
  <c r="F110" i="67"/>
  <c r="F51" i="67"/>
  <c r="F59" i="67"/>
  <c r="F61" i="67" s="1"/>
  <c r="AB35" i="67"/>
  <c r="AE35" i="67"/>
  <c r="V35" i="67"/>
  <c r="Y35" i="67"/>
  <c r="E37" i="67"/>
  <c r="H111" i="67"/>
  <c r="N111" i="67" s="1"/>
  <c r="G97" i="67"/>
  <c r="M97" i="67" s="1"/>
  <c r="H113" i="67"/>
  <c r="N113" i="67" s="1"/>
  <c r="H101" i="67"/>
  <c r="N101" i="67" s="1"/>
  <c r="G109" i="67"/>
  <c r="M34" i="67"/>
  <c r="AQ34" i="67" s="1"/>
  <c r="AQ37" i="67" s="1"/>
  <c r="H306" i="67"/>
  <c r="F37" i="67"/>
  <c r="M28" i="54"/>
  <c r="M29" i="54"/>
  <c r="M25" i="67"/>
  <c r="F36" i="72" s="1"/>
  <c r="J25" i="67"/>
  <c r="E36" i="72" s="1"/>
  <c r="AI306" i="67"/>
  <c r="F198" i="49"/>
  <c r="AQ306" i="67"/>
  <c r="O199" i="49"/>
  <c r="AM306" i="67"/>
  <c r="N206" i="49"/>
  <c r="G110" i="67"/>
  <c r="M110" i="67" s="1"/>
  <c r="AQ338" i="67"/>
  <c r="AM338" i="67"/>
  <c r="AI338" i="67"/>
  <c r="H9" i="49"/>
  <c r="P38" i="49"/>
  <c r="I9" i="49"/>
  <c r="P69" i="49"/>
  <c r="W23" i="67" l="1"/>
  <c r="AC23" i="67"/>
  <c r="AF23" i="67"/>
  <c r="G49" i="67"/>
  <c r="G25" i="67"/>
  <c r="G51" i="67"/>
  <c r="AN34" i="67"/>
  <c r="AK34" i="67" s="1"/>
  <c r="AK37" i="67" s="1"/>
  <c r="AC38" i="67" s="1"/>
  <c r="L86" i="67"/>
  <c r="N207" i="49"/>
  <c r="F207" i="49" s="1"/>
  <c r="L110" i="67"/>
  <c r="O206" i="49"/>
  <c r="G206" i="49" s="1"/>
  <c r="M109" i="67"/>
  <c r="W35" i="67"/>
  <c r="G34" i="67"/>
  <c r="G58" i="67" s="1"/>
  <c r="G61" i="67" s="1"/>
  <c r="Z35" i="67"/>
  <c r="AC35" i="67"/>
  <c r="E86" i="67"/>
  <c r="AF35" i="67"/>
  <c r="M64" i="72"/>
  <c r="L64" i="72"/>
  <c r="K64" i="72"/>
  <c r="J64" i="72"/>
  <c r="E65" i="72"/>
  <c r="F114" i="67"/>
  <c r="AK25" i="67"/>
  <c r="AK26" i="67" s="1"/>
  <c r="N208" i="49"/>
  <c r="F208" i="49" s="1"/>
  <c r="H97" i="67"/>
  <c r="F102" i="67"/>
  <c r="L102" i="67"/>
  <c r="N200" i="49"/>
  <c r="H98" i="67"/>
  <c r="N98" i="67" s="1"/>
  <c r="G114" i="67"/>
  <c r="H109" i="67"/>
  <c r="M37" i="67"/>
  <c r="F86" i="67"/>
  <c r="G75" i="67"/>
  <c r="G199" i="49"/>
  <c r="O198" i="49"/>
  <c r="G198" i="49" s="1"/>
  <c r="F206" i="49"/>
  <c r="O207" i="49"/>
  <c r="G207" i="49" s="1"/>
  <c r="L103" i="67" l="1"/>
  <c r="J76" i="67"/>
  <c r="AN37" i="67"/>
  <c r="P206" i="49"/>
  <c r="H206" i="49" s="1"/>
  <c r="N109" i="67"/>
  <c r="P198" i="49"/>
  <c r="H198" i="49" s="1"/>
  <c r="N97" i="67"/>
  <c r="N102" i="67" s="1"/>
  <c r="F115" i="67"/>
  <c r="F209" i="49"/>
  <c r="F210" i="49" s="1"/>
  <c r="L114" i="67"/>
  <c r="N209" i="49"/>
  <c r="H110" i="67"/>
  <c r="N110" i="67" s="1"/>
  <c r="F65" i="72"/>
  <c r="F103" i="67"/>
  <c r="G37" i="67"/>
  <c r="E76" i="67"/>
  <c r="O208" i="49"/>
  <c r="G208" i="49" s="1"/>
  <c r="G209" i="49" s="1"/>
  <c r="G210" i="49" s="1"/>
  <c r="H102" i="67"/>
  <c r="H103" i="67" s="1"/>
  <c r="F200" i="49"/>
  <c r="F201" i="49" s="1"/>
  <c r="F202" i="49" s="1"/>
  <c r="N201" i="49"/>
  <c r="G86" i="67"/>
  <c r="G102" i="67"/>
  <c r="O200" i="49"/>
  <c r="G200" i="49" s="1"/>
  <c r="G201" i="49" s="1"/>
  <c r="G202" i="49" s="1"/>
  <c r="M102" i="67"/>
  <c r="P199" i="49"/>
  <c r="H199" i="49" s="1"/>
  <c r="P200" i="49"/>
  <c r="H200" i="49" s="1"/>
  <c r="E87" i="67"/>
  <c r="P208" i="49"/>
  <c r="H208" i="49" s="1"/>
  <c r="G115" i="67"/>
  <c r="N103" i="67" l="1"/>
  <c r="L76" i="67"/>
  <c r="L115" i="67"/>
  <c r="J87" i="67"/>
  <c r="M103" i="67"/>
  <c r="K76" i="67"/>
  <c r="H114" i="67"/>
  <c r="P207" i="49"/>
  <c r="P209" i="49" s="1"/>
  <c r="O201" i="49"/>
  <c r="M114" i="67"/>
  <c r="O209" i="49"/>
  <c r="G103" i="67"/>
  <c r="F76" i="67"/>
  <c r="P201" i="49"/>
  <c r="N114" i="67"/>
  <c r="H201" i="49"/>
  <c r="H202" i="49" s="1"/>
  <c r="F87" i="67"/>
  <c r="G76" i="67"/>
  <c r="N115" i="67" l="1"/>
  <c r="L87" i="67"/>
  <c r="M115" i="67"/>
  <c r="K87" i="67"/>
  <c r="H207" i="49"/>
  <c r="H209" i="49" s="1"/>
  <c r="H210" i="49" s="1"/>
  <c r="H115" i="67"/>
  <c r="G87" i="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Leygonie, Marie</author>
  </authors>
  <commentList>
    <comment ref="AU126" authorId="0" shapeId="0" xr:uid="{34DC6F12-AAF8-4AF6-A869-1B06ADCBF1A5}">
      <text>
        <r>
          <rPr>
            <b/>
            <sz val="9"/>
            <color indexed="81"/>
            <rFont val="Tahoma"/>
            <family val="2"/>
          </rPr>
          <t>Spread over the 3 other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Leygonie, Marie</author>
  </authors>
  <commentList>
    <comment ref="L16" authorId="0" shapeId="0" xr:uid="{8356B188-4F85-4311-A5B9-F842F8D2CC20}">
      <text>
        <r>
          <rPr>
            <b/>
            <sz val="9"/>
            <color indexed="81"/>
            <rFont val="Tahoma"/>
            <family val="2"/>
          </rPr>
          <t>NPK used are NPK 17-17-17 and 25-5-5</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C5234-EE67-489C-B0E0-81C209190306}" keepAlive="1" name="Query - FAOSTAT_data_en_5-24-2023 (1)" description="Connection to the 'FAOSTAT_data_en_5-24-2023 (1)' query in the workbook." type="5" refreshedVersion="8" background="1" saveData="1">
    <dbPr connection="Provider=Microsoft.Mashup.OleDb.1;Data Source=$Workbook$;Location=&quot;FAOSTAT_data_en_5-24-2023 (1)&quot;;Extended Properties=&quot;&quot;" command="SELECT * FROM [FAOSTAT_data_en_5-24-2023 (1)]"/>
  </connection>
</connections>
</file>

<file path=xl/sharedStrings.xml><?xml version="1.0" encoding="utf-8"?>
<sst xmlns="http://schemas.openxmlformats.org/spreadsheetml/2006/main" count="2831" uniqueCount="376">
  <si>
    <t>Description</t>
  </si>
  <si>
    <t>Color codes</t>
  </si>
  <si>
    <t>Client :</t>
  </si>
  <si>
    <t>OCP Africa</t>
  </si>
  <si>
    <t>abc</t>
  </si>
  <si>
    <t>From external source</t>
  </si>
  <si>
    <t>Données</t>
  </si>
  <si>
    <t>Description :</t>
  </si>
  <si>
    <t>Calculs</t>
  </si>
  <si>
    <t>Projected</t>
  </si>
  <si>
    <t>P205 Forecasted Consumption</t>
  </si>
  <si>
    <t xml:space="preserve">Range </t>
  </si>
  <si>
    <t>CAGR 21-25</t>
  </si>
  <si>
    <t>TOTAL P205</t>
  </si>
  <si>
    <t xml:space="preserve">kt </t>
  </si>
  <si>
    <t>Baseline</t>
  </si>
  <si>
    <t>P205 consumption - Baseline</t>
  </si>
  <si>
    <t>eqDAP/ TSP</t>
  </si>
  <si>
    <t>RAR</t>
  </si>
  <si>
    <t>P205/ TSP, kt</t>
  </si>
  <si>
    <t>CAGR 17-20</t>
  </si>
  <si>
    <t>Harvested areas</t>
  </si>
  <si>
    <t>Overview</t>
  </si>
  <si>
    <t>ha</t>
  </si>
  <si>
    <t>Hypothesis</t>
  </si>
  <si>
    <t>from FAOSTAT</t>
  </si>
  <si>
    <t xml:space="preserve">CAGR 17-21 </t>
  </si>
  <si>
    <t>CAGR 20-21</t>
  </si>
  <si>
    <t>Retained CAGR 21-25</t>
  </si>
  <si>
    <t>Source 1</t>
  </si>
  <si>
    <t>Source 2</t>
  </si>
  <si>
    <t>TOTAL</t>
  </si>
  <si>
    <t xml:space="preserve">a </t>
  </si>
  <si>
    <t xml:space="preserve">Application rate - Scénario1 (Baseline) </t>
  </si>
  <si>
    <t>P205, kg/ha</t>
  </si>
  <si>
    <t>Projected with retained CAGR</t>
  </si>
  <si>
    <t>Deflator rate (to be applied while fine tuning model)</t>
  </si>
  <si>
    <t>Imported P205 nutrient</t>
  </si>
  <si>
    <t>P205/ TSP, kg/ha</t>
  </si>
  <si>
    <t>Crop - undifferentiated</t>
  </si>
  <si>
    <t>eq. DAP/ TSP</t>
  </si>
  <si>
    <t>Source</t>
  </si>
  <si>
    <t>b</t>
  </si>
  <si>
    <t xml:space="preserve">Ramp up </t>
  </si>
  <si>
    <t>P205 kg/ha</t>
  </si>
  <si>
    <t>Projected with OCP RAR</t>
  </si>
  <si>
    <t>Crop type</t>
  </si>
  <si>
    <t>Crop category</t>
  </si>
  <si>
    <t>Application potential</t>
  </si>
  <si>
    <t>Target 2025</t>
  </si>
  <si>
    <t>Potential fulfillment curve</t>
  </si>
  <si>
    <t>Adjusted RAR</t>
  </si>
  <si>
    <t>Comments</t>
  </si>
  <si>
    <t xml:space="preserve">DRAFT - HYOTHESES </t>
  </si>
  <si>
    <t>Millet</t>
  </si>
  <si>
    <t>Linear</t>
  </si>
  <si>
    <t>Leguminous</t>
  </si>
  <si>
    <t>Exponential</t>
  </si>
  <si>
    <t>Sorghum</t>
  </si>
  <si>
    <t>Others</t>
  </si>
  <si>
    <t>Gardening crop</t>
  </si>
  <si>
    <t>Rice</t>
  </si>
  <si>
    <t>Maize</t>
  </si>
  <si>
    <t>Tubercules</t>
  </si>
  <si>
    <t>Recommended Application rates</t>
  </si>
  <si>
    <t>check deflator applied in P-potential model</t>
  </si>
  <si>
    <t>Deflator - structurel au marché (to be adjusted)</t>
  </si>
  <si>
    <t>Textile plant</t>
  </si>
  <si>
    <t>OCP - Amadou Gouzaye</t>
  </si>
  <si>
    <t>Agroproductivity index, P-potential model (to be adjusted)</t>
  </si>
  <si>
    <t>²</t>
  </si>
  <si>
    <t>P205 captured</t>
  </si>
  <si>
    <t>In kt P205</t>
  </si>
  <si>
    <t>Rationale</t>
  </si>
  <si>
    <t>FROM P-POTENTIAL MODEL</t>
  </si>
  <si>
    <t>In kg of P2O5</t>
  </si>
  <si>
    <t>Average in kg of P2O5</t>
  </si>
  <si>
    <t xml:space="preserve">Leguminous </t>
  </si>
  <si>
    <t>Cacao, Coffee</t>
  </si>
  <si>
    <t>Wheat</t>
  </si>
  <si>
    <t xml:space="preserve">Fonio </t>
  </si>
  <si>
    <t xml:space="preserve">Plante textile </t>
  </si>
  <si>
    <t xml:space="preserve">Coton </t>
  </si>
  <si>
    <t>Culture maraichere</t>
  </si>
  <si>
    <t>Column Labels</t>
  </si>
  <si>
    <t>Row Labels</t>
  </si>
  <si>
    <t>Grand Total</t>
  </si>
  <si>
    <t>https://www.fao.org/faostat/en/#data/EF</t>
  </si>
  <si>
    <t>Domain Code</t>
  </si>
  <si>
    <t>Domain</t>
  </si>
  <si>
    <t>Area Code (M49)</t>
  </si>
  <si>
    <t>Area</t>
  </si>
  <si>
    <t>Element Code</t>
  </si>
  <si>
    <t>Element</t>
  </si>
  <si>
    <t>Item Code</t>
  </si>
  <si>
    <t>Item</t>
  </si>
  <si>
    <t>Year Code</t>
  </si>
  <si>
    <t>Year</t>
  </si>
  <si>
    <t>Unit</t>
  </si>
  <si>
    <t>Value</t>
  </si>
  <si>
    <t>Flag</t>
  </si>
  <si>
    <t>Flag Description</t>
  </si>
  <si>
    <t>EF</t>
  </si>
  <si>
    <t>Fertilizers indicators</t>
  </si>
  <si>
    <t>5159</t>
  </si>
  <si>
    <t>Use per area of cropland</t>
  </si>
  <si>
    <t>3103</t>
  </si>
  <si>
    <t>Nutrient phosphate P2O5 (total)</t>
  </si>
  <si>
    <t>2017</t>
  </si>
  <si>
    <t>kg/ha</t>
  </si>
  <si>
    <t>E</t>
  </si>
  <si>
    <t>Estimated value</t>
  </si>
  <si>
    <t>2018</t>
  </si>
  <si>
    <t>2019</t>
  </si>
  <si>
    <t>2020</t>
  </si>
  <si>
    <t>HarvestedAreas</t>
  </si>
  <si>
    <t>Sum of Value</t>
  </si>
  <si>
    <t>Cow peas, dry</t>
  </si>
  <si>
    <t>Sesame seed</t>
  </si>
  <si>
    <t>Onions and shallots, dry (excluding dehydrated)</t>
  </si>
  <si>
    <t>Tomatoes</t>
  </si>
  <si>
    <t>Other vegetables, fresh n.e.c.</t>
  </si>
  <si>
    <t>Maize (corn)</t>
  </si>
  <si>
    <t>Potatoes</t>
  </si>
  <si>
    <t>Sweet potatoes</t>
  </si>
  <si>
    <t>Chillies and peppers, dry (Capsicum spp., Pimenta spp.), raw</t>
  </si>
  <si>
    <t>Item Code (CPC)</t>
  </si>
  <si>
    <t>QCL</t>
  </si>
  <si>
    <t>Crops and livestock products</t>
  </si>
  <si>
    <t>Area harvested</t>
  </si>
  <si>
    <t>I</t>
  </si>
  <si>
    <t>Imputed value</t>
  </si>
  <si>
    <t>01701</t>
  </si>
  <si>
    <t>Beans, dry</t>
  </si>
  <si>
    <t>01520.01</t>
  </si>
  <si>
    <t>Cassava, fresh</t>
  </si>
  <si>
    <t>01703</t>
  </si>
  <si>
    <t>Chick peas, dry</t>
  </si>
  <si>
    <t>01652</t>
  </si>
  <si>
    <t>01706</t>
  </si>
  <si>
    <t>0142</t>
  </si>
  <si>
    <t>Groundnuts, excluding shelled</t>
  </si>
  <si>
    <t>T</t>
  </si>
  <si>
    <t>Unofficial figure</t>
  </si>
  <si>
    <t>0112</t>
  </si>
  <si>
    <t>0118</t>
  </si>
  <si>
    <t>01253.02</t>
  </si>
  <si>
    <t>M</t>
  </si>
  <si>
    <t>Missing value (data cannot exist, not applicable)</t>
  </si>
  <si>
    <t>01359.90</t>
  </si>
  <si>
    <t>Other fruits, n.e.c.</t>
  </si>
  <si>
    <t>01449.90</t>
  </si>
  <si>
    <t>Other oil seeds, n.e.c.</t>
  </si>
  <si>
    <t>01290.90</t>
  </si>
  <si>
    <t>01510</t>
  </si>
  <si>
    <t>0113</t>
  </si>
  <si>
    <t>01921.01</t>
  </si>
  <si>
    <t>Seed cotton, unginned</t>
  </si>
  <si>
    <t>01444</t>
  </si>
  <si>
    <t>0114</t>
  </si>
  <si>
    <t>01802</t>
  </si>
  <si>
    <t>Sugar cane</t>
  </si>
  <si>
    <t>01530</t>
  </si>
  <si>
    <t>01234</t>
  </si>
  <si>
    <t>0111</t>
  </si>
  <si>
    <t>01312</t>
  </si>
  <si>
    <t>Bananas</t>
  </si>
  <si>
    <t>01447</t>
  </si>
  <si>
    <t>Castor oil seeds</t>
  </si>
  <si>
    <t>01318</t>
  </si>
  <si>
    <t>Pineapples</t>
  </si>
  <si>
    <t>01445</t>
  </si>
  <si>
    <t>Sunflower seed</t>
  </si>
  <si>
    <t>Lever 3 - Go further in the value chain with direct supplies to customers</t>
  </si>
  <si>
    <t xml:space="preserve">Rationale </t>
  </si>
  <si>
    <t>Synthesis</t>
  </si>
  <si>
    <t>OCP MS</t>
  </si>
  <si>
    <t>a</t>
  </si>
  <si>
    <t>Synthesis - OCP sales - per product &amp; lever</t>
  </si>
  <si>
    <t>Sales per product, lever, year</t>
  </si>
  <si>
    <t>In kt product</t>
  </si>
  <si>
    <t>In %</t>
  </si>
  <si>
    <t>DAP</t>
  </si>
  <si>
    <t>TSP, straight</t>
  </si>
  <si>
    <t>NPK</t>
  </si>
  <si>
    <t>Total</t>
  </si>
  <si>
    <t>Demand unlocking scenario</t>
  </si>
  <si>
    <t>Synthesis - OCP sales - volume of product p. lever</t>
  </si>
  <si>
    <t>Sales per lever, year</t>
  </si>
  <si>
    <t>Demand unlocking</t>
  </si>
  <si>
    <t>c</t>
  </si>
  <si>
    <t>Synthesis - OCP product sales</t>
  </si>
  <si>
    <t>Sales per product, year</t>
  </si>
  <si>
    <t>d</t>
  </si>
  <si>
    <t>Market per product, evolution kt product</t>
  </si>
  <si>
    <t>OCP market share</t>
  </si>
  <si>
    <t>Product use</t>
  </si>
  <si>
    <t>Non OCP - market mix evolution</t>
  </si>
  <si>
    <t>OCP product evolution</t>
  </si>
  <si>
    <t>TSP, straigt</t>
  </si>
  <si>
    <t>Evolution Rational</t>
  </si>
  <si>
    <t>OCP target product mix</t>
  </si>
  <si>
    <t>OCP sales in product</t>
  </si>
  <si>
    <t>% of  products</t>
  </si>
  <si>
    <t>kt products</t>
  </si>
  <si>
    <t>eqDAP/ TSP, straigt</t>
  </si>
  <si>
    <t>TOTAL products</t>
  </si>
  <si>
    <t>Non-OCP market</t>
  </si>
  <si>
    <t>P205 not captured by OCP</t>
  </si>
  <si>
    <t>Market product mix</t>
  </si>
  <si>
    <t>Other sales</t>
  </si>
  <si>
    <t>% of product</t>
  </si>
  <si>
    <t>Check</t>
  </si>
  <si>
    <t>TSP straight</t>
  </si>
  <si>
    <t>OCP Market shares</t>
  </si>
  <si>
    <t xml:space="preserve">Concentration </t>
  </si>
  <si>
    <t>TSP</t>
  </si>
  <si>
    <t>In kt P2O5</t>
  </si>
  <si>
    <t>% of total, 2022</t>
  </si>
  <si>
    <t>% of total, 2025</t>
  </si>
  <si>
    <t>Total net growth</t>
  </si>
  <si>
    <t>Share of net growth</t>
  </si>
  <si>
    <t>P205 consumption - Demand unlocking scenario</t>
  </si>
  <si>
    <t>Application rate - Demand unlocking scenario</t>
  </si>
  <si>
    <t>Estimated total market</t>
  </si>
  <si>
    <t>P2O5 consumption - Baseline</t>
  </si>
  <si>
    <t>P2O5 market - Baseline</t>
  </si>
  <si>
    <t>product, kt</t>
  </si>
  <si>
    <t xml:space="preserve">P2O5, kt </t>
  </si>
  <si>
    <t>P2O5 market - Demand unlocking scenario</t>
  </si>
  <si>
    <t>In P2O5</t>
  </si>
  <si>
    <t>Uganda P205</t>
  </si>
  <si>
    <t>Uganda</t>
  </si>
  <si>
    <t>01640</t>
  </si>
  <si>
    <t>Cocoa beans</t>
  </si>
  <si>
    <t>01610</t>
  </si>
  <si>
    <t>Coffee, green</t>
  </si>
  <si>
    <t>01657</t>
  </si>
  <si>
    <t>Ginger, raw</t>
  </si>
  <si>
    <t>01705</t>
  </si>
  <si>
    <t>Peas, dry</t>
  </si>
  <si>
    <t>01651</t>
  </si>
  <si>
    <t>Pepper (Piper spp.), raw</t>
  </si>
  <si>
    <t>01707</t>
  </si>
  <si>
    <t>Pigeon peas, dry</t>
  </si>
  <si>
    <t>01313</t>
  </si>
  <si>
    <t>Plantains and cooking bananas</t>
  </si>
  <si>
    <t>01929.05</t>
  </si>
  <si>
    <t>Sisal, raw</t>
  </si>
  <si>
    <t>0141</t>
  </si>
  <si>
    <t>Soya beans</t>
  </si>
  <si>
    <t>01620</t>
  </si>
  <si>
    <t>Tea leaves</t>
  </si>
  <si>
    <t>01970</t>
  </si>
  <si>
    <t>Unmanufactured tobacco</t>
  </si>
  <si>
    <t>01658</t>
  </si>
  <si>
    <t>Vanilla, raw</t>
  </si>
  <si>
    <t>MAP</t>
  </si>
  <si>
    <t>Harvested area</t>
  </si>
  <si>
    <t>In kt</t>
  </si>
  <si>
    <t>Kg/ha</t>
  </si>
  <si>
    <t>Trade maps for official imports and expert call for informality</t>
  </si>
  <si>
    <t>from Trademaps / expert calls</t>
  </si>
  <si>
    <t>Crop with low use of fertilizers</t>
  </si>
  <si>
    <t>Commercial crop</t>
  </si>
  <si>
    <t>Decrease of importance of cotton</t>
  </si>
  <si>
    <t>1st cash crop</t>
  </si>
  <si>
    <t>Push from the government regarding leguminous /oil seeds</t>
  </si>
  <si>
    <t>Increasing important crop</t>
  </si>
  <si>
    <t>Staple crop with steady growth</t>
  </si>
  <si>
    <t>Mix staple /commercial crop</t>
  </si>
  <si>
    <t>Increasing important crop to export recently</t>
  </si>
  <si>
    <t>Lever 0 - Address Uganda standards barriers</t>
  </si>
  <si>
    <t>Lever 1 - Push products to importers opportunistically from Kenya</t>
  </si>
  <si>
    <t>Lever 2 - Open a warehouse to start the downstream move</t>
  </si>
  <si>
    <t>Lever 3 - Develop from Kenya specific formulas to meet Ugandan needs</t>
  </si>
  <si>
    <t xml:space="preserve">Lever 0 - Address Uganda standards barriers </t>
  </si>
  <si>
    <t xml:space="preserve">No impact </t>
  </si>
  <si>
    <t>OCP Market share (%) in P2O5</t>
  </si>
  <si>
    <t>Total P2O5</t>
  </si>
  <si>
    <t xml:space="preserve">Target Grain Pulse, Uganda Crop Care and Balton </t>
  </si>
  <si>
    <t>Serve as from September 2023</t>
  </si>
  <si>
    <t>Opening of the warehouse H2 2024</t>
  </si>
  <si>
    <t>Market serve via the warehouse</t>
  </si>
  <si>
    <t xml:space="preserve"> Consolidated market shares from the 3 players</t>
  </si>
  <si>
    <t>OCP market shares within these companies</t>
  </si>
  <si>
    <t>Consolidated market shares from the 3 players</t>
  </si>
  <si>
    <t xml:space="preserve">OCP market shares </t>
  </si>
  <si>
    <t>Considering 50% of the market (time reason)</t>
  </si>
  <si>
    <t>No warehouse</t>
  </si>
  <si>
    <t xml:space="preserve">Market considered </t>
  </si>
  <si>
    <t>Market considered</t>
  </si>
  <si>
    <t>Formula</t>
  </si>
  <si>
    <t>Low efforts to target these crops</t>
  </si>
  <si>
    <t>Formula, push TSP at competitive price</t>
  </si>
  <si>
    <t>Formula, direct supply to Atheneum, commercial farm</t>
  </si>
  <si>
    <t>Formula, direct supply cooperatives</t>
  </si>
  <si>
    <t>NP compounds</t>
  </si>
  <si>
    <t>Total Check</t>
  </si>
  <si>
    <t>Based on 2021 imports</t>
  </si>
  <si>
    <t>Use of traditional fertilizer products</t>
  </si>
  <si>
    <t>Tsp straight</t>
  </si>
  <si>
    <t>OCP Product Sales</t>
  </si>
  <si>
    <t>% of products</t>
  </si>
  <si>
    <t xml:space="preserve">Total incremental accountable to demand unlocking </t>
  </si>
  <si>
    <t>OCP Africa - Uganda Market Projection</t>
  </si>
  <si>
    <t>Crop</t>
  </si>
  <si>
    <t>kt P2O5</t>
  </si>
  <si>
    <t>OCP potential sales</t>
  </si>
  <si>
    <t>Name of the farm</t>
  </si>
  <si>
    <t>Kakira Sugar Limited</t>
  </si>
  <si>
    <t>Kinyara Sugar Limited</t>
  </si>
  <si>
    <t xml:space="preserve">Scoul </t>
  </si>
  <si>
    <t>Amatheon Agro</t>
  </si>
  <si>
    <t>Omer Farm</t>
  </si>
  <si>
    <t>Zhong Industries</t>
  </si>
  <si>
    <t>Tilda Uganda</t>
  </si>
  <si>
    <t>P2O5 in kt</t>
  </si>
  <si>
    <t xml:space="preserve">Product suggested </t>
  </si>
  <si>
    <t>Equivalent in TSP product</t>
  </si>
  <si>
    <t xml:space="preserve">TSP blendable </t>
  </si>
  <si>
    <t>TSP blendable</t>
  </si>
  <si>
    <t>Synthesis - Non-OCP sales &amp; OCP sales</t>
  </si>
  <si>
    <t>OCP checl</t>
  </si>
  <si>
    <t>OCP check</t>
  </si>
  <si>
    <t>Total investment - Low range</t>
  </si>
  <si>
    <t>Total investment - High range</t>
  </si>
  <si>
    <t>Recurring cost</t>
  </si>
  <si>
    <t>Comment</t>
  </si>
  <si>
    <t>FTE needs</t>
  </si>
  <si>
    <t>Yes</t>
  </si>
  <si>
    <t xml:space="preserve">Car acquisition </t>
  </si>
  <si>
    <t>No</t>
  </si>
  <si>
    <t>Warehouse rental</t>
  </si>
  <si>
    <t>Branding &amp; marketing</t>
  </si>
  <si>
    <t xml:space="preserve">Total investments </t>
  </si>
  <si>
    <t xml:space="preserve">FTEs needs </t>
  </si>
  <si>
    <t>Unit cost low range</t>
  </si>
  <si>
    <t>Unit cost high range</t>
  </si>
  <si>
    <t>2023</t>
  </si>
  <si>
    <t>2024</t>
  </si>
  <si>
    <t>2025</t>
  </si>
  <si>
    <t>Quantity- Low range</t>
  </si>
  <si>
    <t>Quantity - High range</t>
  </si>
  <si>
    <t>FTE gross salary ($/year)</t>
  </si>
  <si>
    <t>Regional warehouses</t>
  </si>
  <si>
    <t>Number of warehouse</t>
  </si>
  <si>
    <t xml:space="preserve">Warehouse rental </t>
  </si>
  <si>
    <t>Warehouse ($/m²)</t>
  </si>
  <si>
    <t>Empirical data from currently rented OCP Ghana warehouses</t>
  </si>
  <si>
    <t>Warehouse capacity (kt)</t>
  </si>
  <si>
    <t xml:space="preserve">Estimated area needed to store 5 kT at all times (from OCP Ghana experience) </t>
  </si>
  <si>
    <t xml:space="preserve">Branding &amp; marketing </t>
  </si>
  <si>
    <t>Retail sponsorship</t>
  </si>
  <si>
    <t>Number of retailers in Uganda</t>
  </si>
  <si>
    <t>% of retailers sponsored</t>
  </si>
  <si>
    <t>Number of retailers sponsored</t>
  </si>
  <si>
    <t>Between 5 and 15% of total retailers in Uganda, assumong 2000 agrodealers</t>
  </si>
  <si>
    <t>Cost of retailer sponsorship ($)</t>
  </si>
  <si>
    <t xml:space="preserve">Advertisement &amp; marketing </t>
  </si>
  <si>
    <t>Number of OCP Uganda ads (12m² posters)</t>
  </si>
  <si>
    <t>Cost of individual ad ($)</t>
  </si>
  <si>
    <t>From Green Africa estimations</t>
  </si>
  <si>
    <t xml:space="preserve">High-quality bagging </t>
  </si>
  <si>
    <t xml:space="preserve">Number of OCP bags (50 kg bags) </t>
  </si>
  <si>
    <t>Managed by OCP Kenya subsidiary</t>
  </si>
  <si>
    <t>Cost of high-quality bag ($)</t>
  </si>
  <si>
    <t>Demo plots</t>
  </si>
  <si>
    <t>Number of demo plots to engage</t>
  </si>
  <si>
    <t>Cost of a demo plot ($)</t>
  </si>
  <si>
    <t>Total - Branding &amp; Marketing</t>
  </si>
  <si>
    <t>Gap between scenarios</t>
  </si>
  <si>
    <t>In kt products</t>
  </si>
  <si>
    <t xml:space="preserve">Base line </t>
  </si>
  <si>
    <t>Demand unlock</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</si>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</sst>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0.0_);\(#,##0.0\);0.0_);@_)"/>
    <numFmt numFmtId="167" formatCode="0.0%_);\(0.0%\)"/>
    <numFmt numFmtId="168" formatCode="dd\-mmm\-yy_)"/>
    <numFmt numFmtId="169" formatCode=";;;"/>
    <numFmt numFmtId="170" formatCode="#,##0_);\(#,##0\);0_);@_)"/>
    <numFmt numFmtId="171" formatCode="#.##0;\-#.##0;\-"/>
    <numFmt numFmtId="172" formatCode="#,##0.00_);\(#,##0.00\);0.00_);@_)"/>
    <numFmt numFmtId="173" formatCode="########0.00"/>
    <numFmt numFmtId="174" formatCode="0%_);\(0%\)"/>
    <numFmt numFmtId="175" formatCode="0.0"/>
    <numFmt numFmtId="176" formatCode="0%;\ \(0%\);\-"/>
    <numFmt numFmtId="177" formatCode="0.0;\(0.0\);\-"/>
    <numFmt numFmtId="178" formatCode="#;\-#;\-"/>
    <numFmt numFmtId="179" formatCode="_-* #,##0_-;\-* #,##0_-;_-* &quot;-&quot;??_-;_-@_-"/>
    <numFmt numFmtId="180" formatCode="_-* #,##0.0_-;\-* #,##0.0_-;_-* &quot;-&quot;??_-;_-@_-"/>
    <numFmt numFmtId="187" formatCode="#,##0.00000000_);\(#,##0.00000000\);0.00000000_);@_)"/>
  </numFmts>
  <fonts count="65" x14ac:knownFonts="1">
    <font>
      <sz val="10"/>
      <name val="Arial"/>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0"/>
      <color indexed="12"/>
      <name val="Arial"/>
      <family val="2"/>
    </font>
    <font>
      <sz val="8"/>
      <name val="Arial"/>
      <family val="2"/>
    </font>
    <font>
      <b/>
      <sz val="18"/>
      <color theme="3"/>
      <name val="Trebuchet MS"/>
      <family val="2"/>
      <scheme val="major"/>
    </font>
    <font>
      <b/>
      <sz val="15"/>
      <color theme="3"/>
      <name val="Arial"/>
      <family val="2"/>
    </font>
    <font>
      <b/>
      <sz val="13"/>
      <color theme="3"/>
      <name val="Arial"/>
      <family val="2"/>
    </font>
    <font>
      <b/>
      <sz val="11"/>
      <color theme="3"/>
      <name val="Arial"/>
      <family val="2"/>
    </font>
    <font>
      <sz val="16"/>
      <color rgb="FF006100"/>
      <name val="Arial"/>
      <family val="2"/>
    </font>
    <font>
      <sz val="16"/>
      <color rgb="FF9C0006"/>
      <name val="Arial"/>
      <family val="2"/>
    </font>
    <font>
      <sz val="16"/>
      <color rgb="FF9C6500"/>
      <name val="Arial"/>
      <family val="2"/>
    </font>
    <font>
      <b/>
      <sz val="16"/>
      <color rgb="FF3F3F3F"/>
      <name val="Arial"/>
      <family val="2"/>
    </font>
    <font>
      <b/>
      <sz val="16"/>
      <color rgb="FFFA7D00"/>
      <name val="Arial"/>
      <family val="2"/>
    </font>
    <font>
      <sz val="16"/>
      <color rgb="FFFA7D00"/>
      <name val="Arial"/>
      <family val="2"/>
    </font>
    <font>
      <b/>
      <sz val="16"/>
      <color theme="0"/>
      <name val="Arial"/>
      <family val="2"/>
    </font>
    <font>
      <sz val="16"/>
      <color rgb="FFFF0000"/>
      <name val="Arial"/>
      <family val="2"/>
    </font>
    <font>
      <sz val="10"/>
      <name val="Arial"/>
      <family val="2"/>
    </font>
    <font>
      <i/>
      <sz val="16"/>
      <color rgb="FF7F7F7F"/>
      <name val="Arial"/>
      <family val="2"/>
    </font>
    <font>
      <b/>
      <sz val="16"/>
      <color theme="1"/>
      <name val="Arial"/>
      <family val="2"/>
    </font>
    <font>
      <sz val="16"/>
      <color theme="0"/>
      <name val="Arial"/>
      <family val="2"/>
    </font>
    <font>
      <sz val="16"/>
      <color theme="1"/>
      <name val="Arial"/>
      <family val="2"/>
    </font>
    <font>
      <sz val="10"/>
      <color rgb="FF0000FF"/>
      <name val="Arial"/>
      <family val="2"/>
    </font>
    <font>
      <sz val="10"/>
      <name val="Arial"/>
      <family val="2"/>
    </font>
    <font>
      <b/>
      <sz val="10"/>
      <color indexed="9"/>
      <name val="Arial"/>
      <family val="2"/>
    </font>
    <font>
      <b/>
      <sz val="18"/>
      <color indexed="9"/>
      <name val="Arial"/>
      <family val="2"/>
    </font>
    <font>
      <b/>
      <sz val="12"/>
      <color rgb="FF006600"/>
      <name val="Arial"/>
      <family val="2"/>
    </font>
    <font>
      <b/>
      <sz val="8"/>
      <name val="Arial"/>
      <family val="2"/>
    </font>
    <font>
      <b/>
      <sz val="10"/>
      <color theme="3"/>
      <name val="Arial"/>
      <family val="2"/>
    </font>
    <font>
      <sz val="10"/>
      <color theme="3"/>
      <name val="Arial"/>
      <family val="2"/>
    </font>
    <font>
      <b/>
      <sz val="12"/>
      <color theme="3"/>
      <name val="Arial"/>
      <family val="2"/>
    </font>
    <font>
      <b/>
      <sz val="12"/>
      <color theme="0"/>
      <name val="Arial"/>
      <family val="2"/>
    </font>
    <font>
      <sz val="11"/>
      <name val="Trebuchet MS"/>
      <family val="2"/>
      <scheme val="minor"/>
    </font>
    <font>
      <b/>
      <sz val="10"/>
      <color theme="0"/>
      <name val="Arial"/>
      <family val="2"/>
    </font>
    <font>
      <b/>
      <sz val="10"/>
      <name val="Arial"/>
      <family val="2"/>
    </font>
    <font>
      <u/>
      <sz val="10"/>
      <color theme="10"/>
      <name val="Arial"/>
      <family val="2"/>
    </font>
    <font>
      <sz val="11"/>
      <color indexed="8"/>
      <name val="Trebuchet MS"/>
      <family val="2"/>
      <scheme val="minor"/>
    </font>
    <font>
      <sz val="10"/>
      <color theme="1"/>
      <name val="Arial"/>
      <family val="2"/>
    </font>
    <font>
      <sz val="8"/>
      <name val="Arial"/>
      <family val="2"/>
    </font>
    <font>
      <b/>
      <sz val="10"/>
      <color rgb="FF0000FF"/>
      <name val="Arial"/>
      <family val="2"/>
    </font>
    <font>
      <b/>
      <sz val="10"/>
      <color theme="1"/>
      <name val="Arial"/>
      <family val="2"/>
    </font>
    <font>
      <sz val="10"/>
      <color theme="0"/>
      <name val="Arial"/>
      <family val="2"/>
    </font>
    <font>
      <sz val="12"/>
      <name val="Arial"/>
      <family val="2"/>
    </font>
    <font>
      <sz val="12"/>
      <color theme="1"/>
      <name val="Trebuchet MS"/>
      <family val="2"/>
      <scheme val="minor"/>
    </font>
    <font>
      <i/>
      <sz val="10"/>
      <name val="Arial"/>
      <family val="2"/>
    </font>
    <font>
      <sz val="10"/>
      <color theme="9" tint="0.79998168889431442"/>
      <name val="Arial"/>
      <family val="2"/>
    </font>
    <font>
      <b/>
      <i/>
      <sz val="10"/>
      <name val="Arial"/>
      <family val="2"/>
    </font>
    <font>
      <i/>
      <sz val="10"/>
      <color theme="0" tint="-0.499984740745262"/>
      <name val="Arial"/>
      <family val="2"/>
    </font>
    <font>
      <u/>
      <sz val="10"/>
      <color theme="10"/>
      <name val="Arial"/>
      <family val="2"/>
    </font>
    <font>
      <i/>
      <sz val="10"/>
      <color theme="0"/>
      <name val="Arial"/>
      <family val="2"/>
    </font>
    <font>
      <b/>
      <i/>
      <sz val="10"/>
      <color theme="9"/>
      <name val="Arial"/>
      <family val="2"/>
    </font>
    <font>
      <sz val="12"/>
      <color indexed="0"/>
      <name val="Arial"/>
      <family val="2"/>
    </font>
    <font>
      <i/>
      <sz val="10"/>
      <color rgb="FF0000FF"/>
      <name val="Arial"/>
      <family val="2"/>
    </font>
    <font>
      <b/>
      <sz val="12"/>
      <color theme="9"/>
      <name val="Arial"/>
      <family val="2"/>
    </font>
    <font>
      <b/>
      <sz val="9"/>
      <color indexed="81"/>
      <name val="Tahoma"/>
      <family val="2"/>
    </font>
    <font>
      <sz val="11"/>
      <name val="Arial"/>
      <family val="2"/>
    </font>
    <font>
      <sz val="11"/>
      <color theme="0"/>
      <name val="Arial"/>
      <family val="2"/>
    </font>
    <font>
      <b/>
      <sz val="11"/>
      <color theme="0"/>
      <name val="Arial"/>
      <family val="2"/>
    </font>
  </fonts>
  <fills count="50">
    <fill>
      <patternFill patternType="none"/>
    </fill>
    <fill>
      <patternFill patternType="gray125"/>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FFFFCC"/>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4"/>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0000FF"/>
        <bgColor indexed="64"/>
      </patternFill>
    </fill>
    <fill>
      <patternFill patternType="solid">
        <fgColor theme="9" tint="0.79998168889431442"/>
        <bgColor indexed="64"/>
      </patternFill>
    </fill>
    <fill>
      <patternFill patternType="solid">
        <fgColor theme="4" tint="0.89999084444715716"/>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theme="2" tint="-9.9978637043366805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0" tint="-0.499984740745262"/>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top style="medium">
        <color theme="9"/>
      </top>
      <bottom/>
      <diagonal/>
    </border>
    <border>
      <left/>
      <right/>
      <top style="medium">
        <color theme="9"/>
      </top>
      <bottom style="thin">
        <color indexed="64"/>
      </bottom>
      <diagonal/>
    </border>
    <border>
      <left style="medium">
        <color theme="9"/>
      </left>
      <right/>
      <top/>
      <bottom/>
      <diagonal/>
    </border>
    <border>
      <left style="medium">
        <color theme="9"/>
      </left>
      <right/>
      <top/>
      <bottom style="medium">
        <color theme="9"/>
      </bottom>
      <diagonal/>
    </border>
    <border>
      <left/>
      <right/>
      <top/>
      <bottom style="medium">
        <color theme="9"/>
      </bottom>
      <diagonal/>
    </border>
    <border>
      <left/>
      <right style="thin">
        <color indexed="64"/>
      </right>
      <top style="medium">
        <color theme="9"/>
      </top>
      <bottom style="thin">
        <color indexed="64"/>
      </bottom>
      <diagonal/>
    </border>
    <border>
      <left/>
      <right style="thin">
        <color indexed="64"/>
      </right>
      <top/>
      <bottom/>
      <diagonal/>
    </border>
    <border>
      <left/>
      <right style="thin">
        <color indexed="64"/>
      </right>
      <top/>
      <bottom style="medium">
        <color theme="9"/>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77">
    <xf numFmtId="0" fontId="0" fillId="0" borderId="0"/>
    <xf numFmtId="166" fontId="10" fillId="2" borderId="1" applyNumberFormat="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5" applyNumberFormat="0" applyAlignment="0" applyProtection="0"/>
    <xf numFmtId="0" fontId="20" fillId="6" borderId="6"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24" fillId="8" borderId="9" applyNumberFormat="0" applyFont="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7" fillId="32" borderId="0" applyNumberFormat="0" applyBorder="0" applyAlignment="0" applyProtection="0"/>
    <xf numFmtId="167" fontId="29" fillId="33" borderId="1" applyNumberFormat="0" applyFill="0" applyBorder="0" applyAlignment="0" applyProtection="0"/>
    <xf numFmtId="168" fontId="24" fillId="0" borderId="0" applyFont="0" applyFill="0" applyBorder="0" applyAlignment="0" applyProtection="0"/>
    <xf numFmtId="169" fontId="24" fillId="0" borderId="0"/>
    <xf numFmtId="43" fontId="30" fillId="0" borderId="0" applyFont="0" applyFill="0" applyBorder="0" applyAlignment="0" applyProtection="0"/>
    <xf numFmtId="41" fontId="30" fillId="0" borderId="0" applyFont="0" applyFill="0" applyBorder="0" applyAlignment="0" applyProtection="0"/>
    <xf numFmtId="165" fontId="30" fillId="0" borderId="0" applyFont="0" applyFill="0" applyBorder="0" applyAlignment="0" applyProtection="0"/>
    <xf numFmtId="164" fontId="30" fillId="0" borderId="0" applyFont="0" applyFill="0" applyBorder="0" applyAlignment="0" applyProtection="0"/>
    <xf numFmtId="167" fontId="24" fillId="0" borderId="0" applyFont="0" applyFill="0" applyBorder="0" applyAlignment="0" applyProtection="0"/>
    <xf numFmtId="166" fontId="29" fillId="34" borderId="1" applyNumberFormat="0" applyAlignment="0" applyProtection="0"/>
    <xf numFmtId="166" fontId="24" fillId="37" borderId="0"/>
    <xf numFmtId="166" fontId="24" fillId="0" borderId="0"/>
    <xf numFmtId="166" fontId="24" fillId="0" borderId="0"/>
    <xf numFmtId="0" fontId="39" fillId="0" borderId="0"/>
    <xf numFmtId="0" fontId="9" fillId="0" borderId="0"/>
    <xf numFmtId="0" fontId="8" fillId="0" borderId="0"/>
    <xf numFmtId="0" fontId="39" fillId="0" borderId="0"/>
    <xf numFmtId="0" fontId="42" fillId="0" borderId="0" applyNumberFormat="0" applyFill="0" applyBorder="0" applyAlignment="0" applyProtection="0"/>
    <xf numFmtId="0" fontId="7" fillId="0" borderId="0"/>
    <xf numFmtId="9" fontId="7" fillId="0" borderId="0" applyFont="0" applyFill="0" applyBorder="0" applyAlignment="0" applyProtection="0"/>
    <xf numFmtId="0" fontId="43"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5" fillId="0" borderId="0"/>
    <xf numFmtId="0" fontId="24" fillId="0" borderId="0"/>
    <xf numFmtId="0" fontId="50" fillId="0" borderId="0"/>
    <xf numFmtId="0" fontId="50" fillId="0" borderId="0"/>
    <xf numFmtId="0" fontId="4" fillId="0" borderId="0"/>
    <xf numFmtId="0" fontId="55" fillId="0" borderId="0" applyNumberFormat="0" applyFill="0" applyBorder="0" applyAlignment="0" applyProtection="0"/>
    <xf numFmtId="0" fontId="58" fillId="0" borderId="0">
      <alignment vertical="top"/>
      <protection locked="0"/>
    </xf>
    <xf numFmtId="0" fontId="2" fillId="0" borderId="0"/>
    <xf numFmtId="0" fontId="1" fillId="0" borderId="0"/>
    <xf numFmtId="9" fontId="1" fillId="0" borderId="0" applyFont="0" applyFill="0" applyBorder="0" applyAlignment="0" applyProtection="0"/>
    <xf numFmtId="43" fontId="24" fillId="0" borderId="0" applyFont="0" applyFill="0" applyBorder="0" applyAlignment="0" applyProtection="0"/>
    <xf numFmtId="9" fontId="24" fillId="0" borderId="0" applyFont="0" applyFill="0" applyBorder="0" applyAlignment="0" applyProtection="0"/>
  </cellStyleXfs>
  <cellXfs count="376">
    <xf numFmtId="0" fontId="0" fillId="0" borderId="0" xfId="0"/>
    <xf numFmtId="166" fontId="24" fillId="0" borderId="0" xfId="0" applyNumberFormat="1" applyFont="1"/>
    <xf numFmtId="166" fontId="0" fillId="0" borderId="0" xfId="0" applyNumberFormat="1"/>
    <xf numFmtId="166" fontId="29" fillId="0" borderId="0" xfId="42" applyNumberFormat="1" applyFill="1" applyBorder="1" applyAlignment="1">
      <alignment horizontal="center"/>
    </xf>
    <xf numFmtId="166" fontId="0" fillId="0" borderId="0" xfId="0" applyNumberFormat="1" applyAlignment="1">
      <alignment horizontal="center"/>
    </xf>
    <xf numFmtId="0" fontId="32" fillId="35" borderId="0" xfId="0" applyFont="1" applyFill="1" applyAlignment="1">
      <alignment horizontal="left" vertical="center"/>
    </xf>
    <xf numFmtId="0" fontId="31" fillId="35" borderId="0" xfId="0" applyFont="1" applyFill="1" applyAlignment="1">
      <alignment horizontal="right" vertical="center"/>
    </xf>
    <xf numFmtId="166" fontId="0" fillId="35" borderId="0" xfId="0" applyNumberFormat="1" applyFill="1"/>
    <xf numFmtId="0" fontId="13" fillId="36" borderId="0" xfId="0" applyFont="1" applyFill="1" applyAlignment="1">
      <alignment horizontal="left" vertical="center"/>
    </xf>
    <xf numFmtId="0" fontId="35" fillId="36" borderId="0" xfId="0" applyFont="1" applyFill="1" applyAlignment="1">
      <alignment horizontal="right" vertical="center"/>
    </xf>
    <xf numFmtId="166" fontId="35" fillId="36" borderId="0" xfId="0" applyNumberFormat="1" applyFont="1" applyFill="1" applyAlignment="1">
      <alignment horizontal="right"/>
    </xf>
    <xf numFmtId="166" fontId="36" fillId="36" borderId="0" xfId="0" applyNumberFormat="1" applyFont="1" applyFill="1"/>
    <xf numFmtId="166" fontId="37" fillId="0" borderId="11" xfId="0" applyNumberFormat="1" applyFont="1" applyBorder="1"/>
    <xf numFmtId="166" fontId="24" fillId="0" borderId="12" xfId="0" applyNumberFormat="1" applyFont="1" applyBorder="1"/>
    <xf numFmtId="166" fontId="0" fillId="0" borderId="12" xfId="0" applyNumberFormat="1" applyBorder="1"/>
    <xf numFmtId="166" fontId="0" fillId="0" borderId="13" xfId="0" applyNumberFormat="1" applyBorder="1"/>
    <xf numFmtId="166" fontId="24" fillId="0" borderId="14" xfId="0" applyNumberFormat="1" applyFont="1" applyBorder="1"/>
    <xf numFmtId="166" fontId="0" fillId="0" borderId="15" xfId="0" applyNumberFormat="1" applyBorder="1"/>
    <xf numFmtId="166" fontId="24" fillId="0" borderId="16" xfId="0" applyNumberFormat="1" applyFont="1" applyBorder="1"/>
    <xf numFmtId="166" fontId="24" fillId="0" borderId="17" xfId="0" applyNumberFormat="1" applyFont="1" applyBorder="1"/>
    <xf numFmtId="166" fontId="0" fillId="0" borderId="17" xfId="0" applyNumberFormat="1" applyBorder="1"/>
    <xf numFmtId="166" fontId="0" fillId="0" borderId="18" xfId="0" applyNumberFormat="1" applyBorder="1"/>
    <xf numFmtId="166" fontId="33" fillId="0" borderId="12" xfId="0" applyNumberFormat="1" applyFont="1" applyBorder="1"/>
    <xf numFmtId="166" fontId="0" fillId="0" borderId="14" xfId="0" applyNumberFormat="1" applyBorder="1"/>
    <xf numFmtId="166" fontId="0" fillId="0" borderId="16" xfId="0" applyNumberFormat="1" applyBorder="1"/>
    <xf numFmtId="0" fontId="31" fillId="35" borderId="19" xfId="0" applyFont="1" applyFill="1" applyBorder="1" applyAlignment="1">
      <alignment horizontal="right" vertical="center"/>
    </xf>
    <xf numFmtId="0" fontId="34" fillId="35" borderId="19" xfId="0" applyFont="1" applyFill="1" applyBorder="1" applyAlignment="1">
      <alignment horizontal="left" vertical="center"/>
    </xf>
    <xf numFmtId="0" fontId="11" fillId="35" borderId="19" xfId="52" applyNumberFormat="1" applyFont="1" applyFill="1" applyBorder="1" applyAlignment="1">
      <alignment horizontal="left" vertical="center"/>
    </xf>
    <xf numFmtId="166" fontId="37" fillId="0" borderId="0" xfId="0" applyNumberFormat="1" applyFont="1"/>
    <xf numFmtId="0" fontId="38" fillId="36" borderId="0" xfId="0" applyFont="1" applyFill="1" applyAlignment="1">
      <alignment horizontal="center"/>
    </xf>
    <xf numFmtId="166" fontId="40" fillId="36" borderId="0" xfId="0" applyNumberFormat="1" applyFont="1" applyFill="1"/>
    <xf numFmtId="170" fontId="0" fillId="0" borderId="0" xfId="0" applyNumberFormat="1"/>
    <xf numFmtId="166" fontId="40" fillId="38" borderId="0" xfId="0" applyNumberFormat="1" applyFont="1" applyFill="1"/>
    <xf numFmtId="166" fontId="41" fillId="39" borderId="0" xfId="0" applyNumberFormat="1" applyFont="1" applyFill="1"/>
    <xf numFmtId="0" fontId="40" fillId="36" borderId="0" xfId="0" applyFont="1" applyFill="1" applyAlignment="1">
      <alignment horizontal="center"/>
    </xf>
    <xf numFmtId="166" fontId="40" fillId="35" borderId="0" xfId="0" applyNumberFormat="1" applyFont="1" applyFill="1"/>
    <xf numFmtId="166" fontId="41" fillId="35" borderId="0" xfId="0" applyNumberFormat="1" applyFont="1" applyFill="1"/>
    <xf numFmtId="171" fontId="0" fillId="0" borderId="0" xfId="0" applyNumberFormat="1"/>
    <xf numFmtId="166" fontId="40" fillId="41" borderId="0" xfId="0" applyNumberFormat="1" applyFont="1" applyFill="1"/>
    <xf numFmtId="166" fontId="48" fillId="41" borderId="0" xfId="0" applyNumberFormat="1" applyFont="1" applyFill="1"/>
    <xf numFmtId="170" fontId="47" fillId="35" borderId="0" xfId="0" applyNumberFormat="1" applyFont="1" applyFill="1"/>
    <xf numFmtId="166" fontId="0" fillId="0" borderId="0" xfId="0" applyNumberFormat="1" applyAlignment="1">
      <alignment horizontal="left"/>
    </xf>
    <xf numFmtId="166" fontId="24" fillId="0" borderId="0" xfId="0" applyNumberFormat="1" applyFont="1" applyAlignment="1">
      <alignment horizontal="left"/>
    </xf>
    <xf numFmtId="170" fontId="0" fillId="0" borderId="0" xfId="0" applyNumberFormat="1" applyAlignment="1">
      <alignment horizontal="left"/>
    </xf>
    <xf numFmtId="166" fontId="40" fillId="36" borderId="0" xfId="0" applyNumberFormat="1" applyFont="1" applyFill="1" applyAlignment="1">
      <alignment horizontal="left"/>
    </xf>
    <xf numFmtId="0" fontId="40" fillId="36" borderId="0" xfId="0" applyFont="1" applyFill="1" applyAlignment="1">
      <alignment horizontal="left"/>
    </xf>
    <xf numFmtId="0" fontId="0" fillId="0" borderId="0" xfId="0" applyAlignment="1">
      <alignment horizontal="left"/>
    </xf>
    <xf numFmtId="166" fontId="48" fillId="35" borderId="0" xfId="0" applyNumberFormat="1" applyFont="1" applyFill="1"/>
    <xf numFmtId="166" fontId="40" fillId="35" borderId="0" xfId="0" applyNumberFormat="1" applyFont="1" applyFill="1" applyAlignment="1">
      <alignment horizontal="center"/>
    </xf>
    <xf numFmtId="166" fontId="48" fillId="35" borderId="0" xfId="0" applyNumberFormat="1" applyFont="1" applyFill="1" applyAlignment="1">
      <alignment horizontal="left"/>
    </xf>
    <xf numFmtId="0" fontId="40" fillId="35" borderId="0" xfId="0" applyFont="1" applyFill="1" applyAlignment="1">
      <alignment horizontal="left"/>
    </xf>
    <xf numFmtId="0" fontId="38" fillId="35" borderId="0" xfId="0" applyFont="1" applyFill="1" applyAlignment="1">
      <alignment horizontal="center"/>
    </xf>
    <xf numFmtId="166" fontId="37" fillId="35" borderId="0" xfId="0" applyNumberFormat="1" applyFont="1" applyFill="1"/>
    <xf numFmtId="171" fontId="0" fillId="35" borderId="0" xfId="0" applyNumberFormat="1" applyFill="1"/>
    <xf numFmtId="170" fontId="47" fillId="35" borderId="0" xfId="0" applyNumberFormat="1" applyFont="1" applyFill="1" applyAlignment="1">
      <alignment horizontal="left"/>
    </xf>
    <xf numFmtId="0" fontId="41" fillId="35" borderId="0" xfId="0" applyFont="1" applyFill="1" applyAlignment="1">
      <alignment horizontal="left"/>
    </xf>
    <xf numFmtId="166" fontId="44" fillId="35" borderId="0" xfId="0" applyNumberFormat="1" applyFont="1" applyFill="1" applyAlignment="1">
      <alignment horizontal="left"/>
    </xf>
    <xf numFmtId="0" fontId="0" fillId="0" borderId="0" xfId="0" applyAlignment="1" applyProtection="1">
      <alignment vertical="top"/>
      <protection locked="0"/>
    </xf>
    <xf numFmtId="173" fontId="0" fillId="0" borderId="0" xfId="0" applyNumberFormat="1" applyAlignment="1" applyProtection="1">
      <alignment vertical="top"/>
      <protection locked="0"/>
    </xf>
    <xf numFmtId="166" fontId="24" fillId="35" borderId="0" xfId="0" applyNumberFormat="1" applyFont="1" applyFill="1"/>
    <xf numFmtId="0" fontId="0" fillId="0" borderId="0" xfId="0" pivotButton="1"/>
    <xf numFmtId="170" fontId="24" fillId="0" borderId="0" xfId="0" applyNumberFormat="1" applyFont="1" applyAlignment="1">
      <alignment horizontal="left"/>
    </xf>
    <xf numFmtId="170" fontId="48" fillId="35" borderId="0" xfId="0" applyNumberFormat="1" applyFont="1" applyFill="1"/>
    <xf numFmtId="10" fontId="0" fillId="0" borderId="0" xfId="0" applyNumberFormat="1"/>
    <xf numFmtId="2" fontId="0" fillId="0" borderId="0" xfId="49" applyNumberFormat="1" applyFont="1"/>
    <xf numFmtId="0" fontId="4" fillId="0" borderId="0" xfId="69"/>
    <xf numFmtId="0" fontId="4" fillId="0" borderId="0" xfId="69" applyAlignment="1">
      <alignment horizontal="left"/>
    </xf>
    <xf numFmtId="1" fontId="4" fillId="0" borderId="0" xfId="69" applyNumberFormat="1" applyAlignment="1">
      <alignment horizontal="left"/>
    </xf>
    <xf numFmtId="171" fontId="0" fillId="35" borderId="0" xfId="0" applyNumberFormat="1" applyFill="1" applyAlignment="1">
      <alignment horizontal="center"/>
    </xf>
    <xf numFmtId="171" fontId="24" fillId="35" borderId="0" xfId="0" applyNumberFormat="1" applyFont="1" applyFill="1"/>
    <xf numFmtId="1" fontId="0" fillId="35" borderId="0" xfId="0" applyNumberFormat="1" applyFill="1"/>
    <xf numFmtId="1" fontId="4" fillId="0" borderId="0" xfId="69" applyNumberFormat="1" applyAlignment="1">
      <alignment horizontal="center"/>
    </xf>
    <xf numFmtId="1" fontId="0" fillId="0" borderId="0" xfId="0" applyNumberFormat="1" applyAlignment="1">
      <alignment horizontal="center"/>
    </xf>
    <xf numFmtId="1" fontId="0" fillId="35" borderId="0" xfId="0" applyNumberFormat="1" applyFill="1" applyAlignment="1">
      <alignment horizontal="center"/>
    </xf>
    <xf numFmtId="2" fontId="24" fillId="0" borderId="0" xfId="0" applyNumberFormat="1" applyFont="1"/>
    <xf numFmtId="2" fontId="0" fillId="0" borderId="0" xfId="0" applyNumberFormat="1"/>
    <xf numFmtId="174" fontId="0" fillId="0" borderId="0" xfId="49" applyNumberFormat="1" applyFont="1"/>
    <xf numFmtId="166" fontId="0" fillId="43" borderId="0" xfId="0" applyNumberFormat="1" applyFill="1"/>
    <xf numFmtId="166" fontId="52" fillId="35" borderId="17" xfId="0" applyNumberFormat="1" applyFont="1" applyFill="1" applyBorder="1"/>
    <xf numFmtId="166" fontId="0" fillId="44" borderId="0" xfId="0" applyNumberFormat="1" applyFill="1"/>
    <xf numFmtId="166" fontId="24" fillId="44" borderId="21" xfId="0" applyNumberFormat="1" applyFont="1" applyFill="1" applyBorder="1"/>
    <xf numFmtId="167" fontId="24" fillId="0" borderId="0" xfId="49" applyFont="1"/>
    <xf numFmtId="167" fontId="46" fillId="35" borderId="0" xfId="49" applyFont="1" applyFill="1" applyAlignment="1">
      <alignment horizontal="left"/>
    </xf>
    <xf numFmtId="170" fontId="0" fillId="35" borderId="0" xfId="0" applyNumberFormat="1" applyFill="1" applyAlignment="1">
      <alignment horizontal="left"/>
    </xf>
    <xf numFmtId="166" fontId="24" fillId="44" borderId="0" xfId="0" applyNumberFormat="1" applyFont="1" applyFill="1"/>
    <xf numFmtId="0" fontId="51" fillId="0" borderId="20" xfId="0" applyFont="1" applyBorder="1" applyAlignment="1">
      <alignment horizontal="left"/>
    </xf>
    <xf numFmtId="170" fontId="40" fillId="35" borderId="0" xfId="0" applyNumberFormat="1" applyFont="1" applyFill="1"/>
    <xf numFmtId="1" fontId="48" fillId="35" borderId="0" xfId="0" applyNumberFormat="1" applyFont="1" applyFill="1"/>
    <xf numFmtId="1" fontId="48" fillId="35" borderId="0" xfId="49" applyNumberFormat="1" applyFont="1" applyFill="1"/>
    <xf numFmtId="167" fontId="40" fillId="35" borderId="0" xfId="49" applyFont="1" applyFill="1" applyAlignment="1">
      <alignment horizontal="left"/>
    </xf>
    <xf numFmtId="166" fontId="46" fillId="35" borderId="0" xfId="0" applyNumberFormat="1" applyFont="1" applyFill="1"/>
    <xf numFmtId="0" fontId="54" fillId="0" borderId="0" xfId="0" applyFont="1" applyAlignment="1">
      <alignment horizontal="left"/>
    </xf>
    <xf numFmtId="166" fontId="54" fillId="0" borderId="0" xfId="0" applyNumberFormat="1" applyFont="1"/>
    <xf numFmtId="166" fontId="54" fillId="0" borderId="24" xfId="0" applyNumberFormat="1" applyFont="1" applyBorder="1"/>
    <xf numFmtId="0" fontId="40" fillId="41" borderId="0" xfId="0" applyFont="1" applyFill="1" applyAlignment="1">
      <alignment horizontal="left"/>
    </xf>
    <xf numFmtId="0" fontId="3" fillId="0" borderId="0" xfId="69" applyFont="1" applyAlignment="1">
      <alignment horizontal="left"/>
    </xf>
    <xf numFmtId="0" fontId="24" fillId="0" borderId="0" xfId="0" applyFont="1"/>
    <xf numFmtId="166" fontId="0" fillId="42" borderId="23" xfId="0" applyNumberFormat="1" applyFill="1" applyBorder="1"/>
    <xf numFmtId="166" fontId="0" fillId="40" borderId="0" xfId="0" applyNumberFormat="1" applyFill="1"/>
    <xf numFmtId="166" fontId="0" fillId="40" borderId="23" xfId="0" applyNumberFormat="1" applyFill="1" applyBorder="1"/>
    <xf numFmtId="2" fontId="0" fillId="0" borderId="0" xfId="0" applyNumberFormat="1" applyAlignment="1">
      <alignment horizontal="center" vertical="center"/>
    </xf>
    <xf numFmtId="2" fontId="0" fillId="43" borderId="0" xfId="0" applyNumberFormat="1" applyFill="1" applyAlignment="1">
      <alignment horizontal="center" vertical="center"/>
    </xf>
    <xf numFmtId="2" fontId="0" fillId="0" borderId="21" xfId="0" applyNumberFormat="1" applyBorder="1" applyAlignment="1">
      <alignment horizontal="center" vertical="center"/>
    </xf>
    <xf numFmtId="2" fontId="0" fillId="43" borderId="21" xfId="0" applyNumberFormat="1" applyFill="1" applyBorder="1" applyAlignment="1">
      <alignment horizontal="center" vertical="center"/>
    </xf>
    <xf numFmtId="2" fontId="53" fillId="0" borderId="22" xfId="0" applyNumberFormat="1" applyFont="1" applyBorder="1" applyAlignment="1">
      <alignment horizontal="center" vertical="center"/>
    </xf>
    <xf numFmtId="2" fontId="53" fillId="43" borderId="22" xfId="0" applyNumberFormat="1" applyFont="1" applyFill="1" applyBorder="1" applyAlignment="1">
      <alignment horizontal="center" vertical="center"/>
    </xf>
    <xf numFmtId="175" fontId="0" fillId="43" borderId="0" xfId="0" applyNumberFormat="1" applyFill="1" applyAlignment="1">
      <alignment horizontal="center" vertical="center"/>
    </xf>
    <xf numFmtId="2" fontId="53" fillId="43" borderId="21" xfId="0" applyNumberFormat="1" applyFont="1" applyFill="1" applyBorder="1" applyAlignment="1">
      <alignment horizontal="center" vertical="center"/>
    </xf>
    <xf numFmtId="170" fontId="0" fillId="43" borderId="0" xfId="0" applyNumberFormat="1" applyFill="1" applyAlignment="1">
      <alignment horizontal="center" vertical="center"/>
    </xf>
    <xf numFmtId="170" fontId="0" fillId="43" borderId="21" xfId="0" applyNumberFormat="1" applyFill="1" applyBorder="1" applyAlignment="1">
      <alignment horizontal="center" vertical="center"/>
    </xf>
    <xf numFmtId="167" fontId="47" fillId="35" borderId="0" xfId="49" applyFont="1" applyFill="1" applyAlignment="1">
      <alignment horizontal="center" vertical="center"/>
    </xf>
    <xf numFmtId="167" fontId="47" fillId="35" borderId="21" xfId="49" applyFont="1" applyFill="1" applyBorder="1" applyAlignment="1">
      <alignment horizontal="center" vertical="center"/>
    </xf>
    <xf numFmtId="172" fontId="0" fillId="43" borderId="0" xfId="0" applyNumberFormat="1" applyFill="1" applyAlignment="1">
      <alignment horizontal="center" vertical="center"/>
    </xf>
    <xf numFmtId="174" fontId="47" fillId="35" borderId="0" xfId="49" applyNumberFormat="1" applyFont="1" applyFill="1" applyAlignment="1">
      <alignment horizontal="center" vertical="center"/>
    </xf>
    <xf numFmtId="9" fontId="47" fillId="35" borderId="0" xfId="49" applyNumberFormat="1" applyFont="1" applyFill="1" applyAlignment="1">
      <alignment horizontal="center" vertical="center"/>
    </xf>
    <xf numFmtId="0" fontId="40" fillId="36" borderId="0" xfId="0" applyFont="1" applyFill="1" applyAlignment="1">
      <alignment horizontal="center" vertical="center"/>
    </xf>
    <xf numFmtId="172" fontId="0" fillId="0" borderId="20" xfId="0" applyNumberFormat="1" applyBorder="1" applyAlignment="1">
      <alignment horizontal="center" vertical="center"/>
    </xf>
    <xf numFmtId="2" fontId="24" fillId="0" borderId="0" xfId="0" applyNumberFormat="1" applyFont="1" applyAlignment="1">
      <alignment horizontal="center" vertical="center"/>
    </xf>
    <xf numFmtId="2" fontId="0" fillId="0" borderId="0" xfId="49" applyNumberFormat="1" applyFont="1" applyAlignment="1">
      <alignment horizontal="center" vertical="center"/>
    </xf>
    <xf numFmtId="166" fontId="0" fillId="0" borderId="0" xfId="0" applyNumberFormat="1" applyAlignment="1">
      <alignment horizontal="center" vertical="center"/>
    </xf>
    <xf numFmtId="166" fontId="29" fillId="0" borderId="0" xfId="0" applyNumberFormat="1" applyFont="1" applyAlignment="1">
      <alignment horizontal="center" vertical="center"/>
    </xf>
    <xf numFmtId="166" fontId="41" fillId="40" borderId="0" xfId="0" applyNumberFormat="1" applyFont="1" applyFill="1" applyAlignment="1">
      <alignment horizontal="center" vertical="center"/>
    </xf>
    <xf numFmtId="166" fontId="0" fillId="0" borderId="23" xfId="0" applyNumberFormat="1" applyBorder="1" applyAlignment="1">
      <alignment vertical="center"/>
    </xf>
    <xf numFmtId="166" fontId="0" fillId="43" borderId="23" xfId="0" applyNumberFormat="1" applyFill="1" applyBorder="1" applyAlignment="1">
      <alignment vertical="center"/>
    </xf>
    <xf numFmtId="166" fontId="48" fillId="41" borderId="0" xfId="0" applyNumberFormat="1" applyFont="1" applyFill="1" applyAlignment="1">
      <alignment horizontal="center" vertical="center"/>
    </xf>
    <xf numFmtId="167" fontId="47" fillId="43" borderId="21" xfId="49" applyFont="1" applyFill="1" applyBorder="1" applyAlignment="1">
      <alignment horizontal="center" vertical="center"/>
    </xf>
    <xf numFmtId="0" fontId="55" fillId="35" borderId="19" xfId="70" applyNumberFormat="1" applyFill="1" applyBorder="1" applyAlignment="1">
      <alignment horizontal="left" vertical="center"/>
    </xf>
    <xf numFmtId="2" fontId="0" fillId="35" borderId="0" xfId="0" applyNumberFormat="1" applyFill="1" applyAlignment="1">
      <alignment horizontal="center" vertical="center"/>
    </xf>
    <xf numFmtId="166" fontId="0" fillId="45" borderId="0" xfId="0" applyNumberFormat="1" applyFill="1"/>
    <xf numFmtId="166" fontId="51" fillId="44" borderId="23" xfId="0" applyNumberFormat="1" applyFont="1" applyFill="1" applyBorder="1"/>
    <xf numFmtId="166" fontId="24" fillId="0" borderId="25" xfId="0" applyNumberFormat="1" applyFont="1" applyBorder="1"/>
    <xf numFmtId="175" fontId="0" fillId="35" borderId="0" xfId="0" applyNumberFormat="1" applyFill="1" applyAlignment="1">
      <alignment horizontal="center" vertical="center"/>
    </xf>
    <xf numFmtId="2" fontId="0" fillId="35" borderId="21" xfId="0" applyNumberFormat="1" applyFill="1" applyBorder="1" applyAlignment="1">
      <alignment horizontal="center" vertical="center"/>
    </xf>
    <xf numFmtId="2" fontId="53" fillId="35" borderId="23" xfId="0" applyNumberFormat="1" applyFont="1" applyFill="1" applyBorder="1" applyAlignment="1">
      <alignment horizontal="center" vertical="center"/>
    </xf>
    <xf numFmtId="166" fontId="24" fillId="0" borderId="25" xfId="0" applyNumberFormat="1" applyFont="1" applyBorder="1" applyAlignment="1">
      <alignment horizontal="centerContinuous"/>
    </xf>
    <xf numFmtId="166" fontId="0" fillId="0" borderId="27" xfId="0" applyNumberFormat="1" applyBorder="1" applyAlignment="1">
      <alignment horizontal="centerContinuous"/>
    </xf>
    <xf numFmtId="166" fontId="0" fillId="0" borderId="26" xfId="0" applyNumberFormat="1" applyBorder="1" applyAlignment="1">
      <alignment horizontal="centerContinuous"/>
    </xf>
    <xf numFmtId="167" fontId="41" fillId="35" borderId="1" xfId="49" applyFont="1" applyFill="1" applyBorder="1"/>
    <xf numFmtId="166" fontId="0" fillId="35" borderId="0" xfId="0" applyNumberFormat="1" applyFill="1" applyAlignment="1">
      <alignment horizontal="left"/>
    </xf>
    <xf numFmtId="167" fontId="55" fillId="35" borderId="0" xfId="70" applyNumberFormat="1" applyFill="1" applyAlignment="1">
      <alignment horizontal="left"/>
    </xf>
    <xf numFmtId="166" fontId="24" fillId="34" borderId="0" xfId="50" applyNumberFormat="1" applyFont="1" applyBorder="1" applyAlignment="1">
      <alignment horizontal="center"/>
    </xf>
    <xf numFmtId="2" fontId="24" fillId="35" borderId="0" xfId="49" applyNumberFormat="1" applyFont="1" applyFill="1" applyAlignment="1">
      <alignment horizontal="center" vertical="center"/>
    </xf>
    <xf numFmtId="167" fontId="46" fillId="46" borderId="0" xfId="49" applyFont="1" applyFill="1" applyAlignment="1">
      <alignment horizontal="left"/>
    </xf>
    <xf numFmtId="174" fontId="44" fillId="35" borderId="0" xfId="49" applyNumberFormat="1" applyFont="1" applyFill="1" applyAlignment="1">
      <alignment horizontal="center" vertical="center"/>
    </xf>
    <xf numFmtId="174" fontId="47" fillId="35" borderId="20" xfId="49" applyNumberFormat="1" applyFont="1" applyFill="1" applyBorder="1" applyAlignment="1">
      <alignment horizontal="center" vertical="center"/>
    </xf>
    <xf numFmtId="167" fontId="46" fillId="42" borderId="0" xfId="49" applyFont="1" applyFill="1" applyAlignment="1">
      <alignment horizontal="left"/>
    </xf>
    <xf numFmtId="166" fontId="0" fillId="0" borderId="28" xfId="0" applyNumberFormat="1" applyBorder="1"/>
    <xf numFmtId="166" fontId="0" fillId="0" borderId="29" xfId="0" applyNumberFormat="1" applyBorder="1"/>
    <xf numFmtId="166" fontId="48" fillId="47" borderId="30" xfId="0" applyNumberFormat="1" applyFont="1" applyFill="1" applyBorder="1"/>
    <xf numFmtId="166" fontId="54" fillId="40" borderId="0" xfId="0" applyNumberFormat="1" applyFont="1" applyFill="1"/>
    <xf numFmtId="170" fontId="0" fillId="35" borderId="0" xfId="0" applyNumberFormat="1" applyFill="1"/>
    <xf numFmtId="166" fontId="56" fillId="47" borderId="31" xfId="0" applyNumberFormat="1" applyFont="1" applyFill="1" applyBorder="1"/>
    <xf numFmtId="166" fontId="54" fillId="40" borderId="32" xfId="0" applyNumberFormat="1" applyFont="1" applyFill="1" applyBorder="1"/>
    <xf numFmtId="170" fontId="0" fillId="35" borderId="34" xfId="0" applyNumberFormat="1" applyFill="1" applyBorder="1"/>
    <xf numFmtId="166" fontId="57" fillId="0" borderId="1" xfId="0" applyNumberFormat="1" applyFont="1" applyBorder="1"/>
    <xf numFmtId="174" fontId="0" fillId="0" borderId="34" xfId="49" applyNumberFormat="1" applyFont="1" applyBorder="1"/>
    <xf numFmtId="174" fontId="0" fillId="0" borderId="37" xfId="49" applyNumberFormat="1" applyFont="1" applyBorder="1"/>
    <xf numFmtId="166" fontId="0" fillId="0" borderId="38" xfId="0" applyNumberFormat="1" applyBorder="1"/>
    <xf numFmtId="166" fontId="0" fillId="0" borderId="36" xfId="0" applyNumberFormat="1" applyBorder="1"/>
    <xf numFmtId="174" fontId="59" fillId="40" borderId="0" xfId="49" applyNumberFormat="1" applyFont="1" applyFill="1"/>
    <xf numFmtId="166" fontId="51" fillId="46" borderId="0" xfId="0" applyNumberFormat="1" applyFont="1" applyFill="1"/>
    <xf numFmtId="166" fontId="0" fillId="44" borderId="0" xfId="0" applyNumberFormat="1" applyFill="1" applyBorder="1"/>
    <xf numFmtId="167" fontId="46" fillId="43" borderId="0" xfId="49" applyFont="1" applyFill="1" applyBorder="1" applyAlignment="1">
      <alignment horizontal="center" vertical="center"/>
    </xf>
    <xf numFmtId="166" fontId="0" fillId="0" borderId="0" xfId="0" applyNumberFormat="1" applyFill="1"/>
    <xf numFmtId="170" fontId="0" fillId="0" borderId="0" xfId="0" applyNumberFormat="1" applyFill="1" applyAlignment="1">
      <alignment horizontal="center" vertical="center"/>
    </xf>
    <xf numFmtId="170" fontId="0" fillId="0" borderId="21" xfId="0" applyNumberFormat="1" applyFill="1" applyBorder="1" applyAlignment="1">
      <alignment horizontal="center" vertical="center"/>
    </xf>
    <xf numFmtId="174" fontId="44" fillId="35" borderId="0" xfId="49" applyNumberFormat="1" applyFont="1" applyFill="1" applyBorder="1" applyAlignment="1">
      <alignment horizontal="center" vertical="center"/>
    </xf>
    <xf numFmtId="174" fontId="47" fillId="35" borderId="27" xfId="49" applyNumberFormat="1" applyFont="1" applyFill="1" applyBorder="1" applyAlignment="1">
      <alignment horizontal="center" vertical="center"/>
    </xf>
    <xf numFmtId="2" fontId="0" fillId="35" borderId="0" xfId="0" applyNumberFormat="1" applyFill="1" applyBorder="1" applyAlignment="1">
      <alignment horizontal="center" vertical="center"/>
    </xf>
    <xf numFmtId="2" fontId="0" fillId="43" borderId="0" xfId="0" applyNumberFormat="1" applyFill="1" applyBorder="1" applyAlignment="1">
      <alignment horizontal="center" vertical="center"/>
    </xf>
    <xf numFmtId="167" fontId="0" fillId="0" borderId="0" xfId="49" applyFont="1"/>
    <xf numFmtId="170" fontId="24" fillId="0" borderId="0" xfId="0" applyNumberFormat="1" applyFont="1"/>
    <xf numFmtId="0" fontId="13" fillId="0" borderId="0" xfId="0" applyFont="1" applyFill="1" applyAlignment="1">
      <alignment horizontal="left" vertical="center"/>
    </xf>
    <xf numFmtId="0" fontId="35" fillId="0" borderId="0" xfId="0" applyFont="1" applyFill="1" applyAlignment="1">
      <alignment horizontal="right" vertical="center"/>
    </xf>
    <xf numFmtId="166" fontId="35" fillId="0" borderId="0" xfId="0" applyNumberFormat="1" applyFont="1" applyFill="1" applyAlignment="1">
      <alignment horizontal="right"/>
    </xf>
    <xf numFmtId="166" fontId="36" fillId="0" borderId="0" xfId="0" applyNumberFormat="1" applyFont="1" applyFill="1"/>
    <xf numFmtId="166" fontId="24" fillId="0" borderId="0" xfId="0" applyNumberFormat="1" applyFont="1" applyFill="1"/>
    <xf numFmtId="166" fontId="0" fillId="0" borderId="0" xfId="0" applyNumberFormat="1" applyFill="1" applyBorder="1"/>
    <xf numFmtId="166" fontId="0" fillId="0" borderId="0" xfId="0" applyNumberFormat="1" applyFill="1" applyBorder="1" applyAlignment="1">
      <alignment vertical="center"/>
    </xf>
    <xf numFmtId="166" fontId="41" fillId="0" borderId="0" xfId="0" applyNumberFormat="1" applyFont="1" applyFill="1" applyAlignment="1">
      <alignment horizontal="right"/>
    </xf>
    <xf numFmtId="166" fontId="49" fillId="0" borderId="0" xfId="0" applyNumberFormat="1" applyFont="1"/>
    <xf numFmtId="2" fontId="24" fillId="43" borderId="0" xfId="49" applyNumberFormat="1" applyFont="1" applyFill="1" applyAlignment="1">
      <alignment horizontal="center" vertical="center"/>
    </xf>
    <xf numFmtId="166" fontId="51" fillId="0" borderId="0" xfId="0" applyNumberFormat="1" applyFont="1" applyFill="1" applyBorder="1"/>
    <xf numFmtId="166" fontId="51" fillId="0" borderId="0" xfId="0" applyNumberFormat="1" applyFont="1" applyBorder="1" applyAlignment="1">
      <alignment vertical="center"/>
    </xf>
    <xf numFmtId="166" fontId="51" fillId="0" borderId="0" xfId="0" applyNumberFormat="1" applyFont="1" applyFill="1" applyBorder="1" applyAlignment="1">
      <alignment vertical="center"/>
    </xf>
    <xf numFmtId="167" fontId="51" fillId="0" borderId="0" xfId="49" applyFont="1" applyFill="1" applyBorder="1" applyAlignment="1">
      <alignment vertical="center"/>
    </xf>
    <xf numFmtId="0" fontId="0" fillId="0" borderId="0" xfId="0" applyNumberFormat="1"/>
    <xf numFmtId="170" fontId="0" fillId="0" borderId="32" xfId="0" applyNumberFormat="1" applyFill="1" applyBorder="1"/>
    <xf numFmtId="170" fontId="0" fillId="0" borderId="35" xfId="0" applyNumberFormat="1" applyFill="1" applyBorder="1"/>
    <xf numFmtId="167" fontId="0" fillId="35" borderId="0" xfId="49" applyFont="1" applyFill="1"/>
    <xf numFmtId="0" fontId="13" fillId="35" borderId="0" xfId="0" applyFont="1" applyFill="1" applyAlignment="1">
      <alignment horizontal="left" vertical="center"/>
    </xf>
    <xf numFmtId="0" fontId="35" fillId="35" borderId="0" xfId="0" applyFont="1" applyFill="1" applyAlignment="1">
      <alignment horizontal="right" vertical="center"/>
    </xf>
    <xf numFmtId="166" fontId="35" fillId="35" borderId="0" xfId="0" applyNumberFormat="1" applyFont="1" applyFill="1" applyAlignment="1">
      <alignment horizontal="right"/>
    </xf>
    <xf numFmtId="166" fontId="36" fillId="35" borderId="0" xfId="0" applyNumberFormat="1" applyFont="1" applyFill="1"/>
    <xf numFmtId="170" fontId="41" fillId="0" borderId="0" xfId="0" applyNumberFormat="1" applyFont="1" applyAlignment="1">
      <alignment horizontal="centerContinuous"/>
    </xf>
    <xf numFmtId="166" fontId="0" fillId="0" borderId="0" xfId="0" applyNumberFormat="1" applyAlignment="1">
      <alignment horizontal="centerContinuous"/>
    </xf>
    <xf numFmtId="170" fontId="41" fillId="35" borderId="0" xfId="0" applyNumberFormat="1" applyFont="1" applyFill="1"/>
    <xf numFmtId="0" fontId="40" fillId="35" borderId="0" xfId="0" applyFont="1" applyFill="1" applyAlignment="1">
      <alignment horizontal="center"/>
    </xf>
    <xf numFmtId="167" fontId="0" fillId="35" borderId="0" xfId="49" applyFont="1" applyFill="1" applyBorder="1"/>
    <xf numFmtId="166" fontId="24" fillId="43" borderId="23" xfId="0" applyNumberFormat="1" applyFont="1" applyFill="1" applyBorder="1" applyAlignment="1">
      <alignment vertical="center"/>
    </xf>
    <xf numFmtId="167" fontId="24" fillId="43" borderId="23" xfId="49" applyFont="1" applyFill="1" applyBorder="1" applyAlignment="1">
      <alignment vertical="center"/>
    </xf>
    <xf numFmtId="167" fontId="0" fillId="35" borderId="0" xfId="49" applyFont="1" applyFill="1" applyBorder="1" applyAlignment="1">
      <alignment vertical="center"/>
    </xf>
    <xf numFmtId="166" fontId="51" fillId="0" borderId="0" xfId="0" applyNumberFormat="1" applyFont="1"/>
    <xf numFmtId="174" fontId="24" fillId="0" borderId="0" xfId="49" applyNumberFormat="1" applyFont="1"/>
    <xf numFmtId="174" fontId="24" fillId="35" borderId="0" xfId="49" applyNumberFormat="1" applyFont="1" applyFill="1" applyBorder="1"/>
    <xf numFmtId="174" fontId="0" fillId="35" borderId="0" xfId="49" applyNumberFormat="1" applyFont="1" applyFill="1" applyBorder="1"/>
    <xf numFmtId="166" fontId="51" fillId="35" borderId="0" xfId="0" applyNumberFormat="1" applyFont="1" applyFill="1"/>
    <xf numFmtId="174" fontId="24" fillId="35" borderId="0" xfId="49" applyNumberFormat="1" applyFont="1" applyFill="1"/>
    <xf numFmtId="166" fontId="36" fillId="0" borderId="0" xfId="0" applyNumberFormat="1" applyFont="1"/>
    <xf numFmtId="166" fontId="24" fillId="35" borderId="0" xfId="0" applyNumberFormat="1" applyFont="1" applyFill="1" applyAlignment="1">
      <alignment vertical="center"/>
    </xf>
    <xf numFmtId="0" fontId="38" fillId="47" borderId="0" xfId="0" applyFont="1" applyFill="1" applyAlignment="1">
      <alignment horizontal="center"/>
    </xf>
    <xf numFmtId="166" fontId="60" fillId="0" borderId="0" xfId="0" applyNumberFormat="1" applyFont="1"/>
    <xf numFmtId="166" fontId="40" fillId="47" borderId="0" xfId="0" applyNumberFormat="1" applyFont="1" applyFill="1"/>
    <xf numFmtId="174" fontId="24" fillId="0" borderId="0" xfId="49" applyNumberFormat="1" applyFont="1" applyFill="1"/>
    <xf numFmtId="166" fontId="41" fillId="42" borderId="0" xfId="0" applyNumberFormat="1" applyFont="1" applyFill="1"/>
    <xf numFmtId="166" fontId="40" fillId="48" borderId="0" xfId="0" applyNumberFormat="1" applyFont="1" applyFill="1"/>
    <xf numFmtId="0" fontId="40" fillId="48" borderId="0" xfId="0" applyFont="1" applyFill="1" applyAlignment="1">
      <alignment horizontal="center"/>
    </xf>
    <xf numFmtId="166" fontId="24" fillId="42" borderId="23" xfId="0" applyNumberFormat="1" applyFont="1" applyFill="1" applyBorder="1" applyAlignment="1">
      <alignment vertical="center"/>
    </xf>
    <xf numFmtId="166" fontId="24" fillId="35" borderId="0" xfId="0" applyNumberFormat="1" applyFont="1" applyFill="1" applyAlignment="1">
      <alignment horizontal="centerContinuous"/>
    </xf>
    <xf numFmtId="0" fontId="40" fillId="36" borderId="0" xfId="0" applyFont="1" applyFill="1" applyAlignment="1">
      <alignment horizontal="right"/>
    </xf>
    <xf numFmtId="0" fontId="48" fillId="48" borderId="0" xfId="0" applyFont="1" applyFill="1"/>
    <xf numFmtId="0" fontId="24" fillId="35" borderId="0" xfId="0" applyFont="1" applyFill="1"/>
    <xf numFmtId="166" fontId="29" fillId="0" borderId="0" xfId="0" applyNumberFormat="1" applyFont="1"/>
    <xf numFmtId="166" fontId="0" fillId="35" borderId="0" xfId="0" applyNumberFormat="1" applyFill="1" applyAlignment="1">
      <alignment vertical="center"/>
    </xf>
    <xf numFmtId="49" fontId="40" fillId="38" borderId="0" xfId="0" applyNumberFormat="1" applyFont="1" applyFill="1" applyAlignment="1">
      <alignment horizontal="left"/>
    </xf>
    <xf numFmtId="166" fontId="0" fillId="38" borderId="0" xfId="0" applyNumberFormat="1" applyFill="1" applyAlignment="1">
      <alignment horizontal="left"/>
    </xf>
    <xf numFmtId="166" fontId="0" fillId="38" borderId="0" xfId="0" applyNumberFormat="1" applyFill="1"/>
    <xf numFmtId="0" fontId="40" fillId="35" borderId="0" xfId="0" applyFont="1" applyFill="1"/>
    <xf numFmtId="0" fontId="40" fillId="35" borderId="0" xfId="0" applyFont="1" applyFill="1" applyAlignment="1">
      <alignment horizontal="right"/>
    </xf>
    <xf numFmtId="0" fontId="41" fillId="35" borderId="0" xfId="0" applyFont="1" applyFill="1"/>
    <xf numFmtId="0" fontId="40" fillId="36" borderId="0" xfId="0" applyFont="1" applyFill="1"/>
    <xf numFmtId="174" fontId="29" fillId="35" borderId="0" xfId="49" applyNumberFormat="1" applyFont="1" applyFill="1"/>
    <xf numFmtId="166" fontId="0" fillId="0" borderId="21" xfId="0" applyNumberFormat="1" applyBorder="1"/>
    <xf numFmtId="175" fontId="0" fillId="43" borderId="22" xfId="0" applyNumberFormat="1" applyFill="1" applyBorder="1" applyAlignment="1">
      <alignment vertical="center"/>
    </xf>
    <xf numFmtId="175" fontId="0" fillId="39" borderId="22" xfId="0" applyNumberFormat="1" applyFill="1" applyBorder="1" applyAlignment="1">
      <alignment vertical="center"/>
    </xf>
    <xf numFmtId="0" fontId="38" fillId="47" borderId="0" xfId="0" applyFont="1" applyFill="1" applyAlignment="1">
      <alignment horizontal="left"/>
    </xf>
    <xf numFmtId="166" fontId="0" fillId="0" borderId="22" xfId="0" applyNumberFormat="1" applyBorder="1"/>
    <xf numFmtId="176" fontId="29" fillId="40" borderId="0" xfId="49" applyNumberFormat="1" applyFont="1" applyFill="1"/>
    <xf numFmtId="176" fontId="24" fillId="35" borderId="0" xfId="49" applyNumberFormat="1" applyFont="1" applyFill="1"/>
    <xf numFmtId="177" fontId="0" fillId="43" borderId="0" xfId="0" applyNumberFormat="1" applyFill="1" applyAlignment="1">
      <alignment vertical="center"/>
    </xf>
    <xf numFmtId="177" fontId="24" fillId="35" borderId="0" xfId="49" applyNumberFormat="1" applyFont="1" applyFill="1"/>
    <xf numFmtId="174" fontId="41" fillId="0" borderId="0" xfId="49" applyNumberFormat="1" applyFont="1" applyFill="1" applyAlignment="1">
      <alignment horizontal="center" vertical="center"/>
    </xf>
    <xf numFmtId="167" fontId="51" fillId="0" borderId="0" xfId="49" applyFont="1"/>
    <xf numFmtId="166" fontId="24" fillId="0" borderId="22" xfId="0" applyNumberFormat="1" applyFont="1" applyBorder="1"/>
    <xf numFmtId="166" fontId="24" fillId="0" borderId="0" xfId="0" applyNumberFormat="1" applyFont="1" applyBorder="1"/>
    <xf numFmtId="166" fontId="0" fillId="0" borderId="0" xfId="0" applyNumberFormat="1" applyBorder="1"/>
    <xf numFmtId="167" fontId="24" fillId="35" borderId="0" xfId="49" applyFont="1" applyFill="1" applyBorder="1"/>
    <xf numFmtId="167" fontId="24" fillId="35" borderId="0" xfId="49" applyFont="1" applyFill="1" applyBorder="1" applyAlignment="1">
      <alignment vertical="center"/>
    </xf>
    <xf numFmtId="172" fontId="0" fillId="0" borderId="22" xfId="0" applyNumberFormat="1" applyBorder="1"/>
    <xf numFmtId="166" fontId="0" fillId="40" borderId="0" xfId="0" applyNumberFormat="1" applyFill="1" applyBorder="1"/>
    <xf numFmtId="0" fontId="2" fillId="0" borderId="0" xfId="72"/>
    <xf numFmtId="178" fontId="0" fillId="35" borderId="0" xfId="0" applyNumberFormat="1" applyFill="1"/>
    <xf numFmtId="172" fontId="0" fillId="0" borderId="0" xfId="0" applyNumberFormat="1" applyFill="1" applyAlignment="1">
      <alignment horizontal="center" vertical="center"/>
    </xf>
    <xf numFmtId="2" fontId="24" fillId="0" borderId="0" xfId="49" applyNumberFormat="1" applyFont="1" applyFill="1" applyAlignment="1">
      <alignment horizontal="center" vertical="center"/>
    </xf>
    <xf numFmtId="167" fontId="47" fillId="0" borderId="21" xfId="49" applyFont="1" applyFill="1" applyBorder="1" applyAlignment="1">
      <alignment horizontal="center" vertical="center"/>
    </xf>
    <xf numFmtId="0" fontId="40" fillId="0" borderId="0" xfId="0" applyFont="1" applyFill="1" applyAlignment="1">
      <alignment horizontal="center" vertical="center"/>
    </xf>
    <xf numFmtId="166" fontId="40" fillId="0" borderId="0" xfId="0" applyNumberFormat="1" applyFont="1" applyFill="1"/>
    <xf numFmtId="166" fontId="48" fillId="0" borderId="0" xfId="0" applyNumberFormat="1" applyFont="1" applyFill="1"/>
    <xf numFmtId="166" fontId="24" fillId="0" borderId="22" xfId="0" applyNumberFormat="1" applyFont="1" applyFill="1" applyBorder="1"/>
    <xf numFmtId="166" fontId="0" fillId="43" borderId="22" xfId="0" applyNumberFormat="1" applyFill="1" applyBorder="1"/>
    <xf numFmtId="166" fontId="24" fillId="0" borderId="0" xfId="0" applyNumberFormat="1" applyFont="1" applyFill="1" applyBorder="1"/>
    <xf numFmtId="166" fontId="0" fillId="43" borderId="0" xfId="0" applyNumberFormat="1" applyFill="1" applyBorder="1"/>
    <xf numFmtId="166" fontId="24" fillId="40" borderId="23" xfId="0" applyNumberFormat="1" applyFont="1" applyFill="1" applyBorder="1"/>
    <xf numFmtId="9" fontId="24" fillId="0" borderId="0" xfId="0" applyNumberFormat="1" applyFont="1" applyFill="1" applyAlignment="1">
      <alignment horizontal="center" vertical="center"/>
    </xf>
    <xf numFmtId="9" fontId="24" fillId="0" borderId="0" xfId="49" applyNumberFormat="1" applyFont="1"/>
    <xf numFmtId="9" fontId="0" fillId="0" borderId="0" xfId="49" applyNumberFormat="1" applyFont="1"/>
    <xf numFmtId="174" fontId="29" fillId="0" borderId="0" xfId="49" applyNumberFormat="1" applyFont="1"/>
    <xf numFmtId="9" fontId="29" fillId="0" borderId="0" xfId="0" applyNumberFormat="1" applyFont="1" applyFill="1" applyAlignment="1">
      <alignment horizontal="center" vertical="center"/>
    </xf>
    <xf numFmtId="9" fontId="29" fillId="0" borderId="0" xfId="49" applyNumberFormat="1" applyFont="1"/>
    <xf numFmtId="9" fontId="29" fillId="0" borderId="0" xfId="49" applyNumberFormat="1" applyFont="1" applyFill="1" applyAlignment="1">
      <alignment horizontal="center" vertical="center"/>
    </xf>
    <xf numFmtId="166" fontId="24" fillId="43" borderId="0" xfId="0" applyNumberFormat="1" applyFont="1" applyFill="1" applyAlignment="1">
      <alignment horizontal="center" vertical="center"/>
    </xf>
    <xf numFmtId="166" fontId="24" fillId="43" borderId="22" xfId="0" applyNumberFormat="1" applyFont="1" applyFill="1" applyBorder="1" applyAlignment="1">
      <alignment horizontal="center" vertical="center"/>
    </xf>
    <xf numFmtId="174" fontId="0" fillId="0" borderId="0" xfId="0" applyNumberFormat="1"/>
    <xf numFmtId="166" fontId="24" fillId="0" borderId="0" xfId="0" applyNumberFormat="1" applyFont="1" applyAlignment="1">
      <alignment horizontal="centerContinuous"/>
    </xf>
    <xf numFmtId="167" fontId="24" fillId="0" borderId="0" xfId="49" applyFont="1" applyFill="1" applyBorder="1" applyAlignment="1">
      <alignment vertical="center"/>
    </xf>
    <xf numFmtId="0" fontId="38" fillId="0" borderId="0" xfId="0" applyFont="1" applyFill="1" applyAlignment="1">
      <alignment horizontal="center"/>
    </xf>
    <xf numFmtId="166" fontId="41" fillId="42" borderId="23" xfId="0" applyNumberFormat="1" applyFont="1" applyFill="1" applyBorder="1" applyAlignment="1">
      <alignment vertical="center"/>
    </xf>
    <xf numFmtId="167" fontId="24" fillId="35" borderId="0" xfId="49" applyFont="1" applyFill="1" applyAlignment="1">
      <alignment horizontal="centerContinuous"/>
    </xf>
    <xf numFmtId="177" fontId="0" fillId="0" borderId="0" xfId="0" applyNumberFormat="1"/>
    <xf numFmtId="177" fontId="24" fillId="0" borderId="0" xfId="0" applyNumberFormat="1" applyFont="1"/>
    <xf numFmtId="177" fontId="24" fillId="43" borderId="23" xfId="0" applyNumberFormat="1" applyFont="1" applyFill="1" applyBorder="1" applyAlignment="1">
      <alignment vertical="center"/>
    </xf>
    <xf numFmtId="0" fontId="38" fillId="0" borderId="0" xfId="0" applyFont="1" applyFill="1" applyAlignment="1">
      <alignment horizontal="left"/>
    </xf>
    <xf numFmtId="166" fontId="41" fillId="0" borderId="0" xfId="0" applyNumberFormat="1" applyFont="1" applyFill="1"/>
    <xf numFmtId="1" fontId="0" fillId="43" borderId="0" xfId="0" applyNumberFormat="1" applyFill="1" applyAlignment="1">
      <alignment horizontal="center" vertical="center"/>
    </xf>
    <xf numFmtId="1" fontId="0" fillId="43" borderId="0" xfId="0" applyNumberFormat="1" applyFill="1" applyBorder="1" applyAlignment="1">
      <alignment horizontal="center" vertical="center"/>
    </xf>
    <xf numFmtId="0" fontId="32" fillId="35" borderId="0" xfId="66" applyFont="1" applyFill="1" applyAlignment="1">
      <alignment horizontal="left" vertical="center"/>
    </xf>
    <xf numFmtId="0" fontId="31" fillId="35" borderId="0" xfId="66" applyFont="1" applyFill="1" applyAlignment="1">
      <alignment horizontal="right" vertical="center"/>
    </xf>
    <xf numFmtId="166" fontId="24" fillId="35" borderId="0" xfId="66" applyNumberFormat="1" applyFill="1"/>
    <xf numFmtId="0" fontId="34" fillId="35" borderId="0" xfId="66" applyFont="1" applyFill="1" applyAlignment="1">
      <alignment horizontal="left" vertical="center"/>
    </xf>
    <xf numFmtId="0" fontId="11" fillId="35" borderId="0" xfId="52" applyNumberFormat="1" applyFont="1" applyFill="1" applyAlignment="1">
      <alignment horizontal="left" vertical="center"/>
    </xf>
    <xf numFmtId="0" fontId="13" fillId="36" borderId="0" xfId="66" applyFont="1" applyFill="1" applyAlignment="1">
      <alignment horizontal="left" vertical="center"/>
    </xf>
    <xf numFmtId="0" fontId="35" fillId="36" borderId="0" xfId="66" applyFont="1" applyFill="1" applyAlignment="1">
      <alignment horizontal="right" vertical="center"/>
    </xf>
    <xf numFmtId="166" fontId="35" fillId="36" borderId="0" xfId="66" applyNumberFormat="1" applyFont="1" applyFill="1" applyAlignment="1">
      <alignment horizontal="right"/>
    </xf>
    <xf numFmtId="166" fontId="36" fillId="36" borderId="0" xfId="66" applyNumberFormat="1" applyFont="1" applyFill="1"/>
    <xf numFmtId="0" fontId="13" fillId="35" borderId="0" xfId="66" applyFont="1" applyFill="1" applyAlignment="1">
      <alignment horizontal="left" vertical="center"/>
    </xf>
    <xf numFmtId="0" fontId="35" fillId="35" borderId="0" xfId="66" applyFont="1" applyFill="1" applyAlignment="1">
      <alignment horizontal="right" vertical="center"/>
    </xf>
    <xf numFmtId="166" fontId="35" fillId="35" borderId="0" xfId="66" applyNumberFormat="1" applyFont="1" applyFill="1" applyAlignment="1">
      <alignment horizontal="right"/>
    </xf>
    <xf numFmtId="166" fontId="36" fillId="35" borderId="0" xfId="66" applyNumberFormat="1" applyFont="1" applyFill="1"/>
    <xf numFmtId="166" fontId="24" fillId="0" borderId="0" xfId="66" applyNumberFormat="1"/>
    <xf numFmtId="166" fontId="40" fillId="38" borderId="0" xfId="66" applyNumberFormat="1" applyFont="1" applyFill="1"/>
    <xf numFmtId="166" fontId="41" fillId="39" borderId="0" xfId="66" applyNumberFormat="1" applyFont="1" applyFill="1"/>
    <xf numFmtId="166" fontId="41" fillId="35" borderId="0" xfId="66" applyNumberFormat="1" applyFont="1" applyFill="1" applyAlignment="1">
      <alignment horizontal="center"/>
    </xf>
    <xf numFmtId="166" fontId="40" fillId="36" borderId="0" xfId="66" applyNumberFormat="1" applyFont="1" applyFill="1"/>
    <xf numFmtId="0" fontId="40" fillId="36" borderId="0" xfId="66" applyFont="1" applyFill="1" applyAlignment="1">
      <alignment horizontal="centerContinuous"/>
    </xf>
    <xf numFmtId="166" fontId="24" fillId="44" borderId="0" xfId="66" applyNumberFormat="1" applyFill="1"/>
    <xf numFmtId="175" fontId="0" fillId="43" borderId="0" xfId="49" applyNumberFormat="1" applyFont="1" applyFill="1" applyAlignment="1">
      <alignment horizontal="center" vertical="center"/>
    </xf>
    <xf numFmtId="167" fontId="0" fillId="43" borderId="0" xfId="49" applyFont="1" applyFill="1" applyAlignment="1">
      <alignment horizontal="center" vertical="center"/>
    </xf>
    <xf numFmtId="0" fontId="38" fillId="35" borderId="0" xfId="66" applyFont="1" applyFill="1" applyAlignment="1">
      <alignment horizontal="center"/>
    </xf>
    <xf numFmtId="166" fontId="41" fillId="35" borderId="0" xfId="66" applyNumberFormat="1" applyFont="1" applyFill="1"/>
    <xf numFmtId="0" fontId="40" fillId="35" borderId="0" xfId="66" applyFont="1" applyFill="1"/>
    <xf numFmtId="0" fontId="41" fillId="35" borderId="0" xfId="66" applyFont="1" applyFill="1"/>
    <xf numFmtId="0" fontId="24" fillId="35" borderId="0" xfId="66" applyFill="1" applyAlignment="1">
      <alignment horizontal="center"/>
    </xf>
    <xf numFmtId="0" fontId="24" fillId="35" borderId="0" xfId="66" applyFill="1"/>
    <xf numFmtId="166" fontId="24" fillId="44" borderId="21" xfId="66" applyNumberFormat="1" applyFill="1" applyBorder="1"/>
    <xf numFmtId="2" fontId="0" fillId="43" borderId="21" xfId="49" applyNumberFormat="1" applyFont="1" applyFill="1" applyBorder="1" applyAlignment="1">
      <alignment horizontal="center" vertical="center"/>
    </xf>
    <xf numFmtId="167" fontId="0" fillId="43" borderId="21" xfId="49" applyFont="1" applyFill="1" applyBorder="1" applyAlignment="1">
      <alignment horizontal="center" vertical="center"/>
    </xf>
    <xf numFmtId="171" fontId="24" fillId="0" borderId="0" xfId="66" applyNumberFormat="1"/>
    <xf numFmtId="166" fontId="40" fillId="35" borderId="0" xfId="66" applyNumberFormat="1" applyFont="1" applyFill="1"/>
    <xf numFmtId="170" fontId="24" fillId="35" borderId="0" xfId="66" applyNumberFormat="1" applyFill="1"/>
    <xf numFmtId="0" fontId="40" fillId="35" borderId="0" xfId="66" applyFont="1" applyFill="1" applyAlignment="1">
      <alignment horizontal="center"/>
    </xf>
    <xf numFmtId="175" fontId="24" fillId="35" borderId="0" xfId="66" applyNumberFormat="1" applyFill="1" applyAlignment="1">
      <alignment vertical="center"/>
    </xf>
    <xf numFmtId="175" fontId="51" fillId="35" borderId="0" xfId="66" applyNumberFormat="1" applyFont="1" applyFill="1" applyAlignment="1">
      <alignment vertical="center"/>
    </xf>
    <xf numFmtId="0" fontId="40" fillId="35" borderId="0" xfId="66" applyFont="1" applyFill="1" applyAlignment="1">
      <alignment horizontal="center" vertical="center"/>
    </xf>
    <xf numFmtId="175" fontId="24" fillId="35" borderId="0" xfId="66" applyNumberFormat="1" applyFill="1" applyAlignment="1">
      <alignment horizontal="center" vertical="center"/>
    </xf>
    <xf numFmtId="171" fontId="24" fillId="35" borderId="0" xfId="66" applyNumberFormat="1" applyFill="1" applyAlignment="1">
      <alignment horizontal="left"/>
    </xf>
    <xf numFmtId="2" fontId="24" fillId="35" borderId="0" xfId="66" applyNumberFormat="1" applyFill="1" applyAlignment="1">
      <alignment horizontal="left"/>
    </xf>
    <xf numFmtId="166" fontId="60" fillId="35" borderId="0" xfId="66" applyNumberFormat="1" applyFont="1" applyFill="1"/>
    <xf numFmtId="166" fontId="24" fillId="35" borderId="0" xfId="66" applyNumberFormat="1" applyFill="1" applyAlignment="1">
      <alignment vertical="center"/>
    </xf>
    <xf numFmtId="2" fontId="24" fillId="35" borderId="0" xfId="49" applyNumberFormat="1" applyFont="1" applyFill="1" applyBorder="1"/>
    <xf numFmtId="166" fontId="0" fillId="46" borderId="0" xfId="0" applyNumberFormat="1" applyFill="1"/>
    <xf numFmtId="166" fontId="48" fillId="36" borderId="0" xfId="66" applyNumberFormat="1" applyFont="1" applyFill="1"/>
    <xf numFmtId="0" fontId="40" fillId="0" borderId="0" xfId="0" applyFont="1" applyFill="1"/>
    <xf numFmtId="177" fontId="24" fillId="0" borderId="0" xfId="0" applyNumberFormat="1" applyFont="1" applyFill="1"/>
    <xf numFmtId="177" fontId="0" fillId="0" borderId="0" xfId="0" applyNumberFormat="1" applyFill="1"/>
    <xf numFmtId="174" fontId="36" fillId="0" borderId="0" xfId="49" applyNumberFormat="1" applyFont="1"/>
    <xf numFmtId="174" fontId="24" fillId="0" borderId="0" xfId="49" applyNumberFormat="1" applyFont="1" applyFill="1" applyBorder="1" applyAlignment="1">
      <alignment vertical="center"/>
    </xf>
    <xf numFmtId="0" fontId="34" fillId="35" borderId="19" xfId="66" applyFont="1" applyFill="1" applyBorder="1" applyAlignment="1">
      <alignment horizontal="left" vertical="center"/>
    </xf>
    <xf numFmtId="0" fontId="31" fillId="35" borderId="19" xfId="66" applyFont="1" applyFill="1" applyBorder="1" applyAlignment="1">
      <alignment horizontal="right" vertical="center"/>
    </xf>
    <xf numFmtId="0" fontId="1" fillId="35" borderId="0" xfId="73" applyFill="1"/>
    <xf numFmtId="9" fontId="0" fillId="35" borderId="0" xfId="74" applyFont="1" applyFill="1"/>
    <xf numFmtId="0" fontId="38" fillId="36" borderId="0" xfId="66" applyFont="1" applyFill="1" applyAlignment="1">
      <alignment horizontal="center" vertical="center"/>
    </xf>
    <xf numFmtId="0" fontId="62" fillId="35" borderId="0" xfId="66" applyFont="1" applyFill="1"/>
    <xf numFmtId="0" fontId="38" fillId="0" borderId="0" xfId="66" applyFont="1" applyAlignment="1">
      <alignment horizontal="center" vertical="center"/>
    </xf>
    <xf numFmtId="0" fontId="63" fillId="36" borderId="0" xfId="66" applyFont="1" applyFill="1"/>
    <xf numFmtId="49" fontId="64" fillId="36" borderId="0" xfId="66" applyNumberFormat="1" applyFont="1" applyFill="1" applyAlignment="1">
      <alignment horizontal="center" vertical="center" wrapText="1"/>
    </xf>
    <xf numFmtId="170" fontId="64" fillId="36" borderId="0" xfId="66" applyNumberFormat="1" applyFont="1" applyFill="1" applyAlignment="1">
      <alignment horizontal="center" vertical="center" wrapText="1"/>
    </xf>
    <xf numFmtId="170" fontId="64" fillId="35" borderId="0" xfId="66" applyNumberFormat="1" applyFont="1" applyFill="1" applyAlignment="1">
      <alignment horizontal="center" vertical="center" wrapText="1"/>
    </xf>
    <xf numFmtId="179" fontId="24" fillId="35" borderId="0" xfId="66" applyNumberFormat="1" applyFill="1"/>
    <xf numFmtId="0" fontId="24" fillId="49" borderId="27" xfId="66" applyFill="1" applyBorder="1"/>
    <xf numFmtId="179" fontId="24" fillId="49" borderId="27" xfId="66" applyNumberFormat="1" applyFill="1" applyBorder="1"/>
    <xf numFmtId="179" fontId="41" fillId="35" borderId="0" xfId="75" applyNumberFormat="1" applyFont="1" applyFill="1"/>
    <xf numFmtId="180" fontId="41" fillId="35" borderId="0" xfId="75" applyNumberFormat="1" applyFont="1" applyFill="1"/>
    <xf numFmtId="0" fontId="24" fillId="36" borderId="0" xfId="66" applyFill="1"/>
    <xf numFmtId="0" fontId="24" fillId="0" borderId="0" xfId="66"/>
    <xf numFmtId="179" fontId="0" fillId="35" borderId="0" xfId="75" applyNumberFormat="1" applyFont="1" applyFill="1"/>
    <xf numFmtId="180" fontId="0" fillId="35" borderId="0" xfId="75" applyNumberFormat="1" applyFont="1" applyFill="1"/>
    <xf numFmtId="170" fontId="64" fillId="0" borderId="0" xfId="66" applyNumberFormat="1" applyFont="1" applyAlignment="1">
      <alignment horizontal="center" vertical="center" wrapText="1"/>
    </xf>
    <xf numFmtId="179" fontId="24" fillId="35" borderId="0" xfId="75" applyNumberFormat="1" applyFont="1" applyFill="1"/>
    <xf numFmtId="49" fontId="64" fillId="0" borderId="0" xfId="66" applyNumberFormat="1" applyFont="1" applyAlignment="1">
      <alignment horizontal="center" vertical="center" wrapText="1"/>
    </xf>
    <xf numFmtId="0" fontId="51" fillId="35" borderId="0" xfId="66" applyFont="1" applyFill="1" applyAlignment="1">
      <alignment horizontal="left" indent="1"/>
    </xf>
    <xf numFmtId="9" fontId="0" fillId="35" borderId="0" xfId="76" applyFont="1" applyFill="1"/>
    <xf numFmtId="0" fontId="51" fillId="35" borderId="0" xfId="66" applyFont="1" applyFill="1"/>
    <xf numFmtId="179" fontId="51" fillId="35" borderId="0" xfId="75" applyNumberFormat="1" applyFont="1" applyFill="1"/>
    <xf numFmtId="179" fontId="51" fillId="35" borderId="0" xfId="66" applyNumberFormat="1" applyFont="1" applyFill="1"/>
    <xf numFmtId="166" fontId="24" fillId="0" borderId="25" xfId="0" applyNumberFormat="1" applyFont="1" applyFill="1" applyBorder="1" applyAlignment="1">
      <alignment horizontal="center"/>
    </xf>
    <xf numFmtId="166" fontId="24" fillId="0" borderId="27" xfId="0" applyNumberFormat="1" applyFont="1" applyFill="1" applyBorder="1" applyAlignment="1">
      <alignment horizontal="center"/>
    </xf>
    <xf numFmtId="166" fontId="24" fillId="0" borderId="26" xfId="0" applyNumberFormat="1" applyFont="1" applyFill="1" applyBorder="1" applyAlignment="1">
      <alignment horizontal="center"/>
    </xf>
    <xf numFmtId="166" fontId="57" fillId="0" borderId="29" xfId="0" applyNumberFormat="1" applyFont="1" applyBorder="1" applyAlignment="1">
      <alignment horizontal="center"/>
    </xf>
    <xf numFmtId="166" fontId="57" fillId="0" borderId="33" xfId="0" applyNumberFormat="1" applyFont="1" applyBorder="1" applyAlignment="1">
      <alignment horizontal="center"/>
    </xf>
    <xf numFmtId="166" fontId="51" fillId="40" borderId="0" xfId="0" applyNumberFormat="1" applyFont="1" applyFill="1" applyAlignment="1">
      <alignment horizontal="center"/>
    </xf>
    <xf numFmtId="166" fontId="24" fillId="0" borderId="25" xfId="0" applyNumberFormat="1" applyFont="1" applyBorder="1" applyAlignment="1">
      <alignment horizontal="center"/>
    </xf>
    <xf numFmtId="166" fontId="24" fillId="0" borderId="27" xfId="0" applyNumberFormat="1" applyFont="1" applyBorder="1" applyAlignment="1">
      <alignment horizontal="center"/>
    </xf>
    <xf numFmtId="166" fontId="24" fillId="0" borderId="26" xfId="0" applyNumberFormat="1" applyFont="1" applyBorder="1" applyAlignment="1">
      <alignment horizontal="center"/>
    </xf>
    <xf numFmtId="0" fontId="51" fillId="0" borderId="0" xfId="66" applyFont="1" applyFill="1" applyAlignment="1">
      <alignment horizontal="left" indent="1"/>
    </xf>
    <xf numFmtId="0" fontId="41" fillId="35" borderId="0" xfId="66" applyFont="1" applyFill="1" applyAlignment="1">
      <alignment horizontal="center" vertical="center"/>
    </xf>
    <xf numFmtId="187" fontId="24" fillId="35" borderId="0" xfId="66" applyNumberFormat="1" applyFill="1"/>
  </cellXfs>
  <cellStyles count="77">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Assumptions" xfId="50" xr:uid="{00000000-0005-0000-0000-000018000000}"/>
    <cellStyle name="Bad" xfId="8" builtinId="27" hidden="1"/>
    <cellStyle name="Blank" xfId="44" xr:uid="{00000000-0005-0000-0000-00001A000000}"/>
    <cellStyle name="Calculation" xfId="11" builtinId="22" hidden="1"/>
    <cellStyle name="Check Cell" xfId="13" builtinId="23" hidden="1"/>
    <cellStyle name="Comma" xfId="45" builtinId="3" hidden="1"/>
    <cellStyle name="Comma" xfId="75" builtinId="3"/>
    <cellStyle name="Comma [0]" xfId="46" builtinId="6" hidden="1"/>
    <cellStyle name="Comma 2 2 2" xfId="64" xr:uid="{595C4EC5-16D5-491E-AAE1-BAC0AD8A0F32}"/>
    <cellStyle name="Comma 7" xfId="63" xr:uid="{C082EF36-3322-41A7-8935-5B2410F09ED6}"/>
    <cellStyle name="Currency" xfId="47" builtinId="4" hidden="1"/>
    <cellStyle name="Currency [0]" xfId="48" builtinId="7" hidden="1"/>
    <cellStyle name="Date" xfId="43" xr:uid="{00000000-0005-0000-0000-000021000000}"/>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Historical inputs" xfId="42" xr:uid="{00000000-0005-0000-0000-000028000000}"/>
    <cellStyle name="Hyperlink" xfId="70" builtinId="8"/>
    <cellStyle name="Hyperlink 2" xfId="58" xr:uid="{8D5DCA8D-5EE3-4136-98DA-9D89BF391220}"/>
    <cellStyle name="Important output" xfId="51" xr:uid="{00000000-0005-0000-0000-000029000000}"/>
    <cellStyle name="Input" xfId="1" builtinId="20" hidden="1" customBuiltin="1"/>
    <cellStyle name="Linked Cell" xfId="12" builtinId="24" hidden="1"/>
    <cellStyle name="Neutral" xfId="9" builtinId="28" hidden="1"/>
    <cellStyle name="Normal" xfId="0" builtinId="0"/>
    <cellStyle name="Normal 10" xfId="72" xr:uid="{7805EC49-FB4F-4DF7-B668-4106C66A03EF}"/>
    <cellStyle name="Normal 12" xfId="73" xr:uid="{395ED9E6-9FBE-46E2-9E0E-0D52910610F8}"/>
    <cellStyle name="Normal 2" xfId="52" xr:uid="{0A3F0A62-75A9-4DAB-918D-DFBAB435CB2C}"/>
    <cellStyle name="Normal 2 2" xfId="61" xr:uid="{4050F5A3-2918-4C05-931F-E28B0ED8ABE7}"/>
    <cellStyle name="Normal 2 2 2" xfId="68" xr:uid="{04414A1E-90EB-4ADA-A1AE-0F9016BC285B}"/>
    <cellStyle name="Normal 2 3" xfId="65" xr:uid="{133C52F7-3616-4FD4-87C5-35F3F3A86A55}"/>
    <cellStyle name="Normal 2 4" xfId="71" xr:uid="{E470788E-F1A2-4755-A360-78CEB4F13A09}"/>
    <cellStyle name="Normal 3" xfId="53" xr:uid="{98A70635-4B06-4781-AAD6-921251ECA9C4}"/>
    <cellStyle name="Normal 3 2" xfId="57" xr:uid="{8A94803A-5837-47B2-90C7-16CDDF95A78B}"/>
    <cellStyle name="Normal 3 3" xfId="59" xr:uid="{263D99AA-4161-44C0-B0FE-CA448C0B3B8F}"/>
    <cellStyle name="Normal 4" xfId="54" xr:uid="{7E549C3A-7DA1-4A79-8DBA-BD78BD344796}"/>
    <cellStyle name="Normal 4 2" xfId="56" xr:uid="{EED7265A-68A8-4F5C-9E1C-954DD9081CBC}"/>
    <cellStyle name="Normal 5" xfId="55" xr:uid="{3FF89FD9-5247-49AD-96F4-C658CD717EDD}"/>
    <cellStyle name="Normal 6" xfId="67" xr:uid="{795E2629-4BCD-4A21-9395-A2FC382EB578}"/>
    <cellStyle name="Normal 7" xfId="62" xr:uid="{7AEE2B66-36F0-4937-A431-7D64ABD7F7EF}"/>
    <cellStyle name="Normal 8" xfId="66" xr:uid="{EE612A93-0777-449A-A05B-AD03C6EA7FC3}"/>
    <cellStyle name="Normal 9" xfId="69" xr:uid="{E8217428-2BAD-4063-8F7B-81BA5E6470F4}"/>
    <cellStyle name="Note" xfId="15" builtinId="10" hidden="1"/>
    <cellStyle name="Output" xfId="10" builtinId="21" hidden="1"/>
    <cellStyle name="Percent" xfId="49" builtinId="5" customBuiltin="1"/>
    <cellStyle name="Percent 2" xfId="60" xr:uid="{FB3226F9-E178-456C-81FF-99E1F5A981BE}"/>
    <cellStyle name="Percent 3" xfId="76" xr:uid="{9ECB43E2-3790-481E-9A73-BC1EFC16E663}"/>
    <cellStyle name="Percent 4" xfId="74" xr:uid="{C97D010D-3E92-4998-AD95-CAEADFF7D638}"/>
    <cellStyle name="Title" xfId="2" builtinId="15" hidden="1"/>
    <cellStyle name="Total" xfId="17" builtinId="25" hidden="1"/>
    <cellStyle name="Warning Text" xfId="14" builtinId="11" hidde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8080"/>
      <rgbColor rgb="00FFFFFF"/>
      <rgbColor rgb="008EC6A1"/>
      <rgbColor rgb="00FFFFFF"/>
      <rgbColor rgb="00CEA09D"/>
      <rgbColor rgb="0006C245"/>
      <rgbColor rgb="00BCDEC2"/>
      <rgbColor rgb="00FFFFFF"/>
      <rgbColor rgb="005BC182"/>
      <rgbColor rgb="00E7D475"/>
      <rgbColor rgb="00B1726B"/>
      <rgbColor rgb="00BBAD87"/>
      <rgbColor rgb="00FEEC00"/>
      <rgbColor rgb="00F5C77B"/>
      <rgbColor rgb="00FFFFFF"/>
      <rgbColor rgb="00B2B2B2"/>
      <rgbColor rgb="005BAD82"/>
      <rgbColor rgb="008EC6A1"/>
      <rgbColor rgb="00BCDEC2"/>
      <rgbColor rgb="0079A2B3"/>
      <rgbColor rgb="00ACC6D0"/>
      <rgbColor rgb="00D2E0E6"/>
      <rgbColor rgb="00908052"/>
      <rgbColor rgb="00BBAD87"/>
      <rgbColor rgb="00177B57"/>
      <rgbColor rgb="003D6E81"/>
      <rgbColor rgb="00655939"/>
      <rgbColor rgb="004D4D4D"/>
      <rgbColor rgb="00CFA649"/>
      <rgbColor rgb="009C3328"/>
      <rgbColor rgb="00DC8700"/>
      <rgbColor rgb="00808080"/>
      <rgbColor rgb="00FFFFFF"/>
      <rgbColor rgb="00DC8700"/>
      <rgbColor rgb="00CFA649"/>
      <rgbColor rgb="00655939"/>
      <rgbColor rgb="009C3328"/>
      <rgbColor rgb="00177B57"/>
      <rgbColor rgb="004D4D4D"/>
      <rgbColor rgb="003D6E81"/>
      <rgbColor rgb="00E7C7C7"/>
      <rgbColor rgb="00F9DFB5"/>
      <rgbColor rgb="00D8CEB8"/>
      <rgbColor rgb="00008FC8"/>
      <rgbColor rgb="00D2E0E6"/>
      <rgbColor rgb="00ACC0D0"/>
      <rgbColor rgb="00DC6E00"/>
      <rgbColor rgb="00E2E2E2"/>
      <rgbColor rgb="00EEA632"/>
      <rgbColor rgb="00F9EFBD"/>
      <rgbColor rgb="00DCC05A"/>
      <rgbColor rgb="00908052"/>
      <rgbColor rgb="0079A2B3"/>
      <rgbColor rgb="007716B2"/>
      <rgbColor rgb="00C41300"/>
      <rgbColor rgb="00808080"/>
    </indexedColors>
    <mruColors>
      <color rgb="FF0000FF"/>
      <color rgb="FFFFFFCC"/>
      <color rgb="FFFFFF66"/>
      <color rgb="FF5BAD82"/>
      <color rgb="FFD4DF33"/>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15</xdr:row>
      <xdr:rowOff>28574</xdr:rowOff>
    </xdr:from>
    <xdr:ext cx="10210800" cy="1457326"/>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4300" y="4238624"/>
          <a:ext cx="10210800" cy="1457326"/>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000">
              <a:latin typeface="Arial" pitchFamily="34" charset="0"/>
              <a:cs typeface="Arial" pitchFamily="34" charset="0"/>
            </a:rPr>
            <a:t>Disclaimer:</a:t>
          </a:r>
          <a:r>
            <a:rPr lang="en-GB" sz="1000" baseline="0">
              <a:latin typeface="Arial" pitchFamily="34" charset="0"/>
              <a:cs typeface="Arial" pitchFamily="34" charset="0"/>
            </a:rPr>
            <a:t> </a:t>
          </a:r>
          <a:r>
            <a:rPr lang="en-US" sz="1000">
              <a:solidFill>
                <a:schemeClr val="tx1"/>
              </a:solidFill>
              <a:latin typeface="Arial" pitchFamily="34" charset="0"/>
              <a:ea typeface="+mn-ea"/>
              <a:cs typeface="Arial" pitchFamily="34" charset="0"/>
            </a:rPr>
            <a:t>Client is responsible for obtaining independent advice concerning these matters, which advice may affect the guidance given by BCG.  Further, BCG has made no undertaking to update these materials after the date hereof notwithstanding that such information may become outdated or inaccurate.</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To the fullest extent permitted by law (and except to the extent otherwise agreed in a signed writing by BCG), BCG shall have no liability whatsoever to any Third-Party, and any Third-Party hereby waives any rights and claims it may, have at any time against BCG with regard to the services, this presentation or other materials, including the accuracy or completeness thereof. </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Further, the financial evaluations, projected market and financial information, and conclusions contained in these materials are based upon standard valuation methodologies, are not definitive forecasts, and are not guaranteed by BCG. BCG has used public and/or confidential data and assumptions provided to BCG by the client which BCG has not independently verified the data and assumptions used in these analyses. Changes in the underlying data or operating assumptions will clearly impact the analyses and conclusions.</a:t>
          </a:r>
          <a:endParaRPr lang="en-GB" sz="1000">
            <a:latin typeface="Arial" pitchFamily="34" charset="0"/>
            <a:cs typeface="Arial" pitchFamily="34" charset="0"/>
          </a:endParaRPr>
        </a:p>
      </xdr:txBody>
    </xdr:sp>
    <xdr:clientData/>
  </xdr:oneCellAnchor>
  <xdr:twoCellAnchor editAs="oneCell">
    <xdr:from>
      <xdr:col>1</xdr:col>
      <xdr:colOff>0</xdr:colOff>
      <xdr:row>0</xdr:row>
      <xdr:rowOff>57150</xdr:rowOff>
    </xdr:from>
    <xdr:to>
      <xdr:col>1</xdr:col>
      <xdr:colOff>2056879</xdr:colOff>
      <xdr:row>3</xdr:row>
      <xdr:rowOff>106680</xdr:rowOff>
    </xdr:to>
    <xdr:pic>
      <xdr:nvPicPr>
        <xdr:cNvPr id="5" name="Picture 4">
          <a:extLst>
            <a:ext uri="{FF2B5EF4-FFF2-40B4-BE49-F238E27FC236}">
              <a16:creationId xmlns:a16="http://schemas.microsoft.com/office/drawing/2014/main" id="{19445CD8-873F-439C-B61E-F8989D8F4B72}"/>
            </a:ext>
          </a:extLst>
        </xdr:cNvPr>
        <xdr:cNvPicPr>
          <a:picLocks noChangeAspect="1"/>
        </xdr:cNvPicPr>
      </xdr:nvPicPr>
      <xdr:blipFill rotWithShape="1">
        <a:blip xmlns:r="http://schemas.openxmlformats.org/officeDocument/2006/relationships" r:embed="rId1"/>
        <a:srcRect t="25739" b="26749"/>
        <a:stretch/>
      </xdr:blipFill>
      <xdr:spPr>
        <a:xfrm>
          <a:off x="114300" y="57150"/>
          <a:ext cx="2056879"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154940</xdr:rowOff>
    </xdr:to>
    <xdr:pic>
      <xdr:nvPicPr>
        <xdr:cNvPr id="2" name="Picture 1">
          <a:extLst>
            <a:ext uri="{FF2B5EF4-FFF2-40B4-BE49-F238E27FC236}">
              <a16:creationId xmlns:a16="http://schemas.microsoft.com/office/drawing/2014/main" id="{5CC797BA-6B99-4DF2-B8F6-E9A7BC740FAB}"/>
            </a:ext>
          </a:extLst>
        </xdr:cNvPr>
        <xdr:cNvPicPr>
          <a:picLocks noChangeAspect="1"/>
        </xdr:cNvPicPr>
      </xdr:nvPicPr>
      <xdr:blipFill rotWithShape="1">
        <a:blip xmlns:r="http://schemas.openxmlformats.org/officeDocument/2006/relationships" r:embed="rId1"/>
        <a:srcRect t="25739" b="26749"/>
        <a:stretch/>
      </xdr:blipFill>
      <xdr:spPr>
        <a:xfrm>
          <a:off x="457200" y="86995"/>
          <a:ext cx="2037829" cy="5822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989E4088-3B2F-4361-9B83-102E65ACB5AF}"/>
            </a:ext>
          </a:extLst>
        </xdr:cNvPr>
        <xdr:cNvPicPr>
          <a:picLocks noChangeAspect="1"/>
        </xdr:cNvPicPr>
      </xdr:nvPicPr>
      <xdr:blipFill rotWithShape="1">
        <a:blip xmlns:r="http://schemas.openxmlformats.org/officeDocument/2006/relationships" r:embed="rId1"/>
        <a:srcRect t="25739" b="26749"/>
        <a:stretch/>
      </xdr:blipFill>
      <xdr:spPr>
        <a:xfrm>
          <a:off x="411480" y="83820"/>
          <a:ext cx="2047354" cy="5435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F582B49C-4174-4CE5-B704-5371B5C954A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D1121564-B00E-4788-92BB-77F8A486D2C9}"/>
            </a:ext>
          </a:extLst>
        </xdr:cNvPr>
        <xdr:cNvPicPr>
          <a:picLocks noChangeAspect="1"/>
        </xdr:cNvPicPr>
      </xdr:nvPicPr>
      <xdr:blipFill rotWithShape="1">
        <a:blip xmlns:r="http://schemas.openxmlformats.org/officeDocument/2006/relationships" r:embed="rId1"/>
        <a:srcRect t="25739" b="26749"/>
        <a:stretch/>
      </xdr:blipFill>
      <xdr:spPr>
        <a:xfrm>
          <a:off x="508000" y="83820"/>
          <a:ext cx="2037829" cy="5568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69774D48-5DB7-49A7-AC70-B2B6B0B0EDB6}"/>
            </a:ext>
          </a:extLst>
        </xdr:cNvPr>
        <xdr:cNvPicPr>
          <a:picLocks noChangeAspect="1"/>
        </xdr:cNvPicPr>
      </xdr:nvPicPr>
      <xdr:blipFill rotWithShape="1">
        <a:blip xmlns:r="http://schemas.openxmlformats.org/officeDocument/2006/relationships" r:embed="rId1"/>
        <a:srcRect t="25739" b="26749"/>
        <a:stretch/>
      </xdr:blipFill>
      <xdr:spPr>
        <a:xfrm>
          <a:off x="450850" y="83820"/>
          <a:ext cx="2037829" cy="553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DFB00163-ADA2-4B6F-B31D-1AE1736DD29D}"/>
            </a:ext>
          </a:extLst>
        </xdr:cNvPr>
        <xdr:cNvPicPr>
          <a:picLocks noChangeAspect="1"/>
        </xdr:cNvPicPr>
      </xdr:nvPicPr>
      <xdr:blipFill rotWithShape="1">
        <a:blip xmlns:r="http://schemas.openxmlformats.org/officeDocument/2006/relationships" r:embed="rId1"/>
        <a:srcRect t="25739" b="26749"/>
        <a:stretch/>
      </xdr:blipFill>
      <xdr:spPr>
        <a:xfrm>
          <a:off x="450850" y="83820"/>
          <a:ext cx="2037829" cy="5537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xdr:colOff>
      <xdr:row>0</xdr:row>
      <xdr:rowOff>13891</xdr:rowOff>
    </xdr:from>
    <xdr:to>
      <xdr:col>1</xdr:col>
      <xdr:colOff>2030959</xdr:colOff>
      <xdr:row>3</xdr:row>
      <xdr:rowOff>95806</xdr:rowOff>
    </xdr:to>
    <xdr:pic>
      <xdr:nvPicPr>
        <xdr:cNvPr id="2" name="Picture 1">
          <a:extLst>
            <a:ext uri="{FF2B5EF4-FFF2-40B4-BE49-F238E27FC236}">
              <a16:creationId xmlns:a16="http://schemas.microsoft.com/office/drawing/2014/main" id="{29276E95-C02C-4AC5-ABC5-4E813A5813F2}"/>
            </a:ext>
          </a:extLst>
        </xdr:cNvPr>
        <xdr:cNvPicPr>
          <a:picLocks noChangeAspect="1"/>
        </xdr:cNvPicPr>
      </xdr:nvPicPr>
      <xdr:blipFill rotWithShape="1">
        <a:blip xmlns:r="http://schemas.openxmlformats.org/officeDocument/2006/relationships" r:embed="rId1"/>
        <a:srcRect t="25739" b="26749"/>
        <a:stretch/>
      </xdr:blipFill>
      <xdr:spPr>
        <a:xfrm>
          <a:off x="281781" y="13891"/>
          <a:ext cx="2028578" cy="5962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0CBFA11-7C57-4FC7-B8A9-50C651F170B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BF76F58-29E9-4F31-A731-54A341A2C0BC}"/>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265453-45/Externally%20accessible/OCP%20Africa%20Folder/230215%20DR/Reports/CRU/phosphate-fertilizer-market-outlook-november-2022-npk-flat-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265453-34/Shared%20Documents/2%20-%20Client%20data/CRU%20phosphate%20market%20outlook%20-%20August%202022_Amended.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file:///C:\Users\latnine%20hicham\The%20Boston%20Consulting%20Group,%20Inc\GRPEO-265453-45-OCP%20-%20SAGA%20AFRICA%20-%20Documents\05.%20Deliverables\3-FRP\1_Salesboost\2_Countries%20deep%20dive\2_Ghana\2.%20Data%20&amp;%20resources\P2O5%20Model\20230607_P205Projection_Ghana_v04.xlsx?9522482E" TargetMode="External"/><Relationship Id="rId1" Type="http://schemas.openxmlformats.org/officeDocument/2006/relationships/externalLinkPath" Target="file:///\\9522482E\20230607_P205Projection_Ghana_v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tes/265453-45/Shared%20Documents/05.%20Deliverables/3-FRP/1_Salesboost/8_Projections/P205Projection_NER%20v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ites/265453-45/Shared%20Documents/05.%20Deliverables/3-FRP/1_Salesboost/8_Projections/P205Projection_NER%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ta Dashboard"/>
      <sheetName val="Capacity"/>
      <sheetName val="Country Capacity - Total"/>
      <sheetName val="Country Capacity - Phos Acid"/>
      <sheetName val="Country Capacity - Nitrophos"/>
      <sheetName val="Country Capacity - Steam"/>
      <sheetName val="Country Capacity - Melt"/>
      <sheetName val="NPK"/>
      <sheetName val="NPK Production"/>
      <sheetName val="PK Production"/>
      <sheetName val="NPK App Demand"/>
      <sheetName val="NPK Imports"/>
      <sheetName val="NPK Exports"/>
      <sheetName val="NP"/>
      <sheetName val="NP Production"/>
      <sheetName val="NP App Demand"/>
      <sheetName val="NP Imports"/>
      <sheetName val="NP Exports"/>
      <sheetName val="PK"/>
      <sheetName val="PK App Demand"/>
      <sheetName val="PK Imports"/>
      <sheetName val="PK Exports"/>
      <sheetName val="NPK+NP+PK"/>
      <sheetName val="NPK+NP+PK Production"/>
      <sheetName val="NPK+NP+PK App Demand"/>
      <sheetName val="NPK+NP+PK Imports"/>
      <sheetName val="NPK+NP+PK Exports"/>
    </sheetNames>
    <sheetDataSet>
      <sheetData sheetId="0"/>
      <sheetData sheetId="1">
        <row r="19">
          <cell r="D19">
            <v>48.356453000000002</v>
          </cell>
          <cell r="E19">
            <v>77.101525000000009</v>
          </cell>
          <cell r="F19">
            <v>146.6422</v>
          </cell>
          <cell r="G19">
            <v>315.39183299999996</v>
          </cell>
          <cell r="H19">
            <v>175.23312000000001</v>
          </cell>
          <cell r="I19">
            <v>253.78091699999999</v>
          </cell>
          <cell r="J19">
            <v>611.14063799999997</v>
          </cell>
          <cell r="K19">
            <v>835.27263300000004</v>
          </cell>
          <cell r="L19">
            <v>458.58204212442399</v>
          </cell>
          <cell r="M19">
            <v>684.50591999999995</v>
          </cell>
          <cell r="N19">
            <v>906.47305000000006</v>
          </cell>
          <cell r="O19">
            <v>976.19905000002484</v>
          </cell>
          <cell r="P19">
            <v>990.01913084472369</v>
          </cell>
          <cell r="Q19">
            <v>1087.3219420780533</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row>
      </sheetData>
      <sheetData sheetId="2"/>
      <sheetData sheetId="3"/>
      <sheetData sheetId="4"/>
      <sheetData sheetId="5"/>
      <sheetData sheetId="6"/>
      <sheetData sheetId="7"/>
      <sheetData sheetId="8"/>
      <sheetData sheetId="9"/>
      <sheetData sheetId="10"/>
      <sheetData sheetId="11">
        <row r="4">
          <cell r="E4">
            <v>63121.263377337928</v>
          </cell>
        </row>
      </sheetData>
      <sheetData sheetId="12"/>
      <sheetData sheetId="13"/>
      <sheetData sheetId="14"/>
      <sheetData sheetId="15"/>
      <sheetData sheetId="16">
        <row r="4">
          <cell r="E4">
            <v>7183.2374317664198</v>
          </cell>
        </row>
      </sheetData>
      <sheetData sheetId="17"/>
      <sheetData sheetId="18"/>
      <sheetData sheetId="19"/>
      <sheetData sheetId="20">
        <row r="4">
          <cell r="E4">
            <v>3173.1806503090029</v>
          </cell>
        </row>
      </sheetData>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ROL"/>
      <sheetName val="DASHBOARD"/>
      <sheetName val="DATABASE - MARKET"/>
      <sheetName val="DATABASE - PRICES"/>
      <sheetName val="Sheet2"/>
      <sheetName val="PIVOT COUNTRY - MARKET"/>
      <sheetName val="Sheet1"/>
      <sheetName val="PIVOT COUNTRY - PRODUCT"/>
      <sheetName val="DATABASE - NPK PRICES"/>
      <sheetName val="PIVOT COMPARISON - PRICES"/>
      <sheetName val="DATABASE - NPK NP PK"/>
      <sheetName val="PIVOT COUNTRY - NPK NP PK"/>
      <sheetName val="PIVOT COMPARISON - NPK PRICES"/>
    </sheetNames>
    <sheetDataSet>
      <sheetData sheetId="0"/>
      <sheetData sheetId="1">
        <row r="3">
          <cell r="J3" t="str">
            <v>World_Total</v>
          </cell>
        </row>
        <row r="4">
          <cell r="J4" t="str">
            <v>Europe_CIS_Total</v>
          </cell>
        </row>
        <row r="5">
          <cell r="J5" t="str">
            <v>West_Europe</v>
          </cell>
        </row>
        <row r="6">
          <cell r="J6" t="str">
            <v>East_Europe</v>
          </cell>
        </row>
        <row r="7">
          <cell r="J7" t="str">
            <v>CIS</v>
          </cell>
        </row>
        <row r="8">
          <cell r="J8" t="str">
            <v>Africa_Total</v>
          </cell>
        </row>
        <row r="9">
          <cell r="J9" t="str">
            <v>North_Africa</v>
          </cell>
        </row>
        <row r="10">
          <cell r="J10" t="str">
            <v>East_Africa</v>
          </cell>
        </row>
        <row r="11">
          <cell r="J11" t="str">
            <v>West_Africa</v>
          </cell>
        </row>
        <row r="12">
          <cell r="J12" t="str">
            <v>Central_Africa</v>
          </cell>
        </row>
        <row r="13">
          <cell r="J13" t="str">
            <v>Southern_Africa</v>
          </cell>
        </row>
        <row r="14">
          <cell r="J14" t="str">
            <v>North_America</v>
          </cell>
        </row>
        <row r="15">
          <cell r="J15" t="str">
            <v>Central_South_America_Total</v>
          </cell>
        </row>
        <row r="16">
          <cell r="J16" t="str">
            <v>Caribbean</v>
          </cell>
        </row>
        <row r="17">
          <cell r="J17" t="str">
            <v>Central_America</v>
          </cell>
        </row>
        <row r="18">
          <cell r="J18" t="str">
            <v>South_America</v>
          </cell>
        </row>
        <row r="19">
          <cell r="J19" t="str">
            <v>Asia_Total</v>
          </cell>
        </row>
        <row r="20">
          <cell r="J20" t="str">
            <v>Middle_East</v>
          </cell>
        </row>
        <row r="21">
          <cell r="J21" t="str">
            <v>South_Asia</v>
          </cell>
        </row>
        <row r="22">
          <cell r="J22" t="str">
            <v>South-East_Asia</v>
          </cell>
        </row>
        <row r="23">
          <cell r="J23" t="str">
            <v>East_Asia</v>
          </cell>
        </row>
        <row r="24">
          <cell r="J24" t="str">
            <v>Oceania</v>
          </cell>
        </row>
        <row r="25">
          <cell r="J25" t="str">
            <v>Unidentified</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verture"/>
      <sheetName val="Model &gt;&gt;"/>
      <sheetName val="ProjectedP205_Consumption"/>
      <sheetName val="OCP Scenarios"/>
      <sheetName val="OCPMarketShares"/>
      <sheetName val="OCP Scenarios_2"/>
      <sheetName val=" Product Mix Hypotheses"/>
      <sheetName val="Target mix (2)"/>
      <sheetName val="Target mix"/>
      <sheetName val="Historique OCP"/>
      <sheetName val="Investments &amp; capabilities"/>
      <sheetName val="Inputs &gt;&gt;"/>
      <sheetName val="RAR_OCP"/>
      <sheetName val="UNComtradeData_Imports"/>
      <sheetName val="P2O5Consumption"/>
      <sheetName val="HarvestedAreas_TCD"/>
      <sheetName val="HarvestedAreas"/>
      <sheetName val="Stocks22"/>
      <sheetName val="OCP 2022 - Sales"/>
      <sheetName val="Old_OCP Trajectory "/>
    </sheetNames>
    <sheetDataSet>
      <sheetData sheetId="0">
        <row r="2">
          <cell r="C2" t="str">
            <v>OCP Africa - Ghana P205</v>
          </cell>
        </row>
      </sheetData>
      <sheetData sheetId="1"/>
      <sheetData sheetId="2"/>
      <sheetData sheetId="3"/>
      <sheetData sheetId="4"/>
      <sheetData sheetId="5">
        <row r="48">
          <cell r="D48">
            <v>5.0911631049099242</v>
          </cell>
        </row>
      </sheetData>
      <sheetData sheetId="6">
        <row r="85">
          <cell r="D85">
            <v>0.16616950357965624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verture"/>
      <sheetName val="Output_SlidesProjection"/>
      <sheetName val="Interm. Computations &gt;"/>
      <sheetName val="ProjectedP205"/>
      <sheetName val="OCP_MarketShares"/>
      <sheetName val="OCP_ProductMix"/>
      <sheetName val="OCP_CropsMix "/>
      <sheetName val="Inputs &gt;"/>
      <sheetName val="ApplicationRates_OCP"/>
      <sheetName val="P2O5Consumption"/>
      <sheetName val="HarvestedAreas_TCD"/>
      <sheetName val="HarvestedAreas"/>
      <sheetName val="TCD_UNComtradeData_Imports"/>
      <sheetName val="FertilizerTrade_COMTRADE"/>
    </sheetNames>
    <sheetDataSet>
      <sheetData sheetId="0">
        <row r="2">
          <cell r="C2" t="str">
            <v>OCP Africa - Niger Market Projection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verture"/>
      <sheetName val="Output_SlidesProjection"/>
      <sheetName val="Interm. Computations &gt;"/>
      <sheetName val="OCP_ProductMix "/>
      <sheetName val="OCP_SalesProduct"/>
      <sheetName val="OCP_MarketShares"/>
      <sheetName val="ProjectedP205_Consumption"/>
      <sheetName val="Inputs &gt;"/>
      <sheetName val="ApplicationRates_OCP"/>
      <sheetName val="P2O5Consumption"/>
      <sheetName val="HarvestedAreas_TCD"/>
      <sheetName val="HarvestedAreas"/>
      <sheetName val="TCD_UNComtradeData_Imports"/>
      <sheetName val="FerilizerTrade_COMTRADE"/>
    </sheetNames>
    <sheetDataSet>
      <sheetData sheetId="0">
        <row r="2">
          <cell r="C2" t="str">
            <v>OCP Africa - Niger Market Projection</v>
          </cell>
        </row>
      </sheetData>
      <sheetData sheetId="1"/>
      <sheetData sheetId="2"/>
      <sheetData sheetId="3"/>
      <sheetData sheetId="4"/>
      <sheetData sheetId="5">
        <row r="89">
          <cell r="K89">
            <v>0</v>
          </cell>
        </row>
      </sheetData>
      <sheetData sheetId="6">
        <row r="15">
          <cell r="E15">
            <v>5.7938115538592392</v>
          </cell>
        </row>
      </sheetData>
      <sheetData sheetId="7"/>
      <sheetData sheetId="8"/>
      <sheetData sheetId="9"/>
      <sheetData sheetId="10"/>
      <sheetData sheetId="11"/>
      <sheetData sheetId="12">
        <row r="14">
          <cell r="E14" t="str">
            <v>Sum of AtlQty</v>
          </cell>
        </row>
      </sheetData>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gonie, Marie" refreshedDate="45110.812580555554" createdVersion="8" refreshedVersion="8" minRefreshableVersion="3" recordCount="185" xr:uid="{F7C7C348-EC39-4473-9A4E-737701CA0EBF}">
  <cacheSource type="worksheet">
    <worksheetSource name="FAOSTAT_data_en_5_24_2023__1"/>
  </cacheSource>
  <cacheFields count="14">
    <cacheField name="Domain Code" numFmtId="0">
      <sharedItems/>
    </cacheField>
    <cacheField name="Domain" numFmtId="0">
      <sharedItems/>
    </cacheField>
    <cacheField name="Area Code (M49)" numFmtId="0">
      <sharedItems containsSemiMixedTypes="0" containsString="0" containsNumber="1" containsInteger="1" minValue="800" maxValue="800"/>
    </cacheField>
    <cacheField name="Area" numFmtId="0">
      <sharedItems/>
    </cacheField>
    <cacheField name="Element Code" numFmtId="0">
      <sharedItems containsSemiMixedTypes="0" containsString="0" containsNumber="1" containsInteger="1" minValue="5312" maxValue="5312"/>
    </cacheField>
    <cacheField name="Element" numFmtId="0">
      <sharedItems count="1">
        <s v="Area harvested"/>
      </sharedItems>
    </cacheField>
    <cacheField name="Item Code (CPC)" numFmtId="0">
      <sharedItems/>
    </cacheField>
    <cacheField name="Item" numFmtId="0">
      <sharedItems count="37">
        <s v="Bananas"/>
        <s v="Beans, dry"/>
        <s v="Cassava, fresh"/>
        <s v="Castor oil seeds"/>
        <s v="Chick peas, dry"/>
        <s v="Chillies and peppers, dry (Capsicum spp., Pimenta spp.), raw"/>
        <s v="Cocoa beans"/>
        <s v="Coffee, green"/>
        <s v="Cow peas, dry"/>
        <s v="Ginger, raw"/>
        <s v="Groundnuts, excluding shelled"/>
        <s v="Maize (corn)"/>
        <s v="Millet"/>
        <s v="Onions and shallots, dry (excluding dehydrated)"/>
        <s v="Other fruits, n.e.c."/>
        <s v="Other oil seeds, n.e.c."/>
        <s v="Other vegetables, fresh n.e.c."/>
        <s v="Peas, dry"/>
        <s v="Pepper (Piper spp.), raw"/>
        <s v="Pigeon peas, dry"/>
        <s v="Pineapples"/>
        <s v="Plantains and cooking bananas"/>
        <s v="Potatoes"/>
        <s v="Rice"/>
        <s v="Seed cotton, unginned"/>
        <s v="Sesame seed"/>
        <s v="Sisal, raw"/>
        <s v="Sorghum"/>
        <s v="Soya beans"/>
        <s v="Sugar cane"/>
        <s v="Sunflower seed"/>
        <s v="Sweet potatoes"/>
        <s v="Tea leaves"/>
        <s v="Tomatoes"/>
        <s v="Unmanufactured tobacco"/>
        <s v="Vanilla, raw"/>
        <s v="Wheat"/>
      </sharedItems>
    </cacheField>
    <cacheField name="Year Code" numFmtId="0">
      <sharedItems containsSemiMixedTypes="0" containsString="0" containsNumber="1" containsInteger="1" minValue="2017" maxValue="2021"/>
    </cacheField>
    <cacheField name="Year" numFmtId="0">
      <sharedItems containsSemiMixedTypes="0" containsString="0" containsNumber="1" containsInteger="1" minValue="2017" maxValue="2021" count="5">
        <n v="2017"/>
        <n v="2018"/>
        <n v="2019"/>
        <n v="2020"/>
        <n v="2021"/>
      </sharedItems>
    </cacheField>
    <cacheField name="Unit" numFmtId="0">
      <sharedItems/>
    </cacheField>
    <cacheField name="Value" numFmtId="0">
      <sharedItems containsSemiMixedTypes="0" containsString="0" containsNumber="1" containsInteger="1" minValue="0" maxValue="2185829"/>
    </cacheField>
    <cacheField name="Flag" numFmtId="0">
      <sharedItems/>
    </cacheField>
    <cacheField name="Flag 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s v="QCL"/>
    <s v="Crops and livestock products"/>
    <n v="800"/>
    <s v="Uganda"/>
    <n v="5312"/>
    <x v="0"/>
    <s v="01312"/>
    <x v="0"/>
    <n v="2017"/>
    <x v="0"/>
    <s v="ha"/>
    <n v="0"/>
    <s v="M"/>
    <s v="Missing value (data cannot exist, not applicable)"/>
  </r>
  <r>
    <s v="QCL"/>
    <s v="Crops and livestock products"/>
    <n v="800"/>
    <s v="Uganda"/>
    <n v="5312"/>
    <x v="0"/>
    <s v="01312"/>
    <x v="0"/>
    <n v="2018"/>
    <x v="1"/>
    <s v="ha"/>
    <n v="0"/>
    <s v="M"/>
    <s v="Missing value (data cannot exist, not applicable)"/>
  </r>
  <r>
    <s v="QCL"/>
    <s v="Crops and livestock products"/>
    <n v="800"/>
    <s v="Uganda"/>
    <n v="5312"/>
    <x v="0"/>
    <s v="01312"/>
    <x v="0"/>
    <n v="2019"/>
    <x v="2"/>
    <s v="ha"/>
    <n v="0"/>
    <s v="M"/>
    <s v="Missing value (data cannot exist, not applicable)"/>
  </r>
  <r>
    <s v="QCL"/>
    <s v="Crops and livestock products"/>
    <n v="800"/>
    <s v="Uganda"/>
    <n v="5312"/>
    <x v="0"/>
    <s v="01312"/>
    <x v="0"/>
    <n v="2020"/>
    <x v="3"/>
    <s v="ha"/>
    <n v="0"/>
    <s v="M"/>
    <s v="Missing value (data cannot exist, not applicable)"/>
  </r>
  <r>
    <s v="QCL"/>
    <s v="Crops and livestock products"/>
    <n v="800"/>
    <s v="Uganda"/>
    <n v="5312"/>
    <x v="0"/>
    <s v="01312"/>
    <x v="0"/>
    <n v="2021"/>
    <x v="4"/>
    <s v="ha"/>
    <n v="0"/>
    <s v="M"/>
    <s v="Missing value (data cannot exist, not applicable)"/>
  </r>
  <r>
    <s v="QCL"/>
    <s v="Crops and livestock products"/>
    <n v="800"/>
    <s v="Uganda"/>
    <n v="5312"/>
    <x v="0"/>
    <s v="01701"/>
    <x v="1"/>
    <n v="2017"/>
    <x v="0"/>
    <s v="ha"/>
    <n v="588185"/>
    <s v="I"/>
    <s v="Imputed value"/>
  </r>
  <r>
    <s v="QCL"/>
    <s v="Crops and livestock products"/>
    <n v="800"/>
    <s v="Uganda"/>
    <n v="5312"/>
    <x v="0"/>
    <s v="01701"/>
    <x v="1"/>
    <n v="2018"/>
    <x v="1"/>
    <s v="ha"/>
    <n v="550135"/>
    <s v="I"/>
    <s v="Imputed value"/>
  </r>
  <r>
    <s v="QCL"/>
    <s v="Crops and livestock products"/>
    <n v="800"/>
    <s v="Uganda"/>
    <n v="5312"/>
    <x v="0"/>
    <s v="01701"/>
    <x v="1"/>
    <n v="2019"/>
    <x v="2"/>
    <s v="ha"/>
    <n v="247258"/>
    <s v="I"/>
    <s v="Imputed value"/>
  </r>
  <r>
    <s v="QCL"/>
    <s v="Crops and livestock products"/>
    <n v="800"/>
    <s v="Uganda"/>
    <n v="5312"/>
    <x v="0"/>
    <s v="01701"/>
    <x v="1"/>
    <n v="2020"/>
    <x v="3"/>
    <s v="ha"/>
    <n v="434258"/>
    <s v="I"/>
    <s v="Imputed value"/>
  </r>
  <r>
    <s v="QCL"/>
    <s v="Crops and livestock products"/>
    <n v="800"/>
    <s v="Uganda"/>
    <n v="5312"/>
    <x v="0"/>
    <s v="01701"/>
    <x v="1"/>
    <n v="2021"/>
    <x v="4"/>
    <s v="ha"/>
    <n v="461950"/>
    <s v="I"/>
    <s v="Imputed value"/>
  </r>
  <r>
    <s v="QCL"/>
    <s v="Crops and livestock products"/>
    <n v="800"/>
    <s v="Uganda"/>
    <n v="5312"/>
    <x v="0"/>
    <s v="01520.01"/>
    <x v="2"/>
    <n v="2017"/>
    <x v="0"/>
    <s v="ha"/>
    <n v="1218614"/>
    <s v="I"/>
    <s v="Imputed value"/>
  </r>
  <r>
    <s v="QCL"/>
    <s v="Crops and livestock products"/>
    <n v="800"/>
    <s v="Uganda"/>
    <n v="5312"/>
    <x v="0"/>
    <s v="01520.01"/>
    <x v="2"/>
    <n v="2018"/>
    <x v="1"/>
    <s v="ha"/>
    <n v="1439052"/>
    <s v="E"/>
    <s v="Estimated value"/>
  </r>
  <r>
    <s v="QCL"/>
    <s v="Crops and livestock products"/>
    <n v="800"/>
    <s v="Uganda"/>
    <n v="5312"/>
    <x v="0"/>
    <s v="01520.01"/>
    <x v="2"/>
    <n v="2019"/>
    <x v="2"/>
    <s v="ha"/>
    <n v="871908"/>
    <s v="E"/>
    <s v="Estimated value"/>
  </r>
  <r>
    <s v="QCL"/>
    <s v="Crops and livestock products"/>
    <n v="800"/>
    <s v="Uganda"/>
    <n v="5312"/>
    <x v="0"/>
    <s v="01520.01"/>
    <x v="2"/>
    <n v="2020"/>
    <x v="3"/>
    <s v="ha"/>
    <n v="1063811"/>
    <s v="I"/>
    <s v="Imputed value"/>
  </r>
  <r>
    <s v="QCL"/>
    <s v="Crops and livestock products"/>
    <n v="800"/>
    <s v="Uganda"/>
    <n v="5312"/>
    <x v="0"/>
    <s v="01520.01"/>
    <x v="2"/>
    <n v="2021"/>
    <x v="4"/>
    <s v="ha"/>
    <n v="878297"/>
    <s v="I"/>
    <s v="Imputed value"/>
  </r>
  <r>
    <s v="QCL"/>
    <s v="Crops and livestock products"/>
    <n v="800"/>
    <s v="Uganda"/>
    <n v="5312"/>
    <x v="0"/>
    <s v="01447"/>
    <x v="3"/>
    <n v="2017"/>
    <x v="0"/>
    <s v="ha"/>
    <n v="3000"/>
    <s v="T"/>
    <s v="Unofficial figure"/>
  </r>
  <r>
    <s v="QCL"/>
    <s v="Crops and livestock products"/>
    <n v="800"/>
    <s v="Uganda"/>
    <n v="5312"/>
    <x v="0"/>
    <s v="01447"/>
    <x v="3"/>
    <n v="2018"/>
    <x v="1"/>
    <s v="ha"/>
    <n v="3000"/>
    <s v="T"/>
    <s v="Unofficial figure"/>
  </r>
  <r>
    <s v="QCL"/>
    <s v="Crops and livestock products"/>
    <n v="800"/>
    <s v="Uganda"/>
    <n v="5312"/>
    <x v="0"/>
    <s v="01447"/>
    <x v="3"/>
    <n v="2019"/>
    <x v="2"/>
    <s v="ha"/>
    <n v="3000"/>
    <s v="T"/>
    <s v="Unofficial figure"/>
  </r>
  <r>
    <s v="QCL"/>
    <s v="Crops and livestock products"/>
    <n v="800"/>
    <s v="Uganda"/>
    <n v="5312"/>
    <x v="0"/>
    <s v="01447"/>
    <x v="3"/>
    <n v="2020"/>
    <x v="3"/>
    <s v="ha"/>
    <n v="3000"/>
    <s v="T"/>
    <s v="Unofficial figure"/>
  </r>
  <r>
    <s v="QCL"/>
    <s v="Crops and livestock products"/>
    <n v="800"/>
    <s v="Uganda"/>
    <n v="5312"/>
    <x v="0"/>
    <s v="01447"/>
    <x v="3"/>
    <n v="2021"/>
    <x v="4"/>
    <s v="ha"/>
    <n v="3000"/>
    <s v="T"/>
    <s v="Unofficial figure"/>
  </r>
  <r>
    <s v="QCL"/>
    <s v="Crops and livestock products"/>
    <n v="800"/>
    <s v="Uganda"/>
    <n v="5312"/>
    <x v="0"/>
    <s v="01703"/>
    <x v="4"/>
    <n v="2017"/>
    <x v="0"/>
    <s v="ha"/>
    <n v="8711"/>
    <s v="I"/>
    <s v="Imputed value"/>
  </r>
  <r>
    <s v="QCL"/>
    <s v="Crops and livestock products"/>
    <n v="800"/>
    <s v="Uganda"/>
    <n v="5312"/>
    <x v="0"/>
    <s v="01703"/>
    <x v="4"/>
    <n v="2018"/>
    <x v="1"/>
    <s v="ha"/>
    <n v="8873"/>
    <s v="I"/>
    <s v="Imputed value"/>
  </r>
  <r>
    <s v="QCL"/>
    <s v="Crops and livestock products"/>
    <n v="800"/>
    <s v="Uganda"/>
    <n v="5312"/>
    <x v="0"/>
    <s v="01703"/>
    <x v="4"/>
    <n v="2019"/>
    <x v="2"/>
    <s v="ha"/>
    <n v="8846"/>
    <s v="I"/>
    <s v="Imputed value"/>
  </r>
  <r>
    <s v="QCL"/>
    <s v="Crops and livestock products"/>
    <n v="800"/>
    <s v="Uganda"/>
    <n v="5312"/>
    <x v="0"/>
    <s v="01703"/>
    <x v="4"/>
    <n v="2020"/>
    <x v="3"/>
    <s v="ha"/>
    <n v="8810"/>
    <s v="E"/>
    <s v="Estimated value"/>
  </r>
  <r>
    <s v="QCL"/>
    <s v="Crops and livestock products"/>
    <n v="800"/>
    <s v="Uganda"/>
    <n v="5312"/>
    <x v="0"/>
    <s v="01703"/>
    <x v="4"/>
    <n v="2021"/>
    <x v="4"/>
    <s v="ha"/>
    <n v="8843"/>
    <s v="E"/>
    <s v="Estimated value"/>
  </r>
  <r>
    <s v="QCL"/>
    <s v="Crops and livestock products"/>
    <n v="800"/>
    <s v="Uganda"/>
    <n v="5312"/>
    <x v="0"/>
    <s v="01652"/>
    <x v="5"/>
    <n v="2017"/>
    <x v="0"/>
    <s v="ha"/>
    <n v="3202"/>
    <s v="I"/>
    <s v="Imputed value"/>
  </r>
  <r>
    <s v="QCL"/>
    <s v="Crops and livestock products"/>
    <n v="800"/>
    <s v="Uganda"/>
    <n v="5312"/>
    <x v="0"/>
    <s v="01652"/>
    <x v="5"/>
    <n v="2018"/>
    <x v="1"/>
    <s v="ha"/>
    <n v="3164"/>
    <s v="E"/>
    <s v="Estimated value"/>
  </r>
  <r>
    <s v="QCL"/>
    <s v="Crops and livestock products"/>
    <n v="800"/>
    <s v="Uganda"/>
    <n v="5312"/>
    <x v="0"/>
    <s v="01652"/>
    <x v="5"/>
    <n v="2019"/>
    <x v="2"/>
    <s v="ha"/>
    <n v="3193"/>
    <s v="E"/>
    <s v="Estimated value"/>
  </r>
  <r>
    <s v="QCL"/>
    <s v="Crops and livestock products"/>
    <n v="800"/>
    <s v="Uganda"/>
    <n v="5312"/>
    <x v="0"/>
    <s v="01652"/>
    <x v="5"/>
    <n v="2020"/>
    <x v="3"/>
    <s v="ha"/>
    <n v="3186"/>
    <s v="E"/>
    <s v="Estimated value"/>
  </r>
  <r>
    <s v="QCL"/>
    <s v="Crops and livestock products"/>
    <n v="800"/>
    <s v="Uganda"/>
    <n v="5312"/>
    <x v="0"/>
    <s v="01652"/>
    <x v="5"/>
    <n v="2021"/>
    <x v="4"/>
    <s v="ha"/>
    <n v="3181"/>
    <s v="E"/>
    <s v="Estimated value"/>
  </r>
  <r>
    <s v="QCL"/>
    <s v="Crops and livestock products"/>
    <n v="800"/>
    <s v="Uganda"/>
    <n v="5312"/>
    <x v="0"/>
    <s v="01640"/>
    <x v="6"/>
    <n v="2017"/>
    <x v="0"/>
    <s v="ha"/>
    <n v="74132"/>
    <s v="I"/>
    <s v="Imputed value"/>
  </r>
  <r>
    <s v="QCL"/>
    <s v="Crops and livestock products"/>
    <n v="800"/>
    <s v="Uganda"/>
    <n v="5312"/>
    <x v="0"/>
    <s v="01640"/>
    <x v="6"/>
    <n v="2018"/>
    <x v="1"/>
    <s v="ha"/>
    <n v="73108"/>
    <s v="I"/>
    <s v="Imputed value"/>
  </r>
  <r>
    <s v="QCL"/>
    <s v="Crops and livestock products"/>
    <n v="800"/>
    <s v="Uganda"/>
    <n v="5312"/>
    <x v="0"/>
    <s v="01640"/>
    <x v="6"/>
    <n v="2019"/>
    <x v="2"/>
    <s v="ha"/>
    <n v="72399"/>
    <s v="I"/>
    <s v="Imputed value"/>
  </r>
  <r>
    <s v="QCL"/>
    <s v="Crops and livestock products"/>
    <n v="800"/>
    <s v="Uganda"/>
    <n v="5312"/>
    <x v="0"/>
    <s v="01640"/>
    <x v="6"/>
    <n v="2020"/>
    <x v="3"/>
    <s v="ha"/>
    <n v="71040"/>
    <s v="I"/>
    <s v="Imputed value"/>
  </r>
  <r>
    <s v="QCL"/>
    <s v="Crops and livestock products"/>
    <n v="800"/>
    <s v="Uganda"/>
    <n v="5312"/>
    <x v="0"/>
    <s v="01640"/>
    <x v="6"/>
    <n v="2021"/>
    <x v="4"/>
    <s v="ha"/>
    <n v="79694"/>
    <s v="I"/>
    <s v="Imputed value"/>
  </r>
  <r>
    <s v="QCL"/>
    <s v="Crops and livestock products"/>
    <n v="800"/>
    <s v="Uganda"/>
    <n v="5312"/>
    <x v="0"/>
    <s v="01610"/>
    <x v="7"/>
    <n v="2017"/>
    <x v="0"/>
    <s v="ha"/>
    <n v="526491"/>
    <s v="I"/>
    <s v="Imputed value"/>
  </r>
  <r>
    <s v="QCL"/>
    <s v="Crops and livestock products"/>
    <n v="800"/>
    <s v="Uganda"/>
    <n v="5312"/>
    <x v="0"/>
    <s v="01610"/>
    <x v="7"/>
    <n v="2018"/>
    <x v="1"/>
    <s v="ha"/>
    <n v="504242"/>
    <s v="I"/>
    <s v="Imputed value"/>
  </r>
  <r>
    <s v="QCL"/>
    <s v="Crops and livestock products"/>
    <n v="800"/>
    <s v="Uganda"/>
    <n v="5312"/>
    <x v="0"/>
    <s v="01610"/>
    <x v="7"/>
    <n v="2019"/>
    <x v="2"/>
    <s v="ha"/>
    <n v="566577"/>
    <s v="I"/>
    <s v="Imputed value"/>
  </r>
  <r>
    <s v="QCL"/>
    <s v="Crops and livestock products"/>
    <n v="800"/>
    <s v="Uganda"/>
    <n v="5312"/>
    <x v="0"/>
    <s v="01610"/>
    <x v="7"/>
    <n v="2020"/>
    <x v="3"/>
    <s v="ha"/>
    <n v="657594"/>
    <s v="E"/>
    <s v="Estimated value"/>
  </r>
  <r>
    <s v="QCL"/>
    <s v="Crops and livestock products"/>
    <n v="800"/>
    <s v="Uganda"/>
    <n v="5312"/>
    <x v="0"/>
    <s v="01610"/>
    <x v="7"/>
    <n v="2021"/>
    <x v="4"/>
    <s v="ha"/>
    <n v="692553"/>
    <s v="E"/>
    <s v="Estimated value"/>
  </r>
  <r>
    <s v="QCL"/>
    <s v="Crops and livestock products"/>
    <n v="800"/>
    <s v="Uganda"/>
    <n v="5312"/>
    <x v="0"/>
    <s v="01706"/>
    <x v="8"/>
    <n v="2017"/>
    <x v="0"/>
    <s v="ha"/>
    <n v="26707"/>
    <s v="I"/>
    <s v="Imputed value"/>
  </r>
  <r>
    <s v="QCL"/>
    <s v="Crops and livestock products"/>
    <n v="800"/>
    <s v="Uganda"/>
    <n v="5312"/>
    <x v="0"/>
    <s v="01706"/>
    <x v="8"/>
    <n v="2018"/>
    <x v="1"/>
    <s v="ha"/>
    <n v="27568"/>
    <s v="I"/>
    <s v="Imputed value"/>
  </r>
  <r>
    <s v="QCL"/>
    <s v="Crops and livestock products"/>
    <n v="800"/>
    <s v="Uganda"/>
    <n v="5312"/>
    <x v="0"/>
    <s v="01706"/>
    <x v="8"/>
    <n v="2019"/>
    <x v="2"/>
    <s v="ha"/>
    <n v="29126"/>
    <s v="I"/>
    <s v="Imputed value"/>
  </r>
  <r>
    <s v="QCL"/>
    <s v="Crops and livestock products"/>
    <n v="800"/>
    <s v="Uganda"/>
    <n v="5312"/>
    <x v="0"/>
    <s v="01706"/>
    <x v="8"/>
    <n v="2020"/>
    <x v="3"/>
    <s v="ha"/>
    <n v="32187"/>
    <s v="I"/>
    <s v="Imputed value"/>
  </r>
  <r>
    <s v="QCL"/>
    <s v="Crops and livestock products"/>
    <n v="800"/>
    <s v="Uganda"/>
    <n v="5312"/>
    <x v="0"/>
    <s v="01706"/>
    <x v="8"/>
    <n v="2021"/>
    <x v="4"/>
    <s v="ha"/>
    <n v="33215"/>
    <s v="I"/>
    <s v="Imputed value"/>
  </r>
  <r>
    <s v="QCL"/>
    <s v="Crops and livestock products"/>
    <n v="800"/>
    <s v="Uganda"/>
    <n v="5312"/>
    <x v="0"/>
    <s v="01657"/>
    <x v="9"/>
    <n v="2017"/>
    <x v="0"/>
    <s v="ha"/>
    <n v="46"/>
    <s v="I"/>
    <s v="Imputed value"/>
  </r>
  <r>
    <s v="QCL"/>
    <s v="Crops and livestock products"/>
    <n v="800"/>
    <s v="Uganda"/>
    <n v="5312"/>
    <x v="0"/>
    <s v="01657"/>
    <x v="9"/>
    <n v="2018"/>
    <x v="1"/>
    <s v="ha"/>
    <n v="45"/>
    <s v="I"/>
    <s v="Imputed value"/>
  </r>
  <r>
    <s v="QCL"/>
    <s v="Crops and livestock products"/>
    <n v="800"/>
    <s v="Uganda"/>
    <n v="5312"/>
    <x v="0"/>
    <s v="01657"/>
    <x v="9"/>
    <n v="2019"/>
    <x v="2"/>
    <s v="ha"/>
    <n v="44"/>
    <s v="I"/>
    <s v="Imputed value"/>
  </r>
  <r>
    <s v="QCL"/>
    <s v="Crops and livestock products"/>
    <n v="800"/>
    <s v="Uganda"/>
    <n v="5312"/>
    <x v="0"/>
    <s v="01657"/>
    <x v="9"/>
    <n v="2020"/>
    <x v="3"/>
    <s v="ha"/>
    <n v="45"/>
    <s v="E"/>
    <s v="Estimated value"/>
  </r>
  <r>
    <s v="QCL"/>
    <s v="Crops and livestock products"/>
    <n v="800"/>
    <s v="Uganda"/>
    <n v="5312"/>
    <x v="0"/>
    <s v="01657"/>
    <x v="9"/>
    <n v="2021"/>
    <x v="4"/>
    <s v="ha"/>
    <n v="45"/>
    <s v="E"/>
    <s v="Estimated value"/>
  </r>
  <r>
    <s v="QCL"/>
    <s v="Crops and livestock products"/>
    <n v="800"/>
    <s v="Uganda"/>
    <n v="5312"/>
    <x v="0"/>
    <s v="0142"/>
    <x v="10"/>
    <n v="2017"/>
    <x v="0"/>
    <s v="ha"/>
    <n v="424000"/>
    <s v="T"/>
    <s v="Unofficial figure"/>
  </r>
  <r>
    <s v="QCL"/>
    <s v="Crops and livestock products"/>
    <n v="800"/>
    <s v="Uganda"/>
    <n v="5312"/>
    <x v="0"/>
    <s v="0142"/>
    <x v="10"/>
    <n v="2018"/>
    <x v="1"/>
    <s v="ha"/>
    <n v="286000"/>
    <s v="T"/>
    <s v="Unofficial figure"/>
  </r>
  <r>
    <s v="QCL"/>
    <s v="Crops and livestock products"/>
    <n v="800"/>
    <s v="Uganda"/>
    <n v="5312"/>
    <x v="0"/>
    <s v="0142"/>
    <x v="10"/>
    <n v="2019"/>
    <x v="2"/>
    <s v="ha"/>
    <n v="320000"/>
    <s v="T"/>
    <s v="Unofficial figure"/>
  </r>
  <r>
    <s v="QCL"/>
    <s v="Crops and livestock products"/>
    <n v="800"/>
    <s v="Uganda"/>
    <n v="5312"/>
    <x v="0"/>
    <s v="0142"/>
    <x v="10"/>
    <n v="2020"/>
    <x v="3"/>
    <s v="ha"/>
    <n v="330000"/>
    <s v="T"/>
    <s v="Unofficial figure"/>
  </r>
  <r>
    <s v="QCL"/>
    <s v="Crops and livestock products"/>
    <n v="800"/>
    <s v="Uganda"/>
    <n v="5312"/>
    <x v="0"/>
    <s v="0142"/>
    <x v="10"/>
    <n v="2021"/>
    <x v="4"/>
    <s v="ha"/>
    <n v="330000"/>
    <s v="T"/>
    <s v="Unofficial figure"/>
  </r>
  <r>
    <s v="QCL"/>
    <s v="Crops and livestock products"/>
    <n v="800"/>
    <s v="Uganda"/>
    <n v="5312"/>
    <x v="0"/>
    <s v="0112"/>
    <x v="11"/>
    <n v="2017"/>
    <x v="0"/>
    <s v="ha"/>
    <n v="1082431"/>
    <s v="I"/>
    <s v="Imputed value"/>
  </r>
  <r>
    <s v="QCL"/>
    <s v="Crops and livestock products"/>
    <n v="800"/>
    <s v="Uganda"/>
    <n v="5312"/>
    <x v="0"/>
    <s v="0112"/>
    <x v="11"/>
    <n v="2018"/>
    <x v="1"/>
    <s v="ha"/>
    <n v="1281311"/>
    <s v="I"/>
    <s v="Imputed value"/>
  </r>
  <r>
    <s v="QCL"/>
    <s v="Crops and livestock products"/>
    <n v="800"/>
    <s v="Uganda"/>
    <n v="5312"/>
    <x v="0"/>
    <s v="0112"/>
    <x v="11"/>
    <n v="2019"/>
    <x v="2"/>
    <s v="ha"/>
    <n v="1005767"/>
    <s v="I"/>
    <s v="Imputed value"/>
  </r>
  <r>
    <s v="QCL"/>
    <s v="Crops and livestock products"/>
    <n v="800"/>
    <s v="Uganda"/>
    <n v="5312"/>
    <x v="0"/>
    <s v="0112"/>
    <x v="11"/>
    <n v="2020"/>
    <x v="3"/>
    <s v="ha"/>
    <n v="1632411"/>
    <s v="E"/>
    <s v="Estimated value"/>
  </r>
  <r>
    <s v="QCL"/>
    <s v="Crops and livestock products"/>
    <n v="800"/>
    <s v="Uganda"/>
    <n v="5312"/>
    <x v="0"/>
    <s v="0112"/>
    <x v="11"/>
    <n v="2021"/>
    <x v="4"/>
    <s v="ha"/>
    <n v="984995"/>
    <s v="I"/>
    <s v="Imputed value"/>
  </r>
  <r>
    <s v="QCL"/>
    <s v="Crops and livestock products"/>
    <n v="800"/>
    <s v="Uganda"/>
    <n v="5312"/>
    <x v="0"/>
    <s v="0118"/>
    <x v="12"/>
    <n v="2017"/>
    <x v="0"/>
    <s v="ha"/>
    <n v="130061"/>
    <s v="I"/>
    <s v="Imputed value"/>
  </r>
  <r>
    <s v="QCL"/>
    <s v="Crops and livestock products"/>
    <n v="800"/>
    <s v="Uganda"/>
    <n v="5312"/>
    <x v="0"/>
    <s v="0118"/>
    <x v="12"/>
    <n v="2018"/>
    <x v="1"/>
    <s v="ha"/>
    <n v="100108"/>
    <s v="I"/>
    <s v="Imputed value"/>
  </r>
  <r>
    <s v="QCL"/>
    <s v="Crops and livestock products"/>
    <n v="800"/>
    <s v="Uganda"/>
    <n v="5312"/>
    <x v="0"/>
    <s v="0118"/>
    <x v="12"/>
    <n v="2019"/>
    <x v="2"/>
    <s v="ha"/>
    <n v="50890"/>
    <s v="I"/>
    <s v="Imputed value"/>
  </r>
  <r>
    <s v="QCL"/>
    <s v="Crops and livestock products"/>
    <n v="800"/>
    <s v="Uganda"/>
    <n v="5312"/>
    <x v="0"/>
    <s v="0118"/>
    <x v="12"/>
    <n v="2020"/>
    <x v="3"/>
    <s v="ha"/>
    <n v="49602"/>
    <s v="I"/>
    <s v="Imputed value"/>
  </r>
  <r>
    <s v="QCL"/>
    <s v="Crops and livestock products"/>
    <n v="800"/>
    <s v="Uganda"/>
    <n v="5312"/>
    <x v="0"/>
    <s v="0118"/>
    <x v="12"/>
    <n v="2021"/>
    <x v="4"/>
    <s v="ha"/>
    <n v="55590"/>
    <s v="I"/>
    <s v="Imputed value"/>
  </r>
  <r>
    <s v="QCL"/>
    <s v="Crops and livestock products"/>
    <n v="800"/>
    <s v="Uganda"/>
    <n v="5312"/>
    <x v="0"/>
    <s v="01253.02"/>
    <x v="13"/>
    <n v="2017"/>
    <x v="0"/>
    <s v="ha"/>
    <n v="81170"/>
    <s v="I"/>
    <s v="Imputed value"/>
  </r>
  <r>
    <s v="QCL"/>
    <s v="Crops and livestock products"/>
    <n v="800"/>
    <s v="Uganda"/>
    <n v="5312"/>
    <x v="0"/>
    <s v="01253.02"/>
    <x v="13"/>
    <n v="2018"/>
    <x v="1"/>
    <s v="ha"/>
    <n v="81212"/>
    <s v="E"/>
    <s v="Estimated value"/>
  </r>
  <r>
    <s v="QCL"/>
    <s v="Crops and livestock products"/>
    <n v="800"/>
    <s v="Uganda"/>
    <n v="5312"/>
    <x v="0"/>
    <s v="01253.02"/>
    <x v="13"/>
    <n v="2019"/>
    <x v="2"/>
    <s v="ha"/>
    <n v="80434"/>
    <s v="E"/>
    <s v="Estimated value"/>
  </r>
  <r>
    <s v="QCL"/>
    <s v="Crops and livestock products"/>
    <n v="800"/>
    <s v="Uganda"/>
    <n v="5312"/>
    <x v="0"/>
    <s v="01253.02"/>
    <x v="13"/>
    <n v="2020"/>
    <x v="3"/>
    <s v="ha"/>
    <n v="80939"/>
    <s v="E"/>
    <s v="Estimated value"/>
  </r>
  <r>
    <s v="QCL"/>
    <s v="Crops and livestock products"/>
    <n v="800"/>
    <s v="Uganda"/>
    <n v="5312"/>
    <x v="0"/>
    <s v="01253.02"/>
    <x v="13"/>
    <n v="2021"/>
    <x v="4"/>
    <s v="ha"/>
    <n v="80862"/>
    <s v="E"/>
    <s v="Estimated value"/>
  </r>
  <r>
    <s v="QCL"/>
    <s v="Crops and livestock products"/>
    <n v="800"/>
    <s v="Uganda"/>
    <n v="5312"/>
    <x v="0"/>
    <s v="01359.90"/>
    <x v="14"/>
    <n v="2017"/>
    <x v="0"/>
    <s v="ha"/>
    <n v="7885"/>
    <s v="I"/>
    <s v="Imputed value"/>
  </r>
  <r>
    <s v="QCL"/>
    <s v="Crops and livestock products"/>
    <n v="800"/>
    <s v="Uganda"/>
    <n v="5312"/>
    <x v="0"/>
    <s v="01359.90"/>
    <x v="14"/>
    <n v="2018"/>
    <x v="1"/>
    <s v="ha"/>
    <n v="7907"/>
    <s v="I"/>
    <s v="Imputed value"/>
  </r>
  <r>
    <s v="QCL"/>
    <s v="Crops and livestock products"/>
    <n v="800"/>
    <s v="Uganda"/>
    <n v="5312"/>
    <x v="0"/>
    <s v="01359.90"/>
    <x v="14"/>
    <n v="2019"/>
    <x v="2"/>
    <s v="ha"/>
    <n v="7908"/>
    <s v="I"/>
    <s v="Imputed value"/>
  </r>
  <r>
    <s v="QCL"/>
    <s v="Crops and livestock products"/>
    <n v="800"/>
    <s v="Uganda"/>
    <n v="5312"/>
    <x v="0"/>
    <s v="01359.90"/>
    <x v="14"/>
    <n v="2020"/>
    <x v="3"/>
    <s v="ha"/>
    <n v="7916"/>
    <s v="I"/>
    <s v="Imputed value"/>
  </r>
  <r>
    <s v="QCL"/>
    <s v="Crops and livestock products"/>
    <n v="800"/>
    <s v="Uganda"/>
    <n v="5312"/>
    <x v="0"/>
    <s v="01359.90"/>
    <x v="14"/>
    <n v="2021"/>
    <x v="4"/>
    <s v="ha"/>
    <n v="7925"/>
    <s v="I"/>
    <s v="Imputed value"/>
  </r>
  <r>
    <s v="QCL"/>
    <s v="Crops and livestock products"/>
    <n v="800"/>
    <s v="Uganda"/>
    <n v="5312"/>
    <x v="0"/>
    <s v="01449.90"/>
    <x v="15"/>
    <n v="2017"/>
    <x v="0"/>
    <s v="ha"/>
    <n v="53320"/>
    <s v="I"/>
    <s v="Imputed value"/>
  </r>
  <r>
    <s v="QCL"/>
    <s v="Crops and livestock products"/>
    <n v="800"/>
    <s v="Uganda"/>
    <n v="5312"/>
    <x v="0"/>
    <s v="01449.90"/>
    <x v="15"/>
    <n v="2018"/>
    <x v="1"/>
    <s v="ha"/>
    <n v="52362"/>
    <s v="E"/>
    <s v="Estimated value"/>
  </r>
  <r>
    <s v="QCL"/>
    <s v="Crops and livestock products"/>
    <n v="800"/>
    <s v="Uganda"/>
    <n v="5312"/>
    <x v="0"/>
    <s v="01449.90"/>
    <x v="15"/>
    <n v="2019"/>
    <x v="2"/>
    <s v="ha"/>
    <n v="52677"/>
    <s v="E"/>
    <s v="Estimated value"/>
  </r>
  <r>
    <s v="QCL"/>
    <s v="Crops and livestock products"/>
    <n v="800"/>
    <s v="Uganda"/>
    <n v="5312"/>
    <x v="0"/>
    <s v="01449.90"/>
    <x v="15"/>
    <n v="2020"/>
    <x v="3"/>
    <s v="ha"/>
    <n v="52786"/>
    <s v="E"/>
    <s v="Estimated value"/>
  </r>
  <r>
    <s v="QCL"/>
    <s v="Crops and livestock products"/>
    <n v="800"/>
    <s v="Uganda"/>
    <n v="5312"/>
    <x v="0"/>
    <s v="01449.90"/>
    <x v="15"/>
    <n v="2021"/>
    <x v="4"/>
    <s v="ha"/>
    <n v="52608"/>
    <s v="E"/>
    <s v="Estimated value"/>
  </r>
  <r>
    <s v="QCL"/>
    <s v="Crops and livestock products"/>
    <n v="800"/>
    <s v="Uganda"/>
    <n v="5312"/>
    <x v="0"/>
    <s v="01290.90"/>
    <x v="16"/>
    <n v="2017"/>
    <x v="0"/>
    <s v="ha"/>
    <n v="151838"/>
    <s v="E"/>
    <s v="Estimated value"/>
  </r>
  <r>
    <s v="QCL"/>
    <s v="Crops and livestock products"/>
    <n v="800"/>
    <s v="Uganda"/>
    <n v="5312"/>
    <x v="0"/>
    <s v="01290.90"/>
    <x v="16"/>
    <n v="2018"/>
    <x v="1"/>
    <s v="ha"/>
    <n v="153189"/>
    <s v="E"/>
    <s v="Estimated value"/>
  </r>
  <r>
    <s v="QCL"/>
    <s v="Crops and livestock products"/>
    <n v="800"/>
    <s v="Uganda"/>
    <n v="5312"/>
    <x v="0"/>
    <s v="01290.90"/>
    <x v="16"/>
    <n v="2019"/>
    <x v="2"/>
    <s v="ha"/>
    <n v="151504"/>
    <s v="E"/>
    <s v="Estimated value"/>
  </r>
  <r>
    <s v="QCL"/>
    <s v="Crops and livestock products"/>
    <n v="800"/>
    <s v="Uganda"/>
    <n v="5312"/>
    <x v="0"/>
    <s v="01290.90"/>
    <x v="16"/>
    <n v="2020"/>
    <x v="3"/>
    <s v="ha"/>
    <n v="152177"/>
    <s v="E"/>
    <s v="Estimated value"/>
  </r>
  <r>
    <s v="QCL"/>
    <s v="Crops and livestock products"/>
    <n v="800"/>
    <s v="Uganda"/>
    <n v="5312"/>
    <x v="0"/>
    <s v="01290.90"/>
    <x v="16"/>
    <n v="2021"/>
    <x v="4"/>
    <s v="ha"/>
    <n v="152290"/>
    <s v="E"/>
    <s v="Estimated value"/>
  </r>
  <r>
    <s v="QCL"/>
    <s v="Crops and livestock products"/>
    <n v="800"/>
    <s v="Uganda"/>
    <n v="5312"/>
    <x v="0"/>
    <s v="01705"/>
    <x v="17"/>
    <n v="2017"/>
    <x v="0"/>
    <s v="ha"/>
    <n v="25813"/>
    <s v="I"/>
    <s v="Imputed value"/>
  </r>
  <r>
    <s v="QCL"/>
    <s v="Crops and livestock products"/>
    <n v="800"/>
    <s v="Uganda"/>
    <n v="5312"/>
    <x v="0"/>
    <s v="01705"/>
    <x v="17"/>
    <n v="2018"/>
    <x v="1"/>
    <s v="ha"/>
    <n v="23577"/>
    <s v="I"/>
    <s v="Imputed value"/>
  </r>
  <r>
    <s v="QCL"/>
    <s v="Crops and livestock products"/>
    <n v="800"/>
    <s v="Uganda"/>
    <n v="5312"/>
    <x v="0"/>
    <s v="01705"/>
    <x v="17"/>
    <n v="2019"/>
    <x v="2"/>
    <s v="ha"/>
    <n v="25175"/>
    <s v="I"/>
    <s v="Imputed value"/>
  </r>
  <r>
    <s v="QCL"/>
    <s v="Crops and livestock products"/>
    <n v="800"/>
    <s v="Uganda"/>
    <n v="5312"/>
    <x v="0"/>
    <s v="01705"/>
    <x v="17"/>
    <n v="2020"/>
    <x v="3"/>
    <s v="ha"/>
    <n v="27320"/>
    <s v="I"/>
    <s v="Imputed value"/>
  </r>
  <r>
    <s v="QCL"/>
    <s v="Crops and livestock products"/>
    <n v="800"/>
    <s v="Uganda"/>
    <n v="5312"/>
    <x v="0"/>
    <s v="01705"/>
    <x v="17"/>
    <n v="2021"/>
    <x v="4"/>
    <s v="ha"/>
    <n v="27303"/>
    <s v="I"/>
    <s v="Imputed value"/>
  </r>
  <r>
    <s v="QCL"/>
    <s v="Crops and livestock products"/>
    <n v="800"/>
    <s v="Uganda"/>
    <n v="5312"/>
    <x v="0"/>
    <s v="01651"/>
    <x v="18"/>
    <n v="2017"/>
    <x v="0"/>
    <s v="ha"/>
    <n v="1761"/>
    <s v="I"/>
    <s v="Imputed value"/>
  </r>
  <r>
    <s v="QCL"/>
    <s v="Crops and livestock products"/>
    <n v="800"/>
    <s v="Uganda"/>
    <n v="5312"/>
    <x v="0"/>
    <s v="01651"/>
    <x v="18"/>
    <n v="2018"/>
    <x v="1"/>
    <s v="ha"/>
    <n v="1785"/>
    <s v="E"/>
    <s v="Estimated value"/>
  </r>
  <r>
    <s v="QCL"/>
    <s v="Crops and livestock products"/>
    <n v="800"/>
    <s v="Uganda"/>
    <n v="5312"/>
    <x v="0"/>
    <s v="01651"/>
    <x v="18"/>
    <n v="2019"/>
    <x v="2"/>
    <s v="ha"/>
    <n v="1777"/>
    <s v="E"/>
    <s v="Estimated value"/>
  </r>
  <r>
    <s v="QCL"/>
    <s v="Crops and livestock products"/>
    <n v="800"/>
    <s v="Uganda"/>
    <n v="5312"/>
    <x v="0"/>
    <s v="01651"/>
    <x v="18"/>
    <n v="2020"/>
    <x v="3"/>
    <s v="ha"/>
    <n v="1774"/>
    <s v="E"/>
    <s v="Estimated value"/>
  </r>
  <r>
    <s v="QCL"/>
    <s v="Crops and livestock products"/>
    <n v="800"/>
    <s v="Uganda"/>
    <n v="5312"/>
    <x v="0"/>
    <s v="01651"/>
    <x v="18"/>
    <n v="2021"/>
    <x v="4"/>
    <s v="ha"/>
    <n v="1779"/>
    <s v="E"/>
    <s v="Estimated value"/>
  </r>
  <r>
    <s v="QCL"/>
    <s v="Crops and livestock products"/>
    <n v="800"/>
    <s v="Uganda"/>
    <n v="5312"/>
    <x v="0"/>
    <s v="01707"/>
    <x v="19"/>
    <n v="2017"/>
    <x v="0"/>
    <s v="ha"/>
    <n v="39449"/>
    <s v="I"/>
    <s v="Imputed value"/>
  </r>
  <r>
    <s v="QCL"/>
    <s v="Crops and livestock products"/>
    <n v="800"/>
    <s v="Uganda"/>
    <n v="5312"/>
    <x v="0"/>
    <s v="01707"/>
    <x v="19"/>
    <n v="2018"/>
    <x v="1"/>
    <s v="ha"/>
    <n v="42184"/>
    <s v="I"/>
    <s v="Imputed value"/>
  </r>
  <r>
    <s v="QCL"/>
    <s v="Crops and livestock products"/>
    <n v="800"/>
    <s v="Uganda"/>
    <n v="5312"/>
    <x v="0"/>
    <s v="01707"/>
    <x v="19"/>
    <n v="2019"/>
    <x v="2"/>
    <s v="ha"/>
    <n v="50310"/>
    <s v="I"/>
    <s v="Imputed value"/>
  </r>
  <r>
    <s v="QCL"/>
    <s v="Crops and livestock products"/>
    <n v="800"/>
    <s v="Uganda"/>
    <n v="5312"/>
    <x v="0"/>
    <s v="01707"/>
    <x v="19"/>
    <n v="2020"/>
    <x v="3"/>
    <s v="ha"/>
    <n v="43228"/>
    <s v="E"/>
    <s v="Estimated value"/>
  </r>
  <r>
    <s v="QCL"/>
    <s v="Crops and livestock products"/>
    <n v="800"/>
    <s v="Uganda"/>
    <n v="5312"/>
    <x v="0"/>
    <s v="01707"/>
    <x v="19"/>
    <n v="2021"/>
    <x v="4"/>
    <s v="ha"/>
    <n v="44394"/>
    <s v="E"/>
    <s v="Estimated value"/>
  </r>
  <r>
    <s v="QCL"/>
    <s v="Crops and livestock products"/>
    <n v="800"/>
    <s v="Uganda"/>
    <n v="5312"/>
    <x v="0"/>
    <s v="01318"/>
    <x v="20"/>
    <n v="2017"/>
    <x v="0"/>
    <s v="ha"/>
    <n v="498"/>
    <s v="I"/>
    <s v="Imputed value"/>
  </r>
  <r>
    <s v="QCL"/>
    <s v="Crops and livestock products"/>
    <n v="800"/>
    <s v="Uganda"/>
    <n v="5312"/>
    <x v="0"/>
    <s v="01318"/>
    <x v="20"/>
    <n v="2018"/>
    <x v="1"/>
    <s v="ha"/>
    <n v="647"/>
    <s v="I"/>
    <s v="Imputed value"/>
  </r>
  <r>
    <s v="QCL"/>
    <s v="Crops and livestock products"/>
    <n v="800"/>
    <s v="Uganda"/>
    <n v="5312"/>
    <x v="0"/>
    <s v="01318"/>
    <x v="20"/>
    <n v="2019"/>
    <x v="2"/>
    <s v="ha"/>
    <n v="942"/>
    <s v="I"/>
    <s v="Imputed value"/>
  </r>
  <r>
    <s v="QCL"/>
    <s v="Crops and livestock products"/>
    <n v="800"/>
    <s v="Uganda"/>
    <n v="5312"/>
    <x v="0"/>
    <s v="01318"/>
    <x v="20"/>
    <n v="2020"/>
    <x v="3"/>
    <s v="ha"/>
    <n v="1470"/>
    <s v="I"/>
    <s v="Imputed value"/>
  </r>
  <r>
    <s v="QCL"/>
    <s v="Crops and livestock products"/>
    <n v="800"/>
    <s v="Uganda"/>
    <n v="5312"/>
    <x v="0"/>
    <s v="01318"/>
    <x v="20"/>
    <n v="2021"/>
    <x v="4"/>
    <s v="ha"/>
    <n v="1832"/>
    <s v="I"/>
    <s v="Imputed value"/>
  </r>
  <r>
    <s v="QCL"/>
    <s v="Crops and livestock products"/>
    <n v="800"/>
    <s v="Uganda"/>
    <n v="5312"/>
    <x v="0"/>
    <s v="01313"/>
    <x v="21"/>
    <n v="2017"/>
    <x v="0"/>
    <s v="ha"/>
    <n v="1059598"/>
    <s v="I"/>
    <s v="Imputed value"/>
  </r>
  <r>
    <s v="QCL"/>
    <s v="Crops and livestock products"/>
    <n v="800"/>
    <s v="Uganda"/>
    <n v="5312"/>
    <x v="0"/>
    <s v="01313"/>
    <x v="21"/>
    <n v="2018"/>
    <x v="1"/>
    <s v="ha"/>
    <n v="762748"/>
    <s v="I"/>
    <s v="Imputed value"/>
  </r>
  <r>
    <s v="QCL"/>
    <s v="Crops and livestock products"/>
    <n v="800"/>
    <s v="Uganda"/>
    <n v="5312"/>
    <x v="0"/>
    <s v="01313"/>
    <x v="21"/>
    <n v="2019"/>
    <x v="2"/>
    <s v="ha"/>
    <n v="2092814"/>
    <s v="I"/>
    <s v="Imputed value"/>
  </r>
  <r>
    <s v="QCL"/>
    <s v="Crops and livestock products"/>
    <n v="800"/>
    <s v="Uganda"/>
    <n v="5312"/>
    <x v="0"/>
    <s v="01313"/>
    <x v="21"/>
    <n v="2020"/>
    <x v="3"/>
    <s v="ha"/>
    <n v="2185829"/>
    <s v="I"/>
    <s v="Imputed value"/>
  </r>
  <r>
    <s v="QCL"/>
    <s v="Crops and livestock products"/>
    <n v="800"/>
    <s v="Uganda"/>
    <n v="5312"/>
    <x v="0"/>
    <s v="01313"/>
    <x v="21"/>
    <n v="2021"/>
    <x v="4"/>
    <s v="ha"/>
    <n v="2060000"/>
    <s v="E"/>
    <s v="Estimated value"/>
  </r>
  <r>
    <s v="QCL"/>
    <s v="Crops and livestock products"/>
    <n v="800"/>
    <s v="Uganda"/>
    <n v="5312"/>
    <x v="0"/>
    <s v="01510"/>
    <x v="22"/>
    <n v="2017"/>
    <x v="0"/>
    <s v="ha"/>
    <n v="39300"/>
    <s v="E"/>
    <s v="Estimated value"/>
  </r>
  <r>
    <s v="QCL"/>
    <s v="Crops and livestock products"/>
    <n v="800"/>
    <s v="Uganda"/>
    <n v="5312"/>
    <x v="0"/>
    <s v="01510"/>
    <x v="22"/>
    <n v="2018"/>
    <x v="1"/>
    <s v="ha"/>
    <n v="47425"/>
    <s v="I"/>
    <s v="Imputed value"/>
  </r>
  <r>
    <s v="QCL"/>
    <s v="Crops and livestock products"/>
    <n v="800"/>
    <s v="Uganda"/>
    <n v="5312"/>
    <x v="0"/>
    <s v="01510"/>
    <x v="22"/>
    <n v="2019"/>
    <x v="2"/>
    <s v="ha"/>
    <n v="44310"/>
    <s v="I"/>
    <s v="Imputed value"/>
  </r>
  <r>
    <s v="QCL"/>
    <s v="Crops and livestock products"/>
    <n v="800"/>
    <s v="Uganda"/>
    <n v="5312"/>
    <x v="0"/>
    <s v="01510"/>
    <x v="22"/>
    <n v="2020"/>
    <x v="3"/>
    <s v="ha"/>
    <n v="40936"/>
    <s v="I"/>
    <s v="Imputed value"/>
  </r>
  <r>
    <s v="QCL"/>
    <s v="Crops and livestock products"/>
    <n v="800"/>
    <s v="Uganda"/>
    <n v="5312"/>
    <x v="0"/>
    <s v="01510"/>
    <x v="22"/>
    <n v="2021"/>
    <x v="4"/>
    <s v="ha"/>
    <n v="40372"/>
    <s v="I"/>
    <s v="Imputed value"/>
  </r>
  <r>
    <s v="QCL"/>
    <s v="Crops and livestock products"/>
    <n v="800"/>
    <s v="Uganda"/>
    <n v="5312"/>
    <x v="0"/>
    <s v="0113"/>
    <x v="23"/>
    <n v="2017"/>
    <x v="0"/>
    <s v="ha"/>
    <n v="71501"/>
    <s v="I"/>
    <s v="Imputed value"/>
  </r>
  <r>
    <s v="QCL"/>
    <s v="Crops and livestock products"/>
    <n v="800"/>
    <s v="Uganda"/>
    <n v="5312"/>
    <x v="0"/>
    <s v="0113"/>
    <x v="23"/>
    <n v="2018"/>
    <x v="1"/>
    <s v="ha"/>
    <n v="72310"/>
    <s v="I"/>
    <s v="Imputed value"/>
  </r>
  <r>
    <s v="QCL"/>
    <s v="Crops and livestock products"/>
    <n v="800"/>
    <s v="Uganda"/>
    <n v="5312"/>
    <x v="0"/>
    <s v="0113"/>
    <x v="23"/>
    <n v="2019"/>
    <x v="2"/>
    <s v="ha"/>
    <n v="58250"/>
    <s v="I"/>
    <s v="Imputed value"/>
  </r>
  <r>
    <s v="QCL"/>
    <s v="Crops and livestock products"/>
    <n v="800"/>
    <s v="Uganda"/>
    <n v="5312"/>
    <x v="0"/>
    <s v="0113"/>
    <x v="23"/>
    <n v="2020"/>
    <x v="3"/>
    <s v="ha"/>
    <n v="127675"/>
    <s v="I"/>
    <s v="Imputed value"/>
  </r>
  <r>
    <s v="QCL"/>
    <s v="Crops and livestock products"/>
    <n v="800"/>
    <s v="Uganda"/>
    <n v="5312"/>
    <x v="0"/>
    <s v="0113"/>
    <x v="23"/>
    <n v="2021"/>
    <x v="4"/>
    <s v="ha"/>
    <n v="101325"/>
    <s v="I"/>
    <s v="Imputed value"/>
  </r>
  <r>
    <s v="QCL"/>
    <s v="Crops and livestock products"/>
    <n v="800"/>
    <s v="Uganda"/>
    <n v="5312"/>
    <x v="0"/>
    <s v="01921.01"/>
    <x v="24"/>
    <n v="2017"/>
    <x v="0"/>
    <s v="ha"/>
    <n v="96000"/>
    <s v="T"/>
    <s v="Unofficial figure"/>
  </r>
  <r>
    <s v="QCL"/>
    <s v="Crops and livestock products"/>
    <n v="800"/>
    <s v="Uganda"/>
    <n v="5312"/>
    <x v="0"/>
    <s v="01921.01"/>
    <x v="24"/>
    <n v="2018"/>
    <x v="1"/>
    <s v="ha"/>
    <n v="80000"/>
    <s v="T"/>
    <s v="Unofficial figure"/>
  </r>
  <r>
    <s v="QCL"/>
    <s v="Crops and livestock products"/>
    <n v="800"/>
    <s v="Uganda"/>
    <n v="5312"/>
    <x v="0"/>
    <s v="01921.01"/>
    <x v="24"/>
    <n v="2019"/>
    <x v="2"/>
    <s v="ha"/>
    <n v="90000"/>
    <s v="T"/>
    <s v="Unofficial figure"/>
  </r>
  <r>
    <s v="QCL"/>
    <s v="Crops and livestock products"/>
    <n v="800"/>
    <s v="Uganda"/>
    <n v="5312"/>
    <x v="0"/>
    <s v="01921.01"/>
    <x v="24"/>
    <n v="2020"/>
    <x v="3"/>
    <s v="ha"/>
    <n v="94000"/>
    <s v="T"/>
    <s v="Unofficial figure"/>
  </r>
  <r>
    <s v="QCL"/>
    <s v="Crops and livestock products"/>
    <n v="800"/>
    <s v="Uganda"/>
    <n v="5312"/>
    <x v="0"/>
    <s v="01921.01"/>
    <x v="24"/>
    <n v="2021"/>
    <x v="4"/>
    <s v="ha"/>
    <n v="99000"/>
    <s v="T"/>
    <s v="Unofficial figure"/>
  </r>
  <r>
    <s v="QCL"/>
    <s v="Crops and livestock products"/>
    <n v="800"/>
    <s v="Uganda"/>
    <n v="5312"/>
    <x v="0"/>
    <s v="01444"/>
    <x v="25"/>
    <n v="2017"/>
    <x v="0"/>
    <s v="ha"/>
    <n v="208000"/>
    <s v="T"/>
    <s v="Unofficial figure"/>
  </r>
  <r>
    <s v="QCL"/>
    <s v="Crops and livestock products"/>
    <n v="800"/>
    <s v="Uganda"/>
    <n v="5312"/>
    <x v="0"/>
    <s v="01444"/>
    <x v="25"/>
    <n v="2018"/>
    <x v="1"/>
    <s v="ha"/>
    <n v="213000"/>
    <s v="T"/>
    <s v="Unofficial figure"/>
  </r>
  <r>
    <s v="QCL"/>
    <s v="Crops and livestock products"/>
    <n v="800"/>
    <s v="Uganda"/>
    <n v="5312"/>
    <x v="0"/>
    <s v="01444"/>
    <x v="25"/>
    <n v="2019"/>
    <x v="2"/>
    <s v="ha"/>
    <n v="212000"/>
    <s v="T"/>
    <s v="Unofficial figure"/>
  </r>
  <r>
    <s v="QCL"/>
    <s v="Crops and livestock products"/>
    <n v="800"/>
    <s v="Uganda"/>
    <n v="5312"/>
    <x v="0"/>
    <s v="01444"/>
    <x v="25"/>
    <n v="2020"/>
    <x v="3"/>
    <s v="ha"/>
    <n v="215000"/>
    <s v="T"/>
    <s v="Unofficial figure"/>
  </r>
  <r>
    <s v="QCL"/>
    <s v="Crops and livestock products"/>
    <n v="800"/>
    <s v="Uganda"/>
    <n v="5312"/>
    <x v="0"/>
    <s v="01444"/>
    <x v="25"/>
    <n v="2021"/>
    <x v="4"/>
    <s v="ha"/>
    <n v="215000"/>
    <s v="T"/>
    <s v="Unofficial figure"/>
  </r>
  <r>
    <s v="QCL"/>
    <s v="Crops and livestock products"/>
    <n v="800"/>
    <s v="Uganda"/>
    <n v="5312"/>
    <x v="0"/>
    <s v="01929.05"/>
    <x v="26"/>
    <n v="2017"/>
    <x v="0"/>
    <s v="ha"/>
    <n v="2"/>
    <s v="I"/>
    <s v="Imputed value"/>
  </r>
  <r>
    <s v="QCL"/>
    <s v="Crops and livestock products"/>
    <n v="800"/>
    <s v="Uganda"/>
    <n v="5312"/>
    <x v="0"/>
    <s v="01929.05"/>
    <x v="26"/>
    <n v="2018"/>
    <x v="1"/>
    <s v="ha"/>
    <n v="2"/>
    <s v="I"/>
    <s v="Imputed value"/>
  </r>
  <r>
    <s v="QCL"/>
    <s v="Crops and livestock products"/>
    <n v="800"/>
    <s v="Uganda"/>
    <n v="5312"/>
    <x v="0"/>
    <s v="01929.05"/>
    <x v="26"/>
    <n v="2019"/>
    <x v="2"/>
    <s v="ha"/>
    <n v="2"/>
    <s v="I"/>
    <s v="Imputed value"/>
  </r>
  <r>
    <s v="QCL"/>
    <s v="Crops and livestock products"/>
    <n v="800"/>
    <s v="Uganda"/>
    <n v="5312"/>
    <x v="0"/>
    <s v="01929.05"/>
    <x v="26"/>
    <n v="2020"/>
    <x v="3"/>
    <s v="ha"/>
    <n v="2"/>
    <s v="I"/>
    <s v="Imputed value"/>
  </r>
  <r>
    <s v="QCL"/>
    <s v="Crops and livestock products"/>
    <n v="800"/>
    <s v="Uganda"/>
    <n v="5312"/>
    <x v="0"/>
    <s v="01929.05"/>
    <x v="26"/>
    <n v="2021"/>
    <x v="4"/>
    <s v="ha"/>
    <n v="2"/>
    <s v="I"/>
    <s v="Imputed value"/>
  </r>
  <r>
    <s v="QCL"/>
    <s v="Crops and livestock products"/>
    <n v="800"/>
    <s v="Uganda"/>
    <n v="5312"/>
    <x v="0"/>
    <s v="0114"/>
    <x v="27"/>
    <n v="2017"/>
    <x v="0"/>
    <s v="ha"/>
    <n v="193724"/>
    <s v="I"/>
    <s v="Imputed value"/>
  </r>
  <r>
    <s v="QCL"/>
    <s v="Crops and livestock products"/>
    <n v="800"/>
    <s v="Uganda"/>
    <n v="5312"/>
    <x v="0"/>
    <s v="0114"/>
    <x v="27"/>
    <n v="2018"/>
    <x v="1"/>
    <s v="ha"/>
    <n v="282663"/>
    <s v="I"/>
    <s v="Imputed value"/>
  </r>
  <r>
    <s v="QCL"/>
    <s v="Crops and livestock products"/>
    <n v="800"/>
    <s v="Uganda"/>
    <n v="5312"/>
    <x v="0"/>
    <s v="0114"/>
    <x v="27"/>
    <n v="2019"/>
    <x v="2"/>
    <s v="ha"/>
    <n v="105210"/>
    <s v="I"/>
    <s v="Imputed value"/>
  </r>
  <r>
    <s v="QCL"/>
    <s v="Crops and livestock products"/>
    <n v="800"/>
    <s v="Uganda"/>
    <n v="5312"/>
    <x v="0"/>
    <s v="0114"/>
    <x v="27"/>
    <n v="2020"/>
    <x v="3"/>
    <s v="ha"/>
    <n v="180413"/>
    <s v="I"/>
    <s v="Imputed value"/>
  </r>
  <r>
    <s v="QCL"/>
    <s v="Crops and livestock products"/>
    <n v="800"/>
    <s v="Uganda"/>
    <n v="5312"/>
    <x v="0"/>
    <s v="0114"/>
    <x v="27"/>
    <n v="2021"/>
    <x v="4"/>
    <s v="ha"/>
    <n v="228855"/>
    <s v="I"/>
    <s v="Imputed value"/>
  </r>
  <r>
    <s v="QCL"/>
    <s v="Crops and livestock products"/>
    <n v="800"/>
    <s v="Uganda"/>
    <n v="5312"/>
    <x v="0"/>
    <s v="0141"/>
    <x v="28"/>
    <n v="2017"/>
    <x v="0"/>
    <s v="ha"/>
    <n v="47000"/>
    <s v="T"/>
    <s v="Unofficial figure"/>
  </r>
  <r>
    <s v="QCL"/>
    <s v="Crops and livestock products"/>
    <n v="800"/>
    <s v="Uganda"/>
    <n v="5312"/>
    <x v="0"/>
    <s v="0141"/>
    <x v="28"/>
    <n v="2018"/>
    <x v="1"/>
    <s v="ha"/>
    <n v="47000"/>
    <s v="T"/>
    <s v="Unofficial figure"/>
  </r>
  <r>
    <s v="QCL"/>
    <s v="Crops and livestock products"/>
    <n v="800"/>
    <s v="Uganda"/>
    <n v="5312"/>
    <x v="0"/>
    <s v="0141"/>
    <x v="28"/>
    <n v="2019"/>
    <x v="2"/>
    <s v="ha"/>
    <n v="50000"/>
    <s v="T"/>
    <s v="Unofficial figure"/>
  </r>
  <r>
    <s v="QCL"/>
    <s v="Crops and livestock products"/>
    <n v="800"/>
    <s v="Uganda"/>
    <n v="5312"/>
    <x v="0"/>
    <s v="0141"/>
    <x v="28"/>
    <n v="2020"/>
    <x v="3"/>
    <s v="ha"/>
    <n v="52000"/>
    <s v="T"/>
    <s v="Unofficial figure"/>
  </r>
  <r>
    <s v="QCL"/>
    <s v="Crops and livestock products"/>
    <n v="800"/>
    <s v="Uganda"/>
    <n v="5312"/>
    <x v="0"/>
    <s v="0141"/>
    <x v="28"/>
    <n v="2021"/>
    <x v="4"/>
    <s v="ha"/>
    <n v="50000"/>
    <s v="T"/>
    <s v="Unofficial figure"/>
  </r>
  <r>
    <s v="QCL"/>
    <s v="Crops and livestock products"/>
    <n v="800"/>
    <s v="Uganda"/>
    <n v="5312"/>
    <x v="0"/>
    <s v="01802"/>
    <x v="29"/>
    <n v="2017"/>
    <x v="0"/>
    <s v="ha"/>
    <n v="76000"/>
    <s v="E"/>
    <s v="Estimated value"/>
  </r>
  <r>
    <s v="QCL"/>
    <s v="Crops and livestock products"/>
    <n v="800"/>
    <s v="Uganda"/>
    <n v="5312"/>
    <x v="0"/>
    <s v="01802"/>
    <x v="29"/>
    <n v="2018"/>
    <x v="1"/>
    <s v="ha"/>
    <n v="79000"/>
    <s v="E"/>
    <s v="Estimated value"/>
  </r>
  <r>
    <s v="QCL"/>
    <s v="Crops and livestock products"/>
    <n v="800"/>
    <s v="Uganda"/>
    <n v="5312"/>
    <x v="0"/>
    <s v="01802"/>
    <x v="29"/>
    <n v="2019"/>
    <x v="2"/>
    <s v="ha"/>
    <n v="78000"/>
    <s v="E"/>
    <s v="Estimated value"/>
  </r>
  <r>
    <s v="QCL"/>
    <s v="Crops and livestock products"/>
    <n v="800"/>
    <s v="Uganda"/>
    <n v="5312"/>
    <x v="0"/>
    <s v="01802"/>
    <x v="29"/>
    <n v="2020"/>
    <x v="3"/>
    <s v="ha"/>
    <n v="75404"/>
    <s v="I"/>
    <s v="Imputed value"/>
  </r>
  <r>
    <s v="QCL"/>
    <s v="Crops and livestock products"/>
    <n v="800"/>
    <s v="Uganda"/>
    <n v="5312"/>
    <x v="0"/>
    <s v="01802"/>
    <x v="29"/>
    <n v="2021"/>
    <x v="4"/>
    <s v="ha"/>
    <n v="85313"/>
    <s v="I"/>
    <s v="Imputed value"/>
  </r>
  <r>
    <s v="QCL"/>
    <s v="Crops and livestock products"/>
    <n v="800"/>
    <s v="Uganda"/>
    <n v="5312"/>
    <x v="0"/>
    <s v="01445"/>
    <x v="30"/>
    <n v="2017"/>
    <x v="0"/>
    <s v="ha"/>
    <n v="256000"/>
    <s v="T"/>
    <s v="Unofficial figure"/>
  </r>
  <r>
    <s v="QCL"/>
    <s v="Crops and livestock products"/>
    <n v="800"/>
    <s v="Uganda"/>
    <n v="5312"/>
    <x v="0"/>
    <s v="01445"/>
    <x v="30"/>
    <n v="2018"/>
    <x v="1"/>
    <s v="ha"/>
    <n v="272000"/>
    <s v="T"/>
    <s v="Unofficial figure"/>
  </r>
  <r>
    <s v="QCL"/>
    <s v="Crops and livestock products"/>
    <n v="800"/>
    <s v="Uganda"/>
    <n v="5312"/>
    <x v="0"/>
    <s v="01445"/>
    <x v="30"/>
    <n v="2019"/>
    <x v="2"/>
    <s v="ha"/>
    <n v="265000"/>
    <s v="T"/>
    <s v="Unofficial figure"/>
  </r>
  <r>
    <s v="QCL"/>
    <s v="Crops and livestock products"/>
    <n v="800"/>
    <s v="Uganda"/>
    <n v="5312"/>
    <x v="0"/>
    <s v="01445"/>
    <x v="30"/>
    <n v="2020"/>
    <x v="3"/>
    <s v="ha"/>
    <n v="275000"/>
    <s v="T"/>
    <s v="Unofficial figure"/>
  </r>
  <r>
    <s v="QCL"/>
    <s v="Crops and livestock products"/>
    <n v="800"/>
    <s v="Uganda"/>
    <n v="5312"/>
    <x v="0"/>
    <s v="01445"/>
    <x v="30"/>
    <n v="2021"/>
    <x v="4"/>
    <s v="ha"/>
    <n v="280000"/>
    <s v="T"/>
    <s v="Unofficial figure"/>
  </r>
  <r>
    <s v="QCL"/>
    <s v="Crops and livestock products"/>
    <n v="800"/>
    <s v="Uganda"/>
    <n v="5312"/>
    <x v="0"/>
    <s v="01530"/>
    <x v="31"/>
    <n v="2017"/>
    <x v="0"/>
    <s v="ha"/>
    <n v="448548"/>
    <s v="I"/>
    <s v="Imputed value"/>
  </r>
  <r>
    <s v="QCL"/>
    <s v="Crops and livestock products"/>
    <n v="800"/>
    <s v="Uganda"/>
    <n v="5312"/>
    <x v="0"/>
    <s v="01530"/>
    <x v="31"/>
    <n v="2018"/>
    <x v="1"/>
    <s v="ha"/>
    <n v="348670"/>
    <s v="I"/>
    <s v="Imputed value"/>
  </r>
  <r>
    <s v="QCL"/>
    <s v="Crops and livestock products"/>
    <n v="800"/>
    <s v="Uganda"/>
    <n v="5312"/>
    <x v="0"/>
    <s v="01530"/>
    <x v="31"/>
    <n v="2019"/>
    <x v="2"/>
    <s v="ha"/>
    <n v="252690"/>
    <s v="I"/>
    <s v="Imputed value"/>
  </r>
  <r>
    <s v="QCL"/>
    <s v="Crops and livestock products"/>
    <n v="800"/>
    <s v="Uganda"/>
    <n v="5312"/>
    <x v="0"/>
    <s v="01530"/>
    <x v="31"/>
    <n v="2020"/>
    <x v="3"/>
    <s v="ha"/>
    <n v="275218"/>
    <s v="I"/>
    <s v="Imputed value"/>
  </r>
  <r>
    <s v="QCL"/>
    <s v="Crops and livestock products"/>
    <n v="800"/>
    <s v="Uganda"/>
    <n v="5312"/>
    <x v="0"/>
    <s v="01530"/>
    <x v="31"/>
    <n v="2021"/>
    <x v="4"/>
    <s v="ha"/>
    <n v="299112"/>
    <s v="I"/>
    <s v="Imputed value"/>
  </r>
  <r>
    <s v="QCL"/>
    <s v="Crops and livestock products"/>
    <n v="800"/>
    <s v="Uganda"/>
    <n v="5312"/>
    <x v="0"/>
    <s v="01620"/>
    <x v="32"/>
    <n v="2017"/>
    <x v="0"/>
    <s v="ha"/>
    <n v="24368"/>
    <s v="I"/>
    <s v="Imputed value"/>
  </r>
  <r>
    <s v="QCL"/>
    <s v="Crops and livestock products"/>
    <n v="800"/>
    <s v="Uganda"/>
    <n v="5312"/>
    <x v="0"/>
    <s v="01620"/>
    <x v="32"/>
    <n v="2018"/>
    <x v="1"/>
    <s v="ha"/>
    <n v="34939"/>
    <s v="I"/>
    <s v="Imputed value"/>
  </r>
  <r>
    <s v="QCL"/>
    <s v="Crops and livestock products"/>
    <n v="800"/>
    <s v="Uganda"/>
    <n v="5312"/>
    <x v="0"/>
    <s v="01620"/>
    <x v="32"/>
    <n v="2019"/>
    <x v="2"/>
    <s v="ha"/>
    <n v="28569"/>
    <s v="I"/>
    <s v="Imputed value"/>
  </r>
  <r>
    <s v="QCL"/>
    <s v="Crops and livestock products"/>
    <n v="800"/>
    <s v="Uganda"/>
    <n v="5312"/>
    <x v="0"/>
    <s v="01620"/>
    <x v="32"/>
    <n v="2020"/>
    <x v="3"/>
    <s v="ha"/>
    <n v="35729"/>
    <s v="I"/>
    <s v="Imputed value"/>
  </r>
  <r>
    <s v="QCL"/>
    <s v="Crops and livestock products"/>
    <n v="800"/>
    <s v="Uganda"/>
    <n v="5312"/>
    <x v="0"/>
    <s v="01620"/>
    <x v="32"/>
    <n v="2021"/>
    <x v="4"/>
    <s v="ha"/>
    <n v="34691"/>
    <s v="I"/>
    <s v="Imputed value"/>
  </r>
  <r>
    <s v="QCL"/>
    <s v="Crops and livestock products"/>
    <n v="800"/>
    <s v="Uganda"/>
    <n v="5312"/>
    <x v="0"/>
    <s v="01234"/>
    <x v="33"/>
    <n v="2017"/>
    <x v="0"/>
    <s v="ha"/>
    <n v="6525"/>
    <s v="I"/>
    <s v="Imputed value"/>
  </r>
  <r>
    <s v="QCL"/>
    <s v="Crops and livestock products"/>
    <n v="800"/>
    <s v="Uganda"/>
    <n v="5312"/>
    <x v="0"/>
    <s v="01234"/>
    <x v="33"/>
    <n v="2018"/>
    <x v="1"/>
    <s v="ha"/>
    <n v="6544"/>
    <s v="E"/>
    <s v="Estimated value"/>
  </r>
  <r>
    <s v="QCL"/>
    <s v="Crops and livestock products"/>
    <n v="800"/>
    <s v="Uganda"/>
    <n v="5312"/>
    <x v="0"/>
    <s v="01234"/>
    <x v="33"/>
    <n v="2019"/>
    <x v="2"/>
    <s v="ha"/>
    <n v="6454"/>
    <s v="E"/>
    <s v="Estimated value"/>
  </r>
  <r>
    <s v="QCL"/>
    <s v="Crops and livestock products"/>
    <n v="800"/>
    <s v="Uganda"/>
    <n v="5312"/>
    <x v="0"/>
    <s v="01234"/>
    <x v="33"/>
    <n v="2020"/>
    <x v="3"/>
    <s v="ha"/>
    <n v="6507"/>
    <s v="E"/>
    <s v="Estimated value"/>
  </r>
  <r>
    <s v="QCL"/>
    <s v="Crops and livestock products"/>
    <n v="800"/>
    <s v="Uganda"/>
    <n v="5312"/>
    <x v="0"/>
    <s v="01234"/>
    <x v="33"/>
    <n v="2021"/>
    <x v="4"/>
    <s v="ha"/>
    <n v="6502"/>
    <s v="E"/>
    <s v="Estimated value"/>
  </r>
  <r>
    <s v="QCL"/>
    <s v="Crops and livestock products"/>
    <n v="800"/>
    <s v="Uganda"/>
    <n v="5312"/>
    <x v="0"/>
    <s v="01970"/>
    <x v="34"/>
    <n v="2017"/>
    <x v="0"/>
    <s v="ha"/>
    <n v="22310"/>
    <s v="E"/>
    <s v="Estimated value"/>
  </r>
  <r>
    <s v="QCL"/>
    <s v="Crops and livestock products"/>
    <n v="800"/>
    <s v="Uganda"/>
    <n v="5312"/>
    <x v="0"/>
    <s v="01970"/>
    <x v="34"/>
    <n v="2018"/>
    <x v="1"/>
    <s v="ha"/>
    <n v="22204"/>
    <s v="I"/>
    <s v="Imputed value"/>
  </r>
  <r>
    <s v="QCL"/>
    <s v="Crops and livestock products"/>
    <n v="800"/>
    <s v="Uganda"/>
    <n v="5312"/>
    <x v="0"/>
    <s v="01970"/>
    <x v="34"/>
    <n v="2019"/>
    <x v="2"/>
    <s v="ha"/>
    <n v="21778"/>
    <s v="I"/>
    <s v="Imputed value"/>
  </r>
  <r>
    <s v="QCL"/>
    <s v="Crops and livestock products"/>
    <n v="800"/>
    <s v="Uganda"/>
    <n v="5312"/>
    <x v="0"/>
    <s v="01970"/>
    <x v="34"/>
    <n v="2020"/>
    <x v="3"/>
    <s v="ha"/>
    <n v="22011"/>
    <s v="I"/>
    <s v="Imputed value"/>
  </r>
  <r>
    <s v="QCL"/>
    <s v="Crops and livestock products"/>
    <n v="800"/>
    <s v="Uganda"/>
    <n v="5312"/>
    <x v="0"/>
    <s v="01970"/>
    <x v="34"/>
    <n v="2021"/>
    <x v="4"/>
    <s v="ha"/>
    <n v="22244"/>
    <s v="I"/>
    <s v="Imputed value"/>
  </r>
  <r>
    <s v="QCL"/>
    <s v="Crops and livestock products"/>
    <n v="800"/>
    <s v="Uganda"/>
    <n v="5312"/>
    <x v="0"/>
    <s v="01658"/>
    <x v="35"/>
    <n v="2017"/>
    <x v="0"/>
    <s v="ha"/>
    <n v="350"/>
    <s v="I"/>
    <s v="Imputed value"/>
  </r>
  <r>
    <s v="QCL"/>
    <s v="Crops and livestock products"/>
    <n v="800"/>
    <s v="Uganda"/>
    <n v="5312"/>
    <x v="0"/>
    <s v="01658"/>
    <x v="35"/>
    <n v="2018"/>
    <x v="1"/>
    <s v="ha"/>
    <n v="361"/>
    <s v="E"/>
    <s v="Estimated value"/>
  </r>
  <r>
    <s v="QCL"/>
    <s v="Crops and livestock products"/>
    <n v="800"/>
    <s v="Uganda"/>
    <n v="5312"/>
    <x v="0"/>
    <s v="01658"/>
    <x v="35"/>
    <n v="2019"/>
    <x v="2"/>
    <s v="ha"/>
    <n v="357"/>
    <s v="E"/>
    <s v="Estimated value"/>
  </r>
  <r>
    <s v="QCL"/>
    <s v="Crops and livestock products"/>
    <n v="800"/>
    <s v="Uganda"/>
    <n v="5312"/>
    <x v="0"/>
    <s v="01658"/>
    <x v="35"/>
    <n v="2020"/>
    <x v="3"/>
    <s v="ha"/>
    <n v="356"/>
    <s v="E"/>
    <s v="Estimated value"/>
  </r>
  <r>
    <s v="QCL"/>
    <s v="Crops and livestock products"/>
    <n v="800"/>
    <s v="Uganda"/>
    <n v="5312"/>
    <x v="0"/>
    <s v="01658"/>
    <x v="35"/>
    <n v="2021"/>
    <x v="4"/>
    <s v="ha"/>
    <n v="358"/>
    <s v="E"/>
    <s v="Estimated value"/>
  </r>
  <r>
    <s v="QCL"/>
    <s v="Crops and livestock products"/>
    <n v="800"/>
    <s v="Uganda"/>
    <n v="5312"/>
    <x v="0"/>
    <s v="0111"/>
    <x v="36"/>
    <n v="2017"/>
    <x v="0"/>
    <s v="ha"/>
    <n v="14155"/>
    <s v="I"/>
    <s v="Imputed value"/>
  </r>
  <r>
    <s v="QCL"/>
    <s v="Crops and livestock products"/>
    <n v="800"/>
    <s v="Uganda"/>
    <n v="5312"/>
    <x v="0"/>
    <s v="0111"/>
    <x v="36"/>
    <n v="2018"/>
    <x v="1"/>
    <s v="ha"/>
    <n v="14842"/>
    <s v="I"/>
    <s v="Imputed value"/>
  </r>
  <r>
    <s v="QCL"/>
    <s v="Crops and livestock products"/>
    <n v="800"/>
    <s v="Uganda"/>
    <n v="5312"/>
    <x v="0"/>
    <s v="0111"/>
    <x v="36"/>
    <n v="2019"/>
    <x v="2"/>
    <s v="ha"/>
    <n v="15396"/>
    <s v="I"/>
    <s v="Imputed value"/>
  </r>
  <r>
    <s v="QCL"/>
    <s v="Crops and livestock products"/>
    <n v="800"/>
    <s v="Uganda"/>
    <n v="5312"/>
    <x v="0"/>
    <s v="0111"/>
    <x v="36"/>
    <n v="2020"/>
    <x v="3"/>
    <s v="ha"/>
    <n v="16117"/>
    <s v="I"/>
    <s v="Imputed value"/>
  </r>
  <r>
    <s v="QCL"/>
    <s v="Crops and livestock products"/>
    <n v="800"/>
    <s v="Uganda"/>
    <n v="5312"/>
    <x v="0"/>
    <s v="0111"/>
    <x v="36"/>
    <n v="2021"/>
    <x v="4"/>
    <s v="ha"/>
    <n v="16198"/>
    <s v="I"/>
    <s v="Imputed val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C2171-5F5B-4700-97AA-5F8DABD690B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J33" firstHeaderRow="1" firstDataRow="2" firstDataCol="1"/>
  <pivotFields count="14">
    <pivotField showAll="0"/>
    <pivotField showAll="0"/>
    <pivotField showAll="0"/>
    <pivotField showAll="0"/>
    <pivotField showAll="0"/>
    <pivotField showAll="0">
      <items count="2">
        <item x="0"/>
        <item t="default"/>
      </items>
    </pivotField>
    <pivotField showAll="0"/>
    <pivotField axis="axisRow" showAll="0" sortType="descending">
      <items count="38">
        <item h="1" x="36"/>
        <item h="1" x="35"/>
        <item h="1" x="34"/>
        <item h="1" x="33"/>
        <item x="32"/>
        <item x="31"/>
        <item x="30"/>
        <item x="29"/>
        <item x="28"/>
        <item x="27"/>
        <item h="1" x="26"/>
        <item x="25"/>
        <item x="24"/>
        <item x="23"/>
        <item x="22"/>
        <item x="21"/>
        <item h="1" x="20"/>
        <item x="19"/>
        <item h="1" x="18"/>
        <item x="17"/>
        <item x="16"/>
        <item x="15"/>
        <item h="1" x="14"/>
        <item x="13"/>
        <item x="12"/>
        <item x="11"/>
        <item x="10"/>
        <item h="1" x="9"/>
        <item x="8"/>
        <item x="7"/>
        <item x="6"/>
        <item h="1" x="5"/>
        <item h="1" x="4"/>
        <item h="1" x="3"/>
        <item x="2"/>
        <item x="1"/>
        <item h="1" x="0"/>
        <item t="default"/>
      </items>
      <autoSortScope>
        <pivotArea dataOnly="0" outline="0" fieldPosition="0">
          <references count="1">
            <reference field="4294967294" count="1" selected="0">
              <x v="0"/>
            </reference>
          </references>
        </pivotArea>
      </autoSortScope>
    </pivotField>
    <pivotField showAll="0"/>
    <pivotField axis="axisCol" showAll="0">
      <items count="6">
        <item x="0"/>
        <item x="1"/>
        <item x="2"/>
        <item x="3"/>
        <item x="4"/>
        <item t="default"/>
      </items>
    </pivotField>
    <pivotField showAll="0"/>
    <pivotField dataField="1" showAll="0"/>
    <pivotField showAll="0"/>
    <pivotField showAll="0"/>
  </pivotFields>
  <rowFields count="1">
    <field x="7"/>
  </rowFields>
  <rowItems count="25">
    <i>
      <x v="15"/>
    </i>
    <i>
      <x v="25"/>
    </i>
    <i>
      <x v="34"/>
    </i>
    <i>
      <x v="29"/>
    </i>
    <i>
      <x v="35"/>
    </i>
    <i>
      <x v="26"/>
    </i>
    <i>
      <x v="5"/>
    </i>
    <i>
      <x v="6"/>
    </i>
    <i>
      <x v="11"/>
    </i>
    <i>
      <x v="9"/>
    </i>
    <i>
      <x v="20"/>
    </i>
    <i>
      <x v="12"/>
    </i>
    <i>
      <x v="13"/>
    </i>
    <i>
      <x v="23"/>
    </i>
    <i>
      <x v="7"/>
    </i>
    <i>
      <x v="24"/>
    </i>
    <i>
      <x v="30"/>
    </i>
    <i>
      <x v="21"/>
    </i>
    <i>
      <x v="8"/>
    </i>
    <i>
      <x v="17"/>
    </i>
    <i>
      <x v="14"/>
    </i>
    <i>
      <x v="4"/>
    </i>
    <i>
      <x v="28"/>
    </i>
    <i>
      <x v="19"/>
    </i>
    <i t="grand">
      <x/>
    </i>
  </rowItems>
  <colFields count="1">
    <field x="9"/>
  </colFields>
  <colItems count="6">
    <i>
      <x/>
    </i>
    <i>
      <x v="1"/>
    </i>
    <i>
      <x v="2"/>
    </i>
    <i>
      <x v="3"/>
    </i>
    <i>
      <x v="4"/>
    </i>
    <i t="grand">
      <x/>
    </i>
  </colItems>
  <dataFields count="1">
    <dataField name="Sum of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1CE5A-BF27-4ECA-B29A-3A62231C686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7:R46" firstHeaderRow="1" firstDataRow="2" firstDataCol="1"/>
  <pivotFields count="14">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axis="axisCol" showAll="0">
      <items count="6">
        <item x="0"/>
        <item x="1"/>
        <item x="2"/>
        <item x="3"/>
        <item x="4"/>
        <item t="default"/>
      </items>
    </pivotField>
    <pivotField showAll="0"/>
    <pivotField dataField="1" showAll="0"/>
    <pivotField showAll="0"/>
    <pivotField showAll="0"/>
  </pivotFields>
  <rowFields count="1">
    <field x="7"/>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9"/>
  </colFields>
  <colItems count="6">
    <i>
      <x/>
    </i>
    <i>
      <x v="1"/>
    </i>
    <i>
      <x v="2"/>
    </i>
    <i>
      <x v="3"/>
    </i>
    <i>
      <x v="4"/>
    </i>
    <i t="grand">
      <x/>
    </i>
  </colItems>
  <dataFields count="1">
    <dataField name="Sum of Value" fld="11" showDataAs="percentOfCo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8F403-BA05-4DD1-A9BD-E6726560E55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V42" firstHeaderRow="1" firstDataRow="2" firstDataCol="1"/>
  <pivotFields count="14">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axis="axisCol" showAll="0">
      <items count="6">
        <item x="0"/>
        <item x="1"/>
        <item x="2"/>
        <item x="3"/>
        <item x="4"/>
        <item t="default"/>
      </items>
    </pivotField>
    <pivotField showAll="0"/>
    <pivotField dataField="1" showAll="0"/>
    <pivotField showAll="0"/>
    <pivotField showAll="0"/>
  </pivotFields>
  <rowFields count="1">
    <field x="7"/>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9"/>
  </colFields>
  <colItems count="6">
    <i>
      <x/>
    </i>
    <i>
      <x v="1"/>
    </i>
    <i>
      <x v="2"/>
    </i>
    <i>
      <x v="3"/>
    </i>
    <i>
      <x v="4"/>
    </i>
    <i t="grand">
      <x/>
    </i>
  </colItems>
  <dataFields count="1">
    <dataField name="Sum of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B468D0-2434-45B4-9829-FD02974EC94E}" autoFormatId="16" applyNumberFormats="0" applyBorderFormats="0" applyFontFormats="0" applyPatternFormats="0" applyAlignmentFormats="0" applyWidthHeightFormats="0">
  <queryTableRefresh nextId="15">
    <queryTableFields count="14">
      <queryTableField id="1" name="Domain Code" tableColumnId="1"/>
      <queryTableField id="2" name="Domain" tableColumnId="2"/>
      <queryTableField id="3" name="Area Code (M49)" tableColumnId="3"/>
      <queryTableField id="4" name="Area" tableColumnId="4"/>
      <queryTableField id="5" name="Element Code" tableColumnId="5"/>
      <queryTableField id="6" name="Element" tableColumnId="6"/>
      <queryTableField id="7" name="Item Code (CPC)" tableColumnId="7"/>
      <queryTableField id="8" name="Item" tableColumnId="8"/>
      <queryTableField id="9" name="Year Code" tableColumnId="9"/>
      <queryTableField id="10" name="Year" tableColumnId="10"/>
      <queryTableField id="11" name="Unit" tableColumnId="11"/>
      <queryTableField id="12" name="Value" tableColumnId="12"/>
      <queryTableField id="13" name="Flag" tableColumnId="13"/>
      <queryTableField id="14" name="Flag Description"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822435-A63B-4B03-8C75-D50464A09C81}" name="FAOSTAT_data_en_5_24_2023__1" displayName="FAOSTAT_data_en_5_24_2023__1" ref="A1:N186" tableType="queryTable" totalsRowShown="0">
  <autoFilter ref="A1:N186" xr:uid="{28C8A458-B3BE-4C99-A9B0-8A7731F0BEE2}"/>
  <tableColumns count="14">
    <tableColumn id="1" xr3:uid="{DD4D11FF-6367-47B4-B887-E5834C7EF62E}" uniqueName="1" name="Domain Code" queryTableFieldId="1" dataDxfId="8"/>
    <tableColumn id="2" xr3:uid="{C39ECAD7-1801-438B-B94B-FA7270282C3E}" uniqueName="2" name="Domain" queryTableFieldId="2" dataDxfId="7"/>
    <tableColumn id="3" xr3:uid="{98ADBDBD-799D-4354-803E-50386F3003BB}" uniqueName="3" name="Area Code (M49)" queryTableFieldId="3"/>
    <tableColumn id="4" xr3:uid="{E541C17C-48A1-4E4C-AB6B-8C2F15D0BBFC}" uniqueName="4" name="Area" queryTableFieldId="4" dataDxfId="6"/>
    <tableColumn id="5" xr3:uid="{079073D5-D1B6-4FFF-A307-426ABF88AD17}" uniqueName="5" name="Element Code" queryTableFieldId="5"/>
    <tableColumn id="6" xr3:uid="{92CE3A77-DF68-4B77-95D8-6F889C98D883}" uniqueName="6" name="Element" queryTableFieldId="6" dataDxfId="5"/>
    <tableColumn id="7" xr3:uid="{A3FF2DAB-59B6-4A1C-8D79-AD002F31062C}" uniqueName="7" name="Item Code (CPC)" queryTableFieldId="7" dataDxfId="4"/>
    <tableColumn id="8" xr3:uid="{D267262B-EFD5-4D35-9177-55936CB1A4A4}" uniqueName="8" name="Item" queryTableFieldId="8" dataDxfId="3"/>
    <tableColumn id="9" xr3:uid="{1D5A767F-CED2-411F-BAB6-E8508F582FC9}" uniqueName="9" name="Year Code" queryTableFieldId="9"/>
    <tableColumn id="10" xr3:uid="{DA3DBB48-9572-4EC6-9D86-D6AD269991C9}" uniqueName="10" name="Year" queryTableFieldId="10"/>
    <tableColumn id="11" xr3:uid="{16FD81F8-0180-4C1A-8E0A-16D5E3730D8C}" uniqueName="11" name="Unit" queryTableFieldId="11" dataDxfId="2"/>
    <tableColumn id="12" xr3:uid="{61CDCAF7-0844-466F-A1D4-16A4D40D097E}" uniqueName="12" name="Value" queryTableFieldId="12"/>
    <tableColumn id="13" xr3:uid="{AE79DDF0-3892-4854-803E-258FF433E3DA}" uniqueName="13" name="Flag" queryTableFieldId="13" dataDxfId="1"/>
    <tableColumn id="14" xr3:uid="{2812A5A0-0D22-4CC2-9378-04332AAD2CBA}" uniqueName="14" name="Flag Description" queryTableFieldId="14" dataDxfId="0"/>
  </tableColumns>
  <tableStyleInfo name="TableStyleMedium7" showFirstColumn="0" showLastColumn="0" showRowStripes="1" showColumnStripes="0"/>
</table>
</file>

<file path=xl/theme/theme1.xml><?xml version="1.0" encoding="utf-8"?>
<a:theme xmlns:a="http://schemas.openxmlformats.org/drawingml/2006/main" name="202207_Thème Office BCG">
  <a:themeElements>
    <a:clrScheme name="The Boston Consulting Group">
      <a:dk1>
        <a:srgbClr val="575757"/>
      </a:dk1>
      <a:lt1>
        <a:sysClr val="window" lastClr="FFFFFF"/>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2E3558"/>
      </a:hlink>
      <a:folHlink>
        <a:srgbClr val="2E3558"/>
      </a:folHlink>
    </a:clrScheme>
    <a:fontScheme name="BCG Trebuchet">
      <a:majorFont>
        <a:latin typeface="Trebuchet MS"/>
        <a:ea typeface=""/>
        <a:cs typeface=""/>
      </a:majorFont>
      <a:minorFont>
        <a:latin typeface="Trebuchet MS"/>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29BA74"/>
        </a:solidFill>
        <a:ln w="9525" cap="rnd" cmpd="sng" algn="ctr">
          <a:solidFill>
            <a:srgbClr val="29BA74"/>
          </a:solidFill>
          <a:prstDash val="solid"/>
          <a:round/>
          <a:headEnd type="none" w="med" len="med"/>
          <a:tailEnd type="none" w="med" len="med"/>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sz="1200" dirty="0" smtClean="0">
            <a:solidFill>
              <a:srgbClr val="FFFFFF"/>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cap="rnd">
          <a:solidFill>
            <a:schemeClr val="tx1">
              <a:lumMod val="60000"/>
              <a:lumOff val="40000"/>
            </a:schemeClr>
          </a:solidFill>
          <a:prstDash val="solid"/>
          <a:round/>
        </a:ln>
      </a:spPr>
      <a:bodyPr/>
      <a:lstStyle/>
      <a:style>
        <a:lnRef idx="1">
          <a:schemeClr val="accent1"/>
        </a:lnRef>
        <a:fillRef idx="0">
          <a:schemeClr val="accent1"/>
        </a:fillRef>
        <a:effectRef idx="0">
          <a:schemeClr val="accent1"/>
        </a:effectRef>
        <a:fontRef idx="minor">
          <a:schemeClr val="tx1"/>
        </a:fontRef>
      </a:style>
    </a:lnDef>
    <a:txDef>
      <a:spPr>
        <a:noFill/>
        <a:ln w="9525" cap="rnd">
          <a:noFill/>
          <a:prstDash val="solid"/>
          <a:round/>
        </a:ln>
        <a:extLst>
          <a:ext uri="{909E8E84-426E-40DD-AFC4-6F175D3DCCD1}">
            <a14:hiddenFill xmlns:a14="http://schemas.microsoft.com/office/drawing/2010/main">
              <a:solidFill>
                <a:srgbClr val="29BA74"/>
              </a:solidFill>
            </a14:hiddenFill>
          </a:ext>
        </a:extLst>
      </a:spPr>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defPPr algn="ctr">
          <a:defRPr dirty="0" err="1" smtClean="0">
            <a:solidFill>
              <a:srgbClr val="575757"/>
            </a:solidFill>
          </a:defRPr>
        </a:defPPr>
      </a:lstStyle>
      <a:style>
        <a:lnRef idx="2">
          <a:schemeClr val="accent1">
            <a:shade val="50000"/>
          </a:schemeClr>
        </a:lnRef>
        <a:fillRef idx="1">
          <a:schemeClr val="accent1"/>
        </a:fillRef>
        <a:effectRef idx="0">
          <a:schemeClr val="accent1"/>
        </a:effectRef>
        <a:fontRef idx="minor">
          <a:schemeClr val="lt1"/>
        </a:fontRef>
      </a:style>
    </a:txDef>
  </a:objectDefaults>
  <a:extraClrSchemeLst/>
  <a:custClrLst>
    <a:custClr name="Custom Color">
      <a:srgbClr val="37373A"/>
    </a:custClr>
    <a:custClr name="Custom Color">
      <a:srgbClr val="2E3558"/>
    </a:custClr>
    <a:custClr name="Custom Color">
      <a:srgbClr val="30C1D7"/>
    </a:custClr>
    <a:custClr name="Custom Color">
      <a:srgbClr val="670F31"/>
    </a:custClr>
    <a:custClr name="Custom Color">
      <a:srgbClr val="E71C57"/>
    </a:custClr>
  </a:custClrLst>
  <a:extLst>
    <a:ext uri="{05A4C25C-085E-4340-85A3-A5531E510DB2}">
      <thm15:themeFamily xmlns:thm15="http://schemas.microsoft.com/office/thememl/2012/main" name="202207_Thème Office BCG" id="{C38D97F7-B6FF-4155-B383-6558208F276D}" vid="{525C28D3-6468-4332-BFB5-D18BAB716765}"/>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2.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A1:Q19"/>
  <sheetViews>
    <sheetView showGridLines="0" zoomScaleNormal="100" workbookViewId="0">
      <pane ySplit="5" topLeftCell="A6" activePane="bottomLeft" state="frozen"/>
      <selection pane="bottomLeft" activeCell="C3" sqref="C3"/>
    </sheetView>
  </sheetViews>
  <sheetFormatPr defaultRowHeight="12.5" x14ac:dyDescent="0.25"/>
  <cols>
    <col min="1" max="1" width="1.7265625" customWidth="1"/>
    <col min="2" max="2" width="38.81640625" customWidth="1"/>
    <col min="3" max="10" width="11" customWidth="1"/>
    <col min="11" max="11" width="1.26953125" style="2" customWidth="1"/>
    <col min="12" max="12" width="0.81640625" customWidth="1"/>
    <col min="13" max="13" width="16.81640625" customWidth="1"/>
    <col min="14" max="14" width="2.1796875" customWidth="1"/>
    <col min="15" max="15" width="10" bestFit="1" customWidth="1"/>
  </cols>
  <sheetData>
    <row r="1" spans="1:17" s="7" customFormat="1" ht="11.25" customHeight="1" x14ac:dyDescent="0.25">
      <c r="A1" s="5"/>
      <c r="B1" s="6"/>
      <c r="C1" s="25"/>
      <c r="E1" s="6"/>
      <c r="F1" s="6"/>
      <c r="G1" s="6"/>
      <c r="H1" s="6"/>
      <c r="I1" s="6"/>
      <c r="J1" s="6"/>
      <c r="K1" s="6"/>
      <c r="L1" s="6"/>
      <c r="M1" s="6"/>
      <c r="N1" s="6"/>
      <c r="O1" s="6"/>
      <c r="P1" s="6"/>
    </row>
    <row r="2" spans="1:17" s="7" customFormat="1" ht="15.75" customHeight="1" x14ac:dyDescent="0.25">
      <c r="A2" s="5"/>
      <c r="B2" s="6"/>
      <c r="C2" s="26" t="str">
        <f>C9&amp;" - "&amp;C11</f>
        <v>OCP Africa - Uganda P205</v>
      </c>
      <c r="E2" s="6"/>
      <c r="F2" s="6"/>
      <c r="G2" s="6"/>
      <c r="H2" s="6"/>
      <c r="I2" s="6"/>
      <c r="J2" s="6"/>
      <c r="K2" s="6"/>
      <c r="L2" s="6"/>
      <c r="M2" s="6"/>
      <c r="N2" s="6"/>
      <c r="O2" s="6"/>
      <c r="P2" s="6"/>
    </row>
    <row r="3" spans="1:17" s="7" customFormat="1" ht="12.75" customHeight="1" x14ac:dyDescent="0.25">
      <c r="A3" s="5"/>
      <c r="B3" s="6"/>
      <c r="C3" s="27" t="str">
        <f ca="1">MID(CELL("filename",C3),FIND("]",CELL("filename",C3))+1,256)</f>
        <v>Couverture</v>
      </c>
      <c r="E3" s="6"/>
      <c r="F3" s="6"/>
      <c r="G3" s="6"/>
      <c r="H3" s="6"/>
      <c r="I3" s="6"/>
      <c r="J3" s="6"/>
      <c r="K3" s="6"/>
      <c r="L3" s="6"/>
      <c r="M3" s="6"/>
      <c r="N3" s="6"/>
      <c r="O3" s="6"/>
      <c r="P3" s="6"/>
    </row>
    <row r="4" spans="1:17" s="7" customFormat="1" ht="15.75" customHeight="1" x14ac:dyDescent="0.25">
      <c r="A4" s="5"/>
      <c r="B4" s="6"/>
      <c r="C4" s="25"/>
      <c r="E4" s="6"/>
      <c r="F4" s="6"/>
      <c r="G4" s="6"/>
      <c r="H4" s="6"/>
      <c r="I4" s="6"/>
      <c r="J4" s="6"/>
      <c r="K4" s="6"/>
      <c r="L4" s="6"/>
      <c r="M4" s="6"/>
      <c r="N4" s="6"/>
      <c r="O4" s="6"/>
      <c r="P4" s="6"/>
    </row>
    <row r="5" spans="1:17" s="11" customFormat="1" ht="9" customHeight="1" x14ac:dyDescent="0.3">
      <c r="A5" s="8"/>
      <c r="B5" s="9"/>
      <c r="C5" s="10"/>
      <c r="D5" s="10"/>
      <c r="E5" s="10"/>
      <c r="F5" s="10"/>
      <c r="G5" s="10"/>
      <c r="H5" s="10"/>
      <c r="I5" s="10"/>
      <c r="J5" s="10"/>
      <c r="K5" s="10"/>
      <c r="L5" s="10"/>
      <c r="M5" s="10"/>
      <c r="N5" s="10"/>
      <c r="O5" s="10"/>
      <c r="P5" s="10"/>
    </row>
    <row r="6" spans="1:17" x14ac:dyDescent="0.25">
      <c r="Q6" s="2"/>
    </row>
    <row r="7" spans="1:17" s="2" customFormat="1" ht="13" thickBot="1" x14ac:dyDescent="0.3">
      <c r="Q7" s="7"/>
    </row>
    <row r="8" spans="1:17" ht="15.5" x14ac:dyDescent="0.35">
      <c r="B8" s="12" t="s">
        <v>0</v>
      </c>
      <c r="C8" s="13"/>
      <c r="D8" s="14"/>
      <c r="E8" s="14"/>
      <c r="F8" s="14"/>
      <c r="G8" s="14"/>
      <c r="H8" s="14"/>
      <c r="I8" s="14"/>
      <c r="J8" s="15"/>
      <c r="L8" s="12" t="s">
        <v>1</v>
      </c>
      <c r="M8" s="22"/>
      <c r="N8" s="14"/>
      <c r="O8" s="14"/>
      <c r="P8" s="15"/>
    </row>
    <row r="9" spans="1:17" x14ac:dyDescent="0.25">
      <c r="B9" s="16" t="s">
        <v>2</v>
      </c>
      <c r="C9" s="1" t="s">
        <v>3</v>
      </c>
      <c r="D9" s="2"/>
      <c r="E9" s="2"/>
      <c r="F9" s="2"/>
      <c r="G9" s="2"/>
      <c r="H9" s="2"/>
      <c r="I9" s="2"/>
      <c r="J9" s="17"/>
      <c r="L9" s="23"/>
      <c r="M9" s="140" t="s">
        <v>4</v>
      </c>
      <c r="N9" s="2"/>
      <c r="O9" s="2" t="s">
        <v>5</v>
      </c>
      <c r="P9" s="17"/>
    </row>
    <row r="10" spans="1:17" x14ac:dyDescent="0.25">
      <c r="B10" s="16"/>
      <c r="C10" s="1"/>
      <c r="D10" s="2"/>
      <c r="E10" s="2"/>
      <c r="F10" s="2"/>
      <c r="G10" s="2"/>
      <c r="H10" s="2"/>
      <c r="I10" s="2"/>
      <c r="J10" s="17"/>
      <c r="L10" s="23"/>
      <c r="M10" s="3" t="s">
        <v>4</v>
      </c>
      <c r="N10" s="2"/>
      <c r="O10" s="2" t="s">
        <v>6</v>
      </c>
      <c r="P10" s="17"/>
    </row>
    <row r="11" spans="1:17" x14ac:dyDescent="0.25">
      <c r="B11" s="16" t="s">
        <v>7</v>
      </c>
      <c r="C11" s="1" t="s">
        <v>231</v>
      </c>
      <c r="D11" s="2"/>
      <c r="E11" s="2"/>
      <c r="F11" s="2"/>
      <c r="G11" s="2"/>
      <c r="H11" s="2"/>
      <c r="I11" s="2"/>
      <c r="J11" s="17"/>
      <c r="L11" s="23"/>
      <c r="M11" s="4" t="s">
        <v>4</v>
      </c>
      <c r="N11" s="2"/>
      <c r="O11" s="2" t="s">
        <v>8</v>
      </c>
      <c r="P11" s="17"/>
    </row>
    <row r="12" spans="1:17" x14ac:dyDescent="0.25">
      <c r="B12" s="16"/>
      <c r="C12" s="1"/>
      <c r="D12" s="2"/>
      <c r="E12" s="2"/>
      <c r="F12" s="2"/>
      <c r="G12" s="2"/>
      <c r="H12" s="2"/>
      <c r="I12" s="2"/>
      <c r="J12" s="17"/>
      <c r="L12" s="23"/>
      <c r="M12" s="77"/>
      <c r="N12" s="2"/>
      <c r="O12" s="1" t="s">
        <v>9</v>
      </c>
      <c r="P12" s="17"/>
    </row>
    <row r="13" spans="1:17" ht="13" thickBot="1" x14ac:dyDescent="0.3">
      <c r="B13" s="18"/>
      <c r="C13" s="19"/>
      <c r="D13" s="20"/>
      <c r="E13" s="20"/>
      <c r="F13" s="20"/>
      <c r="G13" s="20"/>
      <c r="H13" s="20"/>
      <c r="I13" s="20"/>
      <c r="J13" s="21"/>
      <c r="L13" s="24"/>
      <c r="M13" s="78"/>
      <c r="N13" s="20"/>
      <c r="O13" s="19"/>
      <c r="P13" s="21"/>
    </row>
    <row r="14" spans="1:17" ht="4.75" customHeight="1" x14ac:dyDescent="0.25"/>
    <row r="15" spans="1:17" x14ac:dyDescent="0.25">
      <c r="K15"/>
    </row>
    <row r="16" spans="1:17" x14ac:dyDescent="0.25">
      <c r="K16"/>
    </row>
    <row r="17" spans="11:11" x14ac:dyDescent="0.25">
      <c r="K17"/>
    </row>
    <row r="18" spans="11:11" x14ac:dyDescent="0.25">
      <c r="K18"/>
    </row>
    <row r="19" spans="11:11" x14ac:dyDescent="0.25">
      <c r="K19"/>
    </row>
  </sheetData>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07A8-3AB4-4D44-9859-D9DDEABA4112}">
  <dimension ref="A1:T77"/>
  <sheetViews>
    <sheetView showGridLines="0" topLeftCell="I1" zoomScale="90" zoomScaleNormal="90" workbookViewId="0">
      <selection activeCell="S16" sqref="S16"/>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19.1796875" style="2" bestFit="1" customWidth="1"/>
    <col min="6" max="6" width="30.54296875" style="2" bestFit="1" customWidth="1"/>
    <col min="7"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9" s="7" customFormat="1" ht="13.5" customHeight="1" x14ac:dyDescent="0.25">
      <c r="A1" s="5"/>
      <c r="B1" s="5"/>
      <c r="C1" s="5"/>
      <c r="D1" s="6"/>
      <c r="E1" s="25"/>
    </row>
    <row r="2" spans="1:19" s="7" customFormat="1" ht="13.5" customHeight="1" x14ac:dyDescent="0.25">
      <c r="A2" s="5"/>
      <c r="B2" s="5"/>
      <c r="C2" s="5"/>
      <c r="D2" s="6"/>
      <c r="E2" s="26" t="str">
        <f>Title</f>
        <v>OCP Africa - Uganda P205</v>
      </c>
    </row>
    <row r="3" spans="1:19" s="7" customFormat="1" ht="13.5" customHeight="1" x14ac:dyDescent="0.25">
      <c r="A3" s="5"/>
      <c r="B3" s="5"/>
      <c r="C3" s="5"/>
      <c r="D3" s="6"/>
      <c r="E3" s="27" t="str">
        <f ca="1">MID(CELL("filename",E3),FIND("]",CELL("filename",E3))+1,256)</f>
        <v>P2O5Consumption</v>
      </c>
    </row>
    <row r="4" spans="1:19" s="7" customFormat="1" ht="13.5" customHeight="1" x14ac:dyDescent="0.25">
      <c r="A4" s="5"/>
      <c r="B4" s="5"/>
      <c r="C4" s="5"/>
      <c r="D4" s="6"/>
      <c r="E4" s="27" t="s">
        <v>87</v>
      </c>
    </row>
    <row r="5" spans="1:19" s="11" customFormat="1" ht="13.5" customHeight="1" x14ac:dyDescent="0.3">
      <c r="A5" s="8"/>
      <c r="B5" s="8"/>
      <c r="C5" s="8"/>
      <c r="D5" s="9"/>
      <c r="E5" s="10"/>
    </row>
    <row r="6" spans="1:19" ht="13.5" customHeight="1" x14ac:dyDescent="0.25">
      <c r="B6" s="7"/>
      <c r="C6" s="7"/>
      <c r="D6" s="7"/>
      <c r="E6" s="7"/>
      <c r="F6" s="7"/>
      <c r="G6" s="7"/>
      <c r="H6" s="7"/>
      <c r="I6" s="7"/>
      <c r="J6" s="7"/>
      <c r="K6" s="7"/>
      <c r="L6" s="7"/>
      <c r="M6" s="7"/>
      <c r="N6" s="7"/>
    </row>
    <row r="7" spans="1:19" ht="13.5" customHeight="1" x14ac:dyDescent="0.35">
      <c r="B7" s="51"/>
      <c r="C7" s="7"/>
      <c r="D7" s="52"/>
      <c r="E7" s="7"/>
      <c r="F7" s="7"/>
      <c r="G7" s="7"/>
      <c r="H7" s="7"/>
      <c r="I7" s="7"/>
      <c r="J7" s="7"/>
      <c r="K7" s="7"/>
      <c r="L7" s="7"/>
      <c r="M7" s="7"/>
      <c r="N7" s="7"/>
    </row>
    <row r="8" spans="1:19" ht="13.5" customHeight="1" x14ac:dyDescent="0.25">
      <c r="B8" s="7"/>
      <c r="C8" s="7"/>
      <c r="D8" s="7"/>
      <c r="E8" s="7"/>
      <c r="F8" s="7"/>
      <c r="G8" s="7"/>
      <c r="H8" s="7"/>
      <c r="I8" s="7"/>
      <c r="J8" s="7"/>
      <c r="K8" s="7"/>
      <c r="L8" s="7"/>
      <c r="M8" s="7"/>
      <c r="N8" s="7"/>
    </row>
    <row r="9" spans="1:19" ht="13.5" customHeight="1" x14ac:dyDescent="0.3">
      <c r="B9" s="7"/>
      <c r="C9" s="7"/>
      <c r="D9" s="35"/>
      <c r="E9" s="57" t="s">
        <v>88</v>
      </c>
      <c r="F9" s="57" t="s">
        <v>89</v>
      </c>
      <c r="G9" s="57" t="s">
        <v>90</v>
      </c>
      <c r="H9" s="57" t="s">
        <v>91</v>
      </c>
      <c r="I9" s="57" t="s">
        <v>92</v>
      </c>
      <c r="J9" s="57" t="s">
        <v>93</v>
      </c>
      <c r="K9" s="57" t="s">
        <v>94</v>
      </c>
      <c r="L9" s="57" t="s">
        <v>95</v>
      </c>
      <c r="M9" s="57" t="s">
        <v>96</v>
      </c>
      <c r="N9" s="57" t="s">
        <v>97</v>
      </c>
      <c r="O9" s="57" t="s">
        <v>98</v>
      </c>
      <c r="P9" s="58" t="s">
        <v>99</v>
      </c>
      <c r="Q9" s="57" t="s">
        <v>100</v>
      </c>
      <c r="R9" s="57" t="s">
        <v>101</v>
      </c>
    </row>
    <row r="10" spans="1:19" ht="13.5" customHeight="1" x14ac:dyDescent="0.3">
      <c r="B10" s="7"/>
      <c r="C10" s="7"/>
      <c r="D10" s="36"/>
      <c r="E10" s="57" t="s">
        <v>102</v>
      </c>
      <c r="F10" s="57" t="s">
        <v>103</v>
      </c>
      <c r="G10" s="57">
        <v>800</v>
      </c>
      <c r="H10" s="57" t="s">
        <v>232</v>
      </c>
      <c r="I10" s="57" t="s">
        <v>104</v>
      </c>
      <c r="J10" s="57" t="s">
        <v>105</v>
      </c>
      <c r="K10" s="57" t="s">
        <v>106</v>
      </c>
      <c r="L10" s="57" t="s">
        <v>107</v>
      </c>
      <c r="M10" s="57" t="s">
        <v>108</v>
      </c>
      <c r="N10" s="57" t="s">
        <v>108</v>
      </c>
      <c r="O10" s="57" t="s">
        <v>109</v>
      </c>
      <c r="P10" s="2">
        <v>0.44</v>
      </c>
      <c r="Q10" s="57" t="s">
        <v>110</v>
      </c>
      <c r="R10" s="57" t="s">
        <v>111</v>
      </c>
    </row>
    <row r="11" spans="1:19" ht="13.5" customHeight="1" x14ac:dyDescent="0.25">
      <c r="B11" s="7"/>
      <c r="C11" s="7"/>
      <c r="D11" s="7"/>
      <c r="E11" s="57" t="s">
        <v>102</v>
      </c>
      <c r="F11" s="57" t="s">
        <v>103</v>
      </c>
      <c r="G11" s="57">
        <v>800</v>
      </c>
      <c r="H11" s="57" t="s">
        <v>232</v>
      </c>
      <c r="I11" s="57" t="s">
        <v>104</v>
      </c>
      <c r="J11" s="57" t="s">
        <v>105</v>
      </c>
      <c r="K11" s="57" t="s">
        <v>106</v>
      </c>
      <c r="L11" s="57" t="s">
        <v>107</v>
      </c>
      <c r="M11" s="57" t="s">
        <v>112</v>
      </c>
      <c r="N11" s="57" t="s">
        <v>112</v>
      </c>
      <c r="O11" s="57" t="s">
        <v>109</v>
      </c>
      <c r="P11" s="2">
        <v>0.67</v>
      </c>
      <c r="Q11" s="57" t="s">
        <v>110</v>
      </c>
      <c r="R11" s="57" t="s">
        <v>111</v>
      </c>
    </row>
    <row r="12" spans="1:19" ht="13.5" customHeight="1" x14ac:dyDescent="0.3">
      <c r="B12" s="7"/>
      <c r="C12" s="7"/>
      <c r="D12" s="35"/>
      <c r="E12" s="57" t="s">
        <v>102</v>
      </c>
      <c r="F12" s="57" t="s">
        <v>103</v>
      </c>
      <c r="G12" s="57">
        <v>800</v>
      </c>
      <c r="H12" s="57" t="s">
        <v>232</v>
      </c>
      <c r="I12" s="57" t="s">
        <v>104</v>
      </c>
      <c r="J12" s="57" t="s">
        <v>105</v>
      </c>
      <c r="K12" s="57" t="s">
        <v>106</v>
      </c>
      <c r="L12" s="57" t="s">
        <v>107</v>
      </c>
      <c r="M12" s="57" t="s">
        <v>113</v>
      </c>
      <c r="N12" s="57" t="s">
        <v>113</v>
      </c>
      <c r="O12" s="57" t="s">
        <v>109</v>
      </c>
      <c r="P12" s="2">
        <v>0.67</v>
      </c>
      <c r="Q12" s="57" t="s">
        <v>110</v>
      </c>
      <c r="R12" s="57" t="s">
        <v>111</v>
      </c>
    </row>
    <row r="13" spans="1:19" ht="13.5" customHeight="1" outlineLevel="1" x14ac:dyDescent="0.25">
      <c r="B13" s="7"/>
      <c r="C13" s="7"/>
      <c r="D13" s="7"/>
      <c r="E13" s="57" t="s">
        <v>102</v>
      </c>
      <c r="F13" s="57" t="s">
        <v>103</v>
      </c>
      <c r="G13" s="57">
        <v>800</v>
      </c>
      <c r="H13" s="57" t="s">
        <v>232</v>
      </c>
      <c r="I13" s="57" t="s">
        <v>104</v>
      </c>
      <c r="J13" s="57" t="s">
        <v>105</v>
      </c>
      <c r="K13" s="57" t="s">
        <v>106</v>
      </c>
      <c r="L13" s="57" t="s">
        <v>107</v>
      </c>
      <c r="M13" s="57" t="s">
        <v>114</v>
      </c>
      <c r="N13" s="57" t="s">
        <v>114</v>
      </c>
      <c r="O13" s="57" t="s">
        <v>109</v>
      </c>
      <c r="P13" s="2">
        <v>0.44</v>
      </c>
      <c r="Q13" s="57" t="s">
        <v>110</v>
      </c>
      <c r="R13" s="57" t="s">
        <v>111</v>
      </c>
    </row>
    <row r="14" spans="1:19" ht="13.5" customHeight="1" outlineLevel="1" x14ac:dyDescent="0.25">
      <c r="B14" s="7"/>
      <c r="C14" s="7"/>
      <c r="D14" s="7"/>
      <c r="E14" s="53"/>
      <c r="F14" s="53"/>
      <c r="G14" s="53"/>
      <c r="H14" s="53"/>
      <c r="I14" s="53"/>
      <c r="J14" s="53"/>
      <c r="K14" s="53"/>
      <c r="L14" s="53"/>
      <c r="M14" s="53"/>
      <c r="N14" s="7"/>
    </row>
    <row r="15" spans="1:19" ht="13.5" customHeight="1" outlineLevel="1" x14ac:dyDescent="0.25">
      <c r="B15" s="7"/>
      <c r="C15" s="7"/>
      <c r="D15" s="7"/>
      <c r="E15" s="53" t="s">
        <v>259</v>
      </c>
      <c r="F15" s="57">
        <v>2017</v>
      </c>
      <c r="G15" s="57">
        <v>2018</v>
      </c>
      <c r="H15" s="57">
        <v>2019</v>
      </c>
      <c r="I15" s="57">
        <v>2020</v>
      </c>
      <c r="J15" s="57">
        <v>2021</v>
      </c>
      <c r="K15" s="53"/>
      <c r="L15" s="53" t="s">
        <v>215</v>
      </c>
      <c r="M15" s="53"/>
      <c r="N15" s="53" t="s">
        <v>259</v>
      </c>
      <c r="O15" s="57">
        <v>2017</v>
      </c>
      <c r="P15" s="57">
        <v>2018</v>
      </c>
      <c r="Q15" s="57">
        <v>2019</v>
      </c>
      <c r="R15" s="57">
        <v>2020</v>
      </c>
      <c r="S15" s="57">
        <v>2021</v>
      </c>
    </row>
    <row r="16" spans="1:19" ht="13.5" customHeight="1" outlineLevel="1" x14ac:dyDescent="0.25">
      <c r="B16" s="7"/>
      <c r="C16" s="7"/>
      <c r="D16" s="7"/>
      <c r="E16" s="53" t="s">
        <v>184</v>
      </c>
      <c r="F16" s="251">
        <v>23.295999999999999</v>
      </c>
      <c r="G16" s="251">
        <v>39.082000000000001</v>
      </c>
      <c r="H16" s="251">
        <v>39.594000000000001</v>
      </c>
      <c r="I16" s="251">
        <v>31.276</v>
      </c>
      <c r="J16" s="251">
        <v>21.911999999999999</v>
      </c>
      <c r="K16" s="53"/>
      <c r="L16" s="189">
        <f>(17%+5%)/2</f>
        <v>0.11000000000000001</v>
      </c>
      <c r="M16" s="189"/>
      <c r="N16" s="53" t="s">
        <v>184</v>
      </c>
      <c r="O16" s="7">
        <f>F16*$L$16</f>
        <v>2.5625600000000004</v>
      </c>
      <c r="P16" s="7">
        <f t="shared" ref="P16:S16" si="0">G16*$L$16</f>
        <v>4.2990200000000005</v>
      </c>
      <c r="Q16" s="7">
        <f t="shared" si="0"/>
        <v>4.3553400000000009</v>
      </c>
      <c r="R16" s="7">
        <f t="shared" si="0"/>
        <v>3.4403600000000005</v>
      </c>
      <c r="S16" s="7">
        <f t="shared" si="0"/>
        <v>2.41032</v>
      </c>
    </row>
    <row r="17" spans="2:19" ht="13.5" customHeight="1" outlineLevel="1" x14ac:dyDescent="0.25">
      <c r="B17" s="7"/>
      <c r="C17" s="7"/>
      <c r="D17" s="7"/>
      <c r="E17" s="53" t="s">
        <v>182</v>
      </c>
      <c r="F17" s="251">
        <v>5.15</v>
      </c>
      <c r="G17" s="251">
        <v>10.714</v>
      </c>
      <c r="H17" s="251">
        <v>11.066000000000001</v>
      </c>
      <c r="I17" s="251">
        <v>4.7439999999999998</v>
      </c>
      <c r="J17" s="251">
        <v>10.396000000000001</v>
      </c>
      <c r="K17" s="53"/>
      <c r="L17" s="189">
        <v>0.46</v>
      </c>
      <c r="M17" s="189"/>
      <c r="N17" s="53" t="s">
        <v>182</v>
      </c>
      <c r="O17" s="7">
        <f>F17*$L$17</f>
        <v>2.3690000000000002</v>
      </c>
      <c r="P17" s="7">
        <f t="shared" ref="P17:S17" si="1">G17*$L$17</f>
        <v>4.9284400000000002</v>
      </c>
      <c r="Q17" s="7">
        <f t="shared" si="1"/>
        <v>5.0903600000000004</v>
      </c>
      <c r="R17" s="7">
        <f t="shared" si="1"/>
        <v>2.1822400000000002</v>
      </c>
      <c r="S17" s="7">
        <f t="shared" si="1"/>
        <v>4.7821600000000002</v>
      </c>
    </row>
    <row r="18" spans="2:19" ht="13.5" customHeight="1" outlineLevel="1" x14ac:dyDescent="0.25">
      <c r="B18" s="7"/>
      <c r="C18" s="7"/>
      <c r="D18" s="7"/>
      <c r="E18" s="53" t="s">
        <v>257</v>
      </c>
      <c r="F18" s="251">
        <v>0.49</v>
      </c>
      <c r="G18" s="251">
        <v>1.784</v>
      </c>
      <c r="H18" s="251">
        <v>0.32800000000000001</v>
      </c>
      <c r="I18" s="251">
        <v>0</v>
      </c>
      <c r="J18" s="251">
        <v>5.0579999999999998</v>
      </c>
      <c r="K18" s="53"/>
      <c r="L18" s="189">
        <v>0.52</v>
      </c>
      <c r="M18" s="189"/>
      <c r="N18" s="53" t="s">
        <v>257</v>
      </c>
      <c r="O18" s="7">
        <f>F18*$L$18</f>
        <v>0.25480000000000003</v>
      </c>
      <c r="P18" s="7">
        <f t="shared" ref="P18:S18" si="2">G18*$L$18</f>
        <v>0.92768000000000006</v>
      </c>
      <c r="Q18" s="7">
        <f t="shared" si="2"/>
        <v>0.17056000000000002</v>
      </c>
      <c r="R18" s="7">
        <f t="shared" si="2"/>
        <v>0</v>
      </c>
      <c r="S18" s="7">
        <f t="shared" si="2"/>
        <v>2.6301600000000001</v>
      </c>
    </row>
    <row r="19" spans="2:19" ht="13.5" customHeight="1" outlineLevel="1" x14ac:dyDescent="0.25">
      <c r="B19" s="7"/>
      <c r="C19" s="7"/>
      <c r="D19" s="7"/>
      <c r="E19" s="53" t="s">
        <v>59</v>
      </c>
      <c r="F19" s="251">
        <v>2.6520000000000001</v>
      </c>
      <c r="G19" s="251">
        <v>0.22600000000000001</v>
      </c>
      <c r="H19" s="251">
        <v>1.1000000000000001</v>
      </c>
      <c r="I19" s="251">
        <v>0.66600000000000004</v>
      </c>
      <c r="J19" s="251">
        <v>2.024</v>
      </c>
      <c r="K19" s="53"/>
      <c r="L19" s="53"/>
      <c r="M19" s="53"/>
      <c r="N19" s="53" t="s">
        <v>59</v>
      </c>
      <c r="O19" s="7">
        <f>F19*$L$19</f>
        <v>0</v>
      </c>
      <c r="P19" s="7">
        <f t="shared" ref="P19:S19" si="3">G19*$L$19</f>
        <v>0</v>
      </c>
      <c r="Q19" s="7">
        <f t="shared" si="3"/>
        <v>0</v>
      </c>
      <c r="R19" s="7">
        <f t="shared" si="3"/>
        <v>0</v>
      </c>
      <c r="S19" s="7">
        <f t="shared" si="3"/>
        <v>0</v>
      </c>
    </row>
    <row r="20" spans="2:19" ht="13.5" customHeight="1" outlineLevel="1" x14ac:dyDescent="0.25">
      <c r="B20" s="7"/>
      <c r="C20" s="7"/>
      <c r="D20" s="7"/>
      <c r="E20" s="53" t="s">
        <v>185</v>
      </c>
      <c r="F20" s="53">
        <f>SUM(F16:F19)</f>
        <v>31.587999999999997</v>
      </c>
      <c r="G20" s="53">
        <f t="shared" ref="G20:J20" si="4">SUM(G16:G19)</f>
        <v>51.805999999999997</v>
      </c>
      <c r="H20" s="53">
        <f t="shared" si="4"/>
        <v>52.088000000000008</v>
      </c>
      <c r="I20" s="53">
        <f t="shared" si="4"/>
        <v>36.685999999999993</v>
      </c>
      <c r="J20" s="53">
        <f t="shared" si="4"/>
        <v>39.39</v>
      </c>
      <c r="K20" s="53"/>
      <c r="L20" s="53"/>
      <c r="M20" s="53"/>
      <c r="N20" s="53" t="s">
        <v>185</v>
      </c>
      <c r="O20" s="53">
        <f>SUM(O16:O19)</f>
        <v>5.1863600000000014</v>
      </c>
      <c r="P20" s="53">
        <f t="shared" ref="P20:S20" si="5">SUM(P16:P19)</f>
        <v>10.155140000000001</v>
      </c>
      <c r="Q20" s="53">
        <f t="shared" si="5"/>
        <v>9.6162600000000023</v>
      </c>
      <c r="R20" s="53">
        <f t="shared" si="5"/>
        <v>5.6226000000000003</v>
      </c>
      <c r="S20" s="53">
        <f t="shared" si="5"/>
        <v>9.8226399999999998</v>
      </c>
    </row>
    <row r="21" spans="2:19" ht="13.5" customHeight="1" outlineLevel="1" x14ac:dyDescent="0.25">
      <c r="B21" s="7"/>
      <c r="C21" s="7"/>
      <c r="D21" s="7"/>
      <c r="E21" s="7"/>
      <c r="F21" s="7"/>
      <c r="G21" s="7"/>
      <c r="H21" s="7"/>
      <c r="I21" s="7"/>
      <c r="J21" s="7"/>
      <c r="K21" s="7"/>
      <c r="L21" s="7"/>
      <c r="M21" s="7"/>
      <c r="N21" s="7" t="s">
        <v>258</v>
      </c>
      <c r="O21" s="2">
        <f>'Harvested areas U'!Q42</f>
        <v>7010695</v>
      </c>
      <c r="P21" s="2">
        <f>'Harvested areas U'!R42</f>
        <v>6923177</v>
      </c>
      <c r="Q21" s="2">
        <f>'Harvested areas U'!S42</f>
        <v>6870565</v>
      </c>
      <c r="R21" s="2">
        <f>'Harvested areas U'!T42</f>
        <v>8255751</v>
      </c>
      <c r="S21" s="2">
        <f>'Harvested areas U'!U42</f>
        <v>7439328</v>
      </c>
    </row>
    <row r="22" spans="2:19" ht="13.5" customHeight="1" outlineLevel="1" x14ac:dyDescent="0.25">
      <c r="B22" s="7"/>
      <c r="C22" s="7"/>
      <c r="D22" s="7"/>
      <c r="E22" s="7"/>
      <c r="F22" s="59"/>
      <c r="G22" s="7"/>
      <c r="H22" s="7"/>
      <c r="I22" s="7"/>
      <c r="J22" s="7"/>
      <c r="K22" s="7"/>
      <c r="L22" s="7"/>
      <c r="M22" s="7"/>
      <c r="N22" s="7" t="s">
        <v>260</v>
      </c>
      <c r="O22" s="2">
        <f>O20*1000000/O21</f>
        <v>0.73977829587508825</v>
      </c>
      <c r="P22" s="2">
        <f t="shared" ref="P22:S22" si="6">P20*1000000/P21</f>
        <v>1.4668323516790054</v>
      </c>
      <c r="Q22" s="2">
        <f t="shared" si="6"/>
        <v>1.399631616904869</v>
      </c>
      <c r="R22" s="2">
        <f t="shared" si="6"/>
        <v>0.68105251720891291</v>
      </c>
      <c r="S22" s="2">
        <f t="shared" si="6"/>
        <v>1.3203665707440242</v>
      </c>
    </row>
    <row r="23" spans="2:19" ht="13.5" customHeight="1" outlineLevel="1" x14ac:dyDescent="0.25">
      <c r="B23" s="7"/>
      <c r="C23" s="7"/>
      <c r="D23" s="7"/>
      <c r="E23" s="7"/>
      <c r="F23" s="7"/>
      <c r="G23" s="7"/>
      <c r="H23" s="7"/>
      <c r="I23" s="7"/>
      <c r="J23" s="7"/>
      <c r="K23" s="7"/>
      <c r="L23" s="7"/>
      <c r="M23" s="7"/>
      <c r="N23" s="7"/>
    </row>
    <row r="24" spans="2:19" ht="13.5" customHeight="1" outlineLevel="1" x14ac:dyDescent="0.35">
      <c r="B24" s="51"/>
      <c r="C24" s="7"/>
      <c r="D24" s="52"/>
      <c r="E24" s="7"/>
      <c r="F24" s="7"/>
      <c r="G24" s="7"/>
      <c r="H24" s="7"/>
      <c r="I24" s="7"/>
      <c r="J24" s="7"/>
      <c r="K24" s="7"/>
      <c r="L24" s="7"/>
      <c r="M24" s="7"/>
      <c r="N24" s="7"/>
    </row>
    <row r="25" spans="2:19" ht="13.5" customHeight="1" outlineLevel="1" x14ac:dyDescent="0.25">
      <c r="B25" s="7"/>
      <c r="C25" s="7"/>
      <c r="D25" s="7"/>
      <c r="E25" s="7"/>
      <c r="F25" s="7"/>
      <c r="G25" s="7"/>
      <c r="H25" s="7"/>
      <c r="I25" s="7"/>
      <c r="J25" s="7"/>
      <c r="K25" s="7"/>
      <c r="L25" s="7"/>
      <c r="M25" s="7"/>
      <c r="N25" s="7"/>
    </row>
    <row r="26" spans="2:19" ht="13.5" customHeight="1" outlineLevel="1" x14ac:dyDescent="0.25">
      <c r="B26" s="7"/>
      <c r="C26" s="7"/>
      <c r="D26" s="7"/>
      <c r="E26" s="7"/>
      <c r="F26" s="7"/>
      <c r="G26" s="7"/>
      <c r="H26" s="7"/>
      <c r="I26" s="7"/>
      <c r="J26" s="7"/>
      <c r="K26" s="7"/>
      <c r="L26" s="7"/>
      <c r="M26" s="7"/>
      <c r="N26" s="7"/>
    </row>
    <row r="27" spans="2:19" ht="13.5" customHeight="1" outlineLevel="1" x14ac:dyDescent="0.25">
      <c r="B27" s="7"/>
      <c r="C27" s="7"/>
      <c r="D27" s="7"/>
      <c r="E27" s="7"/>
      <c r="F27" s="7"/>
      <c r="G27" s="7"/>
      <c r="H27" s="7"/>
      <c r="I27" s="7"/>
      <c r="J27" s="7"/>
      <c r="K27" s="7"/>
      <c r="L27" s="7"/>
      <c r="M27" s="7"/>
      <c r="N27" s="7"/>
    </row>
    <row r="28" spans="2:19" ht="13.5" customHeight="1" outlineLevel="1" x14ac:dyDescent="0.25">
      <c r="B28" s="7"/>
      <c r="C28" s="7"/>
      <c r="D28" s="7"/>
      <c r="E28" s="7"/>
      <c r="F28" s="7"/>
      <c r="G28" s="7"/>
      <c r="H28" s="7"/>
      <c r="I28" s="7"/>
      <c r="J28" s="7"/>
      <c r="K28" s="7"/>
      <c r="L28" s="7"/>
      <c r="M28" s="7"/>
      <c r="N28" s="7"/>
    </row>
    <row r="29" spans="2:19" ht="13.5" customHeight="1" outlineLevel="1" x14ac:dyDescent="0.25">
      <c r="B29" s="7"/>
      <c r="C29" s="7"/>
      <c r="D29" s="7"/>
      <c r="E29" s="7"/>
      <c r="F29" s="7"/>
      <c r="G29" s="7"/>
      <c r="H29" s="7"/>
      <c r="I29" s="7"/>
      <c r="J29" s="7"/>
      <c r="K29" s="7"/>
      <c r="L29" s="7"/>
      <c r="M29" s="7"/>
      <c r="N29" s="7"/>
    </row>
    <row r="30" spans="2:19" ht="13.5" customHeight="1" outlineLevel="1" x14ac:dyDescent="0.25">
      <c r="B30" s="7"/>
      <c r="C30" s="7"/>
      <c r="D30" s="7"/>
      <c r="E30" s="7"/>
      <c r="F30" s="7"/>
      <c r="G30" s="7"/>
      <c r="H30" s="7"/>
      <c r="I30" s="7"/>
      <c r="J30" s="7"/>
      <c r="K30" s="7"/>
      <c r="L30" s="7"/>
      <c r="M30" s="7"/>
      <c r="N30" s="7"/>
    </row>
    <row r="31" spans="2:19" ht="13.5" customHeight="1" outlineLevel="1" x14ac:dyDescent="0.25">
      <c r="B31" s="7"/>
      <c r="C31" s="7"/>
      <c r="D31" s="7"/>
      <c r="E31" s="7"/>
      <c r="F31" s="7"/>
      <c r="G31" s="7"/>
      <c r="H31" s="7"/>
      <c r="I31" s="7"/>
      <c r="J31" s="7"/>
      <c r="K31" s="7"/>
      <c r="L31" s="7"/>
      <c r="M31" s="7"/>
      <c r="N31" s="7"/>
    </row>
    <row r="32" spans="2:19"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078B-A2EA-4444-987C-62C572FCADCF}">
  <dimension ref="A1:U243"/>
  <sheetViews>
    <sheetView showGridLines="0" workbookViewId="0">
      <selection activeCell="E9" sqref="E9:I32"/>
    </sheetView>
  </sheetViews>
  <sheetFormatPr defaultRowHeight="12.5" x14ac:dyDescent="0.25"/>
  <cols>
    <col min="1" max="1" width="1.7265625" style="2" customWidth="1"/>
    <col min="2" max="2" width="2.7265625" style="2" customWidth="1"/>
    <col min="3" max="3" width="2" style="2" customWidth="1"/>
    <col min="4" max="4" width="39.54296875" style="2" bestFit="1" customWidth="1"/>
    <col min="5" max="5" width="16.36328125" style="2" bestFit="1" customWidth="1"/>
    <col min="6" max="9" width="7.81640625" style="2" bestFit="1" customWidth="1"/>
    <col min="10" max="11" width="11.1796875" style="2" bestFit="1" customWidth="1"/>
    <col min="12" max="12" width="50.7265625" style="2" bestFit="1" customWidth="1"/>
    <col min="13" max="13" width="16.36328125" style="2" bestFit="1" customWidth="1"/>
    <col min="14" max="17" width="7.90625" style="2" bestFit="1" customWidth="1"/>
    <col min="18" max="18" width="11.1796875" style="2" bestFit="1" customWidth="1"/>
    <col min="19" max="21" width="7.90625" style="2" bestFit="1" customWidth="1"/>
    <col min="22" max="22" width="7.90625" bestFit="1" customWidth="1"/>
    <col min="23" max="23" width="11.1796875" bestFit="1" customWidth="1"/>
  </cols>
  <sheetData>
    <row r="1" spans="1:21" s="7" customFormat="1" ht="13.5" customHeight="1" x14ac:dyDescent="0.25">
      <c r="A1" s="5"/>
      <c r="B1" s="5"/>
      <c r="C1" s="5"/>
      <c r="D1" s="6"/>
      <c r="E1" s="25"/>
    </row>
    <row r="2" spans="1:21" s="7" customFormat="1" ht="13.5" customHeight="1" x14ac:dyDescent="0.25">
      <c r="A2" s="5"/>
      <c r="B2" s="5"/>
      <c r="C2" s="5"/>
      <c r="D2" s="6"/>
      <c r="E2" s="26" t="str">
        <f>Title</f>
        <v>OCP Africa - Uganda P205</v>
      </c>
    </row>
    <row r="3" spans="1:21" s="7" customFormat="1" ht="13.5" customHeight="1" x14ac:dyDescent="0.25">
      <c r="A3" s="5"/>
      <c r="B3" s="5"/>
      <c r="C3" s="5"/>
      <c r="D3" s="6"/>
      <c r="E3" s="27" t="str">
        <f ca="1">MID(CELL("filename",E3),FIND("]",CELL("filename",E3))+1,256)</f>
        <v>HarvestedAreas_TCD_Uganda</v>
      </c>
    </row>
    <row r="4" spans="1:21" s="7" customFormat="1" ht="13.5" customHeight="1" x14ac:dyDescent="0.25">
      <c r="A4" s="5"/>
      <c r="B4" s="5"/>
      <c r="C4" s="5"/>
      <c r="D4" s="6"/>
      <c r="E4" s="126" t="s">
        <v>115</v>
      </c>
    </row>
    <row r="5" spans="1:21" s="11" customFormat="1" ht="13.5" customHeight="1" x14ac:dyDescent="0.3">
      <c r="A5" s="8"/>
      <c r="B5" s="8"/>
      <c r="C5" s="8"/>
      <c r="D5" s="9"/>
      <c r="E5" s="10"/>
    </row>
    <row r="6" spans="1:21" x14ac:dyDescent="0.25">
      <c r="B6" s="7"/>
      <c r="C6" s="7"/>
      <c r="D6" s="7"/>
      <c r="E6" s="7"/>
      <c r="F6" s="7"/>
      <c r="G6" s="7"/>
      <c r="H6" s="7"/>
      <c r="I6" s="7"/>
      <c r="J6" s="7"/>
      <c r="K6" s="7"/>
      <c r="L6" s="7"/>
      <c r="M6" s="7"/>
      <c r="N6" s="7"/>
    </row>
    <row r="7" spans="1:21" x14ac:dyDescent="0.25">
      <c r="B7" s="7"/>
      <c r="C7" s="7"/>
      <c r="D7" s="60" t="s">
        <v>116</v>
      </c>
      <c r="E7" s="60" t="s">
        <v>84</v>
      </c>
      <c r="F7"/>
      <c r="G7"/>
      <c r="H7"/>
      <c r="I7"/>
      <c r="J7"/>
      <c r="K7" s="7"/>
      <c r="L7" s="60" t="s">
        <v>116</v>
      </c>
      <c r="M7" s="60" t="s">
        <v>84</v>
      </c>
      <c r="N7"/>
      <c r="O7"/>
      <c r="P7"/>
      <c r="Q7"/>
      <c r="R7"/>
    </row>
    <row r="8" spans="1:21" ht="15.5" x14ac:dyDescent="0.35">
      <c r="B8" s="51"/>
      <c r="C8" s="7"/>
      <c r="D8" s="60" t="s">
        <v>85</v>
      </c>
      <c r="E8">
        <v>2017</v>
      </c>
      <c r="F8">
        <v>2018</v>
      </c>
      <c r="G8">
        <v>2019</v>
      </c>
      <c r="H8">
        <v>2020</v>
      </c>
      <c r="I8">
        <v>2021</v>
      </c>
      <c r="J8" t="s">
        <v>86</v>
      </c>
      <c r="K8"/>
      <c r="L8" s="60" t="s">
        <v>85</v>
      </c>
      <c r="M8">
        <v>2017</v>
      </c>
      <c r="N8">
        <v>2018</v>
      </c>
      <c r="O8">
        <v>2019</v>
      </c>
      <c r="P8">
        <v>2020</v>
      </c>
      <c r="Q8">
        <v>2021</v>
      </c>
      <c r="R8" t="s">
        <v>86</v>
      </c>
      <c r="S8"/>
      <c r="T8"/>
      <c r="U8"/>
    </row>
    <row r="9" spans="1:21" x14ac:dyDescent="0.25">
      <c r="B9" s="7"/>
      <c r="C9" s="7"/>
      <c r="D9" s="46" t="s">
        <v>246</v>
      </c>
      <c r="E9" s="186">
        <v>1059598</v>
      </c>
      <c r="F9" s="186">
        <v>762748</v>
      </c>
      <c r="G9" s="186">
        <v>2092814</v>
      </c>
      <c r="H9" s="186">
        <v>2185829</v>
      </c>
      <c r="I9" s="186">
        <v>2060000</v>
      </c>
      <c r="J9" s="186">
        <v>8160989</v>
      </c>
      <c r="K9"/>
      <c r="L9" s="46" t="s">
        <v>166</v>
      </c>
      <c r="M9" s="63">
        <v>0</v>
      </c>
      <c r="N9" s="63">
        <v>0</v>
      </c>
      <c r="O9" s="63">
        <v>0</v>
      </c>
      <c r="P9" s="63">
        <v>0</v>
      </c>
      <c r="Q9" s="63">
        <v>0</v>
      </c>
      <c r="R9" s="63">
        <v>0</v>
      </c>
      <c r="S9"/>
      <c r="T9"/>
      <c r="U9"/>
    </row>
    <row r="10" spans="1:21" x14ac:dyDescent="0.25">
      <c r="B10" s="7"/>
      <c r="C10" s="7"/>
      <c r="D10" s="46" t="s">
        <v>122</v>
      </c>
      <c r="E10" s="186">
        <v>1082431</v>
      </c>
      <c r="F10" s="186">
        <v>1281311</v>
      </c>
      <c r="G10" s="186">
        <v>1005767</v>
      </c>
      <c r="H10" s="186">
        <v>1632411</v>
      </c>
      <c r="I10" s="186">
        <v>984995</v>
      </c>
      <c r="J10" s="186">
        <v>5986915</v>
      </c>
      <c r="K10"/>
      <c r="L10" s="46" t="s">
        <v>133</v>
      </c>
      <c r="M10" s="63">
        <v>8.389824403999889E-2</v>
      </c>
      <c r="N10" s="63">
        <v>7.9462795765585653E-2</v>
      </c>
      <c r="O10" s="63">
        <v>3.5988015541662151E-2</v>
      </c>
      <c r="P10" s="63">
        <v>5.2600665887331144E-2</v>
      </c>
      <c r="Q10" s="63">
        <v>6.2095662403916049E-2</v>
      </c>
      <c r="R10" s="63">
        <v>6.2515513904348757E-2</v>
      </c>
      <c r="S10"/>
      <c r="T10"/>
      <c r="U10"/>
    </row>
    <row r="11" spans="1:21" x14ac:dyDescent="0.25">
      <c r="B11" s="7"/>
      <c r="C11" s="7"/>
      <c r="D11" s="46" t="s">
        <v>135</v>
      </c>
      <c r="E11" s="186">
        <v>1218614</v>
      </c>
      <c r="F11" s="186">
        <v>1439052</v>
      </c>
      <c r="G11" s="186">
        <v>871908</v>
      </c>
      <c r="H11" s="186">
        <v>1063811</v>
      </c>
      <c r="I11" s="186">
        <v>878297</v>
      </c>
      <c r="J11" s="186">
        <v>5471682</v>
      </c>
      <c r="K11"/>
      <c r="L11" s="46" t="s">
        <v>135</v>
      </c>
      <c r="M11" s="63">
        <v>0.17382213888922568</v>
      </c>
      <c r="N11" s="63">
        <v>0.20786006193399359</v>
      </c>
      <c r="O11" s="63">
        <v>0.12690484698128901</v>
      </c>
      <c r="P11" s="63">
        <v>0.12885696286140413</v>
      </c>
      <c r="Q11" s="63">
        <v>0.11806133564752085</v>
      </c>
      <c r="R11" s="63">
        <v>0.14991108375245304</v>
      </c>
      <c r="S11"/>
      <c r="T11"/>
      <c r="U11"/>
    </row>
    <row r="12" spans="1:21" x14ac:dyDescent="0.25">
      <c r="B12" s="7"/>
      <c r="C12" s="7"/>
      <c r="D12" s="46" t="s">
        <v>236</v>
      </c>
      <c r="E12" s="186">
        <v>526491</v>
      </c>
      <c r="F12" s="186">
        <v>504242</v>
      </c>
      <c r="G12" s="186">
        <v>566577</v>
      </c>
      <c r="H12" s="186">
        <v>657594</v>
      </c>
      <c r="I12" s="186">
        <v>692553</v>
      </c>
      <c r="J12" s="186">
        <v>2947457</v>
      </c>
      <c r="K12"/>
      <c r="L12" s="46" t="s">
        <v>168</v>
      </c>
      <c r="M12" s="63">
        <v>4.2791763156149282E-4</v>
      </c>
      <c r="N12" s="63">
        <v>4.3332706934980862E-4</v>
      </c>
      <c r="O12" s="63">
        <v>4.3664531228508862E-4</v>
      </c>
      <c r="P12" s="63">
        <v>3.6338305261386883E-4</v>
      </c>
      <c r="Q12" s="63">
        <v>4.0326223013691559E-4</v>
      </c>
      <c r="R12" s="63">
        <v>4.1096435360951086E-4</v>
      </c>
      <c r="S12"/>
      <c r="T12"/>
      <c r="U12"/>
    </row>
    <row r="13" spans="1:21" x14ac:dyDescent="0.25">
      <c r="B13" s="7"/>
      <c r="C13" s="7"/>
      <c r="D13" s="46" t="s">
        <v>133</v>
      </c>
      <c r="E13" s="186">
        <v>588185</v>
      </c>
      <c r="F13" s="186">
        <v>550135</v>
      </c>
      <c r="G13" s="186">
        <v>247258</v>
      </c>
      <c r="H13" s="186">
        <v>434258</v>
      </c>
      <c r="I13" s="186">
        <v>461950</v>
      </c>
      <c r="J13" s="186">
        <v>2281786</v>
      </c>
      <c r="K13"/>
      <c r="L13" s="46" t="s">
        <v>137</v>
      </c>
      <c r="M13" s="63">
        <v>1.2425301628440546E-3</v>
      </c>
      <c r="N13" s="63">
        <v>1.2816370287802839E-3</v>
      </c>
      <c r="O13" s="63">
        <v>1.287521477491298E-3</v>
      </c>
      <c r="P13" s="63">
        <v>1.0671348978427281E-3</v>
      </c>
      <c r="Q13" s="63">
        <v>1.1886826337002482E-3</v>
      </c>
      <c r="R13" s="63">
        <v>1.2077694400112046E-3</v>
      </c>
      <c r="S13"/>
      <c r="T13"/>
      <c r="U13"/>
    </row>
    <row r="14" spans="1:21" x14ac:dyDescent="0.25">
      <c r="B14" s="7"/>
      <c r="C14" s="7"/>
      <c r="D14" s="46" t="s">
        <v>141</v>
      </c>
      <c r="E14" s="186">
        <v>424000</v>
      </c>
      <c r="F14" s="186">
        <v>286000</v>
      </c>
      <c r="G14" s="186">
        <v>320000</v>
      </c>
      <c r="H14" s="186">
        <v>330000</v>
      </c>
      <c r="I14" s="186">
        <v>330000</v>
      </c>
      <c r="J14" s="186">
        <v>1690000</v>
      </c>
      <c r="K14"/>
      <c r="L14" s="46" t="s">
        <v>125</v>
      </c>
      <c r="M14" s="63">
        <v>4.5673075208663334E-4</v>
      </c>
      <c r="N14" s="63">
        <v>4.5701561580759818E-4</v>
      </c>
      <c r="O14" s="63">
        <v>4.6473616070876269E-4</v>
      </c>
      <c r="P14" s="63">
        <v>3.859128018759287E-4</v>
      </c>
      <c r="Q14" s="63">
        <v>4.2759238468850948E-4</v>
      </c>
      <c r="R14" s="63">
        <v>4.363345530390047E-4</v>
      </c>
      <c r="S14"/>
      <c r="T14"/>
      <c r="U14"/>
    </row>
    <row r="15" spans="1:21" x14ac:dyDescent="0.25">
      <c r="B15" s="7"/>
      <c r="C15" s="7"/>
      <c r="D15" s="46" t="s">
        <v>124</v>
      </c>
      <c r="E15" s="186">
        <v>448548</v>
      </c>
      <c r="F15" s="186">
        <v>348670</v>
      </c>
      <c r="G15" s="186">
        <v>252690</v>
      </c>
      <c r="H15" s="186">
        <v>275218</v>
      </c>
      <c r="I15" s="186">
        <v>299112</v>
      </c>
      <c r="J15" s="186">
        <v>1624238</v>
      </c>
      <c r="K15"/>
      <c r="L15" s="46" t="s">
        <v>234</v>
      </c>
      <c r="M15" s="63">
        <v>1.0574129954305529E-2</v>
      </c>
      <c r="N15" s="63">
        <v>1.0559891795341936E-2</v>
      </c>
      <c r="O15" s="63">
        <v>1.0537561321376045E-2</v>
      </c>
      <c r="P15" s="63">
        <v>8.6049106858964129E-3</v>
      </c>
      <c r="Q15" s="63">
        <v>1.0712526722843783E-2</v>
      </c>
      <c r="R15" s="63">
        <v>1.0147340035961025E-2</v>
      </c>
      <c r="S15"/>
      <c r="T15"/>
      <c r="U15"/>
    </row>
    <row r="16" spans="1:21" x14ac:dyDescent="0.25">
      <c r="B16" s="7"/>
      <c r="C16" s="7"/>
      <c r="D16" s="46" t="s">
        <v>172</v>
      </c>
      <c r="E16" s="186">
        <v>256000</v>
      </c>
      <c r="F16" s="186">
        <v>272000</v>
      </c>
      <c r="G16" s="186">
        <v>265000</v>
      </c>
      <c r="H16" s="186">
        <v>275000</v>
      </c>
      <c r="I16" s="186">
        <v>280000</v>
      </c>
      <c r="J16" s="186">
        <v>1348000</v>
      </c>
      <c r="K16"/>
      <c r="L16" s="46" t="s">
        <v>236</v>
      </c>
      <c r="M16" s="63">
        <v>7.5098260586147311E-2</v>
      </c>
      <c r="N16" s="63">
        <v>7.2833902701028727E-2</v>
      </c>
      <c r="O16" s="63">
        <v>8.2464397032849551E-2</v>
      </c>
      <c r="P16" s="63">
        <v>7.9652838366854814E-2</v>
      </c>
      <c r="Q16" s="63">
        <v>9.3093489089337095E-2</v>
      </c>
      <c r="R16" s="63">
        <v>8.0753317386455206E-2</v>
      </c>
      <c r="S16"/>
      <c r="T16"/>
      <c r="U16"/>
    </row>
    <row r="17" spans="2:21" x14ac:dyDescent="0.25">
      <c r="B17" s="7"/>
      <c r="C17" s="7"/>
      <c r="D17" s="46" t="s">
        <v>118</v>
      </c>
      <c r="E17" s="186">
        <v>208000</v>
      </c>
      <c r="F17" s="186">
        <v>213000</v>
      </c>
      <c r="G17" s="186">
        <v>212000</v>
      </c>
      <c r="H17" s="186">
        <v>215000</v>
      </c>
      <c r="I17" s="186">
        <v>215000</v>
      </c>
      <c r="J17" s="186">
        <v>1063000</v>
      </c>
      <c r="K17"/>
      <c r="L17" s="46" t="s">
        <v>117</v>
      </c>
      <c r="M17" s="63">
        <v>3.8094653953709297E-3</v>
      </c>
      <c r="N17" s="63">
        <v>3.9819868826118411E-3</v>
      </c>
      <c r="O17" s="63">
        <v>4.2392437885384968E-3</v>
      </c>
      <c r="P17" s="63">
        <v>3.8987367714941983E-3</v>
      </c>
      <c r="Q17" s="63">
        <v>4.4647849913325502E-3</v>
      </c>
      <c r="R17" s="63">
        <v>4.0768485806770699E-3</v>
      </c>
      <c r="S17"/>
      <c r="T17"/>
      <c r="U17"/>
    </row>
    <row r="18" spans="2:21" x14ac:dyDescent="0.25">
      <c r="B18" s="7"/>
      <c r="C18" s="7"/>
      <c r="D18" s="46" t="s">
        <v>58</v>
      </c>
      <c r="E18" s="186">
        <v>193724</v>
      </c>
      <c r="F18" s="186">
        <v>282663</v>
      </c>
      <c r="G18" s="186">
        <v>105210</v>
      </c>
      <c r="H18" s="186">
        <v>180413</v>
      </c>
      <c r="I18" s="186">
        <v>228855</v>
      </c>
      <c r="J18" s="186">
        <v>990865</v>
      </c>
      <c r="K18"/>
      <c r="L18" s="46" t="s">
        <v>238</v>
      </c>
      <c r="M18" s="63">
        <v>6.5614036839428903E-6</v>
      </c>
      <c r="N18" s="63">
        <v>6.4999060402471296E-6</v>
      </c>
      <c r="O18" s="63">
        <v>6.4041312468479667E-6</v>
      </c>
      <c r="P18" s="63">
        <v>5.4507457892080323E-6</v>
      </c>
      <c r="Q18" s="63">
        <v>6.0489334520537337E-6</v>
      </c>
      <c r="R18" s="63">
        <v>6.1644653041426627E-6</v>
      </c>
      <c r="S18"/>
      <c r="T18"/>
      <c r="U18"/>
    </row>
    <row r="19" spans="2:21" x14ac:dyDescent="0.25">
      <c r="B19" s="7"/>
      <c r="C19" s="7"/>
      <c r="D19" s="46" t="s">
        <v>121</v>
      </c>
      <c r="E19" s="186">
        <v>151838</v>
      </c>
      <c r="F19" s="186">
        <v>153189</v>
      </c>
      <c r="G19" s="186">
        <v>151504</v>
      </c>
      <c r="H19" s="186">
        <v>152177</v>
      </c>
      <c r="I19" s="186">
        <v>152290</v>
      </c>
      <c r="J19" s="186">
        <v>760998</v>
      </c>
      <c r="K19"/>
      <c r="L19" s="46" t="s">
        <v>141</v>
      </c>
      <c r="M19" s="63">
        <v>6.0479025260690988E-2</v>
      </c>
      <c r="N19" s="63">
        <v>4.1310513944681757E-2</v>
      </c>
      <c r="O19" s="63">
        <v>4.6575499977076121E-2</v>
      </c>
      <c r="P19" s="63">
        <v>3.9972135787525571E-2</v>
      </c>
      <c r="Q19" s="63">
        <v>4.4358845315060715E-2</v>
      </c>
      <c r="R19" s="63">
        <v>4.630198384000489E-2</v>
      </c>
      <c r="S19"/>
      <c r="T19"/>
      <c r="U19"/>
    </row>
    <row r="20" spans="2:21" x14ac:dyDescent="0.25">
      <c r="B20" s="7"/>
      <c r="C20" s="7"/>
      <c r="D20" s="46" t="s">
        <v>157</v>
      </c>
      <c r="E20" s="186">
        <v>96000</v>
      </c>
      <c r="F20" s="186">
        <v>80000</v>
      </c>
      <c r="G20" s="186">
        <v>90000</v>
      </c>
      <c r="H20" s="186">
        <v>94000</v>
      </c>
      <c r="I20" s="186">
        <v>99000</v>
      </c>
      <c r="J20" s="186">
        <v>459000</v>
      </c>
      <c r="K20"/>
      <c r="L20" s="46" t="s">
        <v>122</v>
      </c>
      <c r="M20" s="63">
        <v>0.15439710328291276</v>
      </c>
      <c r="N20" s="63">
        <v>0.18507558018522421</v>
      </c>
      <c r="O20" s="63">
        <v>0.14638781526701225</v>
      </c>
      <c r="P20" s="63">
        <v>0.19773016410015273</v>
      </c>
      <c r="Q20" s="63">
        <v>0.13240376012457039</v>
      </c>
      <c r="R20" s="63">
        <v>0.16402724353933898</v>
      </c>
      <c r="S20"/>
      <c r="T20"/>
      <c r="U20"/>
    </row>
    <row r="21" spans="2:21" x14ac:dyDescent="0.25">
      <c r="B21" s="7"/>
      <c r="C21" s="7"/>
      <c r="D21" s="46" t="s">
        <v>61</v>
      </c>
      <c r="E21" s="186">
        <v>71501</v>
      </c>
      <c r="F21" s="186">
        <v>72310</v>
      </c>
      <c r="G21" s="186">
        <v>58250</v>
      </c>
      <c r="H21" s="186">
        <v>127675</v>
      </c>
      <c r="I21" s="186">
        <v>101325</v>
      </c>
      <c r="J21" s="186">
        <v>431061</v>
      </c>
      <c r="K21"/>
      <c r="L21" s="46" t="s">
        <v>54</v>
      </c>
      <c r="M21" s="63">
        <v>1.855179835950644E-2</v>
      </c>
      <c r="N21" s="63">
        <v>1.4459835419490214E-2</v>
      </c>
      <c r="O21" s="63">
        <v>7.4069599807293869E-3</v>
      </c>
      <c r="P21" s="63">
        <v>6.0081753919177068E-3</v>
      </c>
      <c r="Q21" s="63">
        <v>7.4724491244370457E-3</v>
      </c>
      <c r="R21" s="63">
        <v>1.0582359503068479E-2</v>
      </c>
      <c r="S21"/>
      <c r="T21"/>
      <c r="U21"/>
    </row>
    <row r="22" spans="2:21" x14ac:dyDescent="0.25">
      <c r="B22" s="7"/>
      <c r="C22" s="7"/>
      <c r="D22" s="46" t="s">
        <v>119</v>
      </c>
      <c r="E22" s="186">
        <v>81170</v>
      </c>
      <c r="F22" s="186">
        <v>81212</v>
      </c>
      <c r="G22" s="186">
        <v>80434</v>
      </c>
      <c r="H22" s="186">
        <v>80939</v>
      </c>
      <c r="I22" s="186">
        <v>80862</v>
      </c>
      <c r="J22" s="186">
        <v>404617</v>
      </c>
      <c r="K22"/>
      <c r="L22" s="46" t="s">
        <v>119</v>
      </c>
      <c r="M22" s="63">
        <v>1.1578024717948792E-2</v>
      </c>
      <c r="N22" s="63">
        <v>1.1730452652012219E-2</v>
      </c>
      <c r="O22" s="63">
        <v>1.1707043016112939E-2</v>
      </c>
      <c r="P22" s="63">
        <v>9.803953631837975E-3</v>
      </c>
      <c r="Q22" s="63">
        <v>1.0869530151110423E-2</v>
      </c>
      <c r="R22" s="63">
        <v>1.1085544257627963E-2</v>
      </c>
      <c r="S22"/>
      <c r="T22"/>
      <c r="U22"/>
    </row>
    <row r="23" spans="2:21" x14ac:dyDescent="0.25">
      <c r="B23" s="7"/>
      <c r="C23" s="7"/>
      <c r="D23" s="46" t="s">
        <v>161</v>
      </c>
      <c r="E23" s="186">
        <v>76000</v>
      </c>
      <c r="F23" s="186">
        <v>79000</v>
      </c>
      <c r="G23" s="186">
        <v>78000</v>
      </c>
      <c r="H23" s="186">
        <v>75404</v>
      </c>
      <c r="I23" s="186">
        <v>85313</v>
      </c>
      <c r="J23" s="186">
        <v>393717</v>
      </c>
      <c r="K23"/>
      <c r="L23" s="46" t="s">
        <v>150</v>
      </c>
      <c r="M23" s="63">
        <v>1.1247101749541236E-3</v>
      </c>
      <c r="N23" s="63">
        <v>1.1421057124496455E-3</v>
      </c>
      <c r="O23" s="63">
        <v>1.1509970431834936E-3</v>
      </c>
      <c r="P23" s="63">
        <v>9.588467481637952E-4</v>
      </c>
      <c r="Q23" s="63">
        <v>1.0652843912783521E-3</v>
      </c>
      <c r="R23" s="63">
        <v>1.0833294337382446E-3</v>
      </c>
      <c r="S23"/>
      <c r="T23"/>
      <c r="U23"/>
    </row>
    <row r="24" spans="2:21" x14ac:dyDescent="0.25">
      <c r="B24" s="7"/>
      <c r="C24" s="7"/>
      <c r="D24" s="46" t="s">
        <v>54</v>
      </c>
      <c r="E24" s="186">
        <v>130061</v>
      </c>
      <c r="F24" s="186">
        <v>100108</v>
      </c>
      <c r="G24" s="186">
        <v>50890</v>
      </c>
      <c r="H24" s="186">
        <v>49602</v>
      </c>
      <c r="I24" s="186">
        <v>55590</v>
      </c>
      <c r="J24" s="186">
        <v>386251</v>
      </c>
      <c r="K24"/>
      <c r="L24" s="46" t="s">
        <v>152</v>
      </c>
      <c r="M24" s="63">
        <v>7.6055227049529328E-3</v>
      </c>
      <c r="N24" s="63">
        <v>7.5632906684315595E-3</v>
      </c>
      <c r="O24" s="63">
        <v>7.6670550384138709E-3</v>
      </c>
      <c r="P24" s="63">
        <v>6.393845938425226E-3</v>
      </c>
      <c r="Q24" s="63">
        <v>7.0716064676809515E-3</v>
      </c>
      <c r="R24" s="63">
        <v>7.2262054105046219E-3</v>
      </c>
      <c r="S24"/>
      <c r="T24"/>
      <c r="U24"/>
    </row>
    <row r="25" spans="2:21" ht="15.5" x14ac:dyDescent="0.35">
      <c r="B25" s="51"/>
      <c r="C25" s="7"/>
      <c r="D25" s="46" t="s">
        <v>234</v>
      </c>
      <c r="E25" s="186">
        <v>74132</v>
      </c>
      <c r="F25" s="186">
        <v>73108</v>
      </c>
      <c r="G25" s="186">
        <v>72399</v>
      </c>
      <c r="H25" s="186">
        <v>71040</v>
      </c>
      <c r="I25" s="186">
        <v>79694</v>
      </c>
      <c r="J25" s="186">
        <v>370373</v>
      </c>
      <c r="K25"/>
      <c r="L25" s="46" t="s">
        <v>121</v>
      </c>
      <c r="M25" s="63">
        <v>2.1658052447011317E-2</v>
      </c>
      <c r="N25" s="63">
        <v>2.2126980142209277E-2</v>
      </c>
      <c r="O25" s="63">
        <v>2.2051170464146688E-2</v>
      </c>
      <c r="P25" s="63">
        <v>1.8432847599206905E-2</v>
      </c>
      <c r="Q25" s="63">
        <v>2.0470935009183625E-2</v>
      </c>
      <c r="R25" s="63">
        <v>2.0849536744542038E-2</v>
      </c>
      <c r="S25"/>
      <c r="T25"/>
      <c r="U25"/>
    </row>
    <row r="26" spans="2:21" x14ac:dyDescent="0.25">
      <c r="B26" s="7"/>
      <c r="C26" s="7"/>
      <c r="D26" s="46" t="s">
        <v>152</v>
      </c>
      <c r="E26" s="186">
        <v>53320</v>
      </c>
      <c r="F26" s="186">
        <v>52362</v>
      </c>
      <c r="G26" s="186">
        <v>52677</v>
      </c>
      <c r="H26" s="186">
        <v>52786</v>
      </c>
      <c r="I26" s="186">
        <v>52608</v>
      </c>
      <c r="J26" s="186">
        <v>263753</v>
      </c>
      <c r="K26"/>
      <c r="L26" s="46" t="s">
        <v>240</v>
      </c>
      <c r="M26" s="63">
        <v>3.6819459411656049E-3</v>
      </c>
      <c r="N26" s="63">
        <v>3.405517438020146E-3</v>
      </c>
      <c r="O26" s="63">
        <v>3.6641819122590355E-3</v>
      </c>
      <c r="P26" s="63">
        <v>3.3092083324702984E-3</v>
      </c>
      <c r="Q26" s="63">
        <v>3.6700895564760689E-3</v>
      </c>
      <c r="R26" s="63">
        <v>3.5394441942736992E-3</v>
      </c>
      <c r="S26"/>
      <c r="T26"/>
      <c r="U26"/>
    </row>
    <row r="27" spans="2:21" x14ac:dyDescent="0.25">
      <c r="B27" s="7"/>
      <c r="C27" s="7"/>
      <c r="D27" s="46" t="s">
        <v>250</v>
      </c>
      <c r="E27" s="186">
        <v>47000</v>
      </c>
      <c r="F27" s="186">
        <v>47000</v>
      </c>
      <c r="G27" s="186">
        <v>50000</v>
      </c>
      <c r="H27" s="186">
        <v>52000</v>
      </c>
      <c r="I27" s="186">
        <v>50000</v>
      </c>
      <c r="J27" s="186">
        <v>246000</v>
      </c>
      <c r="K27"/>
      <c r="L27" s="46" t="s">
        <v>242</v>
      </c>
      <c r="M27" s="63">
        <v>2.511876497265963E-4</v>
      </c>
      <c r="N27" s="63">
        <v>2.578296062631361E-4</v>
      </c>
      <c r="O27" s="63">
        <v>2.5863957331020081E-4</v>
      </c>
      <c r="P27" s="63">
        <v>2.148805117790011E-4</v>
      </c>
      <c r="Q27" s="63">
        <v>2.3913450247119093E-4</v>
      </c>
      <c r="R27" s="63">
        <v>2.4318130684253456E-4</v>
      </c>
      <c r="S27"/>
      <c r="T27"/>
      <c r="U27"/>
    </row>
    <row r="28" spans="2:21" x14ac:dyDescent="0.25">
      <c r="B28" s="7"/>
      <c r="C28" s="7"/>
      <c r="D28" s="46" t="s">
        <v>244</v>
      </c>
      <c r="E28" s="186">
        <v>39449</v>
      </c>
      <c r="F28" s="186">
        <v>42184</v>
      </c>
      <c r="G28" s="186">
        <v>50310</v>
      </c>
      <c r="H28" s="186">
        <v>43228</v>
      </c>
      <c r="I28" s="186">
        <v>44394</v>
      </c>
      <c r="J28" s="186">
        <v>219565</v>
      </c>
      <c r="K28"/>
      <c r="L28" s="46" t="s">
        <v>244</v>
      </c>
      <c r="M28" s="63">
        <v>5.6269742158231101E-3</v>
      </c>
      <c r="N28" s="63">
        <v>6.0931563644841093E-3</v>
      </c>
      <c r="O28" s="63">
        <v>7.322541887020936E-3</v>
      </c>
      <c r="P28" s="63">
        <v>5.2361075327974401E-3</v>
      </c>
      <c r="Q28" s="63">
        <v>5.9674744815660773E-3</v>
      </c>
      <c r="R28" s="63">
        <v>6.0155592200181506E-3</v>
      </c>
      <c r="S28"/>
      <c r="T28"/>
      <c r="U28"/>
    </row>
    <row r="29" spans="2:21" x14ac:dyDescent="0.25">
      <c r="B29" s="7"/>
      <c r="C29" s="7"/>
      <c r="D29" s="46" t="s">
        <v>123</v>
      </c>
      <c r="E29" s="186">
        <v>39300</v>
      </c>
      <c r="F29" s="186">
        <v>47425</v>
      </c>
      <c r="G29" s="186">
        <v>44310</v>
      </c>
      <c r="H29" s="186">
        <v>40936</v>
      </c>
      <c r="I29" s="186">
        <v>40372</v>
      </c>
      <c r="J29" s="186">
        <v>212343</v>
      </c>
      <c r="K29"/>
      <c r="L29" s="46" t="s">
        <v>170</v>
      </c>
      <c r="M29" s="63">
        <v>7.1034326839207809E-5</v>
      </c>
      <c r="N29" s="63">
        <v>9.345420462310873E-5</v>
      </c>
      <c r="O29" s="63">
        <v>1.3710662805751784E-4</v>
      </c>
      <c r="P29" s="63">
        <v>1.7805769578079571E-4</v>
      </c>
      <c r="Q29" s="63">
        <v>2.4625880187027646E-4</v>
      </c>
      <c r="R29" s="63">
        <v>1.4764579344011029E-4</v>
      </c>
      <c r="S29"/>
      <c r="T29"/>
      <c r="U29"/>
    </row>
    <row r="30" spans="2:21" x14ac:dyDescent="0.25">
      <c r="B30" s="7"/>
      <c r="C30" s="7"/>
      <c r="D30" s="46" t="s">
        <v>252</v>
      </c>
      <c r="E30" s="186">
        <v>24368</v>
      </c>
      <c r="F30" s="186">
        <v>34939</v>
      </c>
      <c r="G30" s="186">
        <v>28569</v>
      </c>
      <c r="H30" s="186">
        <v>35729</v>
      </c>
      <c r="I30" s="186">
        <v>34691</v>
      </c>
      <c r="J30" s="186">
        <v>158296</v>
      </c>
      <c r="K30"/>
      <c r="L30" s="46" t="s">
        <v>246</v>
      </c>
      <c r="M30" s="63">
        <v>0.15114022218909823</v>
      </c>
      <c r="N30" s="63">
        <v>0.11017311849747594</v>
      </c>
      <c r="O30" s="63">
        <v>0.30460580752820182</v>
      </c>
      <c r="P30" s="63">
        <v>0.26476440483730673</v>
      </c>
      <c r="Q30" s="63">
        <v>0.27690673136068206</v>
      </c>
      <c r="R30" s="63">
        <v>0.22359170461328856</v>
      </c>
      <c r="S30"/>
      <c r="T30"/>
      <c r="U30"/>
    </row>
    <row r="31" spans="2:21" x14ac:dyDescent="0.25">
      <c r="B31" s="7"/>
      <c r="C31" s="7"/>
      <c r="D31" s="46" t="s">
        <v>117</v>
      </c>
      <c r="E31" s="186">
        <v>26707</v>
      </c>
      <c r="F31" s="186">
        <v>27568</v>
      </c>
      <c r="G31" s="186">
        <v>29126</v>
      </c>
      <c r="H31" s="186">
        <v>32187</v>
      </c>
      <c r="I31" s="186">
        <v>33215</v>
      </c>
      <c r="J31" s="186">
        <v>148803</v>
      </c>
      <c r="K31"/>
      <c r="L31" s="46" t="s">
        <v>123</v>
      </c>
      <c r="M31" s="63">
        <v>5.6057209734555564E-3</v>
      </c>
      <c r="N31" s="63">
        <v>6.8501787546382245E-3</v>
      </c>
      <c r="O31" s="63">
        <v>6.4492512624507595E-3</v>
      </c>
      <c r="P31" s="63">
        <v>4.9584828806004443E-3</v>
      </c>
      <c r="Q31" s="63">
        <v>5.4268342516958518E-3</v>
      </c>
      <c r="R31" s="63">
        <v>5.8176935825669579E-3</v>
      </c>
      <c r="S31"/>
      <c r="T31"/>
      <c r="U31"/>
    </row>
    <row r="32" spans="2:21" x14ac:dyDescent="0.25">
      <c r="B32" s="7"/>
      <c r="C32" s="7"/>
      <c r="D32" s="46" t="s">
        <v>240</v>
      </c>
      <c r="E32" s="186">
        <v>25813</v>
      </c>
      <c r="F32" s="186">
        <v>23577</v>
      </c>
      <c r="G32" s="186">
        <v>25175</v>
      </c>
      <c r="H32" s="186">
        <v>27320</v>
      </c>
      <c r="I32" s="186">
        <v>27303</v>
      </c>
      <c r="J32" s="186">
        <v>129188</v>
      </c>
      <c r="K32"/>
      <c r="L32" s="46" t="s">
        <v>61</v>
      </c>
      <c r="M32" s="63">
        <v>1.01988461914261E-2</v>
      </c>
      <c r="N32" s="63">
        <v>1.0444626794894886E-2</v>
      </c>
      <c r="O32" s="63">
        <v>8.4781964802021371E-3</v>
      </c>
      <c r="P32" s="63">
        <v>1.5464977080825233E-2</v>
      </c>
      <c r="Q32" s="63">
        <v>1.3620181822874325E-2</v>
      </c>
      <c r="R32" s="63">
        <v>1.1810047015417957E-2</v>
      </c>
      <c r="S32"/>
      <c r="T32"/>
      <c r="U32"/>
    </row>
    <row r="33" spans="2:21" x14ac:dyDescent="0.25">
      <c r="B33" s="7"/>
      <c r="C33" s="7"/>
      <c r="D33" s="46" t="s">
        <v>86</v>
      </c>
      <c r="E33" s="186">
        <v>6942250</v>
      </c>
      <c r="F33" s="186">
        <v>6853803</v>
      </c>
      <c r="G33" s="186">
        <v>6800868</v>
      </c>
      <c r="H33" s="186">
        <v>8184557</v>
      </c>
      <c r="I33" s="186">
        <v>7367419</v>
      </c>
      <c r="J33" s="186">
        <v>36148897</v>
      </c>
      <c r="K33"/>
      <c r="L33" s="46" t="s">
        <v>157</v>
      </c>
      <c r="M33" s="63">
        <v>1.369336420996777E-2</v>
      </c>
      <c r="N33" s="63">
        <v>1.1555388515994896E-2</v>
      </c>
      <c r="O33" s="63">
        <v>1.3099359368552659E-2</v>
      </c>
      <c r="P33" s="63">
        <v>1.1386002315234556E-2</v>
      </c>
      <c r="Q33" s="63">
        <v>1.3307653594518215E-2</v>
      </c>
      <c r="R33" s="63">
        <v>1.2575509220451033E-2</v>
      </c>
      <c r="S33"/>
      <c r="T33"/>
      <c r="U33"/>
    </row>
    <row r="34" spans="2:21" x14ac:dyDescent="0.25">
      <c r="B34" s="7"/>
      <c r="C34" s="7"/>
      <c r="D34"/>
      <c r="E34"/>
      <c r="F34"/>
      <c r="G34"/>
      <c r="H34"/>
      <c r="I34"/>
      <c r="J34"/>
      <c r="K34"/>
      <c r="L34" s="46" t="s">
        <v>118</v>
      </c>
      <c r="M34" s="63">
        <v>2.9668955788263503E-2</v>
      </c>
      <c r="N34" s="63">
        <v>3.0766221923836413E-2</v>
      </c>
      <c r="O34" s="63">
        <v>3.0856268734812932E-2</v>
      </c>
      <c r="P34" s="63">
        <v>2.6042452103993932E-2</v>
      </c>
      <c r="Q34" s="63">
        <v>2.8900459826478951E-2</v>
      </c>
      <c r="R34" s="63">
        <v>2.9123673859127338E-2</v>
      </c>
      <c r="S34"/>
      <c r="T34"/>
      <c r="U34"/>
    </row>
    <row r="35" spans="2:21" x14ac:dyDescent="0.25">
      <c r="D35"/>
      <c r="E35"/>
      <c r="F35"/>
      <c r="G35"/>
      <c r="H35"/>
      <c r="I35"/>
      <c r="J35"/>
      <c r="K35"/>
      <c r="L35" s="46" t="s">
        <v>248</v>
      </c>
      <c r="M35" s="63">
        <v>2.8527842104099524E-7</v>
      </c>
      <c r="N35" s="63">
        <v>2.8888471289987242E-7</v>
      </c>
      <c r="O35" s="63">
        <v>2.9109687485672575E-7</v>
      </c>
      <c r="P35" s="63">
        <v>2.4225536840924585E-7</v>
      </c>
      <c r="Q35" s="63">
        <v>2.6884148675794372E-7</v>
      </c>
      <c r="R35" s="63">
        <v>2.7397623573967393E-7</v>
      </c>
      <c r="S35"/>
      <c r="T35"/>
      <c r="U35"/>
    </row>
    <row r="36" spans="2:21" x14ac:dyDescent="0.25">
      <c r="D36"/>
      <c r="E36"/>
      <c r="F36"/>
      <c r="G36"/>
      <c r="H36"/>
      <c r="I36"/>
      <c r="J36"/>
      <c r="K36"/>
      <c r="L36" s="46" t="s">
        <v>58</v>
      </c>
      <c r="M36" s="63">
        <v>2.7632638418872878E-2</v>
      </c>
      <c r="N36" s="63">
        <v>4.0828509801208321E-2</v>
      </c>
      <c r="O36" s="63">
        <v>1.5313151101838058E-2</v>
      </c>
      <c r="P36" s="63">
        <v>2.1853008890408636E-2</v>
      </c>
      <c r="Q36" s="63">
        <v>3.0762859225994605E-2</v>
      </c>
      <c r="R36" s="63">
        <v>2.7147346282619198E-2</v>
      </c>
      <c r="S36"/>
      <c r="T36"/>
      <c r="U36"/>
    </row>
    <row r="37" spans="2:21" x14ac:dyDescent="0.25">
      <c r="D37"/>
      <c r="E37"/>
      <c r="F37"/>
      <c r="G37"/>
      <c r="H37"/>
      <c r="I37"/>
      <c r="J37"/>
      <c r="K37"/>
      <c r="L37" s="46" t="s">
        <v>250</v>
      </c>
      <c r="M37" s="63">
        <v>6.7040428944633874E-3</v>
      </c>
      <c r="N37" s="63">
        <v>6.7887907531470016E-3</v>
      </c>
      <c r="O37" s="63">
        <v>7.2774218714181443E-3</v>
      </c>
      <c r="P37" s="63">
        <v>6.2986395786403925E-3</v>
      </c>
      <c r="Q37" s="63">
        <v>6.721037168948593E-3</v>
      </c>
      <c r="R37" s="63">
        <v>6.7398153991959781E-3</v>
      </c>
      <c r="S37"/>
      <c r="T37"/>
      <c r="U37"/>
    </row>
    <row r="38" spans="2:21" x14ac:dyDescent="0.25">
      <c r="D38"/>
      <c r="E38"/>
      <c r="F38"/>
      <c r="G38"/>
      <c r="H38"/>
      <c r="I38"/>
      <c r="J38"/>
      <c r="K38"/>
      <c r="L38" s="46" t="s">
        <v>161</v>
      </c>
      <c r="M38" s="63">
        <v>1.0840579999557818E-2</v>
      </c>
      <c r="N38" s="63">
        <v>1.1410946159544961E-2</v>
      </c>
      <c r="O38" s="63">
        <v>1.1352778119412304E-2</v>
      </c>
      <c r="P38" s="63">
        <v>9.1335118997653876E-3</v>
      </c>
      <c r="Q38" s="63">
        <v>1.1467836879890227E-2</v>
      </c>
      <c r="R38" s="63">
        <v>1.0786910160671719E-2</v>
      </c>
      <c r="S38"/>
      <c r="T38"/>
      <c r="U38"/>
    </row>
    <row r="39" spans="2:21" x14ac:dyDescent="0.25">
      <c r="D39"/>
      <c r="E39"/>
      <c r="F39"/>
      <c r="G39"/>
      <c r="H39"/>
      <c r="I39"/>
      <c r="J39"/>
      <c r="K39"/>
      <c r="L39" s="46" t="s">
        <v>172</v>
      </c>
      <c r="M39" s="63">
        <v>3.6515637893247389E-2</v>
      </c>
      <c r="N39" s="63">
        <v>3.9288320954382651E-2</v>
      </c>
      <c r="O39" s="63">
        <v>3.8570335918516163E-2</v>
      </c>
      <c r="P39" s="63">
        <v>3.3310113156271304E-2</v>
      </c>
      <c r="Q39" s="63">
        <v>3.7637808146112124E-2</v>
      </c>
      <c r="R39" s="63">
        <v>3.6931996577708043E-2</v>
      </c>
      <c r="S39"/>
      <c r="T39"/>
      <c r="U39"/>
    </row>
    <row r="40" spans="2:21" x14ac:dyDescent="0.25">
      <c r="D40"/>
      <c r="E40"/>
      <c r="F40"/>
      <c r="G40"/>
      <c r="H40"/>
      <c r="I40"/>
      <c r="J40"/>
      <c r="K40"/>
      <c r="L40" s="46" t="s">
        <v>124</v>
      </c>
      <c r="M40" s="63">
        <v>6.3980532600548159E-2</v>
      </c>
      <c r="N40" s="63">
        <v>5.0362716423399255E-2</v>
      </c>
      <c r="O40" s="63">
        <v>3.6778634653773012E-2</v>
      </c>
      <c r="P40" s="63">
        <v>3.3336518991427914E-2</v>
      </c>
      <c r="Q40" s="63">
        <v>4.0206857393571035E-2</v>
      </c>
      <c r="R40" s="63">
        <v>4.450026131853365E-2</v>
      </c>
      <c r="S40"/>
      <c r="T40"/>
      <c r="U40"/>
    </row>
    <row r="41" spans="2:21" x14ac:dyDescent="0.25">
      <c r="D41"/>
      <c r="E41"/>
      <c r="F41"/>
      <c r="G41"/>
      <c r="H41"/>
      <c r="I41"/>
      <c r="J41"/>
      <c r="K41"/>
      <c r="L41" s="46" t="s">
        <v>252</v>
      </c>
      <c r="M41" s="63">
        <v>3.4758322819634859E-3</v>
      </c>
      <c r="N41" s="63">
        <v>5.0466714920043209E-3</v>
      </c>
      <c r="O41" s="63">
        <v>4.1581733088908992E-3</v>
      </c>
      <c r="P41" s="63">
        <v>4.3277710289469726E-3</v>
      </c>
      <c r="Q41" s="63">
        <v>4.6631900085599125E-3</v>
      </c>
      <c r="R41" s="63">
        <v>4.3369342212647424E-3</v>
      </c>
      <c r="S41"/>
      <c r="T41"/>
      <c r="U41"/>
    </row>
    <row r="42" spans="2:21" x14ac:dyDescent="0.25">
      <c r="D42"/>
      <c r="E42"/>
      <c r="F42"/>
      <c r="G42"/>
      <c r="H42"/>
      <c r="I42"/>
      <c r="J42"/>
      <c r="K42"/>
      <c r="L42" s="46" t="s">
        <v>120</v>
      </c>
      <c r="M42" s="63">
        <v>9.3072084864624692E-4</v>
      </c>
      <c r="N42" s="63">
        <v>9.4523078060838254E-4</v>
      </c>
      <c r="O42" s="63">
        <v>9.3936961516265401E-4</v>
      </c>
      <c r="P42" s="63">
        <v>7.881778411194814E-4</v>
      </c>
      <c r="Q42" s="63">
        <v>8.7400367345007504E-4</v>
      </c>
      <c r="R42" s="63">
        <v>8.9129949010830715E-4</v>
      </c>
      <c r="S42"/>
      <c r="T42"/>
      <c r="U42"/>
    </row>
    <row r="43" spans="2:21" x14ac:dyDescent="0.25">
      <c r="D43"/>
      <c r="E43"/>
      <c r="F43"/>
      <c r="G43"/>
      <c r="H43"/>
      <c r="I43"/>
      <c r="J43"/>
      <c r="K43"/>
      <c r="L43" s="46" t="s">
        <v>254</v>
      </c>
      <c r="M43" s="63">
        <v>3.1822807867123016E-3</v>
      </c>
      <c r="N43" s="63">
        <v>3.2071980826143837E-3</v>
      </c>
      <c r="O43" s="63">
        <v>3.169753870314887E-3</v>
      </c>
      <c r="P43" s="63">
        <v>2.6661414570279553E-3</v>
      </c>
      <c r="Q43" s="63">
        <v>2.9900550157218502E-3</v>
      </c>
      <c r="R43" s="63">
        <v>3.028725093231373E-3</v>
      </c>
      <c r="S43"/>
      <c r="T43"/>
      <c r="U43"/>
    </row>
    <row r="44" spans="2:21" x14ac:dyDescent="0.25">
      <c r="D44"/>
      <c r="E44"/>
      <c r="F44"/>
      <c r="G44"/>
      <c r="H44"/>
      <c r="I44"/>
      <c r="J44"/>
      <c r="K44"/>
      <c r="L44" s="46" t="s">
        <v>256</v>
      </c>
      <c r="M44" s="63">
        <v>4.9923723682174166E-5</v>
      </c>
      <c r="N44" s="63">
        <v>5.2143690678426973E-5</v>
      </c>
      <c r="O44" s="63">
        <v>5.1960792161925551E-5</v>
      </c>
      <c r="P44" s="63">
        <v>4.3121455576845762E-5</v>
      </c>
      <c r="Q44" s="63">
        <v>4.8122626129671925E-5</v>
      </c>
      <c r="R44" s="63">
        <v>4.8822565208809891E-5</v>
      </c>
      <c r="S44"/>
      <c r="T44"/>
      <c r="U44"/>
    </row>
    <row r="45" spans="2:21" x14ac:dyDescent="0.25">
      <c r="D45"/>
      <c r="E45"/>
      <c r="F45"/>
      <c r="G45"/>
      <c r="H45"/>
      <c r="I45"/>
      <c r="J45"/>
      <c r="K45"/>
      <c r="L45" s="46" t="s">
        <v>79</v>
      </c>
      <c r="M45" s="63">
        <v>2.0190580249176437E-3</v>
      </c>
      <c r="N45" s="63">
        <v>2.1438134544299534E-3</v>
      </c>
      <c r="O45" s="63">
        <v>2.240863742647075E-3</v>
      </c>
      <c r="P45" s="63">
        <v>1.9522148863259079E-3</v>
      </c>
      <c r="Q45" s="63">
        <v>2.1773472012525863E-3</v>
      </c>
      <c r="R45" s="63">
        <v>2.1016169091118905E-3</v>
      </c>
      <c r="S45"/>
      <c r="T45"/>
      <c r="U45"/>
    </row>
    <row r="46" spans="2:21" x14ac:dyDescent="0.25">
      <c r="D46"/>
      <c r="E46"/>
      <c r="F46"/>
      <c r="G46"/>
      <c r="H46"/>
      <c r="I46"/>
      <c r="J46"/>
      <c r="K46"/>
      <c r="L46" s="46" t="s">
        <v>86</v>
      </c>
      <c r="M46" s="63">
        <v>1</v>
      </c>
      <c r="N46" s="63">
        <v>1</v>
      </c>
      <c r="O46" s="63">
        <v>1</v>
      </c>
      <c r="P46" s="63">
        <v>1</v>
      </c>
      <c r="Q46" s="63">
        <v>1</v>
      </c>
      <c r="R46" s="63">
        <v>1</v>
      </c>
      <c r="S46"/>
      <c r="T46"/>
      <c r="U46"/>
    </row>
    <row r="47" spans="2:21" x14ac:dyDescent="0.25">
      <c r="E47"/>
      <c r="F47"/>
      <c r="G47"/>
      <c r="H47"/>
      <c r="I47"/>
      <c r="J47"/>
      <c r="K47"/>
      <c r="L47"/>
      <c r="M47"/>
      <c r="N47" s="57"/>
      <c r="O47"/>
      <c r="P47"/>
      <c r="Q47"/>
      <c r="R47"/>
      <c r="S47"/>
      <c r="T47"/>
      <c r="U47"/>
    </row>
    <row r="48" spans="2:21" x14ac:dyDescent="0.25">
      <c r="E48"/>
      <c r="F48"/>
      <c r="G48"/>
      <c r="H48"/>
      <c r="I48">
        <f>SUM(I9:I30)</f>
        <v>7306901</v>
      </c>
      <c r="J48"/>
      <c r="K48"/>
      <c r="L48"/>
      <c r="M48"/>
      <c r="N48" s="57"/>
      <c r="O48"/>
      <c r="P48"/>
      <c r="Q48"/>
      <c r="R48"/>
      <c r="S48"/>
      <c r="T48"/>
      <c r="U48"/>
    </row>
    <row r="49" spans="5:21" x14ac:dyDescent="0.25">
      <c r="E49"/>
      <c r="F49"/>
      <c r="G49"/>
      <c r="H49"/>
      <c r="I49" t="e">
        <f>I48/I46</f>
        <v>#DIV/0!</v>
      </c>
      <c r="J49"/>
      <c r="K49"/>
      <c r="L49"/>
      <c r="M49"/>
      <c r="N49" s="57"/>
      <c r="O49"/>
      <c r="P49"/>
      <c r="Q49"/>
      <c r="R49"/>
      <c r="S49"/>
      <c r="T49"/>
      <c r="U49"/>
    </row>
    <row r="50" spans="5:21" x14ac:dyDescent="0.25">
      <c r="E50"/>
      <c r="F50"/>
      <c r="G50"/>
      <c r="H50"/>
      <c r="I50"/>
      <c r="J50"/>
      <c r="K50"/>
      <c r="L50"/>
      <c r="M50"/>
      <c r="N50" s="57"/>
      <c r="O50"/>
      <c r="P50"/>
      <c r="Q50"/>
      <c r="R50"/>
      <c r="S50"/>
      <c r="T50"/>
      <c r="U50"/>
    </row>
    <row r="51" spans="5:21" x14ac:dyDescent="0.25">
      <c r="E51"/>
      <c r="F51"/>
      <c r="G51"/>
      <c r="H51"/>
      <c r="I51"/>
      <c r="J51"/>
      <c r="K51"/>
      <c r="L51"/>
      <c r="M51"/>
      <c r="N51" s="57"/>
      <c r="O51"/>
      <c r="P51"/>
      <c r="Q51"/>
      <c r="R51"/>
      <c r="S51"/>
      <c r="T51"/>
      <c r="U51"/>
    </row>
    <row r="52" spans="5:21" x14ac:dyDescent="0.25">
      <c r="E52"/>
      <c r="F52"/>
      <c r="G52"/>
      <c r="H52"/>
      <c r="I52"/>
      <c r="J52"/>
      <c r="K52"/>
      <c r="L52"/>
      <c r="M52"/>
      <c r="N52" s="57"/>
      <c r="O52"/>
      <c r="P52"/>
      <c r="Q52"/>
      <c r="R52"/>
      <c r="S52"/>
      <c r="T52"/>
      <c r="U52"/>
    </row>
    <row r="53" spans="5:21" x14ac:dyDescent="0.25">
      <c r="E53"/>
      <c r="F53"/>
      <c r="G53"/>
      <c r="H53"/>
      <c r="I53"/>
      <c r="J53"/>
      <c r="K53"/>
      <c r="L53"/>
      <c r="M53"/>
      <c r="N53" s="57"/>
      <c r="O53"/>
      <c r="P53"/>
      <c r="Q53"/>
      <c r="R53"/>
      <c r="S53"/>
      <c r="T53"/>
      <c r="U53"/>
    </row>
    <row r="54" spans="5:21" x14ac:dyDescent="0.25">
      <c r="E54"/>
      <c r="F54"/>
      <c r="G54"/>
      <c r="H54"/>
      <c r="I54"/>
      <c r="J54"/>
      <c r="K54"/>
      <c r="L54"/>
      <c r="M54"/>
      <c r="N54" s="57"/>
      <c r="O54"/>
      <c r="P54"/>
      <c r="Q54"/>
      <c r="R54"/>
      <c r="S54"/>
      <c r="T54"/>
      <c r="U54"/>
    </row>
    <row r="55" spans="5:21" x14ac:dyDescent="0.25">
      <c r="E55"/>
      <c r="F55"/>
      <c r="G55"/>
      <c r="H55"/>
      <c r="I55"/>
      <c r="J55"/>
      <c r="K55"/>
      <c r="L55"/>
      <c r="M55"/>
      <c r="N55" s="57"/>
      <c r="O55"/>
      <c r="P55"/>
      <c r="Q55"/>
      <c r="R55"/>
      <c r="S55"/>
      <c r="T55"/>
      <c r="U55"/>
    </row>
    <row r="56" spans="5:21" x14ac:dyDescent="0.25">
      <c r="E56"/>
      <c r="F56"/>
      <c r="G56"/>
      <c r="H56"/>
      <c r="I56"/>
      <c r="J56"/>
      <c r="K56"/>
      <c r="L56"/>
      <c r="M56"/>
      <c r="N56" s="57"/>
      <c r="O56"/>
      <c r="P56"/>
      <c r="Q56"/>
      <c r="R56"/>
      <c r="S56"/>
      <c r="T56"/>
      <c r="U56"/>
    </row>
    <row r="57" spans="5:21" x14ac:dyDescent="0.25">
      <c r="E57"/>
      <c r="F57"/>
      <c r="G57"/>
      <c r="H57"/>
      <c r="I57"/>
      <c r="J57"/>
      <c r="K57"/>
      <c r="L57"/>
      <c r="M57"/>
      <c r="N57" s="57"/>
      <c r="O57"/>
      <c r="P57"/>
      <c r="Q57"/>
      <c r="R57"/>
      <c r="S57"/>
      <c r="T57"/>
      <c r="U57"/>
    </row>
    <row r="58" spans="5:21" x14ac:dyDescent="0.25">
      <c r="E58"/>
      <c r="F58"/>
      <c r="G58"/>
      <c r="H58"/>
      <c r="I58"/>
      <c r="J58"/>
      <c r="K58"/>
      <c r="L58"/>
      <c r="M58"/>
      <c r="N58" s="57"/>
      <c r="O58"/>
      <c r="P58"/>
      <c r="Q58"/>
      <c r="R58"/>
      <c r="S58"/>
      <c r="T58"/>
      <c r="U58"/>
    </row>
    <row r="59" spans="5:21" x14ac:dyDescent="0.25">
      <c r="E59"/>
      <c r="F59"/>
      <c r="G59"/>
      <c r="H59"/>
      <c r="I59"/>
      <c r="J59"/>
      <c r="K59"/>
      <c r="L59"/>
      <c r="M59"/>
      <c r="N59" s="57"/>
      <c r="O59"/>
      <c r="P59"/>
      <c r="Q59"/>
      <c r="R59"/>
      <c r="S59"/>
      <c r="T59"/>
      <c r="U59"/>
    </row>
    <row r="60" spans="5:21" x14ac:dyDescent="0.25">
      <c r="E60"/>
      <c r="F60"/>
      <c r="G60"/>
      <c r="H60"/>
      <c r="I60"/>
      <c r="J60"/>
      <c r="K60"/>
      <c r="L60"/>
      <c r="M60"/>
      <c r="N60" s="57"/>
      <c r="O60"/>
      <c r="P60"/>
      <c r="Q60"/>
      <c r="R60"/>
      <c r="S60"/>
      <c r="T60"/>
      <c r="U60"/>
    </row>
    <row r="61" spans="5:21" x14ac:dyDescent="0.25">
      <c r="E61"/>
      <c r="F61"/>
      <c r="G61"/>
      <c r="H61"/>
      <c r="I61"/>
      <c r="J61"/>
      <c r="K61"/>
      <c r="L61"/>
      <c r="M61"/>
      <c r="N61" s="57"/>
      <c r="O61" s="57"/>
      <c r="P61" s="58"/>
      <c r="Q61" s="57"/>
      <c r="R61" s="57"/>
    </row>
    <row r="62" spans="5:21" x14ac:dyDescent="0.25">
      <c r="E62"/>
      <c r="F62"/>
      <c r="G62"/>
      <c r="H62"/>
      <c r="I62"/>
      <c r="J62"/>
      <c r="K62"/>
      <c r="L62"/>
      <c r="M62"/>
      <c r="N62" s="57"/>
      <c r="O62" s="57"/>
      <c r="P62" s="58"/>
      <c r="Q62" s="57"/>
      <c r="R62" s="57"/>
    </row>
    <row r="63" spans="5:21" x14ac:dyDescent="0.25">
      <c r="E63"/>
      <c r="F63"/>
      <c r="G63"/>
      <c r="H63"/>
      <c r="I63"/>
      <c r="J63"/>
      <c r="K63"/>
      <c r="L63"/>
      <c r="M63"/>
      <c r="N63" s="57"/>
      <c r="O63" s="57"/>
      <c r="P63" s="58"/>
      <c r="Q63" s="57"/>
      <c r="R63" s="57"/>
    </row>
    <row r="64" spans="5:21" x14ac:dyDescent="0.25">
      <c r="E64"/>
      <c r="F64"/>
      <c r="G64"/>
      <c r="H64"/>
      <c r="I64"/>
      <c r="J64"/>
      <c r="K64"/>
      <c r="L64"/>
      <c r="M64"/>
      <c r="N64" s="57"/>
      <c r="O64" s="57"/>
      <c r="P64" s="58"/>
      <c r="Q64" s="57"/>
      <c r="R64" s="57"/>
      <c r="T64" s="7"/>
    </row>
    <row r="65" spans="5:20" x14ac:dyDescent="0.25">
      <c r="E65"/>
      <c r="F65"/>
      <c r="G65"/>
      <c r="H65"/>
      <c r="I65"/>
      <c r="J65"/>
      <c r="K65"/>
      <c r="L65"/>
      <c r="M65"/>
      <c r="N65" s="57"/>
      <c r="O65" s="57"/>
      <c r="P65" s="58"/>
      <c r="Q65" s="57"/>
      <c r="R65" s="57"/>
      <c r="T65" s="7"/>
    </row>
    <row r="66" spans="5:20" x14ac:dyDescent="0.25">
      <c r="E66"/>
      <c r="F66"/>
      <c r="G66"/>
      <c r="H66"/>
      <c r="I66"/>
      <c r="J66"/>
      <c r="K66"/>
      <c r="L66"/>
      <c r="M66"/>
      <c r="N66" s="57"/>
      <c r="O66" s="57"/>
      <c r="P66" s="58"/>
      <c r="Q66" s="57"/>
      <c r="R66" s="57"/>
      <c r="T66" s="7"/>
    </row>
    <row r="67" spans="5:20" x14ac:dyDescent="0.25">
      <c r="E67"/>
      <c r="F67"/>
      <c r="G67"/>
      <c r="H67"/>
      <c r="I67"/>
      <c r="J67"/>
      <c r="K67"/>
      <c r="L67"/>
      <c r="M67"/>
      <c r="N67" s="57"/>
      <c r="O67" s="57"/>
      <c r="P67" s="58"/>
      <c r="Q67" s="57"/>
      <c r="R67" s="57"/>
      <c r="T67" s="7"/>
    </row>
    <row r="68" spans="5:20" x14ac:dyDescent="0.25">
      <c r="E68"/>
      <c r="F68"/>
      <c r="G68"/>
      <c r="H68"/>
      <c r="I68"/>
      <c r="J68"/>
      <c r="K68"/>
      <c r="L68"/>
      <c r="M68"/>
      <c r="N68" s="57"/>
      <c r="O68" s="57"/>
      <c r="P68" s="58"/>
      <c r="Q68" s="57"/>
      <c r="R68" s="57"/>
      <c r="T68" s="7"/>
    </row>
    <row r="69" spans="5:20" x14ac:dyDescent="0.25">
      <c r="E69"/>
      <c r="F69"/>
      <c r="G69"/>
      <c r="H69"/>
      <c r="I69"/>
      <c r="J69"/>
      <c r="K69"/>
      <c r="L69"/>
      <c r="M69"/>
      <c r="N69" s="57"/>
      <c r="O69" s="57"/>
      <c r="P69" s="58"/>
      <c r="Q69" s="57"/>
      <c r="R69" s="57"/>
      <c r="T69" s="7"/>
    </row>
    <row r="70" spans="5:20" x14ac:dyDescent="0.25">
      <c r="E70"/>
      <c r="F70"/>
      <c r="G70"/>
      <c r="H70"/>
      <c r="I70"/>
      <c r="J70"/>
      <c r="K70"/>
      <c r="L70"/>
      <c r="M70"/>
      <c r="N70" s="57"/>
      <c r="O70" s="57"/>
      <c r="P70" s="58"/>
      <c r="Q70" s="57"/>
      <c r="R70" s="57"/>
      <c r="T70" s="7"/>
    </row>
    <row r="71" spans="5:20" x14ac:dyDescent="0.25">
      <c r="E71"/>
      <c r="F71"/>
      <c r="G71"/>
      <c r="H71"/>
      <c r="I71"/>
      <c r="J71"/>
      <c r="K71"/>
      <c r="L71"/>
      <c r="M71"/>
      <c r="N71" s="57"/>
      <c r="O71" s="57"/>
      <c r="P71" s="58"/>
      <c r="Q71" s="57"/>
      <c r="R71" s="57"/>
      <c r="T71" s="7"/>
    </row>
    <row r="72" spans="5:20" x14ac:dyDescent="0.25">
      <c r="E72"/>
      <c r="F72"/>
      <c r="G72"/>
      <c r="H72"/>
      <c r="I72"/>
      <c r="J72"/>
      <c r="K72"/>
      <c r="L72"/>
      <c r="M72"/>
      <c r="N72" s="57"/>
      <c r="O72" s="57"/>
      <c r="P72" s="58"/>
      <c r="Q72" s="57"/>
      <c r="R72" s="57"/>
      <c r="T72" s="7"/>
    </row>
    <row r="73" spans="5:20" x14ac:dyDescent="0.25">
      <c r="E73"/>
      <c r="F73"/>
      <c r="G73"/>
      <c r="H73"/>
      <c r="I73"/>
      <c r="J73"/>
      <c r="K73"/>
      <c r="L73"/>
      <c r="M73"/>
      <c r="N73" s="57"/>
      <c r="O73" s="57"/>
      <c r="P73" s="58"/>
      <c r="Q73" s="57"/>
      <c r="R73" s="57"/>
      <c r="T73" s="7"/>
    </row>
    <row r="74" spans="5:20" x14ac:dyDescent="0.25">
      <c r="E74"/>
      <c r="F74"/>
      <c r="G74"/>
      <c r="H74"/>
      <c r="I74"/>
      <c r="J74"/>
      <c r="K74"/>
      <c r="L74"/>
      <c r="M74"/>
      <c r="N74" s="57"/>
      <c r="O74" s="57"/>
      <c r="P74" s="58"/>
      <c r="Q74" s="57"/>
      <c r="R74" s="57"/>
      <c r="T74" s="7"/>
    </row>
    <row r="75" spans="5:20" x14ac:dyDescent="0.25">
      <c r="E75"/>
      <c r="F75"/>
      <c r="G75"/>
      <c r="H75"/>
      <c r="I75"/>
      <c r="J75"/>
      <c r="K75"/>
      <c r="L75"/>
      <c r="M75"/>
      <c r="N75" s="57"/>
      <c r="O75" s="57"/>
      <c r="P75" s="58"/>
      <c r="Q75" s="57"/>
      <c r="R75" s="57"/>
      <c r="T75" s="7"/>
    </row>
    <row r="76" spans="5:20" x14ac:dyDescent="0.25">
      <c r="E76"/>
      <c r="F76"/>
      <c r="G76"/>
      <c r="H76"/>
      <c r="I76"/>
      <c r="J76"/>
      <c r="K76"/>
      <c r="L76"/>
      <c r="M76"/>
      <c r="N76" s="57"/>
      <c r="O76" s="57"/>
      <c r="P76" s="58"/>
      <c r="Q76" s="57"/>
      <c r="R76" s="57"/>
      <c r="T76" s="7"/>
    </row>
    <row r="77" spans="5:20" x14ac:dyDescent="0.25">
      <c r="E77"/>
      <c r="F77"/>
      <c r="G77"/>
      <c r="H77"/>
      <c r="I77"/>
      <c r="J77"/>
      <c r="K77"/>
      <c r="L77"/>
      <c r="M77"/>
      <c r="N77" s="57"/>
      <c r="O77" s="57"/>
      <c r="P77" s="58"/>
      <c r="Q77" s="57"/>
      <c r="R77" s="57"/>
      <c r="T77" s="7"/>
    </row>
    <row r="78" spans="5:20" x14ac:dyDescent="0.25">
      <c r="E78"/>
      <c r="F78"/>
      <c r="G78"/>
      <c r="H78"/>
      <c r="I78"/>
      <c r="J78"/>
      <c r="K78"/>
      <c r="L78"/>
      <c r="M78"/>
      <c r="N78" s="57"/>
      <c r="O78" s="57"/>
      <c r="P78" s="58"/>
      <c r="Q78" s="57"/>
      <c r="R78" s="57"/>
      <c r="T78" s="7"/>
    </row>
    <row r="79" spans="5:20" x14ac:dyDescent="0.25">
      <c r="E79"/>
      <c r="F79"/>
      <c r="G79"/>
      <c r="H79"/>
      <c r="I79"/>
      <c r="J79"/>
      <c r="K79"/>
      <c r="L79"/>
      <c r="M79"/>
      <c r="N79" s="57"/>
      <c r="O79" s="57"/>
      <c r="P79" s="58"/>
      <c r="Q79" s="57"/>
      <c r="R79" s="57"/>
    </row>
    <row r="80" spans="5:20" x14ac:dyDescent="0.25">
      <c r="E80"/>
      <c r="F80"/>
      <c r="G80"/>
      <c r="H80"/>
      <c r="I80"/>
      <c r="J80"/>
      <c r="K80"/>
      <c r="L80"/>
      <c r="M80"/>
      <c r="N80" s="57"/>
      <c r="O80" s="57"/>
      <c r="P80" s="58"/>
      <c r="Q80" s="57"/>
      <c r="R80" s="57"/>
    </row>
    <row r="81" spans="5:18" x14ac:dyDescent="0.25">
      <c r="E81"/>
      <c r="F81"/>
      <c r="G81"/>
      <c r="H81"/>
      <c r="I81"/>
      <c r="J81"/>
      <c r="K81"/>
      <c r="L81"/>
      <c r="M81"/>
      <c r="N81" s="57"/>
      <c r="O81" s="57"/>
      <c r="P81" s="58"/>
      <c r="Q81" s="57"/>
      <c r="R81" s="57"/>
    </row>
    <row r="82" spans="5:18" x14ac:dyDescent="0.25">
      <c r="E82"/>
      <c r="F82"/>
      <c r="G82"/>
      <c r="H82"/>
      <c r="I82"/>
      <c r="J82"/>
      <c r="K82"/>
      <c r="L82"/>
      <c r="M82"/>
      <c r="N82" s="57"/>
      <c r="O82" s="57"/>
      <c r="P82" s="58"/>
      <c r="Q82" s="57"/>
      <c r="R82" s="57"/>
    </row>
    <row r="83" spans="5:18" x14ac:dyDescent="0.25">
      <c r="E83"/>
      <c r="F83"/>
      <c r="G83"/>
      <c r="H83"/>
      <c r="I83"/>
      <c r="J83"/>
      <c r="K83"/>
      <c r="L83"/>
      <c r="M83"/>
      <c r="N83" s="57"/>
      <c r="O83" s="57"/>
      <c r="P83" s="58"/>
      <c r="Q83" s="57"/>
      <c r="R83" s="57"/>
    </row>
    <row r="84" spans="5:18" x14ac:dyDescent="0.25">
      <c r="E84"/>
      <c r="F84"/>
      <c r="G84"/>
      <c r="H84"/>
      <c r="I84"/>
      <c r="J84"/>
      <c r="K84"/>
      <c r="L84"/>
      <c r="M84"/>
      <c r="N84" s="57"/>
      <c r="O84" s="57"/>
      <c r="P84" s="58"/>
      <c r="Q84" s="57"/>
      <c r="R84" s="57"/>
    </row>
    <row r="85" spans="5:18" x14ac:dyDescent="0.25">
      <c r="E85"/>
      <c r="F85"/>
      <c r="G85"/>
      <c r="H85"/>
      <c r="I85"/>
      <c r="J85"/>
      <c r="K85"/>
      <c r="L85"/>
      <c r="M85"/>
      <c r="N85" s="57"/>
      <c r="O85" s="57"/>
      <c r="P85" s="58"/>
      <c r="Q85" s="57"/>
      <c r="R85" s="57"/>
    </row>
    <row r="86" spans="5:18" x14ac:dyDescent="0.25">
      <c r="E86"/>
      <c r="F86"/>
      <c r="G86"/>
      <c r="H86"/>
      <c r="I86"/>
      <c r="J86"/>
      <c r="K86"/>
      <c r="L86"/>
      <c r="M86"/>
      <c r="N86" s="57"/>
      <c r="O86" s="57"/>
      <c r="P86" s="58"/>
      <c r="Q86" s="57"/>
      <c r="R86" s="57"/>
    </row>
    <row r="87" spans="5:18" x14ac:dyDescent="0.25">
      <c r="E87"/>
      <c r="F87"/>
      <c r="G87"/>
      <c r="H87"/>
      <c r="I87"/>
      <c r="J87"/>
      <c r="K87"/>
      <c r="L87"/>
      <c r="M87"/>
      <c r="N87" s="57"/>
      <c r="O87" s="57"/>
      <c r="P87" s="58"/>
      <c r="Q87" s="57"/>
      <c r="R87" s="57"/>
    </row>
    <row r="88" spans="5:18" x14ac:dyDescent="0.25">
      <c r="E88"/>
      <c r="F88"/>
      <c r="G88"/>
      <c r="H88"/>
      <c r="I88"/>
      <c r="J88"/>
      <c r="K88"/>
      <c r="L88"/>
      <c r="M88"/>
      <c r="N88" s="57"/>
      <c r="O88" s="57"/>
      <c r="P88" s="58"/>
      <c r="Q88" s="57"/>
      <c r="R88" s="57"/>
    </row>
    <row r="89" spans="5:18" x14ac:dyDescent="0.25">
      <c r="E89"/>
      <c r="F89"/>
      <c r="G89"/>
      <c r="H89"/>
      <c r="I89"/>
      <c r="J89"/>
      <c r="K89"/>
      <c r="L89"/>
      <c r="M89"/>
      <c r="N89" s="57"/>
      <c r="O89" s="57"/>
      <c r="P89" s="58"/>
      <c r="Q89" s="57"/>
      <c r="R89" s="57"/>
    </row>
    <row r="90" spans="5:18" x14ac:dyDescent="0.25">
      <c r="E90"/>
      <c r="F90"/>
      <c r="G90"/>
      <c r="H90"/>
      <c r="I90"/>
      <c r="J90"/>
      <c r="K90"/>
      <c r="L90"/>
      <c r="M90"/>
      <c r="N90" s="57"/>
      <c r="O90" s="57"/>
      <c r="P90" s="58"/>
      <c r="Q90" s="57"/>
      <c r="R90" s="57"/>
    </row>
    <row r="91" spans="5:18" x14ac:dyDescent="0.25">
      <c r="E91"/>
      <c r="F91"/>
      <c r="G91"/>
      <c r="H91"/>
      <c r="I91"/>
      <c r="J91"/>
      <c r="K91"/>
      <c r="L91"/>
      <c r="M91"/>
      <c r="N91" s="57"/>
      <c r="O91" s="57"/>
      <c r="P91" s="58"/>
      <c r="Q91" s="57"/>
      <c r="R91" s="57"/>
    </row>
    <row r="92" spans="5:18" x14ac:dyDescent="0.25">
      <c r="E92"/>
      <c r="F92"/>
      <c r="G92"/>
      <c r="H92"/>
      <c r="I92"/>
      <c r="J92"/>
      <c r="K92"/>
      <c r="L92"/>
      <c r="M92"/>
      <c r="N92" s="57"/>
      <c r="O92" s="57"/>
      <c r="P92" s="58"/>
      <c r="Q92" s="57"/>
      <c r="R92" s="57"/>
    </row>
    <row r="93" spans="5:18" x14ac:dyDescent="0.25">
      <c r="E93"/>
      <c r="F93"/>
      <c r="G93"/>
      <c r="H93"/>
      <c r="I93"/>
      <c r="J93"/>
      <c r="K93"/>
      <c r="L93"/>
      <c r="M93"/>
      <c r="N93" s="57"/>
      <c r="O93" s="57"/>
      <c r="P93" s="58"/>
      <c r="Q93" s="57"/>
      <c r="R93" s="57"/>
    </row>
    <row r="94" spans="5:18" x14ac:dyDescent="0.25">
      <c r="E94"/>
      <c r="F94"/>
      <c r="G94"/>
      <c r="H94"/>
      <c r="I94"/>
      <c r="J94"/>
      <c r="K94"/>
      <c r="L94"/>
      <c r="M94"/>
      <c r="N94" s="57"/>
      <c r="O94" s="57"/>
      <c r="P94" s="58"/>
      <c r="Q94" s="57"/>
      <c r="R94" s="57"/>
    </row>
    <row r="95" spans="5:18" x14ac:dyDescent="0.25">
      <c r="E95"/>
      <c r="F95"/>
      <c r="G95"/>
      <c r="H95"/>
      <c r="I95"/>
      <c r="J95"/>
      <c r="K95"/>
      <c r="L95"/>
      <c r="M95"/>
      <c r="N95" s="57"/>
      <c r="O95" s="57"/>
      <c r="P95" s="58"/>
      <c r="Q95" s="57"/>
      <c r="R95" s="57"/>
    </row>
    <row r="96" spans="5:18" x14ac:dyDescent="0.25">
      <c r="E96" s="57"/>
      <c r="F96" s="57"/>
      <c r="G96" s="57"/>
      <c r="H96" s="57"/>
      <c r="I96" s="57"/>
      <c r="J96" s="57"/>
      <c r="K96" s="57"/>
      <c r="L96" s="57"/>
      <c r="M96" s="57"/>
      <c r="N96" s="57"/>
      <c r="O96" s="57"/>
      <c r="P96" s="58"/>
      <c r="Q96" s="57"/>
      <c r="R96" s="57"/>
    </row>
    <row r="97" spans="5:18" x14ac:dyDescent="0.25">
      <c r="E97" s="57"/>
      <c r="F97" s="57"/>
      <c r="G97" s="57"/>
      <c r="H97" s="57"/>
      <c r="I97" s="57"/>
      <c r="J97" s="57"/>
      <c r="K97" s="57"/>
      <c r="L97" s="57"/>
      <c r="M97" s="57"/>
      <c r="N97" s="57"/>
      <c r="O97" s="57"/>
      <c r="P97" s="58"/>
      <c r="Q97" s="57"/>
      <c r="R97" s="57"/>
    </row>
    <row r="98" spans="5:18" x14ac:dyDescent="0.25">
      <c r="E98" s="57"/>
      <c r="F98" s="57"/>
      <c r="G98" s="57"/>
      <c r="H98" s="57"/>
      <c r="I98" s="57"/>
      <c r="J98" s="57"/>
      <c r="K98" s="57"/>
      <c r="L98" s="57"/>
      <c r="M98" s="57"/>
      <c r="N98" s="57"/>
      <c r="O98" s="57"/>
      <c r="P98" s="58"/>
      <c r="Q98" s="57"/>
      <c r="R98" s="57"/>
    </row>
    <row r="99" spans="5:18" x14ac:dyDescent="0.25">
      <c r="E99" s="57"/>
      <c r="F99" s="57"/>
      <c r="G99" s="57"/>
      <c r="H99" s="57"/>
      <c r="I99" s="57"/>
      <c r="J99" s="57"/>
      <c r="K99" s="57"/>
      <c r="L99" s="57"/>
      <c r="M99" s="57"/>
      <c r="N99" s="57"/>
      <c r="O99" s="57"/>
      <c r="P99" s="58"/>
      <c r="Q99" s="57"/>
      <c r="R99" s="57"/>
    </row>
    <row r="100" spans="5:18" x14ac:dyDescent="0.25">
      <c r="E100" s="57"/>
      <c r="F100" s="57"/>
      <c r="G100" s="57"/>
      <c r="H100" s="57"/>
      <c r="I100" s="57"/>
      <c r="J100" s="57"/>
      <c r="K100" s="57"/>
      <c r="L100" s="57"/>
      <c r="M100" s="57"/>
      <c r="N100" s="57"/>
      <c r="O100" s="57"/>
      <c r="P100" s="58"/>
      <c r="Q100" s="57"/>
      <c r="R100" s="57"/>
    </row>
    <row r="101" spans="5:18" x14ac:dyDescent="0.25">
      <c r="E101" s="57"/>
      <c r="F101" s="57"/>
      <c r="G101" s="57"/>
      <c r="H101" s="57"/>
      <c r="I101" s="57"/>
      <c r="J101" s="57"/>
      <c r="K101" s="57"/>
      <c r="L101" s="57"/>
      <c r="M101" s="57"/>
      <c r="N101" s="57"/>
      <c r="O101" s="57"/>
      <c r="P101" s="58"/>
      <c r="Q101" s="57"/>
      <c r="R101" s="57"/>
    </row>
    <row r="102" spans="5:18" x14ac:dyDescent="0.25">
      <c r="E102" s="57"/>
      <c r="F102" s="57"/>
      <c r="G102" s="57"/>
      <c r="H102" s="57"/>
      <c r="I102" s="57"/>
      <c r="J102" s="57"/>
      <c r="K102" s="57"/>
      <c r="L102" s="57"/>
      <c r="M102" s="57"/>
      <c r="N102" s="57"/>
      <c r="O102" s="57"/>
      <c r="P102" s="58"/>
      <c r="Q102" s="57"/>
      <c r="R102" s="57"/>
    </row>
    <row r="103" spans="5:18" x14ac:dyDescent="0.25">
      <c r="E103" s="57"/>
      <c r="F103" s="57"/>
      <c r="G103" s="57"/>
      <c r="H103" s="57"/>
      <c r="I103" s="57"/>
      <c r="J103" s="57"/>
      <c r="K103" s="57"/>
      <c r="L103" s="57"/>
      <c r="M103" s="57"/>
      <c r="N103" s="57"/>
      <c r="O103" s="57"/>
      <c r="P103" s="58"/>
      <c r="Q103" s="57"/>
      <c r="R103" s="57"/>
    </row>
    <row r="104" spans="5:18" x14ac:dyDescent="0.25">
      <c r="E104" s="57"/>
      <c r="F104" s="57"/>
      <c r="G104" s="57"/>
      <c r="H104" s="57"/>
      <c r="I104" s="57"/>
      <c r="J104" s="57"/>
      <c r="K104" s="57"/>
      <c r="L104" s="57"/>
      <c r="M104" s="57"/>
      <c r="N104" s="57"/>
      <c r="O104" s="57"/>
      <c r="P104" s="58"/>
      <c r="Q104" s="57"/>
      <c r="R104" s="57"/>
    </row>
    <row r="105" spans="5:18" x14ac:dyDescent="0.25">
      <c r="E105" s="57"/>
      <c r="F105" s="57"/>
      <c r="G105" s="57"/>
      <c r="H105" s="57"/>
      <c r="I105" s="57"/>
      <c r="J105" s="57"/>
      <c r="K105" s="57"/>
      <c r="L105" s="57"/>
      <c r="M105" s="57"/>
      <c r="N105" s="57"/>
      <c r="O105" s="57"/>
      <c r="P105" s="58"/>
      <c r="Q105" s="57"/>
      <c r="R105" s="57"/>
    </row>
    <row r="106" spans="5:18" x14ac:dyDescent="0.25">
      <c r="E106" s="57"/>
      <c r="F106" s="57"/>
      <c r="G106" s="57"/>
      <c r="H106" s="57"/>
      <c r="I106" s="57"/>
      <c r="J106" s="57"/>
      <c r="K106" s="57"/>
      <c r="L106" s="57"/>
      <c r="M106" s="57"/>
      <c r="N106" s="57"/>
      <c r="O106" s="57"/>
      <c r="P106" s="58"/>
      <c r="Q106" s="57"/>
      <c r="R106" s="57"/>
    </row>
    <row r="107" spans="5:18" x14ac:dyDescent="0.25">
      <c r="E107" s="57"/>
      <c r="F107" s="57"/>
      <c r="G107" s="57"/>
      <c r="H107" s="57"/>
      <c r="I107" s="57"/>
      <c r="J107" s="57"/>
      <c r="K107" s="57"/>
      <c r="L107" s="57"/>
      <c r="M107" s="57"/>
      <c r="N107" s="57"/>
      <c r="O107" s="57"/>
      <c r="P107" s="58"/>
      <c r="Q107" s="57"/>
      <c r="R107" s="57"/>
    </row>
    <row r="108" spans="5:18" x14ac:dyDescent="0.25">
      <c r="E108" s="57"/>
      <c r="F108" s="57"/>
      <c r="G108" s="57"/>
      <c r="H108" s="57"/>
      <c r="I108" s="57"/>
      <c r="J108" s="57"/>
      <c r="K108" s="57"/>
      <c r="L108" s="57"/>
      <c r="M108" s="57"/>
      <c r="N108" s="57"/>
      <c r="O108" s="57"/>
      <c r="P108" s="58"/>
      <c r="Q108" s="57"/>
      <c r="R108" s="57"/>
    </row>
    <row r="109" spans="5:18" x14ac:dyDescent="0.25">
      <c r="E109" s="57"/>
      <c r="F109" s="57"/>
      <c r="G109" s="57"/>
      <c r="H109" s="57"/>
      <c r="I109" s="57"/>
      <c r="J109" s="57"/>
      <c r="K109" s="57"/>
      <c r="L109" s="57"/>
      <c r="M109" s="57"/>
      <c r="N109" s="57"/>
      <c r="O109" s="57"/>
      <c r="P109" s="58"/>
      <c r="Q109" s="57"/>
      <c r="R109" s="57"/>
    </row>
    <row r="110" spans="5:18" x14ac:dyDescent="0.25">
      <c r="E110" s="57"/>
      <c r="F110" s="57"/>
      <c r="G110" s="57"/>
      <c r="H110" s="57"/>
      <c r="I110" s="57"/>
      <c r="J110" s="57"/>
      <c r="K110" s="57"/>
      <c r="L110" s="57"/>
      <c r="M110" s="57"/>
      <c r="N110" s="57"/>
      <c r="O110" s="57"/>
      <c r="P110" s="58"/>
      <c r="Q110" s="57"/>
      <c r="R110" s="57"/>
    </row>
    <row r="111" spans="5:18" x14ac:dyDescent="0.25">
      <c r="E111" s="57"/>
      <c r="F111" s="57"/>
      <c r="G111" s="57"/>
      <c r="H111" s="57"/>
      <c r="I111" s="57"/>
      <c r="J111" s="57"/>
      <c r="K111" s="57"/>
      <c r="L111" s="57"/>
      <c r="M111" s="57"/>
      <c r="N111" s="57"/>
      <c r="O111" s="57"/>
      <c r="P111" s="58"/>
      <c r="Q111" s="57"/>
      <c r="R111" s="57"/>
    </row>
    <row r="112" spans="5:18" x14ac:dyDescent="0.25">
      <c r="E112" s="57"/>
      <c r="F112" s="57"/>
      <c r="G112" s="57"/>
      <c r="H112" s="57"/>
      <c r="I112" s="57"/>
      <c r="J112" s="57"/>
      <c r="K112" s="57"/>
      <c r="L112" s="57"/>
      <c r="M112" s="57"/>
      <c r="N112" s="57"/>
      <c r="O112" s="57"/>
      <c r="P112" s="58"/>
      <c r="Q112" s="57"/>
      <c r="R112" s="57"/>
    </row>
    <row r="113" spans="5:18" x14ac:dyDescent="0.25">
      <c r="E113" s="57"/>
      <c r="F113" s="57"/>
      <c r="G113" s="57"/>
      <c r="H113" s="57"/>
      <c r="I113" s="57"/>
      <c r="J113" s="57"/>
      <c r="K113" s="57"/>
      <c r="L113" s="57"/>
      <c r="M113" s="57"/>
      <c r="N113" s="57"/>
      <c r="O113" s="57"/>
      <c r="P113" s="58"/>
      <c r="Q113" s="57"/>
      <c r="R113" s="57"/>
    </row>
    <row r="114" spans="5:18" x14ac:dyDescent="0.25">
      <c r="E114" s="57"/>
      <c r="F114" s="57"/>
      <c r="G114" s="57"/>
      <c r="H114" s="57"/>
      <c r="I114" s="57"/>
      <c r="J114" s="57"/>
      <c r="K114" s="57"/>
      <c r="L114" s="57"/>
      <c r="M114" s="57"/>
      <c r="N114" s="57"/>
      <c r="O114" s="57"/>
      <c r="P114" s="58"/>
      <c r="Q114" s="57"/>
      <c r="R114" s="57"/>
    </row>
    <row r="115" spans="5:18" x14ac:dyDescent="0.25">
      <c r="E115" s="57"/>
      <c r="F115" s="57"/>
      <c r="G115" s="57"/>
      <c r="H115" s="57"/>
      <c r="I115" s="57"/>
      <c r="J115" s="57"/>
      <c r="K115" s="57"/>
      <c r="L115" s="57"/>
      <c r="M115" s="57"/>
      <c r="N115" s="57"/>
      <c r="O115" s="57"/>
      <c r="P115" s="58"/>
      <c r="Q115" s="57"/>
      <c r="R115" s="57"/>
    </row>
    <row r="116" spans="5:18" x14ac:dyDescent="0.25">
      <c r="E116" s="57"/>
      <c r="F116" s="57"/>
      <c r="G116" s="57"/>
      <c r="H116" s="57"/>
      <c r="I116" s="57"/>
      <c r="J116" s="57"/>
      <c r="K116" s="57"/>
      <c r="L116" s="57"/>
      <c r="M116" s="57"/>
      <c r="N116" s="57"/>
      <c r="O116" s="57"/>
      <c r="P116" s="58"/>
      <c r="Q116" s="57"/>
      <c r="R116" s="57"/>
    </row>
    <row r="117" spans="5:18" x14ac:dyDescent="0.25">
      <c r="E117" s="57"/>
      <c r="F117" s="57"/>
      <c r="G117" s="57"/>
      <c r="H117" s="57"/>
      <c r="I117" s="57"/>
      <c r="J117" s="57"/>
      <c r="K117" s="57"/>
      <c r="L117" s="57"/>
      <c r="M117" s="57"/>
      <c r="N117" s="57"/>
      <c r="O117" s="57"/>
      <c r="P117" s="58"/>
      <c r="Q117" s="57"/>
      <c r="R117" s="57"/>
    </row>
    <row r="118" spans="5:18" x14ac:dyDescent="0.25">
      <c r="E118" s="57"/>
      <c r="F118" s="57"/>
      <c r="G118" s="57"/>
      <c r="H118" s="57"/>
      <c r="I118" s="57"/>
      <c r="J118" s="57"/>
      <c r="K118" s="57"/>
      <c r="L118" s="57"/>
      <c r="M118" s="57"/>
      <c r="N118" s="57"/>
      <c r="O118" s="57"/>
      <c r="P118" s="58"/>
      <c r="Q118" s="57"/>
      <c r="R118" s="57"/>
    </row>
    <row r="119" spans="5:18" x14ac:dyDescent="0.25">
      <c r="E119" s="57"/>
      <c r="F119" s="57"/>
      <c r="G119" s="57"/>
      <c r="H119" s="57"/>
      <c r="I119" s="57"/>
      <c r="J119" s="57"/>
      <c r="K119" s="57"/>
      <c r="L119" s="57"/>
      <c r="M119" s="57"/>
      <c r="N119" s="57"/>
      <c r="O119" s="57"/>
      <c r="P119" s="58"/>
      <c r="Q119" s="57"/>
      <c r="R119" s="57"/>
    </row>
    <row r="120" spans="5:18" x14ac:dyDescent="0.25">
      <c r="E120" s="57"/>
      <c r="F120" s="57"/>
      <c r="G120" s="57"/>
      <c r="H120" s="57"/>
      <c r="I120" s="57"/>
      <c r="J120" s="57"/>
      <c r="K120" s="57"/>
      <c r="L120" s="57"/>
      <c r="M120" s="57"/>
      <c r="N120" s="57"/>
      <c r="O120" s="57"/>
      <c r="P120" s="58"/>
      <c r="Q120" s="57"/>
      <c r="R120" s="57"/>
    </row>
    <row r="121" spans="5:18" x14ac:dyDescent="0.25">
      <c r="E121" s="57"/>
      <c r="F121" s="57"/>
      <c r="G121" s="57"/>
      <c r="H121" s="57"/>
      <c r="I121" s="57"/>
      <c r="J121" s="57"/>
      <c r="K121" s="57"/>
      <c r="L121" s="57"/>
      <c r="M121" s="57"/>
      <c r="N121" s="57"/>
      <c r="O121" s="57"/>
      <c r="P121" s="58"/>
      <c r="Q121" s="57"/>
      <c r="R121" s="57"/>
    </row>
    <row r="122" spans="5:18" x14ac:dyDescent="0.25">
      <c r="E122" s="57"/>
      <c r="F122" s="57"/>
      <c r="G122" s="57"/>
      <c r="H122" s="57"/>
      <c r="I122" s="57"/>
      <c r="J122" s="57"/>
      <c r="K122" s="57"/>
      <c r="L122" s="57"/>
      <c r="M122" s="57"/>
      <c r="N122" s="57"/>
      <c r="O122" s="57"/>
      <c r="P122" s="58"/>
      <c r="Q122" s="57"/>
      <c r="R122" s="57"/>
    </row>
    <row r="123" spans="5:18" x14ac:dyDescent="0.25">
      <c r="E123" s="57"/>
      <c r="F123" s="57"/>
      <c r="G123" s="57"/>
      <c r="H123" s="57"/>
      <c r="I123" s="57"/>
      <c r="J123" s="57"/>
      <c r="K123" s="57"/>
      <c r="L123" s="57"/>
      <c r="M123" s="57"/>
      <c r="N123" s="57"/>
      <c r="O123" s="57"/>
      <c r="P123" s="58"/>
      <c r="Q123" s="57"/>
      <c r="R123" s="57"/>
    </row>
    <row r="124" spans="5:18" x14ac:dyDescent="0.25">
      <c r="E124" s="57"/>
      <c r="F124" s="57"/>
      <c r="G124" s="57"/>
      <c r="H124" s="57"/>
      <c r="I124" s="57"/>
      <c r="J124" s="57"/>
      <c r="K124" s="57"/>
      <c r="L124" s="57"/>
      <c r="M124" s="57"/>
      <c r="N124" s="57"/>
      <c r="O124" s="57"/>
      <c r="P124" s="58"/>
      <c r="Q124" s="57"/>
      <c r="R124" s="57"/>
    </row>
    <row r="125" spans="5:18" x14ac:dyDescent="0.25">
      <c r="E125" s="57"/>
      <c r="F125" s="57"/>
      <c r="G125" s="57"/>
      <c r="H125" s="57"/>
      <c r="I125" s="57"/>
      <c r="J125" s="57"/>
      <c r="K125" s="57"/>
      <c r="L125" s="57"/>
      <c r="M125" s="57"/>
      <c r="N125" s="57"/>
      <c r="O125" s="57"/>
      <c r="P125" s="58"/>
      <c r="Q125" s="57"/>
      <c r="R125" s="57"/>
    </row>
    <row r="126" spans="5:18" x14ac:dyDescent="0.25">
      <c r="E126" s="57"/>
      <c r="F126" s="57"/>
      <c r="G126" s="57"/>
      <c r="H126" s="57"/>
      <c r="I126" s="57"/>
      <c r="J126" s="57"/>
      <c r="K126" s="57"/>
      <c r="L126" s="57"/>
      <c r="M126" s="57"/>
      <c r="N126" s="57"/>
      <c r="O126" s="57"/>
      <c r="P126" s="58"/>
      <c r="Q126" s="57"/>
      <c r="R126" s="57"/>
    </row>
    <row r="127" spans="5:18" x14ac:dyDescent="0.25">
      <c r="E127" s="57"/>
      <c r="F127" s="57"/>
      <c r="G127" s="57"/>
      <c r="H127" s="57"/>
      <c r="I127" s="57"/>
      <c r="J127" s="57"/>
      <c r="K127" s="57"/>
      <c r="L127" s="57"/>
      <c r="M127" s="57"/>
      <c r="N127" s="57"/>
      <c r="O127" s="57"/>
      <c r="P127" s="58"/>
      <c r="Q127" s="57"/>
      <c r="R127" s="57"/>
    </row>
    <row r="128" spans="5:18" x14ac:dyDescent="0.25">
      <c r="E128" s="57"/>
      <c r="F128" s="57"/>
      <c r="G128" s="57"/>
      <c r="H128" s="57"/>
      <c r="I128" s="57"/>
      <c r="J128" s="57"/>
      <c r="K128" s="57"/>
      <c r="L128" s="57"/>
      <c r="M128" s="57"/>
      <c r="N128" s="57"/>
      <c r="O128" s="57"/>
      <c r="P128" s="58"/>
      <c r="Q128" s="57"/>
      <c r="R128" s="57"/>
    </row>
    <row r="129" spans="5:18" x14ac:dyDescent="0.25">
      <c r="E129" s="57"/>
      <c r="F129" s="57"/>
      <c r="G129" s="57"/>
      <c r="H129" s="57"/>
      <c r="I129" s="57"/>
      <c r="J129" s="57"/>
      <c r="K129" s="57"/>
      <c r="L129" s="57"/>
      <c r="M129" s="57"/>
      <c r="N129" s="57"/>
      <c r="O129" s="57"/>
      <c r="P129" s="58"/>
      <c r="Q129" s="57"/>
      <c r="R129" s="57"/>
    </row>
    <row r="130" spans="5:18" x14ac:dyDescent="0.25">
      <c r="E130" s="57"/>
      <c r="F130" s="57"/>
      <c r="G130" s="57"/>
      <c r="H130" s="57"/>
      <c r="I130" s="57"/>
      <c r="J130" s="57"/>
      <c r="K130" s="57"/>
      <c r="L130" s="57"/>
      <c r="M130" s="57"/>
      <c r="N130" s="57"/>
      <c r="O130" s="57"/>
      <c r="P130" s="58"/>
      <c r="Q130" s="57"/>
      <c r="R130" s="57"/>
    </row>
    <row r="131" spans="5:18" x14ac:dyDescent="0.25">
      <c r="E131" s="57"/>
      <c r="F131" s="57"/>
      <c r="G131" s="57"/>
      <c r="H131" s="57"/>
      <c r="I131" s="57"/>
      <c r="J131" s="57"/>
      <c r="K131" s="57"/>
      <c r="L131" s="57"/>
      <c r="M131" s="57"/>
      <c r="N131" s="57"/>
      <c r="O131" s="57"/>
      <c r="P131" s="58"/>
      <c r="Q131" s="57"/>
      <c r="R131" s="57"/>
    </row>
    <row r="132" spans="5:18" x14ac:dyDescent="0.25">
      <c r="E132" s="57"/>
      <c r="F132" s="57"/>
      <c r="G132" s="57"/>
      <c r="H132" s="57"/>
      <c r="I132" s="57"/>
      <c r="J132" s="57"/>
      <c r="K132" s="57"/>
      <c r="L132" s="57"/>
      <c r="M132" s="57"/>
      <c r="N132" s="57"/>
      <c r="O132" s="57"/>
      <c r="P132" s="58"/>
      <c r="Q132" s="57"/>
      <c r="R132" s="57"/>
    </row>
    <row r="133" spans="5:18" x14ac:dyDescent="0.25">
      <c r="E133" s="57"/>
      <c r="F133" s="57"/>
      <c r="G133" s="57"/>
      <c r="H133" s="57"/>
      <c r="I133" s="57"/>
      <c r="J133" s="57"/>
      <c r="K133" s="57"/>
      <c r="L133" s="57"/>
      <c r="M133" s="57"/>
      <c r="N133" s="57"/>
      <c r="O133" s="57"/>
      <c r="P133" s="58"/>
      <c r="Q133" s="57"/>
      <c r="R133" s="57"/>
    </row>
    <row r="134" spans="5:18" x14ac:dyDescent="0.25">
      <c r="E134" s="57"/>
      <c r="F134" s="57"/>
      <c r="G134" s="57"/>
      <c r="H134" s="57"/>
      <c r="I134" s="57"/>
      <c r="J134" s="57"/>
      <c r="K134" s="57"/>
      <c r="L134" s="57"/>
      <c r="M134" s="57"/>
      <c r="N134" s="57"/>
      <c r="O134" s="57"/>
      <c r="P134" s="58"/>
      <c r="Q134" s="57"/>
      <c r="R134" s="57"/>
    </row>
    <row r="135" spans="5:18" x14ac:dyDescent="0.25">
      <c r="E135" s="57"/>
      <c r="F135" s="57"/>
      <c r="G135" s="57"/>
      <c r="H135" s="57"/>
      <c r="I135" s="57"/>
      <c r="J135" s="57"/>
      <c r="K135" s="57"/>
      <c r="L135" s="57"/>
      <c r="M135" s="57"/>
      <c r="N135" s="57"/>
      <c r="O135" s="57"/>
      <c r="P135" s="58"/>
      <c r="Q135" s="57"/>
      <c r="R135" s="57"/>
    </row>
    <row r="136" spans="5:18" x14ac:dyDescent="0.25">
      <c r="E136" s="57"/>
      <c r="F136" s="57"/>
      <c r="G136" s="57"/>
      <c r="H136" s="57"/>
      <c r="I136" s="57"/>
      <c r="J136" s="57"/>
      <c r="K136" s="57"/>
      <c r="L136" s="57"/>
      <c r="M136" s="57"/>
      <c r="N136" s="57"/>
      <c r="O136" s="57"/>
      <c r="P136" s="58"/>
      <c r="Q136" s="57"/>
      <c r="R136" s="57"/>
    </row>
    <row r="137" spans="5:18" x14ac:dyDescent="0.25">
      <c r="E137" s="57"/>
      <c r="F137" s="57"/>
      <c r="G137" s="57"/>
      <c r="H137" s="57"/>
      <c r="I137" s="57"/>
      <c r="J137" s="57"/>
      <c r="K137" s="57"/>
      <c r="L137" s="57"/>
      <c r="M137" s="57"/>
      <c r="N137" s="57"/>
      <c r="O137" s="57"/>
      <c r="P137" s="58"/>
      <c r="Q137" s="57"/>
      <c r="R137" s="57"/>
    </row>
    <row r="138" spans="5:18" x14ac:dyDescent="0.25">
      <c r="E138" s="57"/>
      <c r="F138" s="57"/>
      <c r="G138" s="57"/>
      <c r="H138" s="57"/>
      <c r="I138" s="57"/>
      <c r="J138" s="57"/>
      <c r="K138" s="57"/>
      <c r="L138" s="57"/>
      <c r="M138" s="57"/>
      <c r="N138" s="57"/>
      <c r="O138" s="57"/>
      <c r="P138" s="58"/>
      <c r="Q138" s="57"/>
      <c r="R138" s="57"/>
    </row>
    <row r="139" spans="5:18" x14ac:dyDescent="0.25">
      <c r="E139" s="57"/>
      <c r="F139" s="57"/>
      <c r="G139" s="57"/>
      <c r="H139" s="57"/>
      <c r="I139" s="57"/>
      <c r="J139" s="57"/>
      <c r="K139" s="57"/>
      <c r="L139" s="57"/>
      <c r="M139" s="57"/>
      <c r="N139" s="57"/>
      <c r="O139" s="57"/>
      <c r="P139" s="58"/>
      <c r="Q139" s="57"/>
      <c r="R139" s="57"/>
    </row>
    <row r="140" spans="5:18" x14ac:dyDescent="0.25">
      <c r="E140" s="57"/>
      <c r="F140" s="57"/>
      <c r="G140" s="57"/>
      <c r="H140" s="57"/>
      <c r="I140" s="57"/>
      <c r="J140" s="57"/>
      <c r="K140" s="57"/>
      <c r="L140" s="57"/>
      <c r="M140" s="57"/>
      <c r="N140" s="57"/>
      <c r="O140" s="57"/>
      <c r="P140" s="58"/>
      <c r="Q140" s="57"/>
      <c r="R140" s="57"/>
    </row>
    <row r="141" spans="5:18" x14ac:dyDescent="0.25">
      <c r="E141" s="57"/>
      <c r="F141" s="57"/>
      <c r="G141" s="57"/>
      <c r="H141" s="57"/>
      <c r="I141" s="57"/>
      <c r="J141" s="57"/>
      <c r="K141" s="57"/>
      <c r="L141" s="57"/>
      <c r="M141" s="57"/>
      <c r="N141" s="57"/>
      <c r="O141" s="57"/>
      <c r="P141" s="58"/>
      <c r="Q141" s="57"/>
      <c r="R141" s="57"/>
    </row>
    <row r="142" spans="5:18" x14ac:dyDescent="0.25">
      <c r="E142" s="57"/>
      <c r="F142" s="57"/>
      <c r="G142" s="57"/>
      <c r="H142" s="57"/>
      <c r="I142" s="57"/>
      <c r="J142" s="57"/>
      <c r="K142" s="57"/>
      <c r="L142" s="57"/>
      <c r="M142" s="57"/>
      <c r="N142" s="57"/>
      <c r="O142" s="57"/>
      <c r="P142" s="58"/>
      <c r="Q142" s="57"/>
      <c r="R142" s="57"/>
    </row>
    <row r="143" spans="5:18" x14ac:dyDescent="0.25">
      <c r="E143" s="57"/>
      <c r="F143" s="57"/>
      <c r="G143" s="57"/>
      <c r="H143" s="57"/>
      <c r="I143" s="57"/>
      <c r="J143" s="57"/>
      <c r="K143" s="57"/>
      <c r="L143" s="57"/>
      <c r="M143" s="57"/>
      <c r="N143" s="57"/>
      <c r="O143" s="57"/>
      <c r="P143" s="58"/>
      <c r="Q143" s="57"/>
      <c r="R143" s="57"/>
    </row>
    <row r="144" spans="5:18" x14ac:dyDescent="0.25">
      <c r="E144" s="57"/>
      <c r="F144" s="57"/>
      <c r="G144" s="57"/>
      <c r="H144" s="57"/>
      <c r="I144" s="57"/>
      <c r="J144" s="57"/>
      <c r="K144" s="57"/>
      <c r="L144" s="57"/>
      <c r="M144" s="57"/>
      <c r="N144" s="57"/>
      <c r="O144" s="57"/>
      <c r="P144" s="58"/>
      <c r="Q144" s="57"/>
      <c r="R144" s="57"/>
    </row>
    <row r="145" spans="5:18" x14ac:dyDescent="0.25">
      <c r="E145" s="57"/>
      <c r="F145" s="57"/>
      <c r="G145" s="57"/>
      <c r="H145" s="57"/>
      <c r="I145" s="57"/>
      <c r="J145" s="57"/>
      <c r="K145" s="57"/>
      <c r="L145" s="57"/>
      <c r="M145" s="57"/>
      <c r="N145" s="57"/>
      <c r="O145" s="57"/>
      <c r="P145" s="58"/>
      <c r="Q145" s="57"/>
      <c r="R145" s="57"/>
    </row>
    <row r="146" spans="5:18" x14ac:dyDescent="0.25">
      <c r="E146" s="57"/>
      <c r="F146" s="57"/>
      <c r="G146" s="57"/>
      <c r="H146" s="57"/>
      <c r="I146" s="57"/>
      <c r="J146" s="57"/>
      <c r="K146" s="57"/>
      <c r="L146" s="57"/>
      <c r="M146" s="57"/>
      <c r="N146" s="57"/>
      <c r="O146" s="57"/>
      <c r="P146" s="58"/>
      <c r="Q146" s="57"/>
      <c r="R146" s="57"/>
    </row>
    <row r="147" spans="5:18" x14ac:dyDescent="0.25">
      <c r="E147" s="57"/>
      <c r="F147" s="57"/>
      <c r="G147" s="57"/>
      <c r="H147" s="57"/>
      <c r="I147" s="57"/>
      <c r="J147" s="57"/>
      <c r="K147" s="57"/>
      <c r="L147" s="57"/>
      <c r="M147" s="57"/>
      <c r="N147" s="57"/>
      <c r="O147" s="57"/>
      <c r="P147" s="58"/>
      <c r="Q147" s="57"/>
      <c r="R147" s="57"/>
    </row>
    <row r="148" spans="5:18" x14ac:dyDescent="0.25">
      <c r="E148" s="57"/>
      <c r="F148" s="57"/>
      <c r="G148" s="57"/>
      <c r="H148" s="57"/>
      <c r="I148" s="57"/>
      <c r="J148" s="57"/>
      <c r="K148" s="57"/>
      <c r="L148" s="57"/>
      <c r="M148" s="57"/>
      <c r="N148" s="57"/>
      <c r="O148" s="57"/>
      <c r="P148" s="58"/>
      <c r="Q148" s="57"/>
      <c r="R148" s="57"/>
    </row>
    <row r="149" spans="5:18" x14ac:dyDescent="0.25">
      <c r="E149" s="57"/>
      <c r="F149" s="57"/>
      <c r="G149" s="57"/>
      <c r="H149" s="57"/>
      <c r="I149" s="57"/>
      <c r="J149" s="57"/>
      <c r="K149" s="57"/>
      <c r="L149" s="57"/>
      <c r="M149" s="57"/>
      <c r="N149" s="57"/>
      <c r="O149" s="57"/>
      <c r="P149" s="58"/>
      <c r="Q149" s="57"/>
      <c r="R149" s="57"/>
    </row>
    <row r="150" spans="5:18" x14ac:dyDescent="0.25">
      <c r="E150" s="57"/>
      <c r="F150" s="57"/>
      <c r="G150" s="57"/>
      <c r="H150" s="57"/>
      <c r="I150" s="57"/>
      <c r="J150" s="57"/>
      <c r="K150" s="57"/>
      <c r="L150" s="57"/>
      <c r="M150" s="57"/>
      <c r="N150" s="57"/>
      <c r="O150" s="57"/>
      <c r="P150" s="58"/>
      <c r="Q150" s="57"/>
      <c r="R150" s="57"/>
    </row>
    <row r="151" spans="5:18" x14ac:dyDescent="0.25">
      <c r="E151" s="57"/>
      <c r="F151" s="57"/>
      <c r="G151" s="57"/>
      <c r="H151" s="57"/>
      <c r="I151" s="57"/>
      <c r="J151" s="57"/>
      <c r="K151" s="57"/>
      <c r="L151" s="57"/>
      <c r="M151" s="57"/>
      <c r="N151" s="57"/>
      <c r="O151" s="57"/>
      <c r="P151" s="58"/>
      <c r="Q151" s="57"/>
      <c r="R151" s="57"/>
    </row>
    <row r="152" spans="5:18" x14ac:dyDescent="0.25">
      <c r="E152" s="57"/>
      <c r="F152" s="57"/>
      <c r="G152" s="57"/>
      <c r="H152" s="57"/>
      <c r="I152" s="57"/>
      <c r="J152" s="57"/>
      <c r="K152" s="57"/>
      <c r="L152" s="57"/>
      <c r="M152" s="57"/>
      <c r="N152" s="57"/>
      <c r="O152" s="57"/>
      <c r="P152" s="58"/>
      <c r="Q152" s="57"/>
      <c r="R152" s="57"/>
    </row>
    <row r="153" spans="5:18" x14ac:dyDescent="0.25">
      <c r="E153" s="57"/>
      <c r="F153" s="57"/>
      <c r="G153" s="57"/>
      <c r="H153" s="57"/>
      <c r="I153" s="57"/>
      <c r="J153" s="57"/>
      <c r="K153" s="57"/>
      <c r="L153" s="57"/>
      <c r="M153" s="57"/>
      <c r="N153" s="57"/>
      <c r="O153" s="57"/>
      <c r="P153" s="58"/>
      <c r="Q153" s="57"/>
      <c r="R153" s="57"/>
    </row>
    <row r="154" spans="5:18" x14ac:dyDescent="0.25">
      <c r="E154" s="57"/>
      <c r="F154" s="57"/>
      <c r="G154" s="57"/>
      <c r="H154" s="57"/>
      <c r="I154" s="57"/>
      <c r="J154" s="57"/>
      <c r="K154" s="57"/>
      <c r="L154" s="57"/>
      <c r="M154" s="57"/>
      <c r="N154" s="57"/>
      <c r="O154" s="57"/>
      <c r="P154" s="58"/>
      <c r="Q154" s="57"/>
      <c r="R154" s="57"/>
    </row>
    <row r="155" spans="5:18" x14ac:dyDescent="0.25">
      <c r="E155" s="57"/>
      <c r="F155" s="57"/>
      <c r="G155" s="57"/>
      <c r="H155" s="57"/>
      <c r="I155" s="57"/>
      <c r="J155" s="57"/>
      <c r="K155" s="57"/>
      <c r="L155" s="57"/>
      <c r="M155" s="57"/>
      <c r="N155" s="57"/>
      <c r="O155" s="57"/>
      <c r="P155" s="58"/>
      <c r="Q155" s="57"/>
      <c r="R155" s="57"/>
    </row>
    <row r="156" spans="5:18" x14ac:dyDescent="0.25">
      <c r="E156" s="57"/>
      <c r="F156" s="57"/>
      <c r="G156" s="57"/>
      <c r="H156" s="57"/>
      <c r="I156" s="57"/>
      <c r="J156" s="57"/>
      <c r="K156" s="57"/>
      <c r="L156" s="57"/>
      <c r="M156" s="57"/>
      <c r="N156" s="57"/>
      <c r="O156" s="57"/>
      <c r="P156" s="58"/>
      <c r="Q156" s="57"/>
      <c r="R156" s="57"/>
    </row>
    <row r="157" spans="5:18" x14ac:dyDescent="0.25">
      <c r="E157" s="57"/>
      <c r="F157" s="57"/>
      <c r="G157" s="57"/>
      <c r="H157" s="57"/>
      <c r="I157" s="57"/>
      <c r="J157" s="57"/>
      <c r="K157" s="57"/>
      <c r="L157" s="57"/>
      <c r="M157" s="57"/>
      <c r="N157" s="57"/>
      <c r="O157" s="57"/>
      <c r="P157" s="58"/>
      <c r="Q157" s="57"/>
      <c r="R157" s="57"/>
    </row>
    <row r="158" spans="5:18" x14ac:dyDescent="0.25">
      <c r="E158" s="57"/>
      <c r="F158" s="57"/>
      <c r="G158" s="57"/>
      <c r="H158" s="57"/>
      <c r="I158" s="57"/>
      <c r="J158" s="57"/>
      <c r="K158" s="57"/>
      <c r="L158" s="57"/>
      <c r="M158" s="57"/>
      <c r="N158" s="57"/>
      <c r="O158" s="57"/>
      <c r="P158" s="58"/>
      <c r="Q158" s="57"/>
      <c r="R158" s="57"/>
    </row>
    <row r="159" spans="5:18" x14ac:dyDescent="0.25">
      <c r="E159" s="57"/>
      <c r="F159" s="57"/>
      <c r="G159" s="57"/>
      <c r="H159" s="57"/>
      <c r="I159" s="57"/>
      <c r="J159" s="57"/>
      <c r="K159" s="57"/>
      <c r="L159" s="57"/>
      <c r="M159" s="57"/>
      <c r="N159" s="57"/>
      <c r="O159" s="57"/>
      <c r="P159" s="58"/>
      <c r="Q159" s="57"/>
      <c r="R159" s="57"/>
    </row>
    <row r="160" spans="5:18" x14ac:dyDescent="0.25">
      <c r="E160" s="57"/>
      <c r="F160" s="57"/>
      <c r="G160" s="57"/>
      <c r="H160" s="57"/>
      <c r="I160" s="57"/>
      <c r="J160" s="57"/>
      <c r="K160" s="57"/>
      <c r="L160" s="57"/>
      <c r="M160" s="57"/>
      <c r="N160" s="57"/>
      <c r="O160" s="57"/>
      <c r="P160" s="58"/>
      <c r="Q160" s="57"/>
      <c r="R160" s="57"/>
    </row>
    <row r="161" spans="5:18" x14ac:dyDescent="0.25">
      <c r="E161" s="57"/>
      <c r="F161" s="57"/>
      <c r="G161" s="57"/>
      <c r="H161" s="57"/>
      <c r="I161" s="57"/>
      <c r="J161" s="57"/>
      <c r="K161" s="57"/>
      <c r="L161" s="57"/>
      <c r="M161" s="57"/>
      <c r="N161" s="57"/>
      <c r="O161" s="57"/>
      <c r="P161" s="58"/>
      <c r="Q161" s="57"/>
      <c r="R161" s="57"/>
    </row>
    <row r="162" spans="5:18" x14ac:dyDescent="0.25">
      <c r="E162" s="57"/>
      <c r="F162" s="57"/>
      <c r="G162" s="57"/>
      <c r="H162" s="57"/>
      <c r="I162" s="57"/>
      <c r="J162" s="57"/>
      <c r="K162" s="57"/>
      <c r="L162" s="57"/>
      <c r="M162" s="57"/>
      <c r="N162" s="57"/>
      <c r="O162" s="57"/>
      <c r="P162" s="58"/>
      <c r="Q162" s="57"/>
      <c r="R162" s="57"/>
    </row>
    <row r="163" spans="5:18" x14ac:dyDescent="0.25">
      <c r="E163" s="57"/>
      <c r="F163" s="57"/>
      <c r="G163" s="57"/>
      <c r="H163" s="57"/>
      <c r="I163" s="57"/>
      <c r="J163" s="57"/>
      <c r="K163" s="57"/>
      <c r="L163" s="57"/>
      <c r="M163" s="57"/>
      <c r="N163" s="57"/>
      <c r="O163" s="57"/>
      <c r="P163" s="58"/>
      <c r="Q163" s="57"/>
      <c r="R163" s="57"/>
    </row>
    <row r="164" spans="5:18" x14ac:dyDescent="0.25">
      <c r="E164" s="57"/>
      <c r="F164" s="57"/>
      <c r="G164" s="57"/>
      <c r="H164" s="57"/>
      <c r="I164" s="57"/>
      <c r="J164" s="57"/>
      <c r="K164" s="57"/>
      <c r="L164" s="57"/>
      <c r="M164" s="57"/>
      <c r="N164" s="57"/>
      <c r="O164" s="57"/>
      <c r="P164" s="58"/>
      <c r="Q164" s="57"/>
      <c r="R164" s="57"/>
    </row>
    <row r="165" spans="5:18" x14ac:dyDescent="0.25">
      <c r="E165" s="57"/>
      <c r="F165" s="57"/>
      <c r="G165" s="57"/>
      <c r="H165" s="57"/>
      <c r="I165" s="57"/>
      <c r="J165" s="57"/>
      <c r="K165" s="57"/>
      <c r="L165" s="57"/>
      <c r="M165" s="57"/>
      <c r="N165" s="57"/>
      <c r="O165" s="57"/>
      <c r="P165" s="58"/>
      <c r="Q165" s="57"/>
      <c r="R165" s="57"/>
    </row>
    <row r="166" spans="5:18" x14ac:dyDescent="0.25">
      <c r="E166" s="57"/>
      <c r="F166" s="57"/>
      <c r="G166" s="57"/>
      <c r="H166" s="57"/>
      <c r="I166" s="57"/>
      <c r="J166" s="57"/>
      <c r="K166" s="57"/>
      <c r="L166" s="57"/>
      <c r="M166" s="57"/>
      <c r="N166" s="57"/>
      <c r="O166" s="57"/>
      <c r="P166" s="58"/>
      <c r="Q166" s="57"/>
      <c r="R166" s="57"/>
    </row>
    <row r="167" spans="5:18" x14ac:dyDescent="0.25">
      <c r="E167" s="57"/>
      <c r="F167" s="57"/>
      <c r="G167" s="57"/>
      <c r="H167" s="57"/>
      <c r="I167" s="57"/>
      <c r="J167" s="57"/>
      <c r="K167" s="57"/>
      <c r="L167" s="57"/>
      <c r="M167" s="57"/>
      <c r="N167" s="57"/>
      <c r="O167" s="57"/>
      <c r="P167" s="58"/>
      <c r="Q167" s="57"/>
      <c r="R167" s="57"/>
    </row>
    <row r="168" spans="5:18" x14ac:dyDescent="0.25">
      <c r="E168" s="57"/>
      <c r="F168" s="57"/>
      <c r="G168" s="57"/>
      <c r="H168" s="57"/>
      <c r="I168" s="57"/>
      <c r="J168" s="57"/>
      <c r="K168" s="57"/>
      <c r="L168" s="57"/>
      <c r="M168" s="57"/>
      <c r="N168" s="57"/>
      <c r="O168" s="57"/>
      <c r="P168" s="58"/>
      <c r="Q168" s="57"/>
      <c r="R168" s="57"/>
    </row>
    <row r="169" spans="5:18" x14ac:dyDescent="0.25">
      <c r="E169" s="57"/>
      <c r="F169" s="57"/>
      <c r="G169" s="57"/>
      <c r="H169" s="57"/>
      <c r="I169" s="57"/>
      <c r="J169" s="57"/>
      <c r="K169" s="57"/>
      <c r="L169" s="57"/>
      <c r="M169" s="57"/>
      <c r="N169" s="57"/>
      <c r="O169" s="57"/>
      <c r="P169" s="58"/>
      <c r="Q169" s="57"/>
      <c r="R169" s="57"/>
    </row>
    <row r="170" spans="5:18" x14ac:dyDescent="0.25">
      <c r="E170" s="57"/>
      <c r="F170" s="57"/>
      <c r="G170" s="57"/>
      <c r="H170" s="57"/>
      <c r="I170" s="57"/>
      <c r="J170" s="57"/>
      <c r="K170" s="57"/>
      <c r="L170" s="57"/>
      <c r="M170" s="57"/>
      <c r="N170" s="57"/>
      <c r="O170" s="57"/>
      <c r="P170" s="58"/>
      <c r="Q170" s="57"/>
      <c r="R170" s="57"/>
    </row>
    <row r="171" spans="5:18" x14ac:dyDescent="0.25">
      <c r="E171" s="57"/>
      <c r="F171" s="57"/>
      <c r="G171" s="57"/>
      <c r="H171" s="57"/>
      <c r="I171" s="57"/>
      <c r="J171" s="57"/>
      <c r="K171" s="57"/>
      <c r="L171" s="57"/>
      <c r="M171" s="57"/>
      <c r="N171" s="57"/>
      <c r="O171" s="57"/>
      <c r="P171" s="58"/>
      <c r="Q171" s="57"/>
      <c r="R171" s="57"/>
    </row>
    <row r="172" spans="5:18" x14ac:dyDescent="0.25">
      <c r="E172" s="57"/>
      <c r="F172" s="57"/>
      <c r="G172" s="57"/>
      <c r="H172" s="57"/>
      <c r="I172" s="57"/>
      <c r="J172" s="57"/>
      <c r="K172" s="57"/>
      <c r="L172" s="57"/>
      <c r="M172" s="57"/>
      <c r="N172" s="57"/>
      <c r="O172" s="57"/>
      <c r="P172" s="58"/>
      <c r="Q172" s="57"/>
      <c r="R172" s="57"/>
    </row>
    <row r="173" spans="5:18" x14ac:dyDescent="0.25">
      <c r="E173" s="57"/>
      <c r="F173" s="57"/>
      <c r="G173" s="57"/>
      <c r="H173" s="57"/>
      <c r="I173" s="57"/>
      <c r="J173" s="57"/>
      <c r="K173" s="57"/>
      <c r="L173" s="57"/>
      <c r="M173" s="57"/>
      <c r="N173" s="57"/>
      <c r="O173" s="57"/>
      <c r="P173" s="58"/>
      <c r="Q173" s="57"/>
      <c r="R173" s="57"/>
    </row>
    <row r="174" spans="5:18" x14ac:dyDescent="0.25">
      <c r="E174" s="57"/>
      <c r="F174" s="57"/>
      <c r="G174" s="57"/>
      <c r="H174" s="57"/>
      <c r="I174" s="57"/>
      <c r="J174" s="57"/>
      <c r="K174" s="57"/>
      <c r="L174" s="57"/>
      <c r="M174" s="57"/>
      <c r="N174" s="57"/>
      <c r="O174" s="57"/>
      <c r="P174" s="58"/>
      <c r="Q174" s="57"/>
      <c r="R174" s="57"/>
    </row>
    <row r="175" spans="5:18" x14ac:dyDescent="0.25">
      <c r="E175" s="57"/>
      <c r="F175" s="57"/>
      <c r="G175" s="57"/>
      <c r="H175" s="57"/>
      <c r="I175" s="57"/>
      <c r="J175" s="57"/>
      <c r="K175" s="57"/>
      <c r="L175" s="57"/>
      <c r="M175" s="57"/>
      <c r="N175" s="57"/>
      <c r="O175" s="57"/>
      <c r="P175" s="58"/>
      <c r="Q175" s="57"/>
      <c r="R175" s="57"/>
    </row>
    <row r="176" spans="5:18" x14ac:dyDescent="0.25">
      <c r="E176" s="57"/>
      <c r="F176" s="57"/>
      <c r="G176" s="57"/>
      <c r="H176" s="57"/>
      <c r="I176" s="57"/>
      <c r="J176" s="57"/>
      <c r="K176" s="57"/>
      <c r="L176" s="57"/>
      <c r="M176" s="57"/>
      <c r="N176" s="57"/>
      <c r="O176" s="57"/>
      <c r="P176" s="58"/>
      <c r="Q176" s="57"/>
      <c r="R176" s="57"/>
    </row>
    <row r="177" spans="5:18" x14ac:dyDescent="0.25">
      <c r="E177" s="57"/>
      <c r="F177" s="57"/>
      <c r="G177" s="57"/>
      <c r="H177" s="57"/>
      <c r="I177" s="57"/>
      <c r="J177" s="57"/>
      <c r="K177" s="57"/>
      <c r="L177" s="57"/>
      <c r="M177" s="57"/>
      <c r="N177" s="57"/>
      <c r="O177" s="57"/>
      <c r="P177" s="58"/>
      <c r="Q177" s="57"/>
      <c r="R177" s="57"/>
    </row>
    <row r="178" spans="5:18" x14ac:dyDescent="0.25">
      <c r="E178" s="57"/>
      <c r="F178" s="57"/>
      <c r="G178" s="57"/>
      <c r="H178" s="57"/>
      <c r="I178" s="57"/>
      <c r="J178" s="57"/>
      <c r="K178" s="57"/>
      <c r="L178" s="57"/>
      <c r="M178" s="57"/>
      <c r="N178" s="57"/>
      <c r="O178" s="57"/>
      <c r="P178" s="58"/>
      <c r="Q178" s="57"/>
      <c r="R178" s="57"/>
    </row>
    <row r="179" spans="5:18" x14ac:dyDescent="0.25">
      <c r="E179" s="57"/>
      <c r="F179" s="57"/>
      <c r="G179" s="57"/>
      <c r="H179" s="57"/>
      <c r="I179" s="57"/>
      <c r="J179" s="57"/>
      <c r="K179" s="57"/>
      <c r="L179" s="57"/>
      <c r="M179" s="57"/>
      <c r="N179" s="57"/>
      <c r="O179" s="57"/>
      <c r="P179" s="58"/>
      <c r="Q179" s="57"/>
      <c r="R179" s="57"/>
    </row>
    <row r="180" spans="5:18" x14ac:dyDescent="0.25">
      <c r="E180" s="57"/>
      <c r="F180" s="57"/>
      <c r="G180" s="57"/>
      <c r="H180" s="57"/>
      <c r="I180" s="57"/>
      <c r="J180" s="57"/>
      <c r="K180" s="57"/>
      <c r="L180" s="57"/>
      <c r="M180" s="57"/>
      <c r="N180" s="57"/>
      <c r="O180" s="57"/>
      <c r="P180" s="58"/>
      <c r="Q180" s="57"/>
      <c r="R180" s="57"/>
    </row>
    <row r="181" spans="5:18" x14ac:dyDescent="0.25">
      <c r="E181" s="57"/>
      <c r="F181" s="57"/>
      <c r="G181" s="57"/>
      <c r="H181" s="57"/>
      <c r="I181" s="57"/>
      <c r="J181" s="57"/>
      <c r="K181" s="57"/>
      <c r="L181" s="57"/>
      <c r="M181" s="57"/>
      <c r="N181" s="57"/>
      <c r="O181" s="57"/>
      <c r="P181" s="58"/>
      <c r="Q181" s="57"/>
      <c r="R181" s="57"/>
    </row>
    <row r="182" spans="5:18" x14ac:dyDescent="0.25">
      <c r="E182" s="57"/>
      <c r="F182" s="57"/>
      <c r="G182" s="57"/>
      <c r="H182" s="57"/>
      <c r="I182" s="57"/>
      <c r="J182" s="57"/>
      <c r="K182" s="57"/>
      <c r="L182" s="57"/>
      <c r="M182" s="57"/>
      <c r="N182" s="57"/>
      <c r="O182" s="57"/>
      <c r="P182" s="58"/>
      <c r="Q182" s="57"/>
      <c r="R182" s="57"/>
    </row>
    <row r="183" spans="5:18" x14ac:dyDescent="0.25">
      <c r="E183" s="57"/>
      <c r="F183" s="57"/>
      <c r="G183" s="57"/>
      <c r="H183" s="57"/>
      <c r="I183" s="57"/>
      <c r="J183" s="57"/>
      <c r="K183" s="57"/>
      <c r="L183" s="57"/>
      <c r="M183" s="57"/>
      <c r="N183" s="57"/>
      <c r="O183" s="57"/>
      <c r="P183" s="58"/>
      <c r="Q183" s="57"/>
      <c r="R183" s="57"/>
    </row>
    <row r="184" spans="5:18" x14ac:dyDescent="0.25">
      <c r="E184" s="57"/>
      <c r="F184" s="57"/>
      <c r="G184" s="57"/>
      <c r="H184" s="57"/>
      <c r="I184" s="57"/>
      <c r="J184" s="57"/>
      <c r="K184" s="57"/>
      <c r="L184" s="57"/>
      <c r="M184" s="57"/>
      <c r="N184" s="57"/>
      <c r="O184" s="57"/>
      <c r="P184" s="58"/>
      <c r="Q184" s="57"/>
      <c r="R184" s="57"/>
    </row>
    <row r="185" spans="5:18" x14ac:dyDescent="0.25">
      <c r="E185" s="57"/>
      <c r="F185" s="57"/>
      <c r="G185" s="57"/>
      <c r="H185" s="57"/>
      <c r="I185" s="57"/>
      <c r="J185" s="57"/>
      <c r="K185" s="57"/>
      <c r="L185" s="57"/>
      <c r="M185" s="57"/>
      <c r="N185" s="57"/>
      <c r="O185" s="57"/>
      <c r="P185" s="58"/>
      <c r="Q185" s="57"/>
      <c r="R185" s="57"/>
    </row>
    <row r="186" spans="5:18" x14ac:dyDescent="0.25">
      <c r="E186" s="57"/>
      <c r="F186" s="57"/>
      <c r="G186" s="57"/>
      <c r="H186" s="57"/>
      <c r="I186" s="57"/>
      <c r="J186" s="57"/>
      <c r="K186" s="57"/>
      <c r="L186" s="57"/>
      <c r="M186" s="57"/>
      <c r="N186" s="57"/>
      <c r="O186" s="57"/>
      <c r="P186" s="58"/>
      <c r="Q186" s="57"/>
      <c r="R186" s="57"/>
    </row>
    <row r="187" spans="5:18" x14ac:dyDescent="0.25">
      <c r="E187" s="57"/>
      <c r="F187" s="57"/>
      <c r="G187" s="57"/>
      <c r="H187" s="57"/>
      <c r="I187" s="57"/>
      <c r="J187" s="57"/>
      <c r="K187" s="57"/>
      <c r="L187" s="57"/>
      <c r="M187" s="57"/>
      <c r="N187" s="57"/>
      <c r="O187" s="57"/>
      <c r="P187" s="58"/>
      <c r="Q187" s="57"/>
      <c r="R187" s="57"/>
    </row>
    <row r="188" spans="5:18" x14ac:dyDescent="0.25">
      <c r="E188" s="57"/>
      <c r="F188" s="57"/>
      <c r="G188" s="57"/>
      <c r="H188" s="57"/>
      <c r="I188" s="57"/>
      <c r="J188" s="57"/>
      <c r="K188" s="57"/>
      <c r="L188" s="57"/>
      <c r="M188" s="57"/>
      <c r="N188" s="57"/>
      <c r="O188" s="57"/>
      <c r="P188" s="58"/>
      <c r="Q188" s="57"/>
      <c r="R188" s="57"/>
    </row>
    <row r="189" spans="5:18" x14ac:dyDescent="0.25">
      <c r="E189" s="57"/>
      <c r="F189" s="57"/>
      <c r="G189" s="57"/>
      <c r="H189" s="57"/>
      <c r="I189" s="57"/>
      <c r="J189" s="57"/>
      <c r="K189" s="57"/>
      <c r="L189" s="57"/>
      <c r="M189" s="57"/>
      <c r="N189" s="57"/>
      <c r="O189" s="57"/>
      <c r="P189" s="58"/>
      <c r="Q189" s="57"/>
      <c r="R189" s="57"/>
    </row>
    <row r="190" spans="5:18" x14ac:dyDescent="0.25">
      <c r="E190" s="57"/>
      <c r="F190" s="57"/>
      <c r="G190" s="57"/>
      <c r="H190" s="57"/>
      <c r="I190" s="57"/>
      <c r="J190" s="57"/>
      <c r="K190" s="57"/>
      <c r="L190" s="57"/>
      <c r="M190" s="57"/>
      <c r="N190" s="57"/>
      <c r="O190" s="57"/>
      <c r="P190" s="58"/>
      <c r="Q190" s="57"/>
      <c r="R190" s="57"/>
    </row>
    <row r="191" spans="5:18" x14ac:dyDescent="0.25">
      <c r="E191" s="57"/>
      <c r="F191" s="57"/>
      <c r="G191" s="57"/>
      <c r="H191" s="57"/>
      <c r="I191" s="57"/>
      <c r="J191" s="57"/>
      <c r="K191" s="57"/>
      <c r="L191" s="57"/>
      <c r="M191" s="57"/>
      <c r="N191" s="57"/>
      <c r="O191" s="57"/>
      <c r="P191" s="58"/>
      <c r="Q191" s="57"/>
      <c r="R191" s="57"/>
    </row>
    <row r="192" spans="5:18" x14ac:dyDescent="0.25">
      <c r="E192" s="57"/>
      <c r="F192" s="57"/>
      <c r="G192" s="57"/>
      <c r="H192" s="57"/>
      <c r="I192" s="57"/>
      <c r="J192" s="57"/>
      <c r="K192" s="57"/>
      <c r="L192" s="57"/>
      <c r="M192" s="57"/>
      <c r="N192" s="57"/>
      <c r="O192" s="57"/>
      <c r="P192" s="58"/>
      <c r="Q192" s="57"/>
      <c r="R192" s="57"/>
    </row>
    <row r="193" spans="5:18" x14ac:dyDescent="0.25">
      <c r="E193" s="57"/>
      <c r="F193" s="57"/>
      <c r="G193" s="57"/>
      <c r="H193" s="57"/>
      <c r="I193" s="57"/>
      <c r="J193" s="57"/>
      <c r="K193" s="57"/>
      <c r="L193" s="57"/>
      <c r="M193" s="57"/>
      <c r="N193" s="57"/>
      <c r="O193" s="57"/>
      <c r="P193" s="58"/>
      <c r="Q193" s="57"/>
      <c r="R193" s="57"/>
    </row>
    <row r="194" spans="5:18" x14ac:dyDescent="0.25">
      <c r="E194" s="57"/>
      <c r="F194" s="57"/>
      <c r="G194" s="57"/>
      <c r="H194" s="57"/>
      <c r="I194" s="57"/>
      <c r="J194" s="57"/>
      <c r="K194" s="57"/>
      <c r="L194" s="57"/>
      <c r="M194" s="57"/>
      <c r="N194" s="57"/>
      <c r="O194" s="57"/>
      <c r="P194" s="58"/>
      <c r="Q194" s="57"/>
      <c r="R194" s="57"/>
    </row>
    <row r="195" spans="5:18" x14ac:dyDescent="0.25">
      <c r="E195" s="57"/>
      <c r="F195" s="57"/>
      <c r="G195" s="57"/>
      <c r="H195" s="57"/>
      <c r="I195" s="57"/>
      <c r="J195" s="57"/>
      <c r="K195" s="57"/>
      <c r="L195" s="57"/>
      <c r="M195" s="57"/>
      <c r="N195" s="57"/>
      <c r="O195" s="57"/>
      <c r="P195" s="58"/>
      <c r="Q195" s="57"/>
      <c r="R195" s="57"/>
    </row>
    <row r="196" spans="5:18" x14ac:dyDescent="0.25">
      <c r="E196" s="57"/>
      <c r="F196" s="57"/>
      <c r="G196" s="57"/>
      <c r="H196" s="57"/>
      <c r="I196" s="57"/>
      <c r="J196" s="57"/>
      <c r="K196" s="57"/>
      <c r="L196" s="57"/>
      <c r="M196" s="57"/>
      <c r="N196" s="57"/>
      <c r="O196" s="57"/>
      <c r="P196" s="58"/>
      <c r="Q196" s="57"/>
      <c r="R196" s="57"/>
    </row>
    <row r="197" spans="5:18" x14ac:dyDescent="0.25">
      <c r="E197" s="57"/>
      <c r="F197" s="57"/>
      <c r="G197" s="57"/>
      <c r="H197" s="57"/>
      <c r="I197" s="57"/>
      <c r="J197" s="57"/>
      <c r="K197" s="57"/>
      <c r="L197" s="57"/>
      <c r="M197" s="57"/>
      <c r="N197" s="57"/>
      <c r="O197" s="57"/>
      <c r="P197" s="58"/>
      <c r="Q197" s="57"/>
      <c r="R197" s="57"/>
    </row>
    <row r="198" spans="5:18" x14ac:dyDescent="0.25">
      <c r="E198" s="57"/>
      <c r="F198" s="57"/>
      <c r="G198" s="57"/>
      <c r="H198" s="57"/>
      <c r="I198" s="57"/>
      <c r="J198" s="57"/>
      <c r="K198" s="57"/>
      <c r="L198" s="57"/>
      <c r="M198" s="57"/>
      <c r="N198" s="57"/>
      <c r="O198" s="57"/>
      <c r="P198" s="58"/>
      <c r="Q198" s="57"/>
      <c r="R198" s="57"/>
    </row>
    <row r="199" spans="5:18" x14ac:dyDescent="0.25">
      <c r="E199" s="57"/>
      <c r="F199" s="57"/>
      <c r="G199" s="57"/>
      <c r="H199" s="57"/>
      <c r="I199" s="57"/>
      <c r="J199" s="57"/>
      <c r="K199" s="57"/>
      <c r="L199" s="57"/>
      <c r="M199" s="57"/>
      <c r="N199" s="57"/>
      <c r="O199" s="57"/>
      <c r="P199" s="58"/>
      <c r="Q199" s="57"/>
      <c r="R199" s="57"/>
    </row>
    <row r="200" spans="5:18" x14ac:dyDescent="0.25">
      <c r="E200" s="57"/>
      <c r="F200" s="57"/>
      <c r="G200" s="57"/>
      <c r="H200" s="57"/>
      <c r="I200" s="57"/>
      <c r="J200" s="57"/>
      <c r="K200" s="57"/>
      <c r="L200" s="57"/>
      <c r="M200" s="57"/>
      <c r="N200" s="57"/>
      <c r="O200" s="57"/>
      <c r="P200" s="58"/>
      <c r="Q200" s="57"/>
      <c r="R200" s="57"/>
    </row>
    <row r="201" spans="5:18" x14ac:dyDescent="0.25">
      <c r="E201" s="57"/>
      <c r="F201" s="57"/>
      <c r="G201" s="57"/>
      <c r="H201" s="57"/>
      <c r="I201" s="57"/>
      <c r="J201" s="57"/>
      <c r="K201" s="57"/>
      <c r="L201" s="57"/>
      <c r="M201" s="57"/>
      <c r="N201" s="57"/>
      <c r="O201" s="57"/>
      <c r="P201" s="58"/>
      <c r="Q201" s="57"/>
      <c r="R201" s="57"/>
    </row>
    <row r="202" spans="5:18" x14ac:dyDescent="0.25">
      <c r="E202" s="57"/>
      <c r="F202" s="57"/>
      <c r="G202" s="57"/>
      <c r="H202" s="57"/>
      <c r="I202" s="57"/>
      <c r="J202" s="57"/>
      <c r="K202" s="57"/>
      <c r="L202" s="57"/>
      <c r="M202" s="57"/>
      <c r="N202" s="57"/>
      <c r="O202" s="57"/>
      <c r="P202" s="58"/>
      <c r="Q202" s="57"/>
      <c r="R202" s="57"/>
    </row>
    <row r="203" spans="5:18" x14ac:dyDescent="0.25">
      <c r="E203" s="57"/>
      <c r="F203" s="57"/>
      <c r="G203" s="57"/>
      <c r="H203" s="57"/>
      <c r="I203" s="57"/>
      <c r="J203" s="57"/>
      <c r="K203" s="57"/>
      <c r="L203" s="57"/>
      <c r="M203" s="57"/>
      <c r="N203" s="57"/>
      <c r="O203" s="57"/>
      <c r="P203" s="58"/>
      <c r="Q203" s="57"/>
      <c r="R203" s="57"/>
    </row>
    <row r="204" spans="5:18" x14ac:dyDescent="0.25">
      <c r="E204" s="57"/>
      <c r="F204" s="57"/>
      <c r="G204" s="57"/>
      <c r="H204" s="57"/>
      <c r="I204" s="57"/>
      <c r="J204" s="57"/>
      <c r="K204" s="57"/>
      <c r="L204" s="57"/>
      <c r="M204" s="57"/>
      <c r="N204" s="57"/>
      <c r="O204" s="57"/>
      <c r="P204" s="58"/>
      <c r="Q204" s="57"/>
      <c r="R204" s="57"/>
    </row>
    <row r="205" spans="5:18" x14ac:dyDescent="0.25">
      <c r="E205" s="57"/>
      <c r="F205" s="57"/>
      <c r="G205" s="57"/>
      <c r="H205" s="57"/>
      <c r="I205" s="57"/>
      <c r="J205" s="57"/>
      <c r="K205" s="57"/>
      <c r="L205" s="57"/>
      <c r="M205" s="57"/>
      <c r="N205" s="57"/>
      <c r="O205" s="57"/>
      <c r="P205" s="58"/>
      <c r="Q205" s="57"/>
      <c r="R205" s="57"/>
    </row>
    <row r="206" spans="5:18" x14ac:dyDescent="0.25">
      <c r="E206" s="57"/>
      <c r="F206" s="57"/>
      <c r="G206" s="57"/>
      <c r="H206" s="57"/>
      <c r="I206" s="57"/>
      <c r="J206" s="57"/>
      <c r="K206" s="57"/>
      <c r="L206" s="57"/>
      <c r="M206" s="57"/>
      <c r="N206" s="57"/>
      <c r="O206" s="57"/>
      <c r="P206" s="58"/>
      <c r="Q206" s="57"/>
      <c r="R206" s="57"/>
    </row>
    <row r="207" spans="5:18" x14ac:dyDescent="0.25">
      <c r="E207" s="57"/>
      <c r="F207" s="57"/>
      <c r="G207" s="57"/>
      <c r="H207" s="57"/>
      <c r="I207" s="57"/>
      <c r="J207" s="57"/>
      <c r="K207" s="57"/>
      <c r="L207" s="57"/>
      <c r="M207" s="57"/>
      <c r="N207" s="57"/>
      <c r="O207" s="57"/>
      <c r="P207" s="58"/>
      <c r="Q207" s="57"/>
      <c r="R207" s="57"/>
    </row>
    <row r="208" spans="5:18" x14ac:dyDescent="0.25">
      <c r="E208" s="57"/>
      <c r="F208" s="57"/>
      <c r="G208" s="57"/>
      <c r="H208" s="57"/>
      <c r="I208" s="57"/>
      <c r="J208" s="57"/>
      <c r="K208" s="57"/>
      <c r="L208" s="57"/>
      <c r="M208" s="57"/>
      <c r="N208" s="57"/>
      <c r="O208" s="57"/>
      <c r="P208" s="58"/>
      <c r="Q208" s="57"/>
      <c r="R208" s="57"/>
    </row>
    <row r="209" spans="5:18" x14ac:dyDescent="0.25">
      <c r="E209" s="57"/>
      <c r="F209" s="57"/>
      <c r="G209" s="57"/>
      <c r="H209" s="57"/>
      <c r="I209" s="57"/>
      <c r="J209" s="57"/>
      <c r="K209" s="57"/>
      <c r="L209" s="57"/>
      <c r="M209" s="57"/>
      <c r="N209" s="57"/>
      <c r="O209" s="57"/>
      <c r="P209" s="58"/>
      <c r="Q209" s="57"/>
      <c r="R209" s="57"/>
    </row>
    <row r="210" spans="5:18" x14ac:dyDescent="0.25">
      <c r="E210" s="57"/>
      <c r="F210" s="57"/>
      <c r="G210" s="57"/>
      <c r="H210" s="57"/>
      <c r="I210" s="57"/>
      <c r="J210" s="57"/>
      <c r="K210" s="57"/>
      <c r="L210" s="57"/>
      <c r="M210" s="57"/>
      <c r="N210" s="57"/>
      <c r="O210" s="57"/>
      <c r="P210" s="58"/>
      <c r="Q210" s="57"/>
      <c r="R210" s="57"/>
    </row>
    <row r="211" spans="5:18" x14ac:dyDescent="0.25">
      <c r="E211" s="57"/>
      <c r="F211" s="57"/>
      <c r="G211" s="57"/>
      <c r="H211" s="57"/>
      <c r="I211" s="57"/>
      <c r="J211" s="57"/>
      <c r="K211" s="57"/>
      <c r="L211" s="57"/>
      <c r="M211" s="57"/>
      <c r="N211" s="57"/>
      <c r="O211" s="57"/>
      <c r="P211" s="58"/>
      <c r="Q211" s="57"/>
      <c r="R211" s="57"/>
    </row>
    <row r="212" spans="5:18" x14ac:dyDescent="0.25">
      <c r="E212" s="57"/>
      <c r="F212" s="57"/>
      <c r="G212" s="57"/>
      <c r="H212" s="57"/>
      <c r="I212" s="57"/>
      <c r="J212" s="57"/>
      <c r="K212" s="57"/>
      <c r="L212" s="57"/>
      <c r="M212" s="57"/>
      <c r="N212" s="57"/>
      <c r="O212" s="57"/>
      <c r="P212" s="58"/>
      <c r="Q212" s="57"/>
      <c r="R212" s="57"/>
    </row>
    <row r="213" spans="5:18" x14ac:dyDescent="0.25">
      <c r="E213" s="57"/>
      <c r="F213" s="57"/>
      <c r="G213" s="57"/>
      <c r="H213" s="57"/>
      <c r="I213" s="57"/>
      <c r="J213" s="57"/>
      <c r="K213" s="57"/>
      <c r="L213" s="57"/>
      <c r="M213" s="57"/>
      <c r="N213" s="57"/>
      <c r="O213" s="57"/>
      <c r="P213" s="58"/>
      <c r="Q213" s="57"/>
      <c r="R213" s="57"/>
    </row>
    <row r="214" spans="5:18" x14ac:dyDescent="0.25">
      <c r="E214" s="57"/>
      <c r="F214" s="57"/>
      <c r="G214" s="57"/>
      <c r="H214" s="57"/>
      <c r="I214" s="57"/>
      <c r="J214" s="57"/>
      <c r="K214" s="57"/>
      <c r="L214" s="57"/>
      <c r="M214" s="57"/>
      <c r="N214" s="57"/>
      <c r="O214" s="57"/>
      <c r="P214" s="58"/>
      <c r="Q214" s="57"/>
      <c r="R214" s="57"/>
    </row>
    <row r="215" spans="5:18" x14ac:dyDescent="0.25">
      <c r="E215" s="57"/>
      <c r="F215" s="57"/>
      <c r="G215" s="57"/>
      <c r="H215" s="57"/>
      <c r="I215" s="57"/>
      <c r="J215" s="57"/>
      <c r="K215" s="57"/>
      <c r="L215" s="57"/>
      <c r="M215" s="57"/>
      <c r="N215" s="57"/>
      <c r="O215" s="57"/>
      <c r="P215" s="58"/>
      <c r="Q215" s="57"/>
      <c r="R215" s="57"/>
    </row>
    <row r="216" spans="5:18" x14ac:dyDescent="0.25">
      <c r="E216" s="57"/>
      <c r="F216" s="57"/>
      <c r="G216" s="57"/>
      <c r="H216" s="57"/>
      <c r="I216" s="57"/>
      <c r="J216" s="57"/>
      <c r="K216" s="57"/>
      <c r="L216" s="57"/>
      <c r="M216" s="57"/>
      <c r="N216" s="57"/>
      <c r="O216" s="57"/>
      <c r="P216" s="58"/>
      <c r="Q216" s="57"/>
      <c r="R216" s="57"/>
    </row>
    <row r="217" spans="5:18" x14ac:dyDescent="0.25">
      <c r="E217" s="57"/>
      <c r="F217" s="57"/>
      <c r="G217" s="57"/>
      <c r="H217" s="57"/>
      <c r="I217" s="57"/>
      <c r="J217" s="57"/>
      <c r="K217" s="57"/>
      <c r="L217" s="57"/>
      <c r="M217" s="57"/>
      <c r="N217" s="57"/>
      <c r="O217" s="57"/>
      <c r="P217" s="58"/>
      <c r="Q217" s="57"/>
      <c r="R217" s="57"/>
    </row>
    <row r="218" spans="5:18" x14ac:dyDescent="0.25">
      <c r="E218" s="57"/>
      <c r="F218" s="57"/>
      <c r="G218" s="57"/>
      <c r="H218" s="57"/>
      <c r="I218" s="57"/>
      <c r="J218" s="57"/>
      <c r="K218" s="57"/>
      <c r="L218" s="57"/>
      <c r="M218" s="57"/>
      <c r="N218" s="57"/>
      <c r="O218" s="57"/>
      <c r="P218" s="58"/>
      <c r="Q218" s="57"/>
      <c r="R218" s="57"/>
    </row>
    <row r="219" spans="5:18" x14ac:dyDescent="0.25">
      <c r="E219" s="57"/>
      <c r="F219" s="57"/>
      <c r="G219" s="57"/>
      <c r="H219" s="57"/>
      <c r="I219" s="57"/>
      <c r="J219" s="57"/>
      <c r="K219" s="57"/>
      <c r="L219" s="57"/>
      <c r="M219" s="57"/>
      <c r="N219" s="57"/>
      <c r="O219" s="57"/>
      <c r="P219" s="58"/>
      <c r="Q219" s="57"/>
      <c r="R219" s="57"/>
    </row>
    <row r="220" spans="5:18" x14ac:dyDescent="0.25">
      <c r="E220" s="57"/>
      <c r="F220" s="57"/>
      <c r="G220" s="57"/>
      <c r="H220" s="57"/>
      <c r="I220" s="57"/>
      <c r="J220" s="57"/>
      <c r="K220" s="57"/>
      <c r="L220" s="57"/>
      <c r="M220" s="57"/>
      <c r="N220" s="57"/>
      <c r="O220" s="57"/>
      <c r="P220" s="58"/>
      <c r="Q220" s="57"/>
      <c r="R220" s="57"/>
    </row>
    <row r="221" spans="5:18" x14ac:dyDescent="0.25">
      <c r="E221" s="57"/>
      <c r="F221" s="57"/>
      <c r="G221" s="57"/>
      <c r="H221" s="57"/>
      <c r="I221" s="57"/>
      <c r="J221" s="57"/>
      <c r="K221" s="57"/>
      <c r="L221" s="57"/>
      <c r="M221" s="57"/>
      <c r="N221" s="57"/>
      <c r="O221" s="57"/>
      <c r="P221" s="58"/>
      <c r="Q221" s="57"/>
      <c r="R221" s="57"/>
    </row>
    <row r="222" spans="5:18" x14ac:dyDescent="0.25">
      <c r="E222" s="57"/>
      <c r="F222" s="57"/>
      <c r="G222" s="57"/>
      <c r="H222" s="57"/>
      <c r="I222" s="57"/>
      <c r="J222" s="57"/>
      <c r="K222" s="57"/>
      <c r="L222" s="57"/>
      <c r="M222" s="57"/>
      <c r="N222" s="57"/>
      <c r="O222" s="57"/>
      <c r="P222" s="58"/>
      <c r="Q222" s="57"/>
      <c r="R222" s="57"/>
    </row>
    <row r="223" spans="5:18" x14ac:dyDescent="0.25">
      <c r="E223" s="57"/>
      <c r="F223" s="57"/>
      <c r="G223" s="57"/>
      <c r="H223" s="57"/>
      <c r="I223" s="57"/>
      <c r="J223" s="57"/>
      <c r="K223" s="57"/>
      <c r="L223" s="57"/>
      <c r="M223" s="57"/>
      <c r="N223" s="57"/>
      <c r="O223" s="57"/>
      <c r="P223" s="58"/>
      <c r="Q223" s="57"/>
      <c r="R223" s="57"/>
    </row>
    <row r="224" spans="5:18" x14ac:dyDescent="0.25">
      <c r="E224" s="57"/>
      <c r="F224" s="57"/>
      <c r="G224" s="57"/>
      <c r="H224" s="57"/>
      <c r="I224" s="57"/>
      <c r="J224" s="57"/>
      <c r="K224" s="57"/>
      <c r="L224" s="57"/>
      <c r="M224" s="57"/>
      <c r="N224" s="57"/>
      <c r="O224" s="57"/>
      <c r="P224" s="58"/>
      <c r="Q224" s="57"/>
      <c r="R224" s="57"/>
    </row>
    <row r="225" spans="5:18" x14ac:dyDescent="0.25">
      <c r="E225" s="57"/>
      <c r="F225" s="57"/>
      <c r="G225" s="57"/>
      <c r="H225" s="57"/>
      <c r="I225" s="57"/>
      <c r="J225" s="57"/>
      <c r="K225" s="57"/>
      <c r="L225" s="57"/>
      <c r="M225" s="57"/>
      <c r="N225" s="57"/>
      <c r="O225" s="57"/>
      <c r="P225" s="58"/>
      <c r="Q225" s="57"/>
      <c r="R225" s="57"/>
    </row>
    <row r="226" spans="5:18" x14ac:dyDescent="0.25">
      <c r="E226" s="57"/>
      <c r="F226" s="57"/>
      <c r="G226" s="57"/>
      <c r="H226" s="57"/>
      <c r="I226" s="57"/>
      <c r="J226" s="57"/>
      <c r="K226" s="57"/>
      <c r="L226" s="57"/>
      <c r="M226" s="57"/>
      <c r="N226" s="57"/>
      <c r="O226" s="57"/>
      <c r="P226" s="58"/>
      <c r="Q226" s="57"/>
      <c r="R226" s="57"/>
    </row>
    <row r="227" spans="5:18" x14ac:dyDescent="0.25">
      <c r="E227" s="57"/>
      <c r="F227" s="57"/>
      <c r="G227" s="57"/>
      <c r="H227" s="57"/>
      <c r="I227" s="57"/>
      <c r="J227" s="57"/>
      <c r="K227" s="57"/>
      <c r="L227" s="57"/>
      <c r="M227" s="57"/>
      <c r="N227" s="57"/>
      <c r="O227" s="57"/>
      <c r="P227" s="58"/>
      <c r="Q227" s="57"/>
      <c r="R227" s="57"/>
    </row>
    <row r="228" spans="5:18" x14ac:dyDescent="0.25">
      <c r="E228" s="57"/>
      <c r="F228" s="57"/>
      <c r="G228" s="57"/>
      <c r="H228" s="57"/>
      <c r="I228" s="57"/>
      <c r="J228" s="57"/>
      <c r="K228" s="57"/>
      <c r="L228" s="57"/>
      <c r="M228" s="57"/>
      <c r="N228" s="57"/>
      <c r="O228" s="57"/>
      <c r="P228" s="58"/>
      <c r="Q228" s="57"/>
      <c r="R228" s="57"/>
    </row>
    <row r="229" spans="5:18" x14ac:dyDescent="0.25">
      <c r="E229" s="57"/>
      <c r="F229" s="57"/>
      <c r="G229" s="57"/>
      <c r="H229" s="57"/>
      <c r="I229" s="57"/>
      <c r="J229" s="57"/>
      <c r="K229" s="57"/>
      <c r="L229" s="57"/>
      <c r="M229" s="57"/>
      <c r="N229" s="57"/>
      <c r="O229" s="57"/>
      <c r="P229" s="58"/>
      <c r="Q229" s="57"/>
      <c r="R229" s="57"/>
    </row>
    <row r="230" spans="5:18" x14ac:dyDescent="0.25">
      <c r="E230" s="57"/>
      <c r="F230" s="57"/>
      <c r="G230" s="57"/>
      <c r="H230" s="57"/>
      <c r="I230" s="57"/>
      <c r="J230" s="57"/>
      <c r="K230" s="57"/>
      <c r="L230" s="57"/>
      <c r="M230" s="57"/>
      <c r="N230" s="57"/>
      <c r="O230" s="57"/>
      <c r="P230" s="58"/>
      <c r="Q230" s="57"/>
      <c r="R230" s="57"/>
    </row>
    <row r="231" spans="5:18" x14ac:dyDescent="0.25">
      <c r="E231" s="57"/>
      <c r="F231" s="57"/>
      <c r="G231" s="57"/>
      <c r="H231" s="57"/>
      <c r="I231" s="57"/>
      <c r="J231" s="57"/>
      <c r="K231" s="57"/>
      <c r="L231" s="57"/>
      <c r="M231" s="57"/>
      <c r="N231" s="57"/>
      <c r="O231" s="57"/>
      <c r="P231" s="58"/>
      <c r="Q231" s="57"/>
      <c r="R231" s="57"/>
    </row>
    <row r="232" spans="5:18" x14ac:dyDescent="0.25">
      <c r="E232" s="57"/>
      <c r="F232" s="57"/>
      <c r="G232" s="57"/>
      <c r="H232" s="57"/>
      <c r="I232" s="57"/>
      <c r="J232" s="57"/>
      <c r="K232" s="57"/>
      <c r="L232" s="57"/>
      <c r="M232" s="57"/>
      <c r="N232" s="57"/>
      <c r="O232" s="57"/>
      <c r="P232" s="58"/>
      <c r="Q232" s="57"/>
      <c r="R232" s="57"/>
    </row>
    <row r="233" spans="5:18" x14ac:dyDescent="0.25">
      <c r="E233" s="57"/>
      <c r="F233" s="57"/>
      <c r="G233" s="57"/>
      <c r="H233" s="57"/>
      <c r="I233" s="57"/>
      <c r="J233" s="57"/>
      <c r="K233" s="57"/>
      <c r="L233" s="57"/>
      <c r="M233" s="57"/>
      <c r="N233" s="57"/>
      <c r="O233" s="57"/>
      <c r="P233" s="58"/>
      <c r="Q233" s="57"/>
      <c r="R233" s="57"/>
    </row>
    <row r="234" spans="5:18" x14ac:dyDescent="0.25">
      <c r="E234" s="57"/>
      <c r="F234" s="57"/>
      <c r="G234" s="57"/>
      <c r="H234" s="57"/>
      <c r="I234" s="57"/>
      <c r="J234" s="57"/>
      <c r="K234" s="57"/>
      <c r="L234" s="57"/>
      <c r="M234" s="57"/>
      <c r="N234" s="57"/>
      <c r="O234" s="57"/>
      <c r="P234" s="58"/>
      <c r="Q234" s="57"/>
      <c r="R234" s="57"/>
    </row>
    <row r="235" spans="5:18" x14ac:dyDescent="0.25">
      <c r="E235" s="57"/>
      <c r="F235" s="57"/>
      <c r="G235" s="57"/>
      <c r="H235" s="57"/>
      <c r="I235" s="57"/>
      <c r="J235" s="57"/>
      <c r="K235" s="57"/>
      <c r="L235" s="57"/>
      <c r="M235" s="57"/>
      <c r="N235" s="57"/>
      <c r="O235" s="57"/>
      <c r="P235" s="58"/>
      <c r="Q235" s="57"/>
      <c r="R235" s="57"/>
    </row>
    <row r="236" spans="5:18" x14ac:dyDescent="0.25">
      <c r="E236" s="57"/>
      <c r="F236" s="57"/>
      <c r="G236" s="57"/>
      <c r="H236" s="57"/>
      <c r="I236" s="57"/>
      <c r="J236" s="57"/>
      <c r="K236" s="57"/>
      <c r="L236" s="57"/>
      <c r="M236" s="57"/>
      <c r="N236" s="57"/>
      <c r="O236" s="57"/>
      <c r="P236" s="58"/>
      <c r="Q236" s="57"/>
      <c r="R236" s="57"/>
    </row>
    <row r="237" spans="5:18" x14ac:dyDescent="0.25">
      <c r="E237" s="57"/>
      <c r="F237" s="57"/>
      <c r="G237" s="57"/>
      <c r="H237" s="57"/>
      <c r="I237" s="57"/>
      <c r="J237" s="57"/>
      <c r="K237" s="57"/>
      <c r="L237" s="57"/>
      <c r="M237" s="57"/>
      <c r="N237" s="57"/>
      <c r="O237" s="57"/>
      <c r="P237" s="58"/>
      <c r="Q237" s="57"/>
      <c r="R237" s="57"/>
    </row>
    <row r="238" spans="5:18" x14ac:dyDescent="0.25">
      <c r="E238" s="57"/>
      <c r="F238" s="57"/>
      <c r="G238" s="57"/>
      <c r="H238" s="57"/>
      <c r="I238" s="57"/>
      <c r="J238" s="57"/>
      <c r="K238" s="57"/>
      <c r="L238" s="57"/>
      <c r="M238" s="57"/>
      <c r="N238" s="57"/>
      <c r="O238" s="57"/>
      <c r="P238" s="58"/>
      <c r="Q238" s="57"/>
      <c r="R238" s="57"/>
    </row>
    <row r="239" spans="5:18" x14ac:dyDescent="0.25">
      <c r="E239" s="57"/>
      <c r="F239" s="57"/>
      <c r="G239" s="57"/>
      <c r="H239" s="57"/>
      <c r="I239" s="57"/>
      <c r="J239" s="57"/>
      <c r="K239" s="57"/>
      <c r="L239" s="57"/>
      <c r="M239" s="57"/>
      <c r="N239" s="57"/>
      <c r="O239" s="57"/>
      <c r="P239" s="58"/>
      <c r="Q239" s="57"/>
      <c r="R239" s="57"/>
    </row>
    <row r="240" spans="5:18" x14ac:dyDescent="0.25">
      <c r="E240" s="57"/>
      <c r="F240" s="57"/>
      <c r="G240" s="57"/>
      <c r="H240" s="57"/>
      <c r="I240" s="57"/>
      <c r="J240" s="57"/>
      <c r="K240" s="57"/>
      <c r="L240" s="57"/>
      <c r="M240" s="57"/>
      <c r="N240" s="57"/>
      <c r="O240" s="57"/>
      <c r="P240" s="58"/>
      <c r="Q240" s="57"/>
      <c r="R240" s="57"/>
    </row>
    <row r="241" spans="5:18" x14ac:dyDescent="0.25">
      <c r="E241" s="57"/>
      <c r="F241" s="57"/>
      <c r="G241" s="57"/>
      <c r="H241" s="57"/>
      <c r="I241" s="57"/>
      <c r="J241" s="57"/>
      <c r="K241" s="57"/>
      <c r="L241" s="57"/>
      <c r="M241" s="57"/>
      <c r="N241" s="57"/>
      <c r="O241" s="57"/>
      <c r="P241" s="58"/>
      <c r="Q241" s="57"/>
      <c r="R241" s="57"/>
    </row>
    <row r="242" spans="5:18" x14ac:dyDescent="0.25">
      <c r="E242" s="57"/>
      <c r="F242" s="57"/>
      <c r="G242" s="57"/>
      <c r="H242" s="57"/>
      <c r="I242" s="57"/>
      <c r="J242" s="57"/>
      <c r="K242" s="57"/>
      <c r="L242" s="57"/>
      <c r="M242" s="57"/>
      <c r="N242" s="57"/>
      <c r="O242" s="57"/>
      <c r="P242" s="58"/>
      <c r="Q242" s="57"/>
      <c r="R242" s="57"/>
    </row>
    <row r="243" spans="5:18" x14ac:dyDescent="0.25">
      <c r="E243" s="57"/>
      <c r="F243" s="57"/>
      <c r="G243" s="57"/>
      <c r="H243" s="57"/>
      <c r="I243" s="57"/>
      <c r="J243" s="57"/>
      <c r="K243" s="57"/>
      <c r="L243" s="57"/>
      <c r="M243" s="57"/>
      <c r="N243" s="57"/>
      <c r="O243" s="57"/>
      <c r="P243" s="58"/>
      <c r="Q243" s="57"/>
      <c r="R243" s="57"/>
    </row>
  </sheetData>
  <hyperlinks>
    <hyperlink ref="E4" location="HarvestedAreas!A1" display="HarvestedAreas" xr:uid="{E815C0AF-10EE-4779-8BD9-815F21D66F39}"/>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DBE0-D8E3-417D-8CBE-333DCB5E2D8C}">
  <dimension ref="A1:V186"/>
  <sheetViews>
    <sheetView zoomScale="80" zoomScaleNormal="80" workbookViewId="0">
      <selection activeCell="X42" sqref="X42"/>
    </sheetView>
  </sheetViews>
  <sheetFormatPr defaultRowHeight="14.5" x14ac:dyDescent="0.35"/>
  <cols>
    <col min="1" max="1" width="14.36328125" style="250" bestFit="1" customWidth="1"/>
    <col min="2" max="2" width="24.90625" style="250" bestFit="1" customWidth="1"/>
    <col min="3" max="3" width="17.26953125" style="250" bestFit="1" customWidth="1"/>
    <col min="4" max="4" width="7.1796875" style="250" bestFit="1" customWidth="1"/>
    <col min="5" max="5" width="14.7265625" style="250" bestFit="1" customWidth="1"/>
    <col min="6" max="6" width="13.54296875" style="250" bestFit="1" customWidth="1"/>
    <col min="7" max="7" width="16.81640625" style="250" bestFit="1" customWidth="1"/>
    <col min="8" max="8" width="51.6328125" style="250" bestFit="1" customWidth="1"/>
    <col min="9" max="9" width="11.54296875" style="250" bestFit="1" customWidth="1"/>
    <col min="10" max="10" width="6.81640625" style="250" bestFit="1" customWidth="1"/>
    <col min="11" max="11" width="6.6328125" style="250" bestFit="1" customWidth="1"/>
    <col min="12" max="12" width="7.81640625" style="250" bestFit="1" customWidth="1"/>
    <col min="13" max="13" width="6.36328125" style="250" bestFit="1" customWidth="1"/>
    <col min="14" max="14" width="41.1796875" style="250" bestFit="1" customWidth="1"/>
    <col min="15" max="15" width="8.7265625" style="250"/>
    <col min="16" max="16" width="53" style="250" bestFit="1" customWidth="1"/>
    <col min="17" max="17" width="18.36328125" style="250" bestFit="1" customWidth="1"/>
    <col min="18" max="20" width="8.26953125" style="250" bestFit="1" customWidth="1"/>
    <col min="21" max="21" width="10.6328125" style="250" bestFit="1" customWidth="1"/>
    <col min="22" max="22" width="11.81640625" style="250" bestFit="1" customWidth="1"/>
    <col min="23" max="16384" width="8.7265625" style="250"/>
  </cols>
  <sheetData>
    <row r="1" spans="1:22" x14ac:dyDescent="0.35">
      <c r="A1" s="250" t="s">
        <v>88</v>
      </c>
      <c r="B1" s="250" t="s">
        <v>89</v>
      </c>
      <c r="C1" s="250" t="s">
        <v>90</v>
      </c>
      <c r="D1" s="250" t="s">
        <v>91</v>
      </c>
      <c r="E1" s="250" t="s">
        <v>92</v>
      </c>
      <c r="F1" s="250" t="s">
        <v>93</v>
      </c>
      <c r="G1" s="250" t="s">
        <v>126</v>
      </c>
      <c r="H1" s="250" t="s">
        <v>95</v>
      </c>
      <c r="I1" s="250" t="s">
        <v>96</v>
      </c>
      <c r="J1" s="250" t="s">
        <v>97</v>
      </c>
      <c r="K1" s="250" t="s">
        <v>98</v>
      </c>
      <c r="L1" s="250" t="s">
        <v>99</v>
      </c>
      <c r="M1" s="250" t="s">
        <v>100</v>
      </c>
      <c r="N1" s="250" t="s">
        <v>101</v>
      </c>
    </row>
    <row r="2" spans="1:22" x14ac:dyDescent="0.35">
      <c r="A2" s="250" t="s">
        <v>127</v>
      </c>
      <c r="B2" s="250" t="s">
        <v>128</v>
      </c>
      <c r="C2" s="250">
        <v>800</v>
      </c>
      <c r="D2" s="250" t="s">
        <v>232</v>
      </c>
      <c r="E2" s="250">
        <v>5312</v>
      </c>
      <c r="F2" s="250" t="s">
        <v>129</v>
      </c>
      <c r="G2" s="250" t="s">
        <v>165</v>
      </c>
      <c r="H2" s="250" t="s">
        <v>166</v>
      </c>
      <c r="I2" s="250">
        <v>2017</v>
      </c>
      <c r="J2" s="250">
        <v>2017</v>
      </c>
      <c r="K2" s="250" t="s">
        <v>23</v>
      </c>
      <c r="L2" s="250">
        <v>0</v>
      </c>
      <c r="M2" s="250" t="s">
        <v>147</v>
      </c>
      <c r="N2" s="250" t="s">
        <v>148</v>
      </c>
    </row>
    <row r="3" spans="1:22" x14ac:dyDescent="0.35">
      <c r="A3" s="250" t="s">
        <v>127</v>
      </c>
      <c r="B3" s="250" t="s">
        <v>128</v>
      </c>
      <c r="C3" s="250">
        <v>800</v>
      </c>
      <c r="D3" s="250" t="s">
        <v>232</v>
      </c>
      <c r="E3" s="250">
        <v>5312</v>
      </c>
      <c r="F3" s="250" t="s">
        <v>129</v>
      </c>
      <c r="G3" s="250" t="s">
        <v>165</v>
      </c>
      <c r="H3" s="250" t="s">
        <v>166</v>
      </c>
      <c r="I3" s="250">
        <v>2018</v>
      </c>
      <c r="J3" s="250">
        <v>2018</v>
      </c>
      <c r="K3" s="250" t="s">
        <v>23</v>
      </c>
      <c r="L3" s="250">
        <v>0</v>
      </c>
      <c r="M3" s="250" t="s">
        <v>147</v>
      </c>
      <c r="N3" s="250" t="s">
        <v>148</v>
      </c>
      <c r="P3" s="60" t="s">
        <v>116</v>
      </c>
      <c r="Q3" s="60" t="s">
        <v>84</v>
      </c>
      <c r="R3"/>
      <c r="S3"/>
      <c r="T3"/>
      <c r="U3"/>
      <c r="V3"/>
    </row>
    <row r="4" spans="1:22" x14ac:dyDescent="0.35">
      <c r="A4" s="250" t="s">
        <v>127</v>
      </c>
      <c r="B4" s="250" t="s">
        <v>128</v>
      </c>
      <c r="C4" s="250">
        <v>800</v>
      </c>
      <c r="D4" s="250" t="s">
        <v>232</v>
      </c>
      <c r="E4" s="250">
        <v>5312</v>
      </c>
      <c r="F4" s="250" t="s">
        <v>129</v>
      </c>
      <c r="G4" s="250" t="s">
        <v>165</v>
      </c>
      <c r="H4" s="250" t="s">
        <v>166</v>
      </c>
      <c r="I4" s="250">
        <v>2019</v>
      </c>
      <c r="J4" s="250">
        <v>2019</v>
      </c>
      <c r="K4" s="250" t="s">
        <v>23</v>
      </c>
      <c r="L4" s="250">
        <v>0</v>
      </c>
      <c r="M4" s="250" t="s">
        <v>147</v>
      </c>
      <c r="N4" s="250" t="s">
        <v>148</v>
      </c>
      <c r="P4" s="60" t="s">
        <v>85</v>
      </c>
      <c r="Q4">
        <v>2017</v>
      </c>
      <c r="R4">
        <v>2018</v>
      </c>
      <c r="S4">
        <v>2019</v>
      </c>
      <c r="T4">
        <v>2020</v>
      </c>
      <c r="U4">
        <v>2021</v>
      </c>
      <c r="V4" t="s">
        <v>86</v>
      </c>
    </row>
    <row r="5" spans="1:22" x14ac:dyDescent="0.35">
      <c r="A5" s="250" t="s">
        <v>127</v>
      </c>
      <c r="B5" s="250" t="s">
        <v>128</v>
      </c>
      <c r="C5" s="250">
        <v>800</v>
      </c>
      <c r="D5" s="250" t="s">
        <v>232</v>
      </c>
      <c r="E5" s="250">
        <v>5312</v>
      </c>
      <c r="F5" s="250" t="s">
        <v>129</v>
      </c>
      <c r="G5" s="250" t="s">
        <v>165</v>
      </c>
      <c r="H5" s="250" t="s">
        <v>166</v>
      </c>
      <c r="I5" s="250">
        <v>2020</v>
      </c>
      <c r="J5" s="250">
        <v>2020</v>
      </c>
      <c r="K5" s="250" t="s">
        <v>23</v>
      </c>
      <c r="L5" s="250">
        <v>0</v>
      </c>
      <c r="M5" s="250" t="s">
        <v>147</v>
      </c>
      <c r="N5" s="250" t="s">
        <v>148</v>
      </c>
      <c r="P5" s="46" t="s">
        <v>166</v>
      </c>
      <c r="Q5" s="186">
        <v>0</v>
      </c>
      <c r="R5" s="186">
        <v>0</v>
      </c>
      <c r="S5" s="186">
        <v>0</v>
      </c>
      <c r="T5" s="186">
        <v>0</v>
      </c>
      <c r="U5" s="186">
        <v>0</v>
      </c>
      <c r="V5" s="186">
        <v>0</v>
      </c>
    </row>
    <row r="6" spans="1:22" x14ac:dyDescent="0.35">
      <c r="A6" s="250" t="s">
        <v>127</v>
      </c>
      <c r="B6" s="250" t="s">
        <v>128</v>
      </c>
      <c r="C6" s="250">
        <v>800</v>
      </c>
      <c r="D6" s="250" t="s">
        <v>232</v>
      </c>
      <c r="E6" s="250">
        <v>5312</v>
      </c>
      <c r="F6" s="250" t="s">
        <v>129</v>
      </c>
      <c r="G6" s="250" t="s">
        <v>165</v>
      </c>
      <c r="H6" s="250" t="s">
        <v>166</v>
      </c>
      <c r="I6" s="250">
        <v>2021</v>
      </c>
      <c r="J6" s="250">
        <v>2021</v>
      </c>
      <c r="K6" s="250" t="s">
        <v>23</v>
      </c>
      <c r="L6" s="250">
        <v>0</v>
      </c>
      <c r="M6" s="250" t="s">
        <v>147</v>
      </c>
      <c r="N6" s="250" t="s">
        <v>148</v>
      </c>
      <c r="P6" s="46" t="s">
        <v>133</v>
      </c>
      <c r="Q6" s="186">
        <v>588185</v>
      </c>
      <c r="R6" s="186">
        <v>550135</v>
      </c>
      <c r="S6" s="186">
        <v>247258</v>
      </c>
      <c r="T6" s="186">
        <v>434258</v>
      </c>
      <c r="U6" s="186">
        <v>461950</v>
      </c>
      <c r="V6" s="186">
        <v>2281786</v>
      </c>
    </row>
    <row r="7" spans="1:22" x14ac:dyDescent="0.35">
      <c r="A7" s="250" t="s">
        <v>127</v>
      </c>
      <c r="B7" s="250" t="s">
        <v>128</v>
      </c>
      <c r="C7" s="250">
        <v>800</v>
      </c>
      <c r="D7" s="250" t="s">
        <v>232</v>
      </c>
      <c r="E7" s="250">
        <v>5312</v>
      </c>
      <c r="F7" s="250" t="s">
        <v>129</v>
      </c>
      <c r="G7" s="250" t="s">
        <v>132</v>
      </c>
      <c r="H7" s="250" t="s">
        <v>133</v>
      </c>
      <c r="I7" s="250">
        <v>2017</v>
      </c>
      <c r="J7" s="250">
        <v>2017</v>
      </c>
      <c r="K7" s="250" t="s">
        <v>23</v>
      </c>
      <c r="L7" s="250">
        <v>588185</v>
      </c>
      <c r="M7" s="250" t="s">
        <v>130</v>
      </c>
      <c r="N7" s="250" t="s">
        <v>131</v>
      </c>
      <c r="P7" s="46" t="s">
        <v>135</v>
      </c>
      <c r="Q7" s="186">
        <v>1218614</v>
      </c>
      <c r="R7" s="186">
        <v>1439052</v>
      </c>
      <c r="S7" s="186">
        <v>871908</v>
      </c>
      <c r="T7" s="186">
        <v>1063811</v>
      </c>
      <c r="U7" s="186">
        <v>878297</v>
      </c>
      <c r="V7" s="186">
        <v>5471682</v>
      </c>
    </row>
    <row r="8" spans="1:22" x14ac:dyDescent="0.35">
      <c r="A8" s="250" t="s">
        <v>127</v>
      </c>
      <c r="B8" s="250" t="s">
        <v>128</v>
      </c>
      <c r="C8" s="250">
        <v>800</v>
      </c>
      <c r="D8" s="250" t="s">
        <v>232</v>
      </c>
      <c r="E8" s="250">
        <v>5312</v>
      </c>
      <c r="F8" s="250" t="s">
        <v>129</v>
      </c>
      <c r="G8" s="250" t="s">
        <v>132</v>
      </c>
      <c r="H8" s="250" t="s">
        <v>133</v>
      </c>
      <c r="I8" s="250">
        <v>2018</v>
      </c>
      <c r="J8" s="250">
        <v>2018</v>
      </c>
      <c r="K8" s="250" t="s">
        <v>23</v>
      </c>
      <c r="L8" s="250">
        <v>550135</v>
      </c>
      <c r="M8" s="250" t="s">
        <v>130</v>
      </c>
      <c r="N8" s="250" t="s">
        <v>131</v>
      </c>
      <c r="P8" s="46" t="s">
        <v>168</v>
      </c>
      <c r="Q8" s="186">
        <v>3000</v>
      </c>
      <c r="R8" s="186">
        <v>3000</v>
      </c>
      <c r="S8" s="186">
        <v>3000</v>
      </c>
      <c r="T8" s="186">
        <v>3000</v>
      </c>
      <c r="U8" s="186">
        <v>3000</v>
      </c>
      <c r="V8" s="186">
        <v>15000</v>
      </c>
    </row>
    <row r="9" spans="1:22" x14ac:dyDescent="0.35">
      <c r="A9" s="250" t="s">
        <v>127</v>
      </c>
      <c r="B9" s="250" t="s">
        <v>128</v>
      </c>
      <c r="C9" s="250">
        <v>800</v>
      </c>
      <c r="D9" s="250" t="s">
        <v>232</v>
      </c>
      <c r="E9" s="250">
        <v>5312</v>
      </c>
      <c r="F9" s="250" t="s">
        <v>129</v>
      </c>
      <c r="G9" s="250" t="s">
        <v>132</v>
      </c>
      <c r="H9" s="250" t="s">
        <v>133</v>
      </c>
      <c r="I9" s="250">
        <v>2019</v>
      </c>
      <c r="J9" s="250">
        <v>2019</v>
      </c>
      <c r="K9" s="250" t="s">
        <v>23</v>
      </c>
      <c r="L9" s="250">
        <v>247258</v>
      </c>
      <c r="M9" s="250" t="s">
        <v>130</v>
      </c>
      <c r="N9" s="250" t="s">
        <v>131</v>
      </c>
      <c r="P9" s="46" t="s">
        <v>137</v>
      </c>
      <c r="Q9" s="186">
        <v>8711</v>
      </c>
      <c r="R9" s="186">
        <v>8873</v>
      </c>
      <c r="S9" s="186">
        <v>8846</v>
      </c>
      <c r="T9" s="186">
        <v>8810</v>
      </c>
      <c r="U9" s="186">
        <v>8843</v>
      </c>
      <c r="V9" s="186">
        <v>44083</v>
      </c>
    </row>
    <row r="10" spans="1:22" x14ac:dyDescent="0.35">
      <c r="A10" s="250" t="s">
        <v>127</v>
      </c>
      <c r="B10" s="250" t="s">
        <v>128</v>
      </c>
      <c r="C10" s="250">
        <v>800</v>
      </c>
      <c r="D10" s="250" t="s">
        <v>232</v>
      </c>
      <c r="E10" s="250">
        <v>5312</v>
      </c>
      <c r="F10" s="250" t="s">
        <v>129</v>
      </c>
      <c r="G10" s="250" t="s">
        <v>132</v>
      </c>
      <c r="H10" s="250" t="s">
        <v>133</v>
      </c>
      <c r="I10" s="250">
        <v>2020</v>
      </c>
      <c r="J10" s="250">
        <v>2020</v>
      </c>
      <c r="K10" s="250" t="s">
        <v>23</v>
      </c>
      <c r="L10" s="250">
        <v>434258</v>
      </c>
      <c r="M10" s="250" t="s">
        <v>130</v>
      </c>
      <c r="N10" s="250" t="s">
        <v>131</v>
      </c>
      <c r="P10" s="46" t="s">
        <v>125</v>
      </c>
      <c r="Q10" s="186">
        <v>3202</v>
      </c>
      <c r="R10" s="186">
        <v>3164</v>
      </c>
      <c r="S10" s="186">
        <v>3193</v>
      </c>
      <c r="T10" s="186">
        <v>3186</v>
      </c>
      <c r="U10" s="186">
        <v>3181</v>
      </c>
      <c r="V10" s="186">
        <v>15926</v>
      </c>
    </row>
    <row r="11" spans="1:22" x14ac:dyDescent="0.35">
      <c r="A11" s="250" t="s">
        <v>127</v>
      </c>
      <c r="B11" s="250" t="s">
        <v>128</v>
      </c>
      <c r="C11" s="250">
        <v>800</v>
      </c>
      <c r="D11" s="250" t="s">
        <v>232</v>
      </c>
      <c r="E11" s="250">
        <v>5312</v>
      </c>
      <c r="F11" s="250" t="s">
        <v>129</v>
      </c>
      <c r="G11" s="250" t="s">
        <v>132</v>
      </c>
      <c r="H11" s="250" t="s">
        <v>133</v>
      </c>
      <c r="I11" s="250">
        <v>2021</v>
      </c>
      <c r="J11" s="250">
        <v>2021</v>
      </c>
      <c r="K11" s="250" t="s">
        <v>23</v>
      </c>
      <c r="L11" s="250">
        <v>461950</v>
      </c>
      <c r="M11" s="250" t="s">
        <v>130</v>
      </c>
      <c r="N11" s="250" t="s">
        <v>131</v>
      </c>
      <c r="P11" s="46" t="s">
        <v>234</v>
      </c>
      <c r="Q11" s="186">
        <v>74132</v>
      </c>
      <c r="R11" s="186">
        <v>73108</v>
      </c>
      <c r="S11" s="186">
        <v>72399</v>
      </c>
      <c r="T11" s="186">
        <v>71040</v>
      </c>
      <c r="U11" s="186">
        <v>79694</v>
      </c>
      <c r="V11" s="186">
        <v>370373</v>
      </c>
    </row>
    <row r="12" spans="1:22" x14ac:dyDescent="0.35">
      <c r="A12" s="250" t="s">
        <v>127</v>
      </c>
      <c r="B12" s="250" t="s">
        <v>128</v>
      </c>
      <c r="C12" s="250">
        <v>800</v>
      </c>
      <c r="D12" s="250" t="s">
        <v>232</v>
      </c>
      <c r="E12" s="250">
        <v>5312</v>
      </c>
      <c r="F12" s="250" t="s">
        <v>129</v>
      </c>
      <c r="G12" s="250" t="s">
        <v>134</v>
      </c>
      <c r="H12" s="250" t="s">
        <v>135</v>
      </c>
      <c r="I12" s="250">
        <v>2017</v>
      </c>
      <c r="J12" s="250">
        <v>2017</v>
      </c>
      <c r="K12" s="250" t="s">
        <v>23</v>
      </c>
      <c r="L12" s="250">
        <v>1218614</v>
      </c>
      <c r="M12" s="250" t="s">
        <v>130</v>
      </c>
      <c r="N12" s="250" t="s">
        <v>131</v>
      </c>
      <c r="P12" s="46" t="s">
        <v>236</v>
      </c>
      <c r="Q12" s="186">
        <v>526491</v>
      </c>
      <c r="R12" s="186">
        <v>504242</v>
      </c>
      <c r="S12" s="186">
        <v>566577</v>
      </c>
      <c r="T12" s="186">
        <v>657594</v>
      </c>
      <c r="U12" s="186">
        <v>692553</v>
      </c>
      <c r="V12" s="186">
        <v>2947457</v>
      </c>
    </row>
    <row r="13" spans="1:22" x14ac:dyDescent="0.35">
      <c r="A13" s="250" t="s">
        <v>127</v>
      </c>
      <c r="B13" s="250" t="s">
        <v>128</v>
      </c>
      <c r="C13" s="250">
        <v>800</v>
      </c>
      <c r="D13" s="250" t="s">
        <v>232</v>
      </c>
      <c r="E13" s="250">
        <v>5312</v>
      </c>
      <c r="F13" s="250" t="s">
        <v>129</v>
      </c>
      <c r="G13" s="250" t="s">
        <v>134</v>
      </c>
      <c r="H13" s="250" t="s">
        <v>135</v>
      </c>
      <c r="I13" s="250">
        <v>2018</v>
      </c>
      <c r="J13" s="250">
        <v>2018</v>
      </c>
      <c r="K13" s="250" t="s">
        <v>23</v>
      </c>
      <c r="L13" s="250">
        <v>1439052</v>
      </c>
      <c r="M13" s="250" t="s">
        <v>110</v>
      </c>
      <c r="N13" s="250" t="s">
        <v>111</v>
      </c>
      <c r="P13" s="46" t="s">
        <v>117</v>
      </c>
      <c r="Q13" s="186">
        <v>26707</v>
      </c>
      <c r="R13" s="186">
        <v>27568</v>
      </c>
      <c r="S13" s="186">
        <v>29126</v>
      </c>
      <c r="T13" s="186">
        <v>32187</v>
      </c>
      <c r="U13" s="186">
        <v>33215</v>
      </c>
      <c r="V13" s="186">
        <v>148803</v>
      </c>
    </row>
    <row r="14" spans="1:22" x14ac:dyDescent="0.35">
      <c r="A14" s="250" t="s">
        <v>127</v>
      </c>
      <c r="B14" s="250" t="s">
        <v>128</v>
      </c>
      <c r="C14" s="250">
        <v>800</v>
      </c>
      <c r="D14" s="250" t="s">
        <v>232</v>
      </c>
      <c r="E14" s="250">
        <v>5312</v>
      </c>
      <c r="F14" s="250" t="s">
        <v>129</v>
      </c>
      <c r="G14" s="250" t="s">
        <v>134</v>
      </c>
      <c r="H14" s="250" t="s">
        <v>135</v>
      </c>
      <c r="I14" s="250">
        <v>2019</v>
      </c>
      <c r="J14" s="250">
        <v>2019</v>
      </c>
      <c r="K14" s="250" t="s">
        <v>23</v>
      </c>
      <c r="L14" s="250">
        <v>871908</v>
      </c>
      <c r="M14" s="250" t="s">
        <v>110</v>
      </c>
      <c r="N14" s="250" t="s">
        <v>111</v>
      </c>
      <c r="P14" s="46" t="s">
        <v>238</v>
      </c>
      <c r="Q14" s="186">
        <v>46</v>
      </c>
      <c r="R14" s="186">
        <v>45</v>
      </c>
      <c r="S14" s="186">
        <v>44</v>
      </c>
      <c r="T14" s="186">
        <v>45</v>
      </c>
      <c r="U14" s="186">
        <v>45</v>
      </c>
      <c r="V14" s="186">
        <v>225</v>
      </c>
    </row>
    <row r="15" spans="1:22" x14ac:dyDescent="0.35">
      <c r="A15" s="250" t="s">
        <v>127</v>
      </c>
      <c r="B15" s="250" t="s">
        <v>128</v>
      </c>
      <c r="C15" s="250">
        <v>800</v>
      </c>
      <c r="D15" s="250" t="s">
        <v>232</v>
      </c>
      <c r="E15" s="250">
        <v>5312</v>
      </c>
      <c r="F15" s="250" t="s">
        <v>129</v>
      </c>
      <c r="G15" s="250" t="s">
        <v>134</v>
      </c>
      <c r="H15" s="250" t="s">
        <v>135</v>
      </c>
      <c r="I15" s="250">
        <v>2020</v>
      </c>
      <c r="J15" s="250">
        <v>2020</v>
      </c>
      <c r="K15" s="250" t="s">
        <v>23</v>
      </c>
      <c r="L15" s="250">
        <v>1063811</v>
      </c>
      <c r="M15" s="250" t="s">
        <v>130</v>
      </c>
      <c r="N15" s="250" t="s">
        <v>131</v>
      </c>
      <c r="P15" s="46" t="s">
        <v>141</v>
      </c>
      <c r="Q15" s="186">
        <v>424000</v>
      </c>
      <c r="R15" s="186">
        <v>286000</v>
      </c>
      <c r="S15" s="186">
        <v>320000</v>
      </c>
      <c r="T15" s="186">
        <v>330000</v>
      </c>
      <c r="U15" s="186">
        <v>330000</v>
      </c>
      <c r="V15" s="186">
        <v>1690000</v>
      </c>
    </row>
    <row r="16" spans="1:22" x14ac:dyDescent="0.35">
      <c r="A16" s="250" t="s">
        <v>127</v>
      </c>
      <c r="B16" s="250" t="s">
        <v>128</v>
      </c>
      <c r="C16" s="250">
        <v>800</v>
      </c>
      <c r="D16" s="250" t="s">
        <v>232</v>
      </c>
      <c r="E16" s="250">
        <v>5312</v>
      </c>
      <c r="F16" s="250" t="s">
        <v>129</v>
      </c>
      <c r="G16" s="250" t="s">
        <v>134</v>
      </c>
      <c r="H16" s="250" t="s">
        <v>135</v>
      </c>
      <c r="I16" s="250">
        <v>2021</v>
      </c>
      <c r="J16" s="250">
        <v>2021</v>
      </c>
      <c r="K16" s="250" t="s">
        <v>23</v>
      </c>
      <c r="L16" s="250">
        <v>878297</v>
      </c>
      <c r="M16" s="250" t="s">
        <v>130</v>
      </c>
      <c r="N16" s="250" t="s">
        <v>131</v>
      </c>
      <c r="P16" s="46" t="s">
        <v>122</v>
      </c>
      <c r="Q16" s="186">
        <v>1082431</v>
      </c>
      <c r="R16" s="186">
        <v>1281311</v>
      </c>
      <c r="S16" s="186">
        <v>1005767</v>
      </c>
      <c r="T16" s="186">
        <v>1632411</v>
      </c>
      <c r="U16" s="186">
        <v>984995</v>
      </c>
      <c r="V16" s="186">
        <v>5986915</v>
      </c>
    </row>
    <row r="17" spans="1:22" x14ac:dyDescent="0.35">
      <c r="A17" s="250" t="s">
        <v>127</v>
      </c>
      <c r="B17" s="250" t="s">
        <v>128</v>
      </c>
      <c r="C17" s="250">
        <v>800</v>
      </c>
      <c r="D17" s="250" t="s">
        <v>232</v>
      </c>
      <c r="E17" s="250">
        <v>5312</v>
      </c>
      <c r="F17" s="250" t="s">
        <v>129</v>
      </c>
      <c r="G17" s="250" t="s">
        <v>167</v>
      </c>
      <c r="H17" s="250" t="s">
        <v>168</v>
      </c>
      <c r="I17" s="250">
        <v>2017</v>
      </c>
      <c r="J17" s="250">
        <v>2017</v>
      </c>
      <c r="K17" s="250" t="s">
        <v>23</v>
      </c>
      <c r="L17" s="250">
        <v>3000</v>
      </c>
      <c r="M17" s="250" t="s">
        <v>142</v>
      </c>
      <c r="N17" s="250" t="s">
        <v>143</v>
      </c>
      <c r="P17" s="46" t="s">
        <v>54</v>
      </c>
      <c r="Q17" s="186">
        <v>130061</v>
      </c>
      <c r="R17" s="186">
        <v>100108</v>
      </c>
      <c r="S17" s="186">
        <v>50890</v>
      </c>
      <c r="T17" s="186">
        <v>49602</v>
      </c>
      <c r="U17" s="186">
        <v>55590</v>
      </c>
      <c r="V17" s="186">
        <v>386251</v>
      </c>
    </row>
    <row r="18" spans="1:22" x14ac:dyDescent="0.35">
      <c r="A18" s="250" t="s">
        <v>127</v>
      </c>
      <c r="B18" s="250" t="s">
        <v>128</v>
      </c>
      <c r="C18" s="250">
        <v>800</v>
      </c>
      <c r="D18" s="250" t="s">
        <v>232</v>
      </c>
      <c r="E18" s="250">
        <v>5312</v>
      </c>
      <c r="F18" s="250" t="s">
        <v>129</v>
      </c>
      <c r="G18" s="250" t="s">
        <v>167</v>
      </c>
      <c r="H18" s="250" t="s">
        <v>168</v>
      </c>
      <c r="I18" s="250">
        <v>2018</v>
      </c>
      <c r="J18" s="250">
        <v>2018</v>
      </c>
      <c r="K18" s="250" t="s">
        <v>23</v>
      </c>
      <c r="L18" s="250">
        <v>3000</v>
      </c>
      <c r="M18" s="250" t="s">
        <v>142</v>
      </c>
      <c r="N18" s="250" t="s">
        <v>143</v>
      </c>
      <c r="P18" s="46" t="s">
        <v>119</v>
      </c>
      <c r="Q18" s="186">
        <v>81170</v>
      </c>
      <c r="R18" s="186">
        <v>81212</v>
      </c>
      <c r="S18" s="186">
        <v>80434</v>
      </c>
      <c r="T18" s="186">
        <v>80939</v>
      </c>
      <c r="U18" s="186">
        <v>80862</v>
      </c>
      <c r="V18" s="186">
        <v>404617</v>
      </c>
    </row>
    <row r="19" spans="1:22" x14ac:dyDescent="0.35">
      <c r="A19" s="250" t="s">
        <v>127</v>
      </c>
      <c r="B19" s="250" t="s">
        <v>128</v>
      </c>
      <c r="C19" s="250">
        <v>800</v>
      </c>
      <c r="D19" s="250" t="s">
        <v>232</v>
      </c>
      <c r="E19" s="250">
        <v>5312</v>
      </c>
      <c r="F19" s="250" t="s">
        <v>129</v>
      </c>
      <c r="G19" s="250" t="s">
        <v>167</v>
      </c>
      <c r="H19" s="250" t="s">
        <v>168</v>
      </c>
      <c r="I19" s="250">
        <v>2019</v>
      </c>
      <c r="J19" s="250">
        <v>2019</v>
      </c>
      <c r="K19" s="250" t="s">
        <v>23</v>
      </c>
      <c r="L19" s="250">
        <v>3000</v>
      </c>
      <c r="M19" s="250" t="s">
        <v>142</v>
      </c>
      <c r="N19" s="250" t="s">
        <v>143</v>
      </c>
      <c r="P19" s="46" t="s">
        <v>150</v>
      </c>
      <c r="Q19" s="186">
        <v>7885</v>
      </c>
      <c r="R19" s="186">
        <v>7907</v>
      </c>
      <c r="S19" s="186">
        <v>7908</v>
      </c>
      <c r="T19" s="186">
        <v>7916</v>
      </c>
      <c r="U19" s="186">
        <v>7925</v>
      </c>
      <c r="V19" s="186">
        <v>39541</v>
      </c>
    </row>
    <row r="20" spans="1:22" x14ac:dyDescent="0.35">
      <c r="A20" s="250" t="s">
        <v>127</v>
      </c>
      <c r="B20" s="250" t="s">
        <v>128</v>
      </c>
      <c r="C20" s="250">
        <v>800</v>
      </c>
      <c r="D20" s="250" t="s">
        <v>232</v>
      </c>
      <c r="E20" s="250">
        <v>5312</v>
      </c>
      <c r="F20" s="250" t="s">
        <v>129</v>
      </c>
      <c r="G20" s="250" t="s">
        <v>167</v>
      </c>
      <c r="H20" s="250" t="s">
        <v>168</v>
      </c>
      <c r="I20" s="250">
        <v>2020</v>
      </c>
      <c r="J20" s="250">
        <v>2020</v>
      </c>
      <c r="K20" s="250" t="s">
        <v>23</v>
      </c>
      <c r="L20" s="250">
        <v>3000</v>
      </c>
      <c r="M20" s="250" t="s">
        <v>142</v>
      </c>
      <c r="N20" s="250" t="s">
        <v>143</v>
      </c>
      <c r="P20" s="46" t="s">
        <v>152</v>
      </c>
      <c r="Q20" s="186">
        <v>53320</v>
      </c>
      <c r="R20" s="186">
        <v>52362</v>
      </c>
      <c r="S20" s="186">
        <v>52677</v>
      </c>
      <c r="T20" s="186">
        <v>52786</v>
      </c>
      <c r="U20" s="186">
        <v>52608</v>
      </c>
      <c r="V20" s="186">
        <v>263753</v>
      </c>
    </row>
    <row r="21" spans="1:22" x14ac:dyDescent="0.35">
      <c r="A21" s="250" t="s">
        <v>127</v>
      </c>
      <c r="B21" s="250" t="s">
        <v>128</v>
      </c>
      <c r="C21" s="250">
        <v>800</v>
      </c>
      <c r="D21" s="250" t="s">
        <v>232</v>
      </c>
      <c r="E21" s="250">
        <v>5312</v>
      </c>
      <c r="F21" s="250" t="s">
        <v>129</v>
      </c>
      <c r="G21" s="250" t="s">
        <v>167</v>
      </c>
      <c r="H21" s="250" t="s">
        <v>168</v>
      </c>
      <c r="I21" s="250">
        <v>2021</v>
      </c>
      <c r="J21" s="250">
        <v>2021</v>
      </c>
      <c r="K21" s="250" t="s">
        <v>23</v>
      </c>
      <c r="L21" s="250">
        <v>3000</v>
      </c>
      <c r="M21" s="250" t="s">
        <v>142</v>
      </c>
      <c r="N21" s="250" t="s">
        <v>143</v>
      </c>
      <c r="P21" s="46" t="s">
        <v>121</v>
      </c>
      <c r="Q21" s="186">
        <v>151838</v>
      </c>
      <c r="R21" s="186">
        <v>153189</v>
      </c>
      <c r="S21" s="186">
        <v>151504</v>
      </c>
      <c r="T21" s="186">
        <v>152177</v>
      </c>
      <c r="U21" s="186">
        <v>152290</v>
      </c>
      <c r="V21" s="186">
        <v>760998</v>
      </c>
    </row>
    <row r="22" spans="1:22" x14ac:dyDescent="0.35">
      <c r="A22" s="250" t="s">
        <v>127</v>
      </c>
      <c r="B22" s="250" t="s">
        <v>128</v>
      </c>
      <c r="C22" s="250">
        <v>800</v>
      </c>
      <c r="D22" s="250" t="s">
        <v>232</v>
      </c>
      <c r="E22" s="250">
        <v>5312</v>
      </c>
      <c r="F22" s="250" t="s">
        <v>129</v>
      </c>
      <c r="G22" s="250" t="s">
        <v>136</v>
      </c>
      <c r="H22" s="250" t="s">
        <v>137</v>
      </c>
      <c r="I22" s="250">
        <v>2017</v>
      </c>
      <c r="J22" s="250">
        <v>2017</v>
      </c>
      <c r="K22" s="250" t="s">
        <v>23</v>
      </c>
      <c r="L22" s="250">
        <v>8711</v>
      </c>
      <c r="M22" s="250" t="s">
        <v>130</v>
      </c>
      <c r="N22" s="250" t="s">
        <v>131</v>
      </c>
      <c r="P22" s="46" t="s">
        <v>240</v>
      </c>
      <c r="Q22" s="186">
        <v>25813</v>
      </c>
      <c r="R22" s="186">
        <v>23577</v>
      </c>
      <c r="S22" s="186">
        <v>25175</v>
      </c>
      <c r="T22" s="186">
        <v>27320</v>
      </c>
      <c r="U22" s="186">
        <v>27303</v>
      </c>
      <c r="V22" s="186">
        <v>129188</v>
      </c>
    </row>
    <row r="23" spans="1:22" x14ac:dyDescent="0.35">
      <c r="A23" s="250" t="s">
        <v>127</v>
      </c>
      <c r="B23" s="250" t="s">
        <v>128</v>
      </c>
      <c r="C23" s="250">
        <v>800</v>
      </c>
      <c r="D23" s="250" t="s">
        <v>232</v>
      </c>
      <c r="E23" s="250">
        <v>5312</v>
      </c>
      <c r="F23" s="250" t="s">
        <v>129</v>
      </c>
      <c r="G23" s="250" t="s">
        <v>136</v>
      </c>
      <c r="H23" s="250" t="s">
        <v>137</v>
      </c>
      <c r="I23" s="250">
        <v>2018</v>
      </c>
      <c r="J23" s="250">
        <v>2018</v>
      </c>
      <c r="K23" s="250" t="s">
        <v>23</v>
      </c>
      <c r="L23" s="250">
        <v>8873</v>
      </c>
      <c r="M23" s="250" t="s">
        <v>130</v>
      </c>
      <c r="N23" s="250" t="s">
        <v>131</v>
      </c>
      <c r="P23" s="46" t="s">
        <v>242</v>
      </c>
      <c r="Q23" s="186">
        <v>1761</v>
      </c>
      <c r="R23" s="186">
        <v>1785</v>
      </c>
      <c r="S23" s="186">
        <v>1777</v>
      </c>
      <c r="T23" s="186">
        <v>1774</v>
      </c>
      <c r="U23" s="186">
        <v>1779</v>
      </c>
      <c r="V23" s="186">
        <v>8876</v>
      </c>
    </row>
    <row r="24" spans="1:22" x14ac:dyDescent="0.35">
      <c r="A24" s="250" t="s">
        <v>127</v>
      </c>
      <c r="B24" s="250" t="s">
        <v>128</v>
      </c>
      <c r="C24" s="250">
        <v>800</v>
      </c>
      <c r="D24" s="250" t="s">
        <v>232</v>
      </c>
      <c r="E24" s="250">
        <v>5312</v>
      </c>
      <c r="F24" s="250" t="s">
        <v>129</v>
      </c>
      <c r="G24" s="250" t="s">
        <v>136</v>
      </c>
      <c r="H24" s="250" t="s">
        <v>137</v>
      </c>
      <c r="I24" s="250">
        <v>2019</v>
      </c>
      <c r="J24" s="250">
        <v>2019</v>
      </c>
      <c r="K24" s="250" t="s">
        <v>23</v>
      </c>
      <c r="L24" s="250">
        <v>8846</v>
      </c>
      <c r="M24" s="250" t="s">
        <v>130</v>
      </c>
      <c r="N24" s="250" t="s">
        <v>131</v>
      </c>
      <c r="P24" s="46" t="s">
        <v>244</v>
      </c>
      <c r="Q24" s="186">
        <v>39449</v>
      </c>
      <c r="R24" s="186">
        <v>42184</v>
      </c>
      <c r="S24" s="186">
        <v>50310</v>
      </c>
      <c r="T24" s="186">
        <v>43228</v>
      </c>
      <c r="U24" s="186">
        <v>44394</v>
      </c>
      <c r="V24" s="186">
        <v>219565</v>
      </c>
    </row>
    <row r="25" spans="1:22" x14ac:dyDescent="0.35">
      <c r="A25" s="250" t="s">
        <v>127</v>
      </c>
      <c r="B25" s="250" t="s">
        <v>128</v>
      </c>
      <c r="C25" s="250">
        <v>800</v>
      </c>
      <c r="D25" s="250" t="s">
        <v>232</v>
      </c>
      <c r="E25" s="250">
        <v>5312</v>
      </c>
      <c r="F25" s="250" t="s">
        <v>129</v>
      </c>
      <c r="G25" s="250" t="s">
        <v>136</v>
      </c>
      <c r="H25" s="250" t="s">
        <v>137</v>
      </c>
      <c r="I25" s="250">
        <v>2020</v>
      </c>
      <c r="J25" s="250">
        <v>2020</v>
      </c>
      <c r="K25" s="250" t="s">
        <v>23</v>
      </c>
      <c r="L25" s="250">
        <v>8810</v>
      </c>
      <c r="M25" s="250" t="s">
        <v>110</v>
      </c>
      <c r="N25" s="250" t="s">
        <v>111</v>
      </c>
      <c r="P25" s="46" t="s">
        <v>170</v>
      </c>
      <c r="Q25" s="186">
        <v>498</v>
      </c>
      <c r="R25" s="186">
        <v>647</v>
      </c>
      <c r="S25" s="186">
        <v>942</v>
      </c>
      <c r="T25" s="186">
        <v>1470</v>
      </c>
      <c r="U25" s="186">
        <v>1832</v>
      </c>
      <c r="V25" s="186">
        <v>5389</v>
      </c>
    </row>
    <row r="26" spans="1:22" x14ac:dyDescent="0.35">
      <c r="A26" s="250" t="s">
        <v>127</v>
      </c>
      <c r="B26" s="250" t="s">
        <v>128</v>
      </c>
      <c r="C26" s="250">
        <v>800</v>
      </c>
      <c r="D26" s="250" t="s">
        <v>232</v>
      </c>
      <c r="E26" s="250">
        <v>5312</v>
      </c>
      <c r="F26" s="250" t="s">
        <v>129</v>
      </c>
      <c r="G26" s="250" t="s">
        <v>136</v>
      </c>
      <c r="H26" s="250" t="s">
        <v>137</v>
      </c>
      <c r="I26" s="250">
        <v>2021</v>
      </c>
      <c r="J26" s="250">
        <v>2021</v>
      </c>
      <c r="K26" s="250" t="s">
        <v>23</v>
      </c>
      <c r="L26" s="250">
        <v>8843</v>
      </c>
      <c r="M26" s="250" t="s">
        <v>110</v>
      </c>
      <c r="N26" s="250" t="s">
        <v>111</v>
      </c>
      <c r="P26" s="46" t="s">
        <v>246</v>
      </c>
      <c r="Q26" s="186">
        <v>1059598</v>
      </c>
      <c r="R26" s="186">
        <v>762748</v>
      </c>
      <c r="S26" s="186">
        <v>2092814</v>
      </c>
      <c r="T26" s="186">
        <v>2185829</v>
      </c>
      <c r="U26" s="186">
        <v>2060000</v>
      </c>
      <c r="V26" s="186">
        <v>8160989</v>
      </c>
    </row>
    <row r="27" spans="1:22" x14ac:dyDescent="0.35">
      <c r="A27" s="250" t="s">
        <v>127</v>
      </c>
      <c r="B27" s="250" t="s">
        <v>128</v>
      </c>
      <c r="C27" s="250">
        <v>800</v>
      </c>
      <c r="D27" s="250" t="s">
        <v>232</v>
      </c>
      <c r="E27" s="250">
        <v>5312</v>
      </c>
      <c r="F27" s="250" t="s">
        <v>129</v>
      </c>
      <c r="G27" s="250" t="s">
        <v>138</v>
      </c>
      <c r="H27" s="250" t="s">
        <v>125</v>
      </c>
      <c r="I27" s="250">
        <v>2017</v>
      </c>
      <c r="J27" s="250">
        <v>2017</v>
      </c>
      <c r="K27" s="250" t="s">
        <v>23</v>
      </c>
      <c r="L27" s="250">
        <v>3202</v>
      </c>
      <c r="M27" s="250" t="s">
        <v>130</v>
      </c>
      <c r="N27" s="250" t="s">
        <v>131</v>
      </c>
      <c r="P27" s="46" t="s">
        <v>123</v>
      </c>
      <c r="Q27" s="186">
        <v>39300</v>
      </c>
      <c r="R27" s="186">
        <v>47425</v>
      </c>
      <c r="S27" s="186">
        <v>44310</v>
      </c>
      <c r="T27" s="186">
        <v>40936</v>
      </c>
      <c r="U27" s="186">
        <v>40372</v>
      </c>
      <c r="V27" s="186">
        <v>212343</v>
      </c>
    </row>
    <row r="28" spans="1:22" x14ac:dyDescent="0.35">
      <c r="A28" s="250" t="s">
        <v>127</v>
      </c>
      <c r="B28" s="250" t="s">
        <v>128</v>
      </c>
      <c r="C28" s="250">
        <v>800</v>
      </c>
      <c r="D28" s="250" t="s">
        <v>232</v>
      </c>
      <c r="E28" s="250">
        <v>5312</v>
      </c>
      <c r="F28" s="250" t="s">
        <v>129</v>
      </c>
      <c r="G28" s="250" t="s">
        <v>138</v>
      </c>
      <c r="H28" s="250" t="s">
        <v>125</v>
      </c>
      <c r="I28" s="250">
        <v>2018</v>
      </c>
      <c r="J28" s="250">
        <v>2018</v>
      </c>
      <c r="K28" s="250" t="s">
        <v>23</v>
      </c>
      <c r="L28" s="250">
        <v>3164</v>
      </c>
      <c r="M28" s="250" t="s">
        <v>110</v>
      </c>
      <c r="N28" s="250" t="s">
        <v>111</v>
      </c>
      <c r="P28" s="46" t="s">
        <v>61</v>
      </c>
      <c r="Q28" s="186">
        <v>71501</v>
      </c>
      <c r="R28" s="186">
        <v>72310</v>
      </c>
      <c r="S28" s="186">
        <v>58250</v>
      </c>
      <c r="T28" s="186">
        <v>127675</v>
      </c>
      <c r="U28" s="186">
        <v>101325</v>
      </c>
      <c r="V28" s="186">
        <v>431061</v>
      </c>
    </row>
    <row r="29" spans="1:22" x14ac:dyDescent="0.35">
      <c r="A29" s="250" t="s">
        <v>127</v>
      </c>
      <c r="B29" s="250" t="s">
        <v>128</v>
      </c>
      <c r="C29" s="250">
        <v>800</v>
      </c>
      <c r="D29" s="250" t="s">
        <v>232</v>
      </c>
      <c r="E29" s="250">
        <v>5312</v>
      </c>
      <c r="F29" s="250" t="s">
        <v>129</v>
      </c>
      <c r="G29" s="250" t="s">
        <v>138</v>
      </c>
      <c r="H29" s="250" t="s">
        <v>125</v>
      </c>
      <c r="I29" s="250">
        <v>2019</v>
      </c>
      <c r="J29" s="250">
        <v>2019</v>
      </c>
      <c r="K29" s="250" t="s">
        <v>23</v>
      </c>
      <c r="L29" s="250">
        <v>3193</v>
      </c>
      <c r="M29" s="250" t="s">
        <v>110</v>
      </c>
      <c r="N29" s="250" t="s">
        <v>111</v>
      </c>
      <c r="P29" s="46" t="s">
        <v>157</v>
      </c>
      <c r="Q29" s="186">
        <v>96000</v>
      </c>
      <c r="R29" s="186">
        <v>80000</v>
      </c>
      <c r="S29" s="186">
        <v>90000</v>
      </c>
      <c r="T29" s="186">
        <v>94000</v>
      </c>
      <c r="U29" s="186">
        <v>99000</v>
      </c>
      <c r="V29" s="186">
        <v>459000</v>
      </c>
    </row>
    <row r="30" spans="1:22" x14ac:dyDescent="0.35">
      <c r="A30" s="250" t="s">
        <v>127</v>
      </c>
      <c r="B30" s="250" t="s">
        <v>128</v>
      </c>
      <c r="C30" s="250">
        <v>800</v>
      </c>
      <c r="D30" s="250" t="s">
        <v>232</v>
      </c>
      <c r="E30" s="250">
        <v>5312</v>
      </c>
      <c r="F30" s="250" t="s">
        <v>129</v>
      </c>
      <c r="G30" s="250" t="s">
        <v>138</v>
      </c>
      <c r="H30" s="250" t="s">
        <v>125</v>
      </c>
      <c r="I30" s="250">
        <v>2020</v>
      </c>
      <c r="J30" s="250">
        <v>2020</v>
      </c>
      <c r="K30" s="250" t="s">
        <v>23</v>
      </c>
      <c r="L30" s="250">
        <v>3186</v>
      </c>
      <c r="M30" s="250" t="s">
        <v>110</v>
      </c>
      <c r="N30" s="250" t="s">
        <v>111</v>
      </c>
      <c r="P30" s="46" t="s">
        <v>118</v>
      </c>
      <c r="Q30" s="186">
        <v>208000</v>
      </c>
      <c r="R30" s="186">
        <v>213000</v>
      </c>
      <c r="S30" s="186">
        <v>212000</v>
      </c>
      <c r="T30" s="186">
        <v>215000</v>
      </c>
      <c r="U30" s="186">
        <v>215000</v>
      </c>
      <c r="V30" s="186">
        <v>1063000</v>
      </c>
    </row>
    <row r="31" spans="1:22" x14ac:dyDescent="0.35">
      <c r="A31" s="250" t="s">
        <v>127</v>
      </c>
      <c r="B31" s="250" t="s">
        <v>128</v>
      </c>
      <c r="C31" s="250">
        <v>800</v>
      </c>
      <c r="D31" s="250" t="s">
        <v>232</v>
      </c>
      <c r="E31" s="250">
        <v>5312</v>
      </c>
      <c r="F31" s="250" t="s">
        <v>129</v>
      </c>
      <c r="G31" s="250" t="s">
        <v>138</v>
      </c>
      <c r="H31" s="250" t="s">
        <v>125</v>
      </c>
      <c r="I31" s="250">
        <v>2021</v>
      </c>
      <c r="J31" s="250">
        <v>2021</v>
      </c>
      <c r="K31" s="250" t="s">
        <v>23</v>
      </c>
      <c r="L31" s="250">
        <v>3181</v>
      </c>
      <c r="M31" s="250" t="s">
        <v>110</v>
      </c>
      <c r="N31" s="250" t="s">
        <v>111</v>
      </c>
      <c r="P31" s="46" t="s">
        <v>248</v>
      </c>
      <c r="Q31" s="186">
        <v>2</v>
      </c>
      <c r="R31" s="186">
        <v>2</v>
      </c>
      <c r="S31" s="186">
        <v>2</v>
      </c>
      <c r="T31" s="186">
        <v>2</v>
      </c>
      <c r="U31" s="186">
        <v>2</v>
      </c>
      <c r="V31" s="186">
        <v>10</v>
      </c>
    </row>
    <row r="32" spans="1:22" x14ac:dyDescent="0.35">
      <c r="A32" s="250" t="s">
        <v>127</v>
      </c>
      <c r="B32" s="250" t="s">
        <v>128</v>
      </c>
      <c r="C32" s="250">
        <v>800</v>
      </c>
      <c r="D32" s="250" t="s">
        <v>232</v>
      </c>
      <c r="E32" s="250">
        <v>5312</v>
      </c>
      <c r="F32" s="250" t="s">
        <v>129</v>
      </c>
      <c r="G32" s="250" t="s">
        <v>233</v>
      </c>
      <c r="H32" s="250" t="s">
        <v>234</v>
      </c>
      <c r="I32" s="250">
        <v>2017</v>
      </c>
      <c r="J32" s="250">
        <v>2017</v>
      </c>
      <c r="K32" s="250" t="s">
        <v>23</v>
      </c>
      <c r="L32" s="250">
        <v>74132</v>
      </c>
      <c r="M32" s="250" t="s">
        <v>130</v>
      </c>
      <c r="N32" s="250" t="s">
        <v>131</v>
      </c>
      <c r="P32" s="46" t="s">
        <v>58</v>
      </c>
      <c r="Q32" s="186">
        <v>193724</v>
      </c>
      <c r="R32" s="186">
        <v>282663</v>
      </c>
      <c r="S32" s="186">
        <v>105210</v>
      </c>
      <c r="T32" s="186">
        <v>180413</v>
      </c>
      <c r="U32" s="186">
        <v>228855</v>
      </c>
      <c r="V32" s="186">
        <v>990865</v>
      </c>
    </row>
    <row r="33" spans="1:22" x14ac:dyDescent="0.35">
      <c r="A33" s="250" t="s">
        <v>127</v>
      </c>
      <c r="B33" s="250" t="s">
        <v>128</v>
      </c>
      <c r="C33" s="250">
        <v>800</v>
      </c>
      <c r="D33" s="250" t="s">
        <v>232</v>
      </c>
      <c r="E33" s="250">
        <v>5312</v>
      </c>
      <c r="F33" s="250" t="s">
        <v>129</v>
      </c>
      <c r="G33" s="250" t="s">
        <v>233</v>
      </c>
      <c r="H33" s="250" t="s">
        <v>234</v>
      </c>
      <c r="I33" s="250">
        <v>2018</v>
      </c>
      <c r="J33" s="250">
        <v>2018</v>
      </c>
      <c r="K33" s="250" t="s">
        <v>23</v>
      </c>
      <c r="L33" s="250">
        <v>73108</v>
      </c>
      <c r="M33" s="250" t="s">
        <v>130</v>
      </c>
      <c r="N33" s="250" t="s">
        <v>131</v>
      </c>
      <c r="P33" s="46" t="s">
        <v>250</v>
      </c>
      <c r="Q33" s="186">
        <v>47000</v>
      </c>
      <c r="R33" s="186">
        <v>47000</v>
      </c>
      <c r="S33" s="186">
        <v>50000</v>
      </c>
      <c r="T33" s="186">
        <v>52000</v>
      </c>
      <c r="U33" s="186">
        <v>50000</v>
      </c>
      <c r="V33" s="186">
        <v>246000</v>
      </c>
    </row>
    <row r="34" spans="1:22" x14ac:dyDescent="0.35">
      <c r="A34" s="250" t="s">
        <v>127</v>
      </c>
      <c r="B34" s="250" t="s">
        <v>128</v>
      </c>
      <c r="C34" s="250">
        <v>800</v>
      </c>
      <c r="D34" s="250" t="s">
        <v>232</v>
      </c>
      <c r="E34" s="250">
        <v>5312</v>
      </c>
      <c r="F34" s="250" t="s">
        <v>129</v>
      </c>
      <c r="G34" s="250" t="s">
        <v>233</v>
      </c>
      <c r="H34" s="250" t="s">
        <v>234</v>
      </c>
      <c r="I34" s="250">
        <v>2019</v>
      </c>
      <c r="J34" s="250">
        <v>2019</v>
      </c>
      <c r="K34" s="250" t="s">
        <v>23</v>
      </c>
      <c r="L34" s="250">
        <v>72399</v>
      </c>
      <c r="M34" s="250" t="s">
        <v>130</v>
      </c>
      <c r="N34" s="250" t="s">
        <v>131</v>
      </c>
      <c r="P34" s="46" t="s">
        <v>161</v>
      </c>
      <c r="Q34" s="186">
        <v>76000</v>
      </c>
      <c r="R34" s="186">
        <v>79000</v>
      </c>
      <c r="S34" s="186">
        <v>78000</v>
      </c>
      <c r="T34" s="186">
        <v>75404</v>
      </c>
      <c r="U34" s="186">
        <v>85313</v>
      </c>
      <c r="V34" s="186">
        <v>393717</v>
      </c>
    </row>
    <row r="35" spans="1:22" x14ac:dyDescent="0.35">
      <c r="A35" s="250" t="s">
        <v>127</v>
      </c>
      <c r="B35" s="250" t="s">
        <v>128</v>
      </c>
      <c r="C35" s="250">
        <v>800</v>
      </c>
      <c r="D35" s="250" t="s">
        <v>232</v>
      </c>
      <c r="E35" s="250">
        <v>5312</v>
      </c>
      <c r="F35" s="250" t="s">
        <v>129</v>
      </c>
      <c r="G35" s="250" t="s">
        <v>233</v>
      </c>
      <c r="H35" s="250" t="s">
        <v>234</v>
      </c>
      <c r="I35" s="250">
        <v>2020</v>
      </c>
      <c r="J35" s="250">
        <v>2020</v>
      </c>
      <c r="K35" s="250" t="s">
        <v>23</v>
      </c>
      <c r="L35" s="250">
        <v>71040</v>
      </c>
      <c r="M35" s="250" t="s">
        <v>130</v>
      </c>
      <c r="N35" s="250" t="s">
        <v>131</v>
      </c>
      <c r="P35" s="46" t="s">
        <v>172</v>
      </c>
      <c r="Q35" s="186">
        <v>256000</v>
      </c>
      <c r="R35" s="186">
        <v>272000</v>
      </c>
      <c r="S35" s="186">
        <v>265000</v>
      </c>
      <c r="T35" s="186">
        <v>275000</v>
      </c>
      <c r="U35" s="186">
        <v>280000</v>
      </c>
      <c r="V35" s="186">
        <v>1348000</v>
      </c>
    </row>
    <row r="36" spans="1:22" x14ac:dyDescent="0.35">
      <c r="A36" s="250" t="s">
        <v>127</v>
      </c>
      <c r="B36" s="250" t="s">
        <v>128</v>
      </c>
      <c r="C36" s="250">
        <v>800</v>
      </c>
      <c r="D36" s="250" t="s">
        <v>232</v>
      </c>
      <c r="E36" s="250">
        <v>5312</v>
      </c>
      <c r="F36" s="250" t="s">
        <v>129</v>
      </c>
      <c r="G36" s="250" t="s">
        <v>233</v>
      </c>
      <c r="H36" s="250" t="s">
        <v>234</v>
      </c>
      <c r="I36" s="250">
        <v>2021</v>
      </c>
      <c r="J36" s="250">
        <v>2021</v>
      </c>
      <c r="K36" s="250" t="s">
        <v>23</v>
      </c>
      <c r="L36" s="250">
        <v>79694</v>
      </c>
      <c r="M36" s="250" t="s">
        <v>130</v>
      </c>
      <c r="N36" s="250" t="s">
        <v>131</v>
      </c>
      <c r="P36" s="46" t="s">
        <v>124</v>
      </c>
      <c r="Q36" s="186">
        <v>448548</v>
      </c>
      <c r="R36" s="186">
        <v>348670</v>
      </c>
      <c r="S36" s="186">
        <v>252690</v>
      </c>
      <c r="T36" s="186">
        <v>275218</v>
      </c>
      <c r="U36" s="186">
        <v>299112</v>
      </c>
      <c r="V36" s="186">
        <v>1624238</v>
      </c>
    </row>
    <row r="37" spans="1:22" x14ac:dyDescent="0.35">
      <c r="A37" s="250" t="s">
        <v>127</v>
      </c>
      <c r="B37" s="250" t="s">
        <v>128</v>
      </c>
      <c r="C37" s="250">
        <v>800</v>
      </c>
      <c r="D37" s="250" t="s">
        <v>232</v>
      </c>
      <c r="E37" s="250">
        <v>5312</v>
      </c>
      <c r="F37" s="250" t="s">
        <v>129</v>
      </c>
      <c r="G37" s="250" t="s">
        <v>235</v>
      </c>
      <c r="H37" s="250" t="s">
        <v>236</v>
      </c>
      <c r="I37" s="250">
        <v>2017</v>
      </c>
      <c r="J37" s="250">
        <v>2017</v>
      </c>
      <c r="K37" s="250" t="s">
        <v>23</v>
      </c>
      <c r="L37" s="250">
        <v>526491</v>
      </c>
      <c r="M37" s="250" t="s">
        <v>130</v>
      </c>
      <c r="N37" s="250" t="s">
        <v>131</v>
      </c>
      <c r="P37" s="46" t="s">
        <v>252</v>
      </c>
      <c r="Q37" s="186">
        <v>24368</v>
      </c>
      <c r="R37" s="186">
        <v>34939</v>
      </c>
      <c r="S37" s="186">
        <v>28569</v>
      </c>
      <c r="T37" s="186">
        <v>35729</v>
      </c>
      <c r="U37" s="186">
        <v>34691</v>
      </c>
      <c r="V37" s="186">
        <v>158296</v>
      </c>
    </row>
    <row r="38" spans="1:22" x14ac:dyDescent="0.35">
      <c r="A38" s="250" t="s">
        <v>127</v>
      </c>
      <c r="B38" s="250" t="s">
        <v>128</v>
      </c>
      <c r="C38" s="250">
        <v>800</v>
      </c>
      <c r="D38" s="250" t="s">
        <v>232</v>
      </c>
      <c r="E38" s="250">
        <v>5312</v>
      </c>
      <c r="F38" s="250" t="s">
        <v>129</v>
      </c>
      <c r="G38" s="250" t="s">
        <v>235</v>
      </c>
      <c r="H38" s="250" t="s">
        <v>236</v>
      </c>
      <c r="I38" s="250">
        <v>2018</v>
      </c>
      <c r="J38" s="250">
        <v>2018</v>
      </c>
      <c r="K38" s="250" t="s">
        <v>23</v>
      </c>
      <c r="L38" s="250">
        <v>504242</v>
      </c>
      <c r="M38" s="250" t="s">
        <v>130</v>
      </c>
      <c r="N38" s="250" t="s">
        <v>131</v>
      </c>
      <c r="P38" s="46" t="s">
        <v>120</v>
      </c>
      <c r="Q38" s="186">
        <v>6525</v>
      </c>
      <c r="R38" s="186">
        <v>6544</v>
      </c>
      <c r="S38" s="186">
        <v>6454</v>
      </c>
      <c r="T38" s="186">
        <v>6507</v>
      </c>
      <c r="U38" s="186">
        <v>6502</v>
      </c>
      <c r="V38" s="186">
        <v>32532</v>
      </c>
    </row>
    <row r="39" spans="1:22" x14ac:dyDescent="0.35">
      <c r="A39" s="250" t="s">
        <v>127</v>
      </c>
      <c r="B39" s="250" t="s">
        <v>128</v>
      </c>
      <c r="C39" s="250">
        <v>800</v>
      </c>
      <c r="D39" s="250" t="s">
        <v>232</v>
      </c>
      <c r="E39" s="250">
        <v>5312</v>
      </c>
      <c r="F39" s="250" t="s">
        <v>129</v>
      </c>
      <c r="G39" s="250" t="s">
        <v>235</v>
      </c>
      <c r="H39" s="250" t="s">
        <v>236</v>
      </c>
      <c r="I39" s="250">
        <v>2019</v>
      </c>
      <c r="J39" s="250">
        <v>2019</v>
      </c>
      <c r="K39" s="250" t="s">
        <v>23</v>
      </c>
      <c r="L39" s="250">
        <v>566577</v>
      </c>
      <c r="M39" s="250" t="s">
        <v>130</v>
      </c>
      <c r="N39" s="250" t="s">
        <v>131</v>
      </c>
      <c r="P39" s="46" t="s">
        <v>254</v>
      </c>
      <c r="Q39" s="186">
        <v>22310</v>
      </c>
      <c r="R39" s="186">
        <v>22204</v>
      </c>
      <c r="S39" s="186">
        <v>21778</v>
      </c>
      <c r="T39" s="186">
        <v>22011</v>
      </c>
      <c r="U39" s="186">
        <v>22244</v>
      </c>
      <c r="V39" s="186">
        <v>110547</v>
      </c>
    </row>
    <row r="40" spans="1:22" x14ac:dyDescent="0.35">
      <c r="A40" s="250" t="s">
        <v>127</v>
      </c>
      <c r="B40" s="250" t="s">
        <v>128</v>
      </c>
      <c r="C40" s="250">
        <v>800</v>
      </c>
      <c r="D40" s="250" t="s">
        <v>232</v>
      </c>
      <c r="E40" s="250">
        <v>5312</v>
      </c>
      <c r="F40" s="250" t="s">
        <v>129</v>
      </c>
      <c r="G40" s="250" t="s">
        <v>235</v>
      </c>
      <c r="H40" s="250" t="s">
        <v>236</v>
      </c>
      <c r="I40" s="250">
        <v>2020</v>
      </c>
      <c r="J40" s="250">
        <v>2020</v>
      </c>
      <c r="K40" s="250" t="s">
        <v>23</v>
      </c>
      <c r="L40" s="250">
        <v>657594</v>
      </c>
      <c r="M40" s="250" t="s">
        <v>110</v>
      </c>
      <c r="N40" s="250" t="s">
        <v>111</v>
      </c>
      <c r="P40" s="46" t="s">
        <v>256</v>
      </c>
      <c r="Q40" s="186">
        <v>350</v>
      </c>
      <c r="R40" s="186">
        <v>361</v>
      </c>
      <c r="S40" s="186">
        <v>357</v>
      </c>
      <c r="T40" s="186">
        <v>356</v>
      </c>
      <c r="U40" s="186">
        <v>358</v>
      </c>
      <c r="V40" s="186">
        <v>1782</v>
      </c>
    </row>
    <row r="41" spans="1:22" x14ac:dyDescent="0.35">
      <c r="A41" s="250" t="s">
        <v>127</v>
      </c>
      <c r="B41" s="250" t="s">
        <v>128</v>
      </c>
      <c r="C41" s="250">
        <v>800</v>
      </c>
      <c r="D41" s="250" t="s">
        <v>232</v>
      </c>
      <c r="E41" s="250">
        <v>5312</v>
      </c>
      <c r="F41" s="250" t="s">
        <v>129</v>
      </c>
      <c r="G41" s="250" t="s">
        <v>235</v>
      </c>
      <c r="H41" s="250" t="s">
        <v>236</v>
      </c>
      <c r="I41" s="250">
        <v>2021</v>
      </c>
      <c r="J41" s="250">
        <v>2021</v>
      </c>
      <c r="K41" s="250" t="s">
        <v>23</v>
      </c>
      <c r="L41" s="250">
        <v>692553</v>
      </c>
      <c r="M41" s="250" t="s">
        <v>110</v>
      </c>
      <c r="N41" s="250" t="s">
        <v>111</v>
      </c>
      <c r="P41" s="46" t="s">
        <v>79</v>
      </c>
      <c r="Q41" s="186">
        <v>14155</v>
      </c>
      <c r="R41" s="186">
        <v>14842</v>
      </c>
      <c r="S41" s="186">
        <v>15396</v>
      </c>
      <c r="T41" s="186">
        <v>16117</v>
      </c>
      <c r="U41" s="186">
        <v>16198</v>
      </c>
      <c r="V41" s="186">
        <v>76708</v>
      </c>
    </row>
    <row r="42" spans="1:22" x14ac:dyDescent="0.35">
      <c r="A42" s="250" t="s">
        <v>127</v>
      </c>
      <c r="B42" s="250" t="s">
        <v>128</v>
      </c>
      <c r="C42" s="250">
        <v>800</v>
      </c>
      <c r="D42" s="250" t="s">
        <v>232</v>
      </c>
      <c r="E42" s="250">
        <v>5312</v>
      </c>
      <c r="F42" s="250" t="s">
        <v>129</v>
      </c>
      <c r="G42" s="250" t="s">
        <v>139</v>
      </c>
      <c r="H42" s="250" t="s">
        <v>117</v>
      </c>
      <c r="I42" s="250">
        <v>2017</v>
      </c>
      <c r="J42" s="250">
        <v>2017</v>
      </c>
      <c r="K42" s="250" t="s">
        <v>23</v>
      </c>
      <c r="L42" s="250">
        <v>26707</v>
      </c>
      <c r="M42" s="250" t="s">
        <v>130</v>
      </c>
      <c r="N42" s="250" t="s">
        <v>131</v>
      </c>
      <c r="P42" s="46" t="s">
        <v>86</v>
      </c>
      <c r="Q42" s="186">
        <v>7010695</v>
      </c>
      <c r="R42" s="186">
        <v>6923177</v>
      </c>
      <c r="S42" s="186">
        <v>6870565</v>
      </c>
      <c r="T42" s="186">
        <v>8255751</v>
      </c>
      <c r="U42" s="186">
        <v>7439328</v>
      </c>
      <c r="V42" s="186">
        <v>36499516</v>
      </c>
    </row>
    <row r="43" spans="1:22" x14ac:dyDescent="0.35">
      <c r="A43" s="250" t="s">
        <v>127</v>
      </c>
      <c r="B43" s="250" t="s">
        <v>128</v>
      </c>
      <c r="C43" s="250">
        <v>800</v>
      </c>
      <c r="D43" s="250" t="s">
        <v>232</v>
      </c>
      <c r="E43" s="250">
        <v>5312</v>
      </c>
      <c r="F43" s="250" t="s">
        <v>129</v>
      </c>
      <c r="G43" s="250" t="s">
        <v>139</v>
      </c>
      <c r="H43" s="250" t="s">
        <v>117</v>
      </c>
      <c r="I43" s="250">
        <v>2018</v>
      </c>
      <c r="J43" s="250">
        <v>2018</v>
      </c>
      <c r="K43" s="250" t="s">
        <v>23</v>
      </c>
      <c r="L43" s="250">
        <v>27568</v>
      </c>
      <c r="M43" s="250" t="s">
        <v>130</v>
      </c>
      <c r="N43" s="250" t="s">
        <v>131</v>
      </c>
    </row>
    <row r="44" spans="1:22" x14ac:dyDescent="0.35">
      <c r="A44" s="250" t="s">
        <v>127</v>
      </c>
      <c r="B44" s="250" t="s">
        <v>128</v>
      </c>
      <c r="C44" s="250">
        <v>800</v>
      </c>
      <c r="D44" s="250" t="s">
        <v>232</v>
      </c>
      <c r="E44" s="250">
        <v>5312</v>
      </c>
      <c r="F44" s="250" t="s">
        <v>129</v>
      </c>
      <c r="G44" s="250" t="s">
        <v>139</v>
      </c>
      <c r="H44" s="250" t="s">
        <v>117</v>
      </c>
      <c r="I44" s="250">
        <v>2019</v>
      </c>
      <c r="J44" s="250">
        <v>2019</v>
      </c>
      <c r="K44" s="250" t="s">
        <v>23</v>
      </c>
      <c r="L44" s="250">
        <v>29126</v>
      </c>
      <c r="M44" s="250" t="s">
        <v>130</v>
      </c>
      <c r="N44" s="250" t="s">
        <v>131</v>
      </c>
    </row>
    <row r="45" spans="1:22" x14ac:dyDescent="0.35">
      <c r="A45" s="250" t="s">
        <v>127</v>
      </c>
      <c r="B45" s="250" t="s">
        <v>128</v>
      </c>
      <c r="C45" s="250">
        <v>800</v>
      </c>
      <c r="D45" s="250" t="s">
        <v>232</v>
      </c>
      <c r="E45" s="250">
        <v>5312</v>
      </c>
      <c r="F45" s="250" t="s">
        <v>129</v>
      </c>
      <c r="G45" s="250" t="s">
        <v>139</v>
      </c>
      <c r="H45" s="250" t="s">
        <v>117</v>
      </c>
      <c r="I45" s="250">
        <v>2020</v>
      </c>
      <c r="J45" s="250">
        <v>2020</v>
      </c>
      <c r="K45" s="250" t="s">
        <v>23</v>
      </c>
      <c r="L45" s="250">
        <v>32187</v>
      </c>
      <c r="M45" s="250" t="s">
        <v>130</v>
      </c>
      <c r="N45" s="250" t="s">
        <v>131</v>
      </c>
    </row>
    <row r="46" spans="1:22" x14ac:dyDescent="0.35">
      <c r="A46" s="250" t="s">
        <v>127</v>
      </c>
      <c r="B46" s="250" t="s">
        <v>128</v>
      </c>
      <c r="C46" s="250">
        <v>800</v>
      </c>
      <c r="D46" s="250" t="s">
        <v>232</v>
      </c>
      <c r="E46" s="250">
        <v>5312</v>
      </c>
      <c r="F46" s="250" t="s">
        <v>129</v>
      </c>
      <c r="G46" s="250" t="s">
        <v>139</v>
      </c>
      <c r="H46" s="250" t="s">
        <v>117</v>
      </c>
      <c r="I46" s="250">
        <v>2021</v>
      </c>
      <c r="J46" s="250">
        <v>2021</v>
      </c>
      <c r="K46" s="250" t="s">
        <v>23</v>
      </c>
      <c r="L46" s="250">
        <v>33215</v>
      </c>
      <c r="M46" s="250" t="s">
        <v>130</v>
      </c>
      <c r="N46" s="250" t="s">
        <v>131</v>
      </c>
    </row>
    <row r="47" spans="1:22" x14ac:dyDescent="0.35">
      <c r="A47" s="250" t="s">
        <v>127</v>
      </c>
      <c r="B47" s="250" t="s">
        <v>128</v>
      </c>
      <c r="C47" s="250">
        <v>800</v>
      </c>
      <c r="D47" s="250" t="s">
        <v>232</v>
      </c>
      <c r="E47" s="250">
        <v>5312</v>
      </c>
      <c r="F47" s="250" t="s">
        <v>129</v>
      </c>
      <c r="G47" s="250" t="s">
        <v>237</v>
      </c>
      <c r="H47" s="250" t="s">
        <v>238</v>
      </c>
      <c r="I47" s="250">
        <v>2017</v>
      </c>
      <c r="J47" s="250">
        <v>2017</v>
      </c>
      <c r="K47" s="250" t="s">
        <v>23</v>
      </c>
      <c r="L47" s="250">
        <v>46</v>
      </c>
      <c r="M47" s="250" t="s">
        <v>130</v>
      </c>
      <c r="N47" s="250" t="s">
        <v>131</v>
      </c>
    </row>
    <row r="48" spans="1:22" x14ac:dyDescent="0.35">
      <c r="A48" s="250" t="s">
        <v>127</v>
      </c>
      <c r="B48" s="250" t="s">
        <v>128</v>
      </c>
      <c r="C48" s="250">
        <v>800</v>
      </c>
      <c r="D48" s="250" t="s">
        <v>232</v>
      </c>
      <c r="E48" s="250">
        <v>5312</v>
      </c>
      <c r="F48" s="250" t="s">
        <v>129</v>
      </c>
      <c r="G48" s="250" t="s">
        <v>237</v>
      </c>
      <c r="H48" s="250" t="s">
        <v>238</v>
      </c>
      <c r="I48" s="250">
        <v>2018</v>
      </c>
      <c r="J48" s="250">
        <v>2018</v>
      </c>
      <c r="K48" s="250" t="s">
        <v>23</v>
      </c>
      <c r="L48" s="250">
        <v>45</v>
      </c>
      <c r="M48" s="250" t="s">
        <v>130</v>
      </c>
      <c r="N48" s="250" t="s">
        <v>131</v>
      </c>
    </row>
    <row r="49" spans="1:14" x14ac:dyDescent="0.35">
      <c r="A49" s="250" t="s">
        <v>127</v>
      </c>
      <c r="B49" s="250" t="s">
        <v>128</v>
      </c>
      <c r="C49" s="250">
        <v>800</v>
      </c>
      <c r="D49" s="250" t="s">
        <v>232</v>
      </c>
      <c r="E49" s="250">
        <v>5312</v>
      </c>
      <c r="F49" s="250" t="s">
        <v>129</v>
      </c>
      <c r="G49" s="250" t="s">
        <v>237</v>
      </c>
      <c r="H49" s="250" t="s">
        <v>238</v>
      </c>
      <c r="I49" s="250">
        <v>2019</v>
      </c>
      <c r="J49" s="250">
        <v>2019</v>
      </c>
      <c r="K49" s="250" t="s">
        <v>23</v>
      </c>
      <c r="L49" s="250">
        <v>44</v>
      </c>
      <c r="M49" s="250" t="s">
        <v>130</v>
      </c>
      <c r="N49" s="250" t="s">
        <v>131</v>
      </c>
    </row>
    <row r="50" spans="1:14" x14ac:dyDescent="0.35">
      <c r="A50" s="250" t="s">
        <v>127</v>
      </c>
      <c r="B50" s="250" t="s">
        <v>128</v>
      </c>
      <c r="C50" s="250">
        <v>800</v>
      </c>
      <c r="D50" s="250" t="s">
        <v>232</v>
      </c>
      <c r="E50" s="250">
        <v>5312</v>
      </c>
      <c r="F50" s="250" t="s">
        <v>129</v>
      </c>
      <c r="G50" s="250" t="s">
        <v>237</v>
      </c>
      <c r="H50" s="250" t="s">
        <v>238</v>
      </c>
      <c r="I50" s="250">
        <v>2020</v>
      </c>
      <c r="J50" s="250">
        <v>2020</v>
      </c>
      <c r="K50" s="250" t="s">
        <v>23</v>
      </c>
      <c r="L50" s="250">
        <v>45</v>
      </c>
      <c r="M50" s="250" t="s">
        <v>110</v>
      </c>
      <c r="N50" s="250" t="s">
        <v>111</v>
      </c>
    </row>
    <row r="51" spans="1:14" x14ac:dyDescent="0.35">
      <c r="A51" s="250" t="s">
        <v>127</v>
      </c>
      <c r="B51" s="250" t="s">
        <v>128</v>
      </c>
      <c r="C51" s="250">
        <v>800</v>
      </c>
      <c r="D51" s="250" t="s">
        <v>232</v>
      </c>
      <c r="E51" s="250">
        <v>5312</v>
      </c>
      <c r="F51" s="250" t="s">
        <v>129</v>
      </c>
      <c r="G51" s="250" t="s">
        <v>237</v>
      </c>
      <c r="H51" s="250" t="s">
        <v>238</v>
      </c>
      <c r="I51" s="250">
        <v>2021</v>
      </c>
      <c r="J51" s="250">
        <v>2021</v>
      </c>
      <c r="K51" s="250" t="s">
        <v>23</v>
      </c>
      <c r="L51" s="250">
        <v>45</v>
      </c>
      <c r="M51" s="250" t="s">
        <v>110</v>
      </c>
      <c r="N51" s="250" t="s">
        <v>111</v>
      </c>
    </row>
    <row r="52" spans="1:14" x14ac:dyDescent="0.35">
      <c r="A52" s="250" t="s">
        <v>127</v>
      </c>
      <c r="B52" s="250" t="s">
        <v>128</v>
      </c>
      <c r="C52" s="250">
        <v>800</v>
      </c>
      <c r="D52" s="250" t="s">
        <v>232</v>
      </c>
      <c r="E52" s="250">
        <v>5312</v>
      </c>
      <c r="F52" s="250" t="s">
        <v>129</v>
      </c>
      <c r="G52" s="250" t="s">
        <v>140</v>
      </c>
      <c r="H52" s="250" t="s">
        <v>141</v>
      </c>
      <c r="I52" s="250">
        <v>2017</v>
      </c>
      <c r="J52" s="250">
        <v>2017</v>
      </c>
      <c r="K52" s="250" t="s">
        <v>23</v>
      </c>
      <c r="L52" s="250">
        <v>424000</v>
      </c>
      <c r="M52" s="250" t="s">
        <v>142</v>
      </c>
      <c r="N52" s="250" t="s">
        <v>143</v>
      </c>
    </row>
    <row r="53" spans="1:14" x14ac:dyDescent="0.35">
      <c r="A53" s="250" t="s">
        <v>127</v>
      </c>
      <c r="B53" s="250" t="s">
        <v>128</v>
      </c>
      <c r="C53" s="250">
        <v>800</v>
      </c>
      <c r="D53" s="250" t="s">
        <v>232</v>
      </c>
      <c r="E53" s="250">
        <v>5312</v>
      </c>
      <c r="F53" s="250" t="s">
        <v>129</v>
      </c>
      <c r="G53" s="250" t="s">
        <v>140</v>
      </c>
      <c r="H53" s="250" t="s">
        <v>141</v>
      </c>
      <c r="I53" s="250">
        <v>2018</v>
      </c>
      <c r="J53" s="250">
        <v>2018</v>
      </c>
      <c r="K53" s="250" t="s">
        <v>23</v>
      </c>
      <c r="L53" s="250">
        <v>286000</v>
      </c>
      <c r="M53" s="250" t="s">
        <v>142</v>
      </c>
      <c r="N53" s="250" t="s">
        <v>143</v>
      </c>
    </row>
    <row r="54" spans="1:14" x14ac:dyDescent="0.35">
      <c r="A54" s="250" t="s">
        <v>127</v>
      </c>
      <c r="B54" s="250" t="s">
        <v>128</v>
      </c>
      <c r="C54" s="250">
        <v>800</v>
      </c>
      <c r="D54" s="250" t="s">
        <v>232</v>
      </c>
      <c r="E54" s="250">
        <v>5312</v>
      </c>
      <c r="F54" s="250" t="s">
        <v>129</v>
      </c>
      <c r="G54" s="250" t="s">
        <v>140</v>
      </c>
      <c r="H54" s="250" t="s">
        <v>141</v>
      </c>
      <c r="I54" s="250">
        <v>2019</v>
      </c>
      <c r="J54" s="250">
        <v>2019</v>
      </c>
      <c r="K54" s="250" t="s">
        <v>23</v>
      </c>
      <c r="L54" s="250">
        <v>320000</v>
      </c>
      <c r="M54" s="250" t="s">
        <v>142</v>
      </c>
      <c r="N54" s="250" t="s">
        <v>143</v>
      </c>
    </row>
    <row r="55" spans="1:14" x14ac:dyDescent="0.35">
      <c r="A55" s="250" t="s">
        <v>127</v>
      </c>
      <c r="B55" s="250" t="s">
        <v>128</v>
      </c>
      <c r="C55" s="250">
        <v>800</v>
      </c>
      <c r="D55" s="250" t="s">
        <v>232</v>
      </c>
      <c r="E55" s="250">
        <v>5312</v>
      </c>
      <c r="F55" s="250" t="s">
        <v>129</v>
      </c>
      <c r="G55" s="250" t="s">
        <v>140</v>
      </c>
      <c r="H55" s="250" t="s">
        <v>141</v>
      </c>
      <c r="I55" s="250">
        <v>2020</v>
      </c>
      <c r="J55" s="250">
        <v>2020</v>
      </c>
      <c r="K55" s="250" t="s">
        <v>23</v>
      </c>
      <c r="L55" s="250">
        <v>330000</v>
      </c>
      <c r="M55" s="250" t="s">
        <v>142</v>
      </c>
      <c r="N55" s="250" t="s">
        <v>143</v>
      </c>
    </row>
    <row r="56" spans="1:14" x14ac:dyDescent="0.35">
      <c r="A56" s="250" t="s">
        <v>127</v>
      </c>
      <c r="B56" s="250" t="s">
        <v>128</v>
      </c>
      <c r="C56" s="250">
        <v>800</v>
      </c>
      <c r="D56" s="250" t="s">
        <v>232</v>
      </c>
      <c r="E56" s="250">
        <v>5312</v>
      </c>
      <c r="F56" s="250" t="s">
        <v>129</v>
      </c>
      <c r="G56" s="250" t="s">
        <v>140</v>
      </c>
      <c r="H56" s="250" t="s">
        <v>141</v>
      </c>
      <c r="I56" s="250">
        <v>2021</v>
      </c>
      <c r="J56" s="250">
        <v>2021</v>
      </c>
      <c r="K56" s="250" t="s">
        <v>23</v>
      </c>
      <c r="L56" s="250">
        <v>330000</v>
      </c>
      <c r="M56" s="250" t="s">
        <v>142</v>
      </c>
      <c r="N56" s="250" t="s">
        <v>143</v>
      </c>
    </row>
    <row r="57" spans="1:14" x14ac:dyDescent="0.35">
      <c r="A57" s="250" t="s">
        <v>127</v>
      </c>
      <c r="B57" s="250" t="s">
        <v>128</v>
      </c>
      <c r="C57" s="250">
        <v>800</v>
      </c>
      <c r="D57" s="250" t="s">
        <v>232</v>
      </c>
      <c r="E57" s="250">
        <v>5312</v>
      </c>
      <c r="F57" s="250" t="s">
        <v>129</v>
      </c>
      <c r="G57" s="250" t="s">
        <v>144</v>
      </c>
      <c r="H57" s="250" t="s">
        <v>122</v>
      </c>
      <c r="I57" s="250">
        <v>2017</v>
      </c>
      <c r="J57" s="250">
        <v>2017</v>
      </c>
      <c r="K57" s="250" t="s">
        <v>23</v>
      </c>
      <c r="L57" s="250">
        <v>1082431</v>
      </c>
      <c r="M57" s="250" t="s">
        <v>130</v>
      </c>
      <c r="N57" s="250" t="s">
        <v>131</v>
      </c>
    </row>
    <row r="58" spans="1:14" x14ac:dyDescent="0.35">
      <c r="A58" s="250" t="s">
        <v>127</v>
      </c>
      <c r="B58" s="250" t="s">
        <v>128</v>
      </c>
      <c r="C58" s="250">
        <v>800</v>
      </c>
      <c r="D58" s="250" t="s">
        <v>232</v>
      </c>
      <c r="E58" s="250">
        <v>5312</v>
      </c>
      <c r="F58" s="250" t="s">
        <v>129</v>
      </c>
      <c r="G58" s="250" t="s">
        <v>144</v>
      </c>
      <c r="H58" s="250" t="s">
        <v>122</v>
      </c>
      <c r="I58" s="250">
        <v>2018</v>
      </c>
      <c r="J58" s="250">
        <v>2018</v>
      </c>
      <c r="K58" s="250" t="s">
        <v>23</v>
      </c>
      <c r="L58" s="250">
        <v>1281311</v>
      </c>
      <c r="M58" s="250" t="s">
        <v>130</v>
      </c>
      <c r="N58" s="250" t="s">
        <v>131</v>
      </c>
    </row>
    <row r="59" spans="1:14" x14ac:dyDescent="0.35">
      <c r="A59" s="250" t="s">
        <v>127</v>
      </c>
      <c r="B59" s="250" t="s">
        <v>128</v>
      </c>
      <c r="C59" s="250">
        <v>800</v>
      </c>
      <c r="D59" s="250" t="s">
        <v>232</v>
      </c>
      <c r="E59" s="250">
        <v>5312</v>
      </c>
      <c r="F59" s="250" t="s">
        <v>129</v>
      </c>
      <c r="G59" s="250" t="s">
        <v>144</v>
      </c>
      <c r="H59" s="250" t="s">
        <v>122</v>
      </c>
      <c r="I59" s="250">
        <v>2019</v>
      </c>
      <c r="J59" s="250">
        <v>2019</v>
      </c>
      <c r="K59" s="250" t="s">
        <v>23</v>
      </c>
      <c r="L59" s="250">
        <v>1005767</v>
      </c>
      <c r="M59" s="250" t="s">
        <v>130</v>
      </c>
      <c r="N59" s="250" t="s">
        <v>131</v>
      </c>
    </row>
    <row r="60" spans="1:14" x14ac:dyDescent="0.35">
      <c r="A60" s="250" t="s">
        <v>127</v>
      </c>
      <c r="B60" s="250" t="s">
        <v>128</v>
      </c>
      <c r="C60" s="250">
        <v>800</v>
      </c>
      <c r="D60" s="250" t="s">
        <v>232</v>
      </c>
      <c r="E60" s="250">
        <v>5312</v>
      </c>
      <c r="F60" s="250" t="s">
        <v>129</v>
      </c>
      <c r="G60" s="250" t="s">
        <v>144</v>
      </c>
      <c r="H60" s="250" t="s">
        <v>122</v>
      </c>
      <c r="I60" s="250">
        <v>2020</v>
      </c>
      <c r="J60" s="250">
        <v>2020</v>
      </c>
      <c r="K60" s="250" t="s">
        <v>23</v>
      </c>
      <c r="L60" s="250">
        <v>1632411</v>
      </c>
      <c r="M60" s="250" t="s">
        <v>110</v>
      </c>
      <c r="N60" s="250" t="s">
        <v>111</v>
      </c>
    </row>
    <row r="61" spans="1:14" x14ac:dyDescent="0.35">
      <c r="A61" s="250" t="s">
        <v>127</v>
      </c>
      <c r="B61" s="250" t="s">
        <v>128</v>
      </c>
      <c r="C61" s="250">
        <v>800</v>
      </c>
      <c r="D61" s="250" t="s">
        <v>232</v>
      </c>
      <c r="E61" s="250">
        <v>5312</v>
      </c>
      <c r="F61" s="250" t="s">
        <v>129</v>
      </c>
      <c r="G61" s="250" t="s">
        <v>144</v>
      </c>
      <c r="H61" s="250" t="s">
        <v>122</v>
      </c>
      <c r="I61" s="250">
        <v>2021</v>
      </c>
      <c r="J61" s="250">
        <v>2021</v>
      </c>
      <c r="K61" s="250" t="s">
        <v>23</v>
      </c>
      <c r="L61" s="250">
        <v>984995</v>
      </c>
      <c r="M61" s="250" t="s">
        <v>130</v>
      </c>
      <c r="N61" s="250" t="s">
        <v>131</v>
      </c>
    </row>
    <row r="62" spans="1:14" x14ac:dyDescent="0.35">
      <c r="A62" s="250" t="s">
        <v>127</v>
      </c>
      <c r="B62" s="250" t="s">
        <v>128</v>
      </c>
      <c r="C62" s="250">
        <v>800</v>
      </c>
      <c r="D62" s="250" t="s">
        <v>232</v>
      </c>
      <c r="E62" s="250">
        <v>5312</v>
      </c>
      <c r="F62" s="250" t="s">
        <v>129</v>
      </c>
      <c r="G62" s="250" t="s">
        <v>145</v>
      </c>
      <c r="H62" s="250" t="s">
        <v>54</v>
      </c>
      <c r="I62" s="250">
        <v>2017</v>
      </c>
      <c r="J62" s="250">
        <v>2017</v>
      </c>
      <c r="K62" s="250" t="s">
        <v>23</v>
      </c>
      <c r="L62" s="250">
        <v>130061</v>
      </c>
      <c r="M62" s="250" t="s">
        <v>130</v>
      </c>
      <c r="N62" s="250" t="s">
        <v>131</v>
      </c>
    </row>
    <row r="63" spans="1:14" x14ac:dyDescent="0.35">
      <c r="A63" s="250" t="s">
        <v>127</v>
      </c>
      <c r="B63" s="250" t="s">
        <v>128</v>
      </c>
      <c r="C63" s="250">
        <v>800</v>
      </c>
      <c r="D63" s="250" t="s">
        <v>232</v>
      </c>
      <c r="E63" s="250">
        <v>5312</v>
      </c>
      <c r="F63" s="250" t="s">
        <v>129</v>
      </c>
      <c r="G63" s="250" t="s">
        <v>145</v>
      </c>
      <c r="H63" s="250" t="s">
        <v>54</v>
      </c>
      <c r="I63" s="250">
        <v>2018</v>
      </c>
      <c r="J63" s="250">
        <v>2018</v>
      </c>
      <c r="K63" s="250" t="s">
        <v>23</v>
      </c>
      <c r="L63" s="250">
        <v>100108</v>
      </c>
      <c r="M63" s="250" t="s">
        <v>130</v>
      </c>
      <c r="N63" s="250" t="s">
        <v>131</v>
      </c>
    </row>
    <row r="64" spans="1:14" x14ac:dyDescent="0.35">
      <c r="A64" s="250" t="s">
        <v>127</v>
      </c>
      <c r="B64" s="250" t="s">
        <v>128</v>
      </c>
      <c r="C64" s="250">
        <v>800</v>
      </c>
      <c r="D64" s="250" t="s">
        <v>232</v>
      </c>
      <c r="E64" s="250">
        <v>5312</v>
      </c>
      <c r="F64" s="250" t="s">
        <v>129</v>
      </c>
      <c r="G64" s="250" t="s">
        <v>145</v>
      </c>
      <c r="H64" s="250" t="s">
        <v>54</v>
      </c>
      <c r="I64" s="250">
        <v>2019</v>
      </c>
      <c r="J64" s="250">
        <v>2019</v>
      </c>
      <c r="K64" s="250" t="s">
        <v>23</v>
      </c>
      <c r="L64" s="250">
        <v>50890</v>
      </c>
      <c r="M64" s="250" t="s">
        <v>130</v>
      </c>
      <c r="N64" s="250" t="s">
        <v>131</v>
      </c>
    </row>
    <row r="65" spans="1:14" x14ac:dyDescent="0.35">
      <c r="A65" s="250" t="s">
        <v>127</v>
      </c>
      <c r="B65" s="250" t="s">
        <v>128</v>
      </c>
      <c r="C65" s="250">
        <v>800</v>
      </c>
      <c r="D65" s="250" t="s">
        <v>232</v>
      </c>
      <c r="E65" s="250">
        <v>5312</v>
      </c>
      <c r="F65" s="250" t="s">
        <v>129</v>
      </c>
      <c r="G65" s="250" t="s">
        <v>145</v>
      </c>
      <c r="H65" s="250" t="s">
        <v>54</v>
      </c>
      <c r="I65" s="250">
        <v>2020</v>
      </c>
      <c r="J65" s="250">
        <v>2020</v>
      </c>
      <c r="K65" s="250" t="s">
        <v>23</v>
      </c>
      <c r="L65" s="250">
        <v>49602</v>
      </c>
      <c r="M65" s="250" t="s">
        <v>130</v>
      </c>
      <c r="N65" s="250" t="s">
        <v>131</v>
      </c>
    </row>
    <row r="66" spans="1:14" x14ac:dyDescent="0.35">
      <c r="A66" s="250" t="s">
        <v>127</v>
      </c>
      <c r="B66" s="250" t="s">
        <v>128</v>
      </c>
      <c r="C66" s="250">
        <v>800</v>
      </c>
      <c r="D66" s="250" t="s">
        <v>232</v>
      </c>
      <c r="E66" s="250">
        <v>5312</v>
      </c>
      <c r="F66" s="250" t="s">
        <v>129</v>
      </c>
      <c r="G66" s="250" t="s">
        <v>145</v>
      </c>
      <c r="H66" s="250" t="s">
        <v>54</v>
      </c>
      <c r="I66" s="250">
        <v>2021</v>
      </c>
      <c r="J66" s="250">
        <v>2021</v>
      </c>
      <c r="K66" s="250" t="s">
        <v>23</v>
      </c>
      <c r="L66" s="250">
        <v>55590</v>
      </c>
      <c r="M66" s="250" t="s">
        <v>130</v>
      </c>
      <c r="N66" s="250" t="s">
        <v>131</v>
      </c>
    </row>
    <row r="67" spans="1:14" x14ac:dyDescent="0.35">
      <c r="A67" s="250" t="s">
        <v>127</v>
      </c>
      <c r="B67" s="250" t="s">
        <v>128</v>
      </c>
      <c r="C67" s="250">
        <v>800</v>
      </c>
      <c r="D67" s="250" t="s">
        <v>232</v>
      </c>
      <c r="E67" s="250">
        <v>5312</v>
      </c>
      <c r="F67" s="250" t="s">
        <v>129</v>
      </c>
      <c r="G67" s="250" t="s">
        <v>146</v>
      </c>
      <c r="H67" s="250" t="s">
        <v>119</v>
      </c>
      <c r="I67" s="250">
        <v>2017</v>
      </c>
      <c r="J67" s="250">
        <v>2017</v>
      </c>
      <c r="K67" s="250" t="s">
        <v>23</v>
      </c>
      <c r="L67" s="250">
        <v>81170</v>
      </c>
      <c r="M67" s="250" t="s">
        <v>130</v>
      </c>
      <c r="N67" s="250" t="s">
        <v>131</v>
      </c>
    </row>
    <row r="68" spans="1:14" x14ac:dyDescent="0.35">
      <c r="A68" s="250" t="s">
        <v>127</v>
      </c>
      <c r="B68" s="250" t="s">
        <v>128</v>
      </c>
      <c r="C68" s="250">
        <v>800</v>
      </c>
      <c r="D68" s="250" t="s">
        <v>232</v>
      </c>
      <c r="E68" s="250">
        <v>5312</v>
      </c>
      <c r="F68" s="250" t="s">
        <v>129</v>
      </c>
      <c r="G68" s="250" t="s">
        <v>146</v>
      </c>
      <c r="H68" s="250" t="s">
        <v>119</v>
      </c>
      <c r="I68" s="250">
        <v>2018</v>
      </c>
      <c r="J68" s="250">
        <v>2018</v>
      </c>
      <c r="K68" s="250" t="s">
        <v>23</v>
      </c>
      <c r="L68" s="250">
        <v>81212</v>
      </c>
      <c r="M68" s="250" t="s">
        <v>110</v>
      </c>
      <c r="N68" s="250" t="s">
        <v>111</v>
      </c>
    </row>
    <row r="69" spans="1:14" x14ac:dyDescent="0.35">
      <c r="A69" s="250" t="s">
        <v>127</v>
      </c>
      <c r="B69" s="250" t="s">
        <v>128</v>
      </c>
      <c r="C69" s="250">
        <v>800</v>
      </c>
      <c r="D69" s="250" t="s">
        <v>232</v>
      </c>
      <c r="E69" s="250">
        <v>5312</v>
      </c>
      <c r="F69" s="250" t="s">
        <v>129</v>
      </c>
      <c r="G69" s="250" t="s">
        <v>146</v>
      </c>
      <c r="H69" s="250" t="s">
        <v>119</v>
      </c>
      <c r="I69" s="250">
        <v>2019</v>
      </c>
      <c r="J69" s="250">
        <v>2019</v>
      </c>
      <c r="K69" s="250" t="s">
        <v>23</v>
      </c>
      <c r="L69" s="250">
        <v>80434</v>
      </c>
      <c r="M69" s="250" t="s">
        <v>110</v>
      </c>
      <c r="N69" s="250" t="s">
        <v>111</v>
      </c>
    </row>
    <row r="70" spans="1:14" x14ac:dyDescent="0.35">
      <c r="A70" s="250" t="s">
        <v>127</v>
      </c>
      <c r="B70" s="250" t="s">
        <v>128</v>
      </c>
      <c r="C70" s="250">
        <v>800</v>
      </c>
      <c r="D70" s="250" t="s">
        <v>232</v>
      </c>
      <c r="E70" s="250">
        <v>5312</v>
      </c>
      <c r="F70" s="250" t="s">
        <v>129</v>
      </c>
      <c r="G70" s="250" t="s">
        <v>146</v>
      </c>
      <c r="H70" s="250" t="s">
        <v>119</v>
      </c>
      <c r="I70" s="250">
        <v>2020</v>
      </c>
      <c r="J70" s="250">
        <v>2020</v>
      </c>
      <c r="K70" s="250" t="s">
        <v>23</v>
      </c>
      <c r="L70" s="250">
        <v>80939</v>
      </c>
      <c r="M70" s="250" t="s">
        <v>110</v>
      </c>
      <c r="N70" s="250" t="s">
        <v>111</v>
      </c>
    </row>
    <row r="71" spans="1:14" x14ac:dyDescent="0.35">
      <c r="A71" s="250" t="s">
        <v>127</v>
      </c>
      <c r="B71" s="250" t="s">
        <v>128</v>
      </c>
      <c r="C71" s="250">
        <v>800</v>
      </c>
      <c r="D71" s="250" t="s">
        <v>232</v>
      </c>
      <c r="E71" s="250">
        <v>5312</v>
      </c>
      <c r="F71" s="250" t="s">
        <v>129</v>
      </c>
      <c r="G71" s="250" t="s">
        <v>146</v>
      </c>
      <c r="H71" s="250" t="s">
        <v>119</v>
      </c>
      <c r="I71" s="250">
        <v>2021</v>
      </c>
      <c r="J71" s="250">
        <v>2021</v>
      </c>
      <c r="K71" s="250" t="s">
        <v>23</v>
      </c>
      <c r="L71" s="250">
        <v>80862</v>
      </c>
      <c r="M71" s="250" t="s">
        <v>110</v>
      </c>
      <c r="N71" s="250" t="s">
        <v>111</v>
      </c>
    </row>
    <row r="72" spans="1:14" x14ac:dyDescent="0.35">
      <c r="A72" s="250" t="s">
        <v>127</v>
      </c>
      <c r="B72" s="250" t="s">
        <v>128</v>
      </c>
      <c r="C72" s="250">
        <v>800</v>
      </c>
      <c r="D72" s="250" t="s">
        <v>232</v>
      </c>
      <c r="E72" s="250">
        <v>5312</v>
      </c>
      <c r="F72" s="250" t="s">
        <v>129</v>
      </c>
      <c r="G72" s="250" t="s">
        <v>149</v>
      </c>
      <c r="H72" s="250" t="s">
        <v>150</v>
      </c>
      <c r="I72" s="250">
        <v>2017</v>
      </c>
      <c r="J72" s="250">
        <v>2017</v>
      </c>
      <c r="K72" s="250" t="s">
        <v>23</v>
      </c>
      <c r="L72" s="250">
        <v>7885</v>
      </c>
      <c r="M72" s="250" t="s">
        <v>130</v>
      </c>
      <c r="N72" s="250" t="s">
        <v>131</v>
      </c>
    </row>
    <row r="73" spans="1:14" x14ac:dyDescent="0.35">
      <c r="A73" s="250" t="s">
        <v>127</v>
      </c>
      <c r="B73" s="250" t="s">
        <v>128</v>
      </c>
      <c r="C73" s="250">
        <v>800</v>
      </c>
      <c r="D73" s="250" t="s">
        <v>232</v>
      </c>
      <c r="E73" s="250">
        <v>5312</v>
      </c>
      <c r="F73" s="250" t="s">
        <v>129</v>
      </c>
      <c r="G73" s="250" t="s">
        <v>149</v>
      </c>
      <c r="H73" s="250" t="s">
        <v>150</v>
      </c>
      <c r="I73" s="250">
        <v>2018</v>
      </c>
      <c r="J73" s="250">
        <v>2018</v>
      </c>
      <c r="K73" s="250" t="s">
        <v>23</v>
      </c>
      <c r="L73" s="250">
        <v>7907</v>
      </c>
      <c r="M73" s="250" t="s">
        <v>130</v>
      </c>
      <c r="N73" s="250" t="s">
        <v>131</v>
      </c>
    </row>
    <row r="74" spans="1:14" x14ac:dyDescent="0.35">
      <c r="A74" s="250" t="s">
        <v>127</v>
      </c>
      <c r="B74" s="250" t="s">
        <v>128</v>
      </c>
      <c r="C74" s="250">
        <v>800</v>
      </c>
      <c r="D74" s="250" t="s">
        <v>232</v>
      </c>
      <c r="E74" s="250">
        <v>5312</v>
      </c>
      <c r="F74" s="250" t="s">
        <v>129</v>
      </c>
      <c r="G74" s="250" t="s">
        <v>149</v>
      </c>
      <c r="H74" s="250" t="s">
        <v>150</v>
      </c>
      <c r="I74" s="250">
        <v>2019</v>
      </c>
      <c r="J74" s="250">
        <v>2019</v>
      </c>
      <c r="K74" s="250" t="s">
        <v>23</v>
      </c>
      <c r="L74" s="250">
        <v>7908</v>
      </c>
      <c r="M74" s="250" t="s">
        <v>130</v>
      </c>
      <c r="N74" s="250" t="s">
        <v>131</v>
      </c>
    </row>
    <row r="75" spans="1:14" x14ac:dyDescent="0.35">
      <c r="A75" s="250" t="s">
        <v>127</v>
      </c>
      <c r="B75" s="250" t="s">
        <v>128</v>
      </c>
      <c r="C75" s="250">
        <v>800</v>
      </c>
      <c r="D75" s="250" t="s">
        <v>232</v>
      </c>
      <c r="E75" s="250">
        <v>5312</v>
      </c>
      <c r="F75" s="250" t="s">
        <v>129</v>
      </c>
      <c r="G75" s="250" t="s">
        <v>149</v>
      </c>
      <c r="H75" s="250" t="s">
        <v>150</v>
      </c>
      <c r="I75" s="250">
        <v>2020</v>
      </c>
      <c r="J75" s="250">
        <v>2020</v>
      </c>
      <c r="K75" s="250" t="s">
        <v>23</v>
      </c>
      <c r="L75" s="250">
        <v>7916</v>
      </c>
      <c r="M75" s="250" t="s">
        <v>130</v>
      </c>
      <c r="N75" s="250" t="s">
        <v>131</v>
      </c>
    </row>
    <row r="76" spans="1:14" x14ac:dyDescent="0.35">
      <c r="A76" s="250" t="s">
        <v>127</v>
      </c>
      <c r="B76" s="250" t="s">
        <v>128</v>
      </c>
      <c r="C76" s="250">
        <v>800</v>
      </c>
      <c r="D76" s="250" t="s">
        <v>232</v>
      </c>
      <c r="E76" s="250">
        <v>5312</v>
      </c>
      <c r="F76" s="250" t="s">
        <v>129</v>
      </c>
      <c r="G76" s="250" t="s">
        <v>149</v>
      </c>
      <c r="H76" s="250" t="s">
        <v>150</v>
      </c>
      <c r="I76" s="250">
        <v>2021</v>
      </c>
      <c r="J76" s="250">
        <v>2021</v>
      </c>
      <c r="K76" s="250" t="s">
        <v>23</v>
      </c>
      <c r="L76" s="250">
        <v>7925</v>
      </c>
      <c r="M76" s="250" t="s">
        <v>130</v>
      </c>
      <c r="N76" s="250" t="s">
        <v>131</v>
      </c>
    </row>
    <row r="77" spans="1:14" x14ac:dyDescent="0.35">
      <c r="A77" s="250" t="s">
        <v>127</v>
      </c>
      <c r="B77" s="250" t="s">
        <v>128</v>
      </c>
      <c r="C77" s="250">
        <v>800</v>
      </c>
      <c r="D77" s="250" t="s">
        <v>232</v>
      </c>
      <c r="E77" s="250">
        <v>5312</v>
      </c>
      <c r="F77" s="250" t="s">
        <v>129</v>
      </c>
      <c r="G77" s="250" t="s">
        <v>151</v>
      </c>
      <c r="H77" s="250" t="s">
        <v>152</v>
      </c>
      <c r="I77" s="250">
        <v>2017</v>
      </c>
      <c r="J77" s="250">
        <v>2017</v>
      </c>
      <c r="K77" s="250" t="s">
        <v>23</v>
      </c>
      <c r="L77" s="250">
        <v>53320</v>
      </c>
      <c r="M77" s="250" t="s">
        <v>130</v>
      </c>
      <c r="N77" s="250" t="s">
        <v>131</v>
      </c>
    </row>
    <row r="78" spans="1:14" x14ac:dyDescent="0.35">
      <c r="A78" s="250" t="s">
        <v>127</v>
      </c>
      <c r="B78" s="250" t="s">
        <v>128</v>
      </c>
      <c r="C78" s="250">
        <v>800</v>
      </c>
      <c r="D78" s="250" t="s">
        <v>232</v>
      </c>
      <c r="E78" s="250">
        <v>5312</v>
      </c>
      <c r="F78" s="250" t="s">
        <v>129</v>
      </c>
      <c r="G78" s="250" t="s">
        <v>151</v>
      </c>
      <c r="H78" s="250" t="s">
        <v>152</v>
      </c>
      <c r="I78" s="250">
        <v>2018</v>
      </c>
      <c r="J78" s="250">
        <v>2018</v>
      </c>
      <c r="K78" s="250" t="s">
        <v>23</v>
      </c>
      <c r="L78" s="250">
        <v>52362</v>
      </c>
      <c r="M78" s="250" t="s">
        <v>110</v>
      </c>
      <c r="N78" s="250" t="s">
        <v>111</v>
      </c>
    </row>
    <row r="79" spans="1:14" x14ac:dyDescent="0.35">
      <c r="A79" s="250" t="s">
        <v>127</v>
      </c>
      <c r="B79" s="250" t="s">
        <v>128</v>
      </c>
      <c r="C79" s="250">
        <v>800</v>
      </c>
      <c r="D79" s="250" t="s">
        <v>232</v>
      </c>
      <c r="E79" s="250">
        <v>5312</v>
      </c>
      <c r="F79" s="250" t="s">
        <v>129</v>
      </c>
      <c r="G79" s="250" t="s">
        <v>151</v>
      </c>
      <c r="H79" s="250" t="s">
        <v>152</v>
      </c>
      <c r="I79" s="250">
        <v>2019</v>
      </c>
      <c r="J79" s="250">
        <v>2019</v>
      </c>
      <c r="K79" s="250" t="s">
        <v>23</v>
      </c>
      <c r="L79" s="250">
        <v>52677</v>
      </c>
      <c r="M79" s="250" t="s">
        <v>110</v>
      </c>
      <c r="N79" s="250" t="s">
        <v>111</v>
      </c>
    </row>
    <row r="80" spans="1:14" x14ac:dyDescent="0.35">
      <c r="A80" s="250" t="s">
        <v>127</v>
      </c>
      <c r="B80" s="250" t="s">
        <v>128</v>
      </c>
      <c r="C80" s="250">
        <v>800</v>
      </c>
      <c r="D80" s="250" t="s">
        <v>232</v>
      </c>
      <c r="E80" s="250">
        <v>5312</v>
      </c>
      <c r="F80" s="250" t="s">
        <v>129</v>
      </c>
      <c r="G80" s="250" t="s">
        <v>151</v>
      </c>
      <c r="H80" s="250" t="s">
        <v>152</v>
      </c>
      <c r="I80" s="250">
        <v>2020</v>
      </c>
      <c r="J80" s="250">
        <v>2020</v>
      </c>
      <c r="K80" s="250" t="s">
        <v>23</v>
      </c>
      <c r="L80" s="250">
        <v>52786</v>
      </c>
      <c r="M80" s="250" t="s">
        <v>110</v>
      </c>
      <c r="N80" s="250" t="s">
        <v>111</v>
      </c>
    </row>
    <row r="81" spans="1:14" x14ac:dyDescent="0.35">
      <c r="A81" s="250" t="s">
        <v>127</v>
      </c>
      <c r="B81" s="250" t="s">
        <v>128</v>
      </c>
      <c r="C81" s="250">
        <v>800</v>
      </c>
      <c r="D81" s="250" t="s">
        <v>232</v>
      </c>
      <c r="E81" s="250">
        <v>5312</v>
      </c>
      <c r="F81" s="250" t="s">
        <v>129</v>
      </c>
      <c r="G81" s="250" t="s">
        <v>151</v>
      </c>
      <c r="H81" s="250" t="s">
        <v>152</v>
      </c>
      <c r="I81" s="250">
        <v>2021</v>
      </c>
      <c r="J81" s="250">
        <v>2021</v>
      </c>
      <c r="K81" s="250" t="s">
        <v>23</v>
      </c>
      <c r="L81" s="250">
        <v>52608</v>
      </c>
      <c r="M81" s="250" t="s">
        <v>110</v>
      </c>
      <c r="N81" s="250" t="s">
        <v>111</v>
      </c>
    </row>
    <row r="82" spans="1:14" x14ac:dyDescent="0.35">
      <c r="A82" s="250" t="s">
        <v>127</v>
      </c>
      <c r="B82" s="250" t="s">
        <v>128</v>
      </c>
      <c r="C82" s="250">
        <v>800</v>
      </c>
      <c r="D82" s="250" t="s">
        <v>232</v>
      </c>
      <c r="E82" s="250">
        <v>5312</v>
      </c>
      <c r="F82" s="250" t="s">
        <v>129</v>
      </c>
      <c r="G82" s="250" t="s">
        <v>153</v>
      </c>
      <c r="H82" s="250" t="s">
        <v>121</v>
      </c>
      <c r="I82" s="250">
        <v>2017</v>
      </c>
      <c r="J82" s="250">
        <v>2017</v>
      </c>
      <c r="K82" s="250" t="s">
        <v>23</v>
      </c>
      <c r="L82" s="250">
        <v>151838</v>
      </c>
      <c r="M82" s="250" t="s">
        <v>110</v>
      </c>
      <c r="N82" s="250" t="s">
        <v>111</v>
      </c>
    </row>
    <row r="83" spans="1:14" x14ac:dyDescent="0.35">
      <c r="A83" s="250" t="s">
        <v>127</v>
      </c>
      <c r="B83" s="250" t="s">
        <v>128</v>
      </c>
      <c r="C83" s="250">
        <v>800</v>
      </c>
      <c r="D83" s="250" t="s">
        <v>232</v>
      </c>
      <c r="E83" s="250">
        <v>5312</v>
      </c>
      <c r="F83" s="250" t="s">
        <v>129</v>
      </c>
      <c r="G83" s="250" t="s">
        <v>153</v>
      </c>
      <c r="H83" s="250" t="s">
        <v>121</v>
      </c>
      <c r="I83" s="250">
        <v>2018</v>
      </c>
      <c r="J83" s="250">
        <v>2018</v>
      </c>
      <c r="K83" s="250" t="s">
        <v>23</v>
      </c>
      <c r="L83" s="250">
        <v>153189</v>
      </c>
      <c r="M83" s="250" t="s">
        <v>110</v>
      </c>
      <c r="N83" s="250" t="s">
        <v>111</v>
      </c>
    </row>
    <row r="84" spans="1:14" x14ac:dyDescent="0.35">
      <c r="A84" s="250" t="s">
        <v>127</v>
      </c>
      <c r="B84" s="250" t="s">
        <v>128</v>
      </c>
      <c r="C84" s="250">
        <v>800</v>
      </c>
      <c r="D84" s="250" t="s">
        <v>232</v>
      </c>
      <c r="E84" s="250">
        <v>5312</v>
      </c>
      <c r="F84" s="250" t="s">
        <v>129</v>
      </c>
      <c r="G84" s="250" t="s">
        <v>153</v>
      </c>
      <c r="H84" s="250" t="s">
        <v>121</v>
      </c>
      <c r="I84" s="250">
        <v>2019</v>
      </c>
      <c r="J84" s="250">
        <v>2019</v>
      </c>
      <c r="K84" s="250" t="s">
        <v>23</v>
      </c>
      <c r="L84" s="250">
        <v>151504</v>
      </c>
      <c r="M84" s="250" t="s">
        <v>110</v>
      </c>
      <c r="N84" s="250" t="s">
        <v>111</v>
      </c>
    </row>
    <row r="85" spans="1:14" x14ac:dyDescent="0.35">
      <c r="A85" s="250" t="s">
        <v>127</v>
      </c>
      <c r="B85" s="250" t="s">
        <v>128</v>
      </c>
      <c r="C85" s="250">
        <v>800</v>
      </c>
      <c r="D85" s="250" t="s">
        <v>232</v>
      </c>
      <c r="E85" s="250">
        <v>5312</v>
      </c>
      <c r="F85" s="250" t="s">
        <v>129</v>
      </c>
      <c r="G85" s="250" t="s">
        <v>153</v>
      </c>
      <c r="H85" s="250" t="s">
        <v>121</v>
      </c>
      <c r="I85" s="250">
        <v>2020</v>
      </c>
      <c r="J85" s="250">
        <v>2020</v>
      </c>
      <c r="K85" s="250" t="s">
        <v>23</v>
      </c>
      <c r="L85" s="250">
        <v>152177</v>
      </c>
      <c r="M85" s="250" t="s">
        <v>110</v>
      </c>
      <c r="N85" s="250" t="s">
        <v>111</v>
      </c>
    </row>
    <row r="86" spans="1:14" x14ac:dyDescent="0.35">
      <c r="A86" s="250" t="s">
        <v>127</v>
      </c>
      <c r="B86" s="250" t="s">
        <v>128</v>
      </c>
      <c r="C86" s="250">
        <v>800</v>
      </c>
      <c r="D86" s="250" t="s">
        <v>232</v>
      </c>
      <c r="E86" s="250">
        <v>5312</v>
      </c>
      <c r="F86" s="250" t="s">
        <v>129</v>
      </c>
      <c r="G86" s="250" t="s">
        <v>153</v>
      </c>
      <c r="H86" s="250" t="s">
        <v>121</v>
      </c>
      <c r="I86" s="250">
        <v>2021</v>
      </c>
      <c r="J86" s="250">
        <v>2021</v>
      </c>
      <c r="K86" s="250" t="s">
        <v>23</v>
      </c>
      <c r="L86" s="250">
        <v>152290</v>
      </c>
      <c r="M86" s="250" t="s">
        <v>110</v>
      </c>
      <c r="N86" s="250" t="s">
        <v>111</v>
      </c>
    </row>
    <row r="87" spans="1:14" x14ac:dyDescent="0.35">
      <c r="A87" s="250" t="s">
        <v>127</v>
      </c>
      <c r="B87" s="250" t="s">
        <v>128</v>
      </c>
      <c r="C87" s="250">
        <v>800</v>
      </c>
      <c r="D87" s="250" t="s">
        <v>232</v>
      </c>
      <c r="E87" s="250">
        <v>5312</v>
      </c>
      <c r="F87" s="250" t="s">
        <v>129</v>
      </c>
      <c r="G87" s="250" t="s">
        <v>239</v>
      </c>
      <c r="H87" s="250" t="s">
        <v>240</v>
      </c>
      <c r="I87" s="250">
        <v>2017</v>
      </c>
      <c r="J87" s="250">
        <v>2017</v>
      </c>
      <c r="K87" s="250" t="s">
        <v>23</v>
      </c>
      <c r="L87" s="250">
        <v>25813</v>
      </c>
      <c r="M87" s="250" t="s">
        <v>130</v>
      </c>
      <c r="N87" s="250" t="s">
        <v>131</v>
      </c>
    </row>
    <row r="88" spans="1:14" x14ac:dyDescent="0.35">
      <c r="A88" s="250" t="s">
        <v>127</v>
      </c>
      <c r="B88" s="250" t="s">
        <v>128</v>
      </c>
      <c r="C88" s="250">
        <v>800</v>
      </c>
      <c r="D88" s="250" t="s">
        <v>232</v>
      </c>
      <c r="E88" s="250">
        <v>5312</v>
      </c>
      <c r="F88" s="250" t="s">
        <v>129</v>
      </c>
      <c r="G88" s="250" t="s">
        <v>239</v>
      </c>
      <c r="H88" s="250" t="s">
        <v>240</v>
      </c>
      <c r="I88" s="250">
        <v>2018</v>
      </c>
      <c r="J88" s="250">
        <v>2018</v>
      </c>
      <c r="K88" s="250" t="s">
        <v>23</v>
      </c>
      <c r="L88" s="250">
        <v>23577</v>
      </c>
      <c r="M88" s="250" t="s">
        <v>130</v>
      </c>
      <c r="N88" s="250" t="s">
        <v>131</v>
      </c>
    </row>
    <row r="89" spans="1:14" x14ac:dyDescent="0.35">
      <c r="A89" s="250" t="s">
        <v>127</v>
      </c>
      <c r="B89" s="250" t="s">
        <v>128</v>
      </c>
      <c r="C89" s="250">
        <v>800</v>
      </c>
      <c r="D89" s="250" t="s">
        <v>232</v>
      </c>
      <c r="E89" s="250">
        <v>5312</v>
      </c>
      <c r="F89" s="250" t="s">
        <v>129</v>
      </c>
      <c r="G89" s="250" t="s">
        <v>239</v>
      </c>
      <c r="H89" s="250" t="s">
        <v>240</v>
      </c>
      <c r="I89" s="250">
        <v>2019</v>
      </c>
      <c r="J89" s="250">
        <v>2019</v>
      </c>
      <c r="K89" s="250" t="s">
        <v>23</v>
      </c>
      <c r="L89" s="250">
        <v>25175</v>
      </c>
      <c r="M89" s="250" t="s">
        <v>130</v>
      </c>
      <c r="N89" s="250" t="s">
        <v>131</v>
      </c>
    </row>
    <row r="90" spans="1:14" x14ac:dyDescent="0.35">
      <c r="A90" s="250" t="s">
        <v>127</v>
      </c>
      <c r="B90" s="250" t="s">
        <v>128</v>
      </c>
      <c r="C90" s="250">
        <v>800</v>
      </c>
      <c r="D90" s="250" t="s">
        <v>232</v>
      </c>
      <c r="E90" s="250">
        <v>5312</v>
      </c>
      <c r="F90" s="250" t="s">
        <v>129</v>
      </c>
      <c r="G90" s="250" t="s">
        <v>239</v>
      </c>
      <c r="H90" s="250" t="s">
        <v>240</v>
      </c>
      <c r="I90" s="250">
        <v>2020</v>
      </c>
      <c r="J90" s="250">
        <v>2020</v>
      </c>
      <c r="K90" s="250" t="s">
        <v>23</v>
      </c>
      <c r="L90" s="250">
        <v>27320</v>
      </c>
      <c r="M90" s="250" t="s">
        <v>130</v>
      </c>
      <c r="N90" s="250" t="s">
        <v>131</v>
      </c>
    </row>
    <row r="91" spans="1:14" x14ac:dyDescent="0.35">
      <c r="A91" s="250" t="s">
        <v>127</v>
      </c>
      <c r="B91" s="250" t="s">
        <v>128</v>
      </c>
      <c r="C91" s="250">
        <v>800</v>
      </c>
      <c r="D91" s="250" t="s">
        <v>232</v>
      </c>
      <c r="E91" s="250">
        <v>5312</v>
      </c>
      <c r="F91" s="250" t="s">
        <v>129</v>
      </c>
      <c r="G91" s="250" t="s">
        <v>239</v>
      </c>
      <c r="H91" s="250" t="s">
        <v>240</v>
      </c>
      <c r="I91" s="250">
        <v>2021</v>
      </c>
      <c r="J91" s="250">
        <v>2021</v>
      </c>
      <c r="K91" s="250" t="s">
        <v>23</v>
      </c>
      <c r="L91" s="250">
        <v>27303</v>
      </c>
      <c r="M91" s="250" t="s">
        <v>130</v>
      </c>
      <c r="N91" s="250" t="s">
        <v>131</v>
      </c>
    </row>
    <row r="92" spans="1:14" x14ac:dyDescent="0.35">
      <c r="A92" s="250" t="s">
        <v>127</v>
      </c>
      <c r="B92" s="250" t="s">
        <v>128</v>
      </c>
      <c r="C92" s="250">
        <v>800</v>
      </c>
      <c r="D92" s="250" t="s">
        <v>232</v>
      </c>
      <c r="E92" s="250">
        <v>5312</v>
      </c>
      <c r="F92" s="250" t="s">
        <v>129</v>
      </c>
      <c r="G92" s="250" t="s">
        <v>241</v>
      </c>
      <c r="H92" s="250" t="s">
        <v>242</v>
      </c>
      <c r="I92" s="250">
        <v>2017</v>
      </c>
      <c r="J92" s="250">
        <v>2017</v>
      </c>
      <c r="K92" s="250" t="s">
        <v>23</v>
      </c>
      <c r="L92" s="250">
        <v>1761</v>
      </c>
      <c r="M92" s="250" t="s">
        <v>130</v>
      </c>
      <c r="N92" s="250" t="s">
        <v>131</v>
      </c>
    </row>
    <row r="93" spans="1:14" x14ac:dyDescent="0.35">
      <c r="A93" s="250" t="s">
        <v>127</v>
      </c>
      <c r="B93" s="250" t="s">
        <v>128</v>
      </c>
      <c r="C93" s="250">
        <v>800</v>
      </c>
      <c r="D93" s="250" t="s">
        <v>232</v>
      </c>
      <c r="E93" s="250">
        <v>5312</v>
      </c>
      <c r="F93" s="250" t="s">
        <v>129</v>
      </c>
      <c r="G93" s="250" t="s">
        <v>241</v>
      </c>
      <c r="H93" s="250" t="s">
        <v>242</v>
      </c>
      <c r="I93" s="250">
        <v>2018</v>
      </c>
      <c r="J93" s="250">
        <v>2018</v>
      </c>
      <c r="K93" s="250" t="s">
        <v>23</v>
      </c>
      <c r="L93" s="250">
        <v>1785</v>
      </c>
      <c r="M93" s="250" t="s">
        <v>110</v>
      </c>
      <c r="N93" s="250" t="s">
        <v>111</v>
      </c>
    </row>
    <row r="94" spans="1:14" x14ac:dyDescent="0.35">
      <c r="A94" s="250" t="s">
        <v>127</v>
      </c>
      <c r="B94" s="250" t="s">
        <v>128</v>
      </c>
      <c r="C94" s="250">
        <v>800</v>
      </c>
      <c r="D94" s="250" t="s">
        <v>232</v>
      </c>
      <c r="E94" s="250">
        <v>5312</v>
      </c>
      <c r="F94" s="250" t="s">
        <v>129</v>
      </c>
      <c r="G94" s="250" t="s">
        <v>241</v>
      </c>
      <c r="H94" s="250" t="s">
        <v>242</v>
      </c>
      <c r="I94" s="250">
        <v>2019</v>
      </c>
      <c r="J94" s="250">
        <v>2019</v>
      </c>
      <c r="K94" s="250" t="s">
        <v>23</v>
      </c>
      <c r="L94" s="250">
        <v>1777</v>
      </c>
      <c r="M94" s="250" t="s">
        <v>110</v>
      </c>
      <c r="N94" s="250" t="s">
        <v>111</v>
      </c>
    </row>
    <row r="95" spans="1:14" x14ac:dyDescent="0.35">
      <c r="A95" s="250" t="s">
        <v>127</v>
      </c>
      <c r="B95" s="250" t="s">
        <v>128</v>
      </c>
      <c r="C95" s="250">
        <v>800</v>
      </c>
      <c r="D95" s="250" t="s">
        <v>232</v>
      </c>
      <c r="E95" s="250">
        <v>5312</v>
      </c>
      <c r="F95" s="250" t="s">
        <v>129</v>
      </c>
      <c r="G95" s="250" t="s">
        <v>241</v>
      </c>
      <c r="H95" s="250" t="s">
        <v>242</v>
      </c>
      <c r="I95" s="250">
        <v>2020</v>
      </c>
      <c r="J95" s="250">
        <v>2020</v>
      </c>
      <c r="K95" s="250" t="s">
        <v>23</v>
      </c>
      <c r="L95" s="250">
        <v>1774</v>
      </c>
      <c r="M95" s="250" t="s">
        <v>110</v>
      </c>
      <c r="N95" s="250" t="s">
        <v>111</v>
      </c>
    </row>
    <row r="96" spans="1:14" x14ac:dyDescent="0.35">
      <c r="A96" s="250" t="s">
        <v>127</v>
      </c>
      <c r="B96" s="250" t="s">
        <v>128</v>
      </c>
      <c r="C96" s="250">
        <v>800</v>
      </c>
      <c r="D96" s="250" t="s">
        <v>232</v>
      </c>
      <c r="E96" s="250">
        <v>5312</v>
      </c>
      <c r="F96" s="250" t="s">
        <v>129</v>
      </c>
      <c r="G96" s="250" t="s">
        <v>241</v>
      </c>
      <c r="H96" s="250" t="s">
        <v>242</v>
      </c>
      <c r="I96" s="250">
        <v>2021</v>
      </c>
      <c r="J96" s="250">
        <v>2021</v>
      </c>
      <c r="K96" s="250" t="s">
        <v>23</v>
      </c>
      <c r="L96" s="250">
        <v>1779</v>
      </c>
      <c r="M96" s="250" t="s">
        <v>110</v>
      </c>
      <c r="N96" s="250" t="s">
        <v>111</v>
      </c>
    </row>
    <row r="97" spans="1:14" x14ac:dyDescent="0.35">
      <c r="A97" s="250" t="s">
        <v>127</v>
      </c>
      <c r="B97" s="250" t="s">
        <v>128</v>
      </c>
      <c r="C97" s="250">
        <v>800</v>
      </c>
      <c r="D97" s="250" t="s">
        <v>232</v>
      </c>
      <c r="E97" s="250">
        <v>5312</v>
      </c>
      <c r="F97" s="250" t="s">
        <v>129</v>
      </c>
      <c r="G97" s="250" t="s">
        <v>243</v>
      </c>
      <c r="H97" s="250" t="s">
        <v>244</v>
      </c>
      <c r="I97" s="250">
        <v>2017</v>
      </c>
      <c r="J97" s="250">
        <v>2017</v>
      </c>
      <c r="K97" s="250" t="s">
        <v>23</v>
      </c>
      <c r="L97" s="250">
        <v>39449</v>
      </c>
      <c r="M97" s="250" t="s">
        <v>130</v>
      </c>
      <c r="N97" s="250" t="s">
        <v>131</v>
      </c>
    </row>
    <row r="98" spans="1:14" x14ac:dyDescent="0.35">
      <c r="A98" s="250" t="s">
        <v>127</v>
      </c>
      <c r="B98" s="250" t="s">
        <v>128</v>
      </c>
      <c r="C98" s="250">
        <v>800</v>
      </c>
      <c r="D98" s="250" t="s">
        <v>232</v>
      </c>
      <c r="E98" s="250">
        <v>5312</v>
      </c>
      <c r="F98" s="250" t="s">
        <v>129</v>
      </c>
      <c r="G98" s="250" t="s">
        <v>243</v>
      </c>
      <c r="H98" s="250" t="s">
        <v>244</v>
      </c>
      <c r="I98" s="250">
        <v>2018</v>
      </c>
      <c r="J98" s="250">
        <v>2018</v>
      </c>
      <c r="K98" s="250" t="s">
        <v>23</v>
      </c>
      <c r="L98" s="250">
        <v>42184</v>
      </c>
      <c r="M98" s="250" t="s">
        <v>130</v>
      </c>
      <c r="N98" s="250" t="s">
        <v>131</v>
      </c>
    </row>
    <row r="99" spans="1:14" x14ac:dyDescent="0.35">
      <c r="A99" s="250" t="s">
        <v>127</v>
      </c>
      <c r="B99" s="250" t="s">
        <v>128</v>
      </c>
      <c r="C99" s="250">
        <v>800</v>
      </c>
      <c r="D99" s="250" t="s">
        <v>232</v>
      </c>
      <c r="E99" s="250">
        <v>5312</v>
      </c>
      <c r="F99" s="250" t="s">
        <v>129</v>
      </c>
      <c r="G99" s="250" t="s">
        <v>243</v>
      </c>
      <c r="H99" s="250" t="s">
        <v>244</v>
      </c>
      <c r="I99" s="250">
        <v>2019</v>
      </c>
      <c r="J99" s="250">
        <v>2019</v>
      </c>
      <c r="K99" s="250" t="s">
        <v>23</v>
      </c>
      <c r="L99" s="250">
        <v>50310</v>
      </c>
      <c r="M99" s="250" t="s">
        <v>130</v>
      </c>
      <c r="N99" s="250" t="s">
        <v>131</v>
      </c>
    </row>
    <row r="100" spans="1:14" x14ac:dyDescent="0.35">
      <c r="A100" s="250" t="s">
        <v>127</v>
      </c>
      <c r="B100" s="250" t="s">
        <v>128</v>
      </c>
      <c r="C100" s="250">
        <v>800</v>
      </c>
      <c r="D100" s="250" t="s">
        <v>232</v>
      </c>
      <c r="E100" s="250">
        <v>5312</v>
      </c>
      <c r="F100" s="250" t="s">
        <v>129</v>
      </c>
      <c r="G100" s="250" t="s">
        <v>243</v>
      </c>
      <c r="H100" s="250" t="s">
        <v>244</v>
      </c>
      <c r="I100" s="250">
        <v>2020</v>
      </c>
      <c r="J100" s="250">
        <v>2020</v>
      </c>
      <c r="K100" s="250" t="s">
        <v>23</v>
      </c>
      <c r="L100" s="250">
        <v>43228</v>
      </c>
      <c r="M100" s="250" t="s">
        <v>110</v>
      </c>
      <c r="N100" s="250" t="s">
        <v>111</v>
      </c>
    </row>
    <row r="101" spans="1:14" x14ac:dyDescent="0.35">
      <c r="A101" s="250" t="s">
        <v>127</v>
      </c>
      <c r="B101" s="250" t="s">
        <v>128</v>
      </c>
      <c r="C101" s="250">
        <v>800</v>
      </c>
      <c r="D101" s="250" t="s">
        <v>232</v>
      </c>
      <c r="E101" s="250">
        <v>5312</v>
      </c>
      <c r="F101" s="250" t="s">
        <v>129</v>
      </c>
      <c r="G101" s="250" t="s">
        <v>243</v>
      </c>
      <c r="H101" s="250" t="s">
        <v>244</v>
      </c>
      <c r="I101" s="250">
        <v>2021</v>
      </c>
      <c r="J101" s="250">
        <v>2021</v>
      </c>
      <c r="K101" s="250" t="s">
        <v>23</v>
      </c>
      <c r="L101" s="250">
        <v>44394</v>
      </c>
      <c r="M101" s="250" t="s">
        <v>110</v>
      </c>
      <c r="N101" s="250" t="s">
        <v>111</v>
      </c>
    </row>
    <row r="102" spans="1:14" x14ac:dyDescent="0.35">
      <c r="A102" s="250" t="s">
        <v>127</v>
      </c>
      <c r="B102" s="250" t="s">
        <v>128</v>
      </c>
      <c r="C102" s="250">
        <v>800</v>
      </c>
      <c r="D102" s="250" t="s">
        <v>232</v>
      </c>
      <c r="E102" s="250">
        <v>5312</v>
      </c>
      <c r="F102" s="250" t="s">
        <v>129</v>
      </c>
      <c r="G102" s="250" t="s">
        <v>169</v>
      </c>
      <c r="H102" s="250" t="s">
        <v>170</v>
      </c>
      <c r="I102" s="250">
        <v>2017</v>
      </c>
      <c r="J102" s="250">
        <v>2017</v>
      </c>
      <c r="K102" s="250" t="s">
        <v>23</v>
      </c>
      <c r="L102" s="250">
        <v>498</v>
      </c>
      <c r="M102" s="250" t="s">
        <v>130</v>
      </c>
      <c r="N102" s="250" t="s">
        <v>131</v>
      </c>
    </row>
    <row r="103" spans="1:14" x14ac:dyDescent="0.35">
      <c r="A103" s="250" t="s">
        <v>127</v>
      </c>
      <c r="B103" s="250" t="s">
        <v>128</v>
      </c>
      <c r="C103" s="250">
        <v>800</v>
      </c>
      <c r="D103" s="250" t="s">
        <v>232</v>
      </c>
      <c r="E103" s="250">
        <v>5312</v>
      </c>
      <c r="F103" s="250" t="s">
        <v>129</v>
      </c>
      <c r="G103" s="250" t="s">
        <v>169</v>
      </c>
      <c r="H103" s="250" t="s">
        <v>170</v>
      </c>
      <c r="I103" s="250">
        <v>2018</v>
      </c>
      <c r="J103" s="250">
        <v>2018</v>
      </c>
      <c r="K103" s="250" t="s">
        <v>23</v>
      </c>
      <c r="L103" s="250">
        <v>647</v>
      </c>
      <c r="M103" s="250" t="s">
        <v>130</v>
      </c>
      <c r="N103" s="250" t="s">
        <v>131</v>
      </c>
    </row>
    <row r="104" spans="1:14" x14ac:dyDescent="0.35">
      <c r="A104" s="250" t="s">
        <v>127</v>
      </c>
      <c r="B104" s="250" t="s">
        <v>128</v>
      </c>
      <c r="C104" s="250">
        <v>800</v>
      </c>
      <c r="D104" s="250" t="s">
        <v>232</v>
      </c>
      <c r="E104" s="250">
        <v>5312</v>
      </c>
      <c r="F104" s="250" t="s">
        <v>129</v>
      </c>
      <c r="G104" s="250" t="s">
        <v>169</v>
      </c>
      <c r="H104" s="250" t="s">
        <v>170</v>
      </c>
      <c r="I104" s="250">
        <v>2019</v>
      </c>
      <c r="J104" s="250">
        <v>2019</v>
      </c>
      <c r="K104" s="250" t="s">
        <v>23</v>
      </c>
      <c r="L104" s="250">
        <v>942</v>
      </c>
      <c r="M104" s="250" t="s">
        <v>130</v>
      </c>
      <c r="N104" s="250" t="s">
        <v>131</v>
      </c>
    </row>
    <row r="105" spans="1:14" x14ac:dyDescent="0.35">
      <c r="A105" s="250" t="s">
        <v>127</v>
      </c>
      <c r="B105" s="250" t="s">
        <v>128</v>
      </c>
      <c r="C105" s="250">
        <v>800</v>
      </c>
      <c r="D105" s="250" t="s">
        <v>232</v>
      </c>
      <c r="E105" s="250">
        <v>5312</v>
      </c>
      <c r="F105" s="250" t="s">
        <v>129</v>
      </c>
      <c r="G105" s="250" t="s">
        <v>169</v>
      </c>
      <c r="H105" s="250" t="s">
        <v>170</v>
      </c>
      <c r="I105" s="250">
        <v>2020</v>
      </c>
      <c r="J105" s="250">
        <v>2020</v>
      </c>
      <c r="K105" s="250" t="s">
        <v>23</v>
      </c>
      <c r="L105" s="250">
        <v>1470</v>
      </c>
      <c r="M105" s="250" t="s">
        <v>130</v>
      </c>
      <c r="N105" s="250" t="s">
        <v>131</v>
      </c>
    </row>
    <row r="106" spans="1:14" x14ac:dyDescent="0.35">
      <c r="A106" s="250" t="s">
        <v>127</v>
      </c>
      <c r="B106" s="250" t="s">
        <v>128</v>
      </c>
      <c r="C106" s="250">
        <v>800</v>
      </c>
      <c r="D106" s="250" t="s">
        <v>232</v>
      </c>
      <c r="E106" s="250">
        <v>5312</v>
      </c>
      <c r="F106" s="250" t="s">
        <v>129</v>
      </c>
      <c r="G106" s="250" t="s">
        <v>169</v>
      </c>
      <c r="H106" s="250" t="s">
        <v>170</v>
      </c>
      <c r="I106" s="250">
        <v>2021</v>
      </c>
      <c r="J106" s="250">
        <v>2021</v>
      </c>
      <c r="K106" s="250" t="s">
        <v>23</v>
      </c>
      <c r="L106" s="250">
        <v>1832</v>
      </c>
      <c r="M106" s="250" t="s">
        <v>130</v>
      </c>
      <c r="N106" s="250" t="s">
        <v>131</v>
      </c>
    </row>
    <row r="107" spans="1:14" x14ac:dyDescent="0.35">
      <c r="A107" s="250" t="s">
        <v>127</v>
      </c>
      <c r="B107" s="250" t="s">
        <v>128</v>
      </c>
      <c r="C107" s="250">
        <v>800</v>
      </c>
      <c r="D107" s="250" t="s">
        <v>232</v>
      </c>
      <c r="E107" s="250">
        <v>5312</v>
      </c>
      <c r="F107" s="250" t="s">
        <v>129</v>
      </c>
      <c r="G107" s="250" t="s">
        <v>245</v>
      </c>
      <c r="H107" s="250" t="s">
        <v>246</v>
      </c>
      <c r="I107" s="250">
        <v>2017</v>
      </c>
      <c r="J107" s="250">
        <v>2017</v>
      </c>
      <c r="K107" s="250" t="s">
        <v>23</v>
      </c>
      <c r="L107" s="250">
        <v>1059598</v>
      </c>
      <c r="M107" s="250" t="s">
        <v>130</v>
      </c>
      <c r="N107" s="250" t="s">
        <v>131</v>
      </c>
    </row>
    <row r="108" spans="1:14" x14ac:dyDescent="0.35">
      <c r="A108" s="250" t="s">
        <v>127</v>
      </c>
      <c r="B108" s="250" t="s">
        <v>128</v>
      </c>
      <c r="C108" s="250">
        <v>800</v>
      </c>
      <c r="D108" s="250" t="s">
        <v>232</v>
      </c>
      <c r="E108" s="250">
        <v>5312</v>
      </c>
      <c r="F108" s="250" t="s">
        <v>129</v>
      </c>
      <c r="G108" s="250" t="s">
        <v>245</v>
      </c>
      <c r="H108" s="250" t="s">
        <v>246</v>
      </c>
      <c r="I108" s="250">
        <v>2018</v>
      </c>
      <c r="J108" s="250">
        <v>2018</v>
      </c>
      <c r="K108" s="250" t="s">
        <v>23</v>
      </c>
      <c r="L108" s="250">
        <v>762748</v>
      </c>
      <c r="M108" s="250" t="s">
        <v>130</v>
      </c>
      <c r="N108" s="250" t="s">
        <v>131</v>
      </c>
    </row>
    <row r="109" spans="1:14" x14ac:dyDescent="0.35">
      <c r="A109" s="250" t="s">
        <v>127</v>
      </c>
      <c r="B109" s="250" t="s">
        <v>128</v>
      </c>
      <c r="C109" s="250">
        <v>800</v>
      </c>
      <c r="D109" s="250" t="s">
        <v>232</v>
      </c>
      <c r="E109" s="250">
        <v>5312</v>
      </c>
      <c r="F109" s="250" t="s">
        <v>129</v>
      </c>
      <c r="G109" s="250" t="s">
        <v>245</v>
      </c>
      <c r="H109" s="250" t="s">
        <v>246</v>
      </c>
      <c r="I109" s="250">
        <v>2019</v>
      </c>
      <c r="J109" s="250">
        <v>2019</v>
      </c>
      <c r="K109" s="250" t="s">
        <v>23</v>
      </c>
      <c r="L109" s="250">
        <v>2092814</v>
      </c>
      <c r="M109" s="250" t="s">
        <v>130</v>
      </c>
      <c r="N109" s="250" t="s">
        <v>131</v>
      </c>
    </row>
    <row r="110" spans="1:14" x14ac:dyDescent="0.35">
      <c r="A110" s="250" t="s">
        <v>127</v>
      </c>
      <c r="B110" s="250" t="s">
        <v>128</v>
      </c>
      <c r="C110" s="250">
        <v>800</v>
      </c>
      <c r="D110" s="250" t="s">
        <v>232</v>
      </c>
      <c r="E110" s="250">
        <v>5312</v>
      </c>
      <c r="F110" s="250" t="s">
        <v>129</v>
      </c>
      <c r="G110" s="250" t="s">
        <v>245</v>
      </c>
      <c r="H110" s="250" t="s">
        <v>246</v>
      </c>
      <c r="I110" s="250">
        <v>2020</v>
      </c>
      <c r="J110" s="250">
        <v>2020</v>
      </c>
      <c r="K110" s="250" t="s">
        <v>23</v>
      </c>
      <c r="L110" s="250">
        <v>2185829</v>
      </c>
      <c r="M110" s="250" t="s">
        <v>130</v>
      </c>
      <c r="N110" s="250" t="s">
        <v>131</v>
      </c>
    </row>
    <row r="111" spans="1:14" x14ac:dyDescent="0.35">
      <c r="A111" s="250" t="s">
        <v>127</v>
      </c>
      <c r="B111" s="250" t="s">
        <v>128</v>
      </c>
      <c r="C111" s="250">
        <v>800</v>
      </c>
      <c r="D111" s="250" t="s">
        <v>232</v>
      </c>
      <c r="E111" s="250">
        <v>5312</v>
      </c>
      <c r="F111" s="250" t="s">
        <v>129</v>
      </c>
      <c r="G111" s="250" t="s">
        <v>245</v>
      </c>
      <c r="H111" s="250" t="s">
        <v>246</v>
      </c>
      <c r="I111" s="250">
        <v>2021</v>
      </c>
      <c r="J111" s="250">
        <v>2021</v>
      </c>
      <c r="K111" s="250" t="s">
        <v>23</v>
      </c>
      <c r="L111" s="250">
        <v>2060000</v>
      </c>
      <c r="M111" s="250" t="s">
        <v>110</v>
      </c>
      <c r="N111" s="250" t="s">
        <v>111</v>
      </c>
    </row>
    <row r="112" spans="1:14" x14ac:dyDescent="0.35">
      <c r="A112" s="250" t="s">
        <v>127</v>
      </c>
      <c r="B112" s="250" t="s">
        <v>128</v>
      </c>
      <c r="C112" s="250">
        <v>800</v>
      </c>
      <c r="D112" s="250" t="s">
        <v>232</v>
      </c>
      <c r="E112" s="250">
        <v>5312</v>
      </c>
      <c r="F112" s="250" t="s">
        <v>129</v>
      </c>
      <c r="G112" s="250" t="s">
        <v>154</v>
      </c>
      <c r="H112" s="250" t="s">
        <v>123</v>
      </c>
      <c r="I112" s="250">
        <v>2017</v>
      </c>
      <c r="J112" s="250">
        <v>2017</v>
      </c>
      <c r="K112" s="250" t="s">
        <v>23</v>
      </c>
      <c r="L112" s="250">
        <v>39300</v>
      </c>
      <c r="M112" s="250" t="s">
        <v>110</v>
      </c>
      <c r="N112" s="250" t="s">
        <v>111</v>
      </c>
    </row>
    <row r="113" spans="1:14" x14ac:dyDescent="0.35">
      <c r="A113" s="250" t="s">
        <v>127</v>
      </c>
      <c r="B113" s="250" t="s">
        <v>128</v>
      </c>
      <c r="C113" s="250">
        <v>800</v>
      </c>
      <c r="D113" s="250" t="s">
        <v>232</v>
      </c>
      <c r="E113" s="250">
        <v>5312</v>
      </c>
      <c r="F113" s="250" t="s">
        <v>129</v>
      </c>
      <c r="G113" s="250" t="s">
        <v>154</v>
      </c>
      <c r="H113" s="250" t="s">
        <v>123</v>
      </c>
      <c r="I113" s="250">
        <v>2018</v>
      </c>
      <c r="J113" s="250">
        <v>2018</v>
      </c>
      <c r="K113" s="250" t="s">
        <v>23</v>
      </c>
      <c r="L113" s="250">
        <v>47425</v>
      </c>
      <c r="M113" s="250" t="s">
        <v>130</v>
      </c>
      <c r="N113" s="250" t="s">
        <v>131</v>
      </c>
    </row>
    <row r="114" spans="1:14" x14ac:dyDescent="0.35">
      <c r="A114" s="250" t="s">
        <v>127</v>
      </c>
      <c r="B114" s="250" t="s">
        <v>128</v>
      </c>
      <c r="C114" s="250">
        <v>800</v>
      </c>
      <c r="D114" s="250" t="s">
        <v>232</v>
      </c>
      <c r="E114" s="250">
        <v>5312</v>
      </c>
      <c r="F114" s="250" t="s">
        <v>129</v>
      </c>
      <c r="G114" s="250" t="s">
        <v>154</v>
      </c>
      <c r="H114" s="250" t="s">
        <v>123</v>
      </c>
      <c r="I114" s="250">
        <v>2019</v>
      </c>
      <c r="J114" s="250">
        <v>2019</v>
      </c>
      <c r="K114" s="250" t="s">
        <v>23</v>
      </c>
      <c r="L114" s="250">
        <v>44310</v>
      </c>
      <c r="M114" s="250" t="s">
        <v>130</v>
      </c>
      <c r="N114" s="250" t="s">
        <v>131</v>
      </c>
    </row>
    <row r="115" spans="1:14" x14ac:dyDescent="0.35">
      <c r="A115" s="250" t="s">
        <v>127</v>
      </c>
      <c r="B115" s="250" t="s">
        <v>128</v>
      </c>
      <c r="C115" s="250">
        <v>800</v>
      </c>
      <c r="D115" s="250" t="s">
        <v>232</v>
      </c>
      <c r="E115" s="250">
        <v>5312</v>
      </c>
      <c r="F115" s="250" t="s">
        <v>129</v>
      </c>
      <c r="G115" s="250" t="s">
        <v>154</v>
      </c>
      <c r="H115" s="250" t="s">
        <v>123</v>
      </c>
      <c r="I115" s="250">
        <v>2020</v>
      </c>
      <c r="J115" s="250">
        <v>2020</v>
      </c>
      <c r="K115" s="250" t="s">
        <v>23</v>
      </c>
      <c r="L115" s="250">
        <v>40936</v>
      </c>
      <c r="M115" s="250" t="s">
        <v>130</v>
      </c>
      <c r="N115" s="250" t="s">
        <v>131</v>
      </c>
    </row>
    <row r="116" spans="1:14" x14ac:dyDescent="0.35">
      <c r="A116" s="250" t="s">
        <v>127</v>
      </c>
      <c r="B116" s="250" t="s">
        <v>128</v>
      </c>
      <c r="C116" s="250">
        <v>800</v>
      </c>
      <c r="D116" s="250" t="s">
        <v>232</v>
      </c>
      <c r="E116" s="250">
        <v>5312</v>
      </c>
      <c r="F116" s="250" t="s">
        <v>129</v>
      </c>
      <c r="G116" s="250" t="s">
        <v>154</v>
      </c>
      <c r="H116" s="250" t="s">
        <v>123</v>
      </c>
      <c r="I116" s="250">
        <v>2021</v>
      </c>
      <c r="J116" s="250">
        <v>2021</v>
      </c>
      <c r="K116" s="250" t="s">
        <v>23</v>
      </c>
      <c r="L116" s="250">
        <v>40372</v>
      </c>
      <c r="M116" s="250" t="s">
        <v>130</v>
      </c>
      <c r="N116" s="250" t="s">
        <v>131</v>
      </c>
    </row>
    <row r="117" spans="1:14" x14ac:dyDescent="0.35">
      <c r="A117" s="250" t="s">
        <v>127</v>
      </c>
      <c r="B117" s="250" t="s">
        <v>128</v>
      </c>
      <c r="C117" s="250">
        <v>800</v>
      </c>
      <c r="D117" s="250" t="s">
        <v>232</v>
      </c>
      <c r="E117" s="250">
        <v>5312</v>
      </c>
      <c r="F117" s="250" t="s">
        <v>129</v>
      </c>
      <c r="G117" s="250" t="s">
        <v>155</v>
      </c>
      <c r="H117" s="250" t="s">
        <v>61</v>
      </c>
      <c r="I117" s="250">
        <v>2017</v>
      </c>
      <c r="J117" s="250">
        <v>2017</v>
      </c>
      <c r="K117" s="250" t="s">
        <v>23</v>
      </c>
      <c r="L117" s="250">
        <v>71501</v>
      </c>
      <c r="M117" s="250" t="s">
        <v>130</v>
      </c>
      <c r="N117" s="250" t="s">
        <v>131</v>
      </c>
    </row>
    <row r="118" spans="1:14" x14ac:dyDescent="0.35">
      <c r="A118" s="250" t="s">
        <v>127</v>
      </c>
      <c r="B118" s="250" t="s">
        <v>128</v>
      </c>
      <c r="C118" s="250">
        <v>800</v>
      </c>
      <c r="D118" s="250" t="s">
        <v>232</v>
      </c>
      <c r="E118" s="250">
        <v>5312</v>
      </c>
      <c r="F118" s="250" t="s">
        <v>129</v>
      </c>
      <c r="G118" s="250" t="s">
        <v>155</v>
      </c>
      <c r="H118" s="250" t="s">
        <v>61</v>
      </c>
      <c r="I118" s="250">
        <v>2018</v>
      </c>
      <c r="J118" s="250">
        <v>2018</v>
      </c>
      <c r="K118" s="250" t="s">
        <v>23</v>
      </c>
      <c r="L118" s="250">
        <v>72310</v>
      </c>
      <c r="M118" s="250" t="s">
        <v>130</v>
      </c>
      <c r="N118" s="250" t="s">
        <v>131</v>
      </c>
    </row>
    <row r="119" spans="1:14" x14ac:dyDescent="0.35">
      <c r="A119" s="250" t="s">
        <v>127</v>
      </c>
      <c r="B119" s="250" t="s">
        <v>128</v>
      </c>
      <c r="C119" s="250">
        <v>800</v>
      </c>
      <c r="D119" s="250" t="s">
        <v>232</v>
      </c>
      <c r="E119" s="250">
        <v>5312</v>
      </c>
      <c r="F119" s="250" t="s">
        <v>129</v>
      </c>
      <c r="G119" s="250" t="s">
        <v>155</v>
      </c>
      <c r="H119" s="250" t="s">
        <v>61</v>
      </c>
      <c r="I119" s="250">
        <v>2019</v>
      </c>
      <c r="J119" s="250">
        <v>2019</v>
      </c>
      <c r="K119" s="250" t="s">
        <v>23</v>
      </c>
      <c r="L119" s="250">
        <v>58250</v>
      </c>
      <c r="M119" s="250" t="s">
        <v>130</v>
      </c>
      <c r="N119" s="250" t="s">
        <v>131</v>
      </c>
    </row>
    <row r="120" spans="1:14" x14ac:dyDescent="0.35">
      <c r="A120" s="250" t="s">
        <v>127</v>
      </c>
      <c r="B120" s="250" t="s">
        <v>128</v>
      </c>
      <c r="C120" s="250">
        <v>800</v>
      </c>
      <c r="D120" s="250" t="s">
        <v>232</v>
      </c>
      <c r="E120" s="250">
        <v>5312</v>
      </c>
      <c r="F120" s="250" t="s">
        <v>129</v>
      </c>
      <c r="G120" s="250" t="s">
        <v>155</v>
      </c>
      <c r="H120" s="250" t="s">
        <v>61</v>
      </c>
      <c r="I120" s="250">
        <v>2020</v>
      </c>
      <c r="J120" s="250">
        <v>2020</v>
      </c>
      <c r="K120" s="250" t="s">
        <v>23</v>
      </c>
      <c r="L120" s="250">
        <v>127675</v>
      </c>
      <c r="M120" s="250" t="s">
        <v>130</v>
      </c>
      <c r="N120" s="250" t="s">
        <v>131</v>
      </c>
    </row>
    <row r="121" spans="1:14" x14ac:dyDescent="0.35">
      <c r="A121" s="250" t="s">
        <v>127</v>
      </c>
      <c r="B121" s="250" t="s">
        <v>128</v>
      </c>
      <c r="C121" s="250">
        <v>800</v>
      </c>
      <c r="D121" s="250" t="s">
        <v>232</v>
      </c>
      <c r="E121" s="250">
        <v>5312</v>
      </c>
      <c r="F121" s="250" t="s">
        <v>129</v>
      </c>
      <c r="G121" s="250" t="s">
        <v>155</v>
      </c>
      <c r="H121" s="250" t="s">
        <v>61</v>
      </c>
      <c r="I121" s="250">
        <v>2021</v>
      </c>
      <c r="J121" s="250">
        <v>2021</v>
      </c>
      <c r="K121" s="250" t="s">
        <v>23</v>
      </c>
      <c r="L121" s="250">
        <v>101325</v>
      </c>
      <c r="M121" s="250" t="s">
        <v>130</v>
      </c>
      <c r="N121" s="250" t="s">
        <v>131</v>
      </c>
    </row>
    <row r="122" spans="1:14" x14ac:dyDescent="0.35">
      <c r="A122" s="250" t="s">
        <v>127</v>
      </c>
      <c r="B122" s="250" t="s">
        <v>128</v>
      </c>
      <c r="C122" s="250">
        <v>800</v>
      </c>
      <c r="D122" s="250" t="s">
        <v>232</v>
      </c>
      <c r="E122" s="250">
        <v>5312</v>
      </c>
      <c r="F122" s="250" t="s">
        <v>129</v>
      </c>
      <c r="G122" s="250" t="s">
        <v>156</v>
      </c>
      <c r="H122" s="250" t="s">
        <v>157</v>
      </c>
      <c r="I122" s="250">
        <v>2017</v>
      </c>
      <c r="J122" s="250">
        <v>2017</v>
      </c>
      <c r="K122" s="250" t="s">
        <v>23</v>
      </c>
      <c r="L122" s="250">
        <v>96000</v>
      </c>
      <c r="M122" s="250" t="s">
        <v>142</v>
      </c>
      <c r="N122" s="250" t="s">
        <v>143</v>
      </c>
    </row>
    <row r="123" spans="1:14" x14ac:dyDescent="0.35">
      <c r="A123" s="250" t="s">
        <v>127</v>
      </c>
      <c r="B123" s="250" t="s">
        <v>128</v>
      </c>
      <c r="C123" s="250">
        <v>800</v>
      </c>
      <c r="D123" s="250" t="s">
        <v>232</v>
      </c>
      <c r="E123" s="250">
        <v>5312</v>
      </c>
      <c r="F123" s="250" t="s">
        <v>129</v>
      </c>
      <c r="G123" s="250" t="s">
        <v>156</v>
      </c>
      <c r="H123" s="250" t="s">
        <v>157</v>
      </c>
      <c r="I123" s="250">
        <v>2018</v>
      </c>
      <c r="J123" s="250">
        <v>2018</v>
      </c>
      <c r="K123" s="250" t="s">
        <v>23</v>
      </c>
      <c r="L123" s="250">
        <v>80000</v>
      </c>
      <c r="M123" s="250" t="s">
        <v>142</v>
      </c>
      <c r="N123" s="250" t="s">
        <v>143</v>
      </c>
    </row>
    <row r="124" spans="1:14" x14ac:dyDescent="0.35">
      <c r="A124" s="250" t="s">
        <v>127</v>
      </c>
      <c r="B124" s="250" t="s">
        <v>128</v>
      </c>
      <c r="C124" s="250">
        <v>800</v>
      </c>
      <c r="D124" s="250" t="s">
        <v>232</v>
      </c>
      <c r="E124" s="250">
        <v>5312</v>
      </c>
      <c r="F124" s="250" t="s">
        <v>129</v>
      </c>
      <c r="G124" s="250" t="s">
        <v>156</v>
      </c>
      <c r="H124" s="250" t="s">
        <v>157</v>
      </c>
      <c r="I124" s="250">
        <v>2019</v>
      </c>
      <c r="J124" s="250">
        <v>2019</v>
      </c>
      <c r="K124" s="250" t="s">
        <v>23</v>
      </c>
      <c r="L124" s="250">
        <v>90000</v>
      </c>
      <c r="M124" s="250" t="s">
        <v>142</v>
      </c>
      <c r="N124" s="250" t="s">
        <v>143</v>
      </c>
    </row>
    <row r="125" spans="1:14" x14ac:dyDescent="0.35">
      <c r="A125" s="250" t="s">
        <v>127</v>
      </c>
      <c r="B125" s="250" t="s">
        <v>128</v>
      </c>
      <c r="C125" s="250">
        <v>800</v>
      </c>
      <c r="D125" s="250" t="s">
        <v>232</v>
      </c>
      <c r="E125" s="250">
        <v>5312</v>
      </c>
      <c r="F125" s="250" t="s">
        <v>129</v>
      </c>
      <c r="G125" s="250" t="s">
        <v>156</v>
      </c>
      <c r="H125" s="250" t="s">
        <v>157</v>
      </c>
      <c r="I125" s="250">
        <v>2020</v>
      </c>
      <c r="J125" s="250">
        <v>2020</v>
      </c>
      <c r="K125" s="250" t="s">
        <v>23</v>
      </c>
      <c r="L125" s="250">
        <v>94000</v>
      </c>
      <c r="M125" s="250" t="s">
        <v>142</v>
      </c>
      <c r="N125" s="250" t="s">
        <v>143</v>
      </c>
    </row>
    <row r="126" spans="1:14" x14ac:dyDescent="0.35">
      <c r="A126" s="250" t="s">
        <v>127</v>
      </c>
      <c r="B126" s="250" t="s">
        <v>128</v>
      </c>
      <c r="C126" s="250">
        <v>800</v>
      </c>
      <c r="D126" s="250" t="s">
        <v>232</v>
      </c>
      <c r="E126" s="250">
        <v>5312</v>
      </c>
      <c r="F126" s="250" t="s">
        <v>129</v>
      </c>
      <c r="G126" s="250" t="s">
        <v>156</v>
      </c>
      <c r="H126" s="250" t="s">
        <v>157</v>
      </c>
      <c r="I126" s="250">
        <v>2021</v>
      </c>
      <c r="J126" s="250">
        <v>2021</v>
      </c>
      <c r="K126" s="250" t="s">
        <v>23</v>
      </c>
      <c r="L126" s="250">
        <v>99000</v>
      </c>
      <c r="M126" s="250" t="s">
        <v>142</v>
      </c>
      <c r="N126" s="250" t="s">
        <v>143</v>
      </c>
    </row>
    <row r="127" spans="1:14" x14ac:dyDescent="0.35">
      <c r="A127" s="250" t="s">
        <v>127</v>
      </c>
      <c r="B127" s="250" t="s">
        <v>128</v>
      </c>
      <c r="C127" s="250">
        <v>800</v>
      </c>
      <c r="D127" s="250" t="s">
        <v>232</v>
      </c>
      <c r="E127" s="250">
        <v>5312</v>
      </c>
      <c r="F127" s="250" t="s">
        <v>129</v>
      </c>
      <c r="G127" s="250" t="s">
        <v>158</v>
      </c>
      <c r="H127" s="250" t="s">
        <v>118</v>
      </c>
      <c r="I127" s="250">
        <v>2017</v>
      </c>
      <c r="J127" s="250">
        <v>2017</v>
      </c>
      <c r="K127" s="250" t="s">
        <v>23</v>
      </c>
      <c r="L127" s="250">
        <v>208000</v>
      </c>
      <c r="M127" s="250" t="s">
        <v>142</v>
      </c>
      <c r="N127" s="250" t="s">
        <v>143</v>
      </c>
    </row>
    <row r="128" spans="1:14" x14ac:dyDescent="0.35">
      <c r="A128" s="250" t="s">
        <v>127</v>
      </c>
      <c r="B128" s="250" t="s">
        <v>128</v>
      </c>
      <c r="C128" s="250">
        <v>800</v>
      </c>
      <c r="D128" s="250" t="s">
        <v>232</v>
      </c>
      <c r="E128" s="250">
        <v>5312</v>
      </c>
      <c r="F128" s="250" t="s">
        <v>129</v>
      </c>
      <c r="G128" s="250" t="s">
        <v>158</v>
      </c>
      <c r="H128" s="250" t="s">
        <v>118</v>
      </c>
      <c r="I128" s="250">
        <v>2018</v>
      </c>
      <c r="J128" s="250">
        <v>2018</v>
      </c>
      <c r="K128" s="250" t="s">
        <v>23</v>
      </c>
      <c r="L128" s="250">
        <v>213000</v>
      </c>
      <c r="M128" s="250" t="s">
        <v>142</v>
      </c>
      <c r="N128" s="250" t="s">
        <v>143</v>
      </c>
    </row>
    <row r="129" spans="1:14" x14ac:dyDescent="0.35">
      <c r="A129" s="250" t="s">
        <v>127</v>
      </c>
      <c r="B129" s="250" t="s">
        <v>128</v>
      </c>
      <c r="C129" s="250">
        <v>800</v>
      </c>
      <c r="D129" s="250" t="s">
        <v>232</v>
      </c>
      <c r="E129" s="250">
        <v>5312</v>
      </c>
      <c r="F129" s="250" t="s">
        <v>129</v>
      </c>
      <c r="G129" s="250" t="s">
        <v>158</v>
      </c>
      <c r="H129" s="250" t="s">
        <v>118</v>
      </c>
      <c r="I129" s="250">
        <v>2019</v>
      </c>
      <c r="J129" s="250">
        <v>2019</v>
      </c>
      <c r="K129" s="250" t="s">
        <v>23</v>
      </c>
      <c r="L129" s="250">
        <v>212000</v>
      </c>
      <c r="M129" s="250" t="s">
        <v>142</v>
      </c>
      <c r="N129" s="250" t="s">
        <v>143</v>
      </c>
    </row>
    <row r="130" spans="1:14" x14ac:dyDescent="0.35">
      <c r="A130" s="250" t="s">
        <v>127</v>
      </c>
      <c r="B130" s="250" t="s">
        <v>128</v>
      </c>
      <c r="C130" s="250">
        <v>800</v>
      </c>
      <c r="D130" s="250" t="s">
        <v>232</v>
      </c>
      <c r="E130" s="250">
        <v>5312</v>
      </c>
      <c r="F130" s="250" t="s">
        <v>129</v>
      </c>
      <c r="G130" s="250" t="s">
        <v>158</v>
      </c>
      <c r="H130" s="250" t="s">
        <v>118</v>
      </c>
      <c r="I130" s="250">
        <v>2020</v>
      </c>
      <c r="J130" s="250">
        <v>2020</v>
      </c>
      <c r="K130" s="250" t="s">
        <v>23</v>
      </c>
      <c r="L130" s="250">
        <v>215000</v>
      </c>
      <c r="M130" s="250" t="s">
        <v>142</v>
      </c>
      <c r="N130" s="250" t="s">
        <v>143</v>
      </c>
    </row>
    <row r="131" spans="1:14" x14ac:dyDescent="0.35">
      <c r="A131" s="250" t="s">
        <v>127</v>
      </c>
      <c r="B131" s="250" t="s">
        <v>128</v>
      </c>
      <c r="C131" s="250">
        <v>800</v>
      </c>
      <c r="D131" s="250" t="s">
        <v>232</v>
      </c>
      <c r="E131" s="250">
        <v>5312</v>
      </c>
      <c r="F131" s="250" t="s">
        <v>129</v>
      </c>
      <c r="G131" s="250" t="s">
        <v>158</v>
      </c>
      <c r="H131" s="250" t="s">
        <v>118</v>
      </c>
      <c r="I131" s="250">
        <v>2021</v>
      </c>
      <c r="J131" s="250">
        <v>2021</v>
      </c>
      <c r="K131" s="250" t="s">
        <v>23</v>
      </c>
      <c r="L131" s="250">
        <v>215000</v>
      </c>
      <c r="M131" s="250" t="s">
        <v>142</v>
      </c>
      <c r="N131" s="250" t="s">
        <v>143</v>
      </c>
    </row>
    <row r="132" spans="1:14" x14ac:dyDescent="0.35">
      <c r="A132" s="250" t="s">
        <v>127</v>
      </c>
      <c r="B132" s="250" t="s">
        <v>128</v>
      </c>
      <c r="C132" s="250">
        <v>800</v>
      </c>
      <c r="D132" s="250" t="s">
        <v>232</v>
      </c>
      <c r="E132" s="250">
        <v>5312</v>
      </c>
      <c r="F132" s="250" t="s">
        <v>129</v>
      </c>
      <c r="G132" s="250" t="s">
        <v>247</v>
      </c>
      <c r="H132" s="250" t="s">
        <v>248</v>
      </c>
      <c r="I132" s="250">
        <v>2017</v>
      </c>
      <c r="J132" s="250">
        <v>2017</v>
      </c>
      <c r="K132" s="250" t="s">
        <v>23</v>
      </c>
      <c r="L132" s="250">
        <v>2</v>
      </c>
      <c r="M132" s="250" t="s">
        <v>130</v>
      </c>
      <c r="N132" s="250" t="s">
        <v>131</v>
      </c>
    </row>
    <row r="133" spans="1:14" x14ac:dyDescent="0.35">
      <c r="A133" s="250" t="s">
        <v>127</v>
      </c>
      <c r="B133" s="250" t="s">
        <v>128</v>
      </c>
      <c r="C133" s="250">
        <v>800</v>
      </c>
      <c r="D133" s="250" t="s">
        <v>232</v>
      </c>
      <c r="E133" s="250">
        <v>5312</v>
      </c>
      <c r="F133" s="250" t="s">
        <v>129</v>
      </c>
      <c r="G133" s="250" t="s">
        <v>247</v>
      </c>
      <c r="H133" s="250" t="s">
        <v>248</v>
      </c>
      <c r="I133" s="250">
        <v>2018</v>
      </c>
      <c r="J133" s="250">
        <v>2018</v>
      </c>
      <c r="K133" s="250" t="s">
        <v>23</v>
      </c>
      <c r="L133" s="250">
        <v>2</v>
      </c>
      <c r="M133" s="250" t="s">
        <v>130</v>
      </c>
      <c r="N133" s="250" t="s">
        <v>131</v>
      </c>
    </row>
    <row r="134" spans="1:14" x14ac:dyDescent="0.35">
      <c r="A134" s="250" t="s">
        <v>127</v>
      </c>
      <c r="B134" s="250" t="s">
        <v>128</v>
      </c>
      <c r="C134" s="250">
        <v>800</v>
      </c>
      <c r="D134" s="250" t="s">
        <v>232</v>
      </c>
      <c r="E134" s="250">
        <v>5312</v>
      </c>
      <c r="F134" s="250" t="s">
        <v>129</v>
      </c>
      <c r="G134" s="250" t="s">
        <v>247</v>
      </c>
      <c r="H134" s="250" t="s">
        <v>248</v>
      </c>
      <c r="I134" s="250">
        <v>2019</v>
      </c>
      <c r="J134" s="250">
        <v>2019</v>
      </c>
      <c r="K134" s="250" t="s">
        <v>23</v>
      </c>
      <c r="L134" s="250">
        <v>2</v>
      </c>
      <c r="M134" s="250" t="s">
        <v>130</v>
      </c>
      <c r="N134" s="250" t="s">
        <v>131</v>
      </c>
    </row>
    <row r="135" spans="1:14" x14ac:dyDescent="0.35">
      <c r="A135" s="250" t="s">
        <v>127</v>
      </c>
      <c r="B135" s="250" t="s">
        <v>128</v>
      </c>
      <c r="C135" s="250">
        <v>800</v>
      </c>
      <c r="D135" s="250" t="s">
        <v>232</v>
      </c>
      <c r="E135" s="250">
        <v>5312</v>
      </c>
      <c r="F135" s="250" t="s">
        <v>129</v>
      </c>
      <c r="G135" s="250" t="s">
        <v>247</v>
      </c>
      <c r="H135" s="250" t="s">
        <v>248</v>
      </c>
      <c r="I135" s="250">
        <v>2020</v>
      </c>
      <c r="J135" s="250">
        <v>2020</v>
      </c>
      <c r="K135" s="250" t="s">
        <v>23</v>
      </c>
      <c r="L135" s="250">
        <v>2</v>
      </c>
      <c r="M135" s="250" t="s">
        <v>130</v>
      </c>
      <c r="N135" s="250" t="s">
        <v>131</v>
      </c>
    </row>
    <row r="136" spans="1:14" x14ac:dyDescent="0.35">
      <c r="A136" s="250" t="s">
        <v>127</v>
      </c>
      <c r="B136" s="250" t="s">
        <v>128</v>
      </c>
      <c r="C136" s="250">
        <v>800</v>
      </c>
      <c r="D136" s="250" t="s">
        <v>232</v>
      </c>
      <c r="E136" s="250">
        <v>5312</v>
      </c>
      <c r="F136" s="250" t="s">
        <v>129</v>
      </c>
      <c r="G136" s="250" t="s">
        <v>247</v>
      </c>
      <c r="H136" s="250" t="s">
        <v>248</v>
      </c>
      <c r="I136" s="250">
        <v>2021</v>
      </c>
      <c r="J136" s="250">
        <v>2021</v>
      </c>
      <c r="K136" s="250" t="s">
        <v>23</v>
      </c>
      <c r="L136" s="250">
        <v>2</v>
      </c>
      <c r="M136" s="250" t="s">
        <v>130</v>
      </c>
      <c r="N136" s="250" t="s">
        <v>131</v>
      </c>
    </row>
    <row r="137" spans="1:14" x14ac:dyDescent="0.35">
      <c r="A137" s="250" t="s">
        <v>127</v>
      </c>
      <c r="B137" s="250" t="s">
        <v>128</v>
      </c>
      <c r="C137" s="250">
        <v>800</v>
      </c>
      <c r="D137" s="250" t="s">
        <v>232</v>
      </c>
      <c r="E137" s="250">
        <v>5312</v>
      </c>
      <c r="F137" s="250" t="s">
        <v>129</v>
      </c>
      <c r="G137" s="250" t="s">
        <v>159</v>
      </c>
      <c r="H137" s="250" t="s">
        <v>58</v>
      </c>
      <c r="I137" s="250">
        <v>2017</v>
      </c>
      <c r="J137" s="250">
        <v>2017</v>
      </c>
      <c r="K137" s="250" t="s">
        <v>23</v>
      </c>
      <c r="L137" s="250">
        <v>193724</v>
      </c>
      <c r="M137" s="250" t="s">
        <v>130</v>
      </c>
      <c r="N137" s="250" t="s">
        <v>131</v>
      </c>
    </row>
    <row r="138" spans="1:14" x14ac:dyDescent="0.35">
      <c r="A138" s="250" t="s">
        <v>127</v>
      </c>
      <c r="B138" s="250" t="s">
        <v>128</v>
      </c>
      <c r="C138" s="250">
        <v>800</v>
      </c>
      <c r="D138" s="250" t="s">
        <v>232</v>
      </c>
      <c r="E138" s="250">
        <v>5312</v>
      </c>
      <c r="F138" s="250" t="s">
        <v>129</v>
      </c>
      <c r="G138" s="250" t="s">
        <v>159</v>
      </c>
      <c r="H138" s="250" t="s">
        <v>58</v>
      </c>
      <c r="I138" s="250">
        <v>2018</v>
      </c>
      <c r="J138" s="250">
        <v>2018</v>
      </c>
      <c r="K138" s="250" t="s">
        <v>23</v>
      </c>
      <c r="L138" s="250">
        <v>282663</v>
      </c>
      <c r="M138" s="250" t="s">
        <v>130</v>
      </c>
      <c r="N138" s="250" t="s">
        <v>131</v>
      </c>
    </row>
    <row r="139" spans="1:14" x14ac:dyDescent="0.35">
      <c r="A139" s="250" t="s">
        <v>127</v>
      </c>
      <c r="B139" s="250" t="s">
        <v>128</v>
      </c>
      <c r="C139" s="250">
        <v>800</v>
      </c>
      <c r="D139" s="250" t="s">
        <v>232</v>
      </c>
      <c r="E139" s="250">
        <v>5312</v>
      </c>
      <c r="F139" s="250" t="s">
        <v>129</v>
      </c>
      <c r="G139" s="250" t="s">
        <v>159</v>
      </c>
      <c r="H139" s="250" t="s">
        <v>58</v>
      </c>
      <c r="I139" s="250">
        <v>2019</v>
      </c>
      <c r="J139" s="250">
        <v>2019</v>
      </c>
      <c r="K139" s="250" t="s">
        <v>23</v>
      </c>
      <c r="L139" s="250">
        <v>105210</v>
      </c>
      <c r="M139" s="250" t="s">
        <v>130</v>
      </c>
      <c r="N139" s="250" t="s">
        <v>131</v>
      </c>
    </row>
    <row r="140" spans="1:14" x14ac:dyDescent="0.35">
      <c r="A140" s="250" t="s">
        <v>127</v>
      </c>
      <c r="B140" s="250" t="s">
        <v>128</v>
      </c>
      <c r="C140" s="250">
        <v>800</v>
      </c>
      <c r="D140" s="250" t="s">
        <v>232</v>
      </c>
      <c r="E140" s="250">
        <v>5312</v>
      </c>
      <c r="F140" s="250" t="s">
        <v>129</v>
      </c>
      <c r="G140" s="250" t="s">
        <v>159</v>
      </c>
      <c r="H140" s="250" t="s">
        <v>58</v>
      </c>
      <c r="I140" s="250">
        <v>2020</v>
      </c>
      <c r="J140" s="250">
        <v>2020</v>
      </c>
      <c r="K140" s="250" t="s">
        <v>23</v>
      </c>
      <c r="L140" s="250">
        <v>180413</v>
      </c>
      <c r="M140" s="250" t="s">
        <v>130</v>
      </c>
      <c r="N140" s="250" t="s">
        <v>131</v>
      </c>
    </row>
    <row r="141" spans="1:14" x14ac:dyDescent="0.35">
      <c r="A141" s="250" t="s">
        <v>127</v>
      </c>
      <c r="B141" s="250" t="s">
        <v>128</v>
      </c>
      <c r="C141" s="250">
        <v>800</v>
      </c>
      <c r="D141" s="250" t="s">
        <v>232</v>
      </c>
      <c r="E141" s="250">
        <v>5312</v>
      </c>
      <c r="F141" s="250" t="s">
        <v>129</v>
      </c>
      <c r="G141" s="250" t="s">
        <v>159</v>
      </c>
      <c r="H141" s="250" t="s">
        <v>58</v>
      </c>
      <c r="I141" s="250">
        <v>2021</v>
      </c>
      <c r="J141" s="250">
        <v>2021</v>
      </c>
      <c r="K141" s="250" t="s">
        <v>23</v>
      </c>
      <c r="L141" s="250">
        <v>228855</v>
      </c>
      <c r="M141" s="250" t="s">
        <v>130</v>
      </c>
      <c r="N141" s="250" t="s">
        <v>131</v>
      </c>
    </row>
    <row r="142" spans="1:14" x14ac:dyDescent="0.35">
      <c r="A142" s="250" t="s">
        <v>127</v>
      </c>
      <c r="B142" s="250" t="s">
        <v>128</v>
      </c>
      <c r="C142" s="250">
        <v>800</v>
      </c>
      <c r="D142" s="250" t="s">
        <v>232</v>
      </c>
      <c r="E142" s="250">
        <v>5312</v>
      </c>
      <c r="F142" s="250" t="s">
        <v>129</v>
      </c>
      <c r="G142" s="250" t="s">
        <v>249</v>
      </c>
      <c r="H142" s="250" t="s">
        <v>250</v>
      </c>
      <c r="I142" s="250">
        <v>2017</v>
      </c>
      <c r="J142" s="250">
        <v>2017</v>
      </c>
      <c r="K142" s="250" t="s">
        <v>23</v>
      </c>
      <c r="L142" s="250">
        <v>47000</v>
      </c>
      <c r="M142" s="250" t="s">
        <v>142</v>
      </c>
      <c r="N142" s="250" t="s">
        <v>143</v>
      </c>
    </row>
    <row r="143" spans="1:14" x14ac:dyDescent="0.35">
      <c r="A143" s="250" t="s">
        <v>127</v>
      </c>
      <c r="B143" s="250" t="s">
        <v>128</v>
      </c>
      <c r="C143" s="250">
        <v>800</v>
      </c>
      <c r="D143" s="250" t="s">
        <v>232</v>
      </c>
      <c r="E143" s="250">
        <v>5312</v>
      </c>
      <c r="F143" s="250" t="s">
        <v>129</v>
      </c>
      <c r="G143" s="250" t="s">
        <v>249</v>
      </c>
      <c r="H143" s="250" t="s">
        <v>250</v>
      </c>
      <c r="I143" s="250">
        <v>2018</v>
      </c>
      <c r="J143" s="250">
        <v>2018</v>
      </c>
      <c r="K143" s="250" t="s">
        <v>23</v>
      </c>
      <c r="L143" s="250">
        <v>47000</v>
      </c>
      <c r="M143" s="250" t="s">
        <v>142</v>
      </c>
      <c r="N143" s="250" t="s">
        <v>143</v>
      </c>
    </row>
    <row r="144" spans="1:14" x14ac:dyDescent="0.35">
      <c r="A144" s="250" t="s">
        <v>127</v>
      </c>
      <c r="B144" s="250" t="s">
        <v>128</v>
      </c>
      <c r="C144" s="250">
        <v>800</v>
      </c>
      <c r="D144" s="250" t="s">
        <v>232</v>
      </c>
      <c r="E144" s="250">
        <v>5312</v>
      </c>
      <c r="F144" s="250" t="s">
        <v>129</v>
      </c>
      <c r="G144" s="250" t="s">
        <v>249</v>
      </c>
      <c r="H144" s="250" t="s">
        <v>250</v>
      </c>
      <c r="I144" s="250">
        <v>2019</v>
      </c>
      <c r="J144" s="250">
        <v>2019</v>
      </c>
      <c r="K144" s="250" t="s">
        <v>23</v>
      </c>
      <c r="L144" s="250">
        <v>50000</v>
      </c>
      <c r="M144" s="250" t="s">
        <v>142</v>
      </c>
      <c r="N144" s="250" t="s">
        <v>143</v>
      </c>
    </row>
    <row r="145" spans="1:14" x14ac:dyDescent="0.35">
      <c r="A145" s="250" t="s">
        <v>127</v>
      </c>
      <c r="B145" s="250" t="s">
        <v>128</v>
      </c>
      <c r="C145" s="250">
        <v>800</v>
      </c>
      <c r="D145" s="250" t="s">
        <v>232</v>
      </c>
      <c r="E145" s="250">
        <v>5312</v>
      </c>
      <c r="F145" s="250" t="s">
        <v>129</v>
      </c>
      <c r="G145" s="250" t="s">
        <v>249</v>
      </c>
      <c r="H145" s="250" t="s">
        <v>250</v>
      </c>
      <c r="I145" s="250">
        <v>2020</v>
      </c>
      <c r="J145" s="250">
        <v>2020</v>
      </c>
      <c r="K145" s="250" t="s">
        <v>23</v>
      </c>
      <c r="L145" s="250">
        <v>52000</v>
      </c>
      <c r="M145" s="250" t="s">
        <v>142</v>
      </c>
      <c r="N145" s="250" t="s">
        <v>143</v>
      </c>
    </row>
    <row r="146" spans="1:14" x14ac:dyDescent="0.35">
      <c r="A146" s="250" t="s">
        <v>127</v>
      </c>
      <c r="B146" s="250" t="s">
        <v>128</v>
      </c>
      <c r="C146" s="250">
        <v>800</v>
      </c>
      <c r="D146" s="250" t="s">
        <v>232</v>
      </c>
      <c r="E146" s="250">
        <v>5312</v>
      </c>
      <c r="F146" s="250" t="s">
        <v>129</v>
      </c>
      <c r="G146" s="250" t="s">
        <v>249</v>
      </c>
      <c r="H146" s="250" t="s">
        <v>250</v>
      </c>
      <c r="I146" s="250">
        <v>2021</v>
      </c>
      <c r="J146" s="250">
        <v>2021</v>
      </c>
      <c r="K146" s="250" t="s">
        <v>23</v>
      </c>
      <c r="L146" s="250">
        <v>50000</v>
      </c>
      <c r="M146" s="250" t="s">
        <v>142</v>
      </c>
      <c r="N146" s="250" t="s">
        <v>143</v>
      </c>
    </row>
    <row r="147" spans="1:14" x14ac:dyDescent="0.35">
      <c r="A147" s="250" t="s">
        <v>127</v>
      </c>
      <c r="B147" s="250" t="s">
        <v>128</v>
      </c>
      <c r="C147" s="250">
        <v>800</v>
      </c>
      <c r="D147" s="250" t="s">
        <v>232</v>
      </c>
      <c r="E147" s="250">
        <v>5312</v>
      </c>
      <c r="F147" s="250" t="s">
        <v>129</v>
      </c>
      <c r="G147" s="250" t="s">
        <v>160</v>
      </c>
      <c r="H147" s="250" t="s">
        <v>161</v>
      </c>
      <c r="I147" s="250">
        <v>2017</v>
      </c>
      <c r="J147" s="250">
        <v>2017</v>
      </c>
      <c r="K147" s="250" t="s">
        <v>23</v>
      </c>
      <c r="L147" s="250">
        <v>76000</v>
      </c>
      <c r="M147" s="250" t="s">
        <v>110</v>
      </c>
      <c r="N147" s="250" t="s">
        <v>111</v>
      </c>
    </row>
    <row r="148" spans="1:14" x14ac:dyDescent="0.35">
      <c r="A148" s="250" t="s">
        <v>127</v>
      </c>
      <c r="B148" s="250" t="s">
        <v>128</v>
      </c>
      <c r="C148" s="250">
        <v>800</v>
      </c>
      <c r="D148" s="250" t="s">
        <v>232</v>
      </c>
      <c r="E148" s="250">
        <v>5312</v>
      </c>
      <c r="F148" s="250" t="s">
        <v>129</v>
      </c>
      <c r="G148" s="250" t="s">
        <v>160</v>
      </c>
      <c r="H148" s="250" t="s">
        <v>161</v>
      </c>
      <c r="I148" s="250">
        <v>2018</v>
      </c>
      <c r="J148" s="250">
        <v>2018</v>
      </c>
      <c r="K148" s="250" t="s">
        <v>23</v>
      </c>
      <c r="L148" s="250">
        <v>79000</v>
      </c>
      <c r="M148" s="250" t="s">
        <v>110</v>
      </c>
      <c r="N148" s="250" t="s">
        <v>111</v>
      </c>
    </row>
    <row r="149" spans="1:14" x14ac:dyDescent="0.35">
      <c r="A149" s="250" t="s">
        <v>127</v>
      </c>
      <c r="B149" s="250" t="s">
        <v>128</v>
      </c>
      <c r="C149" s="250">
        <v>800</v>
      </c>
      <c r="D149" s="250" t="s">
        <v>232</v>
      </c>
      <c r="E149" s="250">
        <v>5312</v>
      </c>
      <c r="F149" s="250" t="s">
        <v>129</v>
      </c>
      <c r="G149" s="250" t="s">
        <v>160</v>
      </c>
      <c r="H149" s="250" t="s">
        <v>161</v>
      </c>
      <c r="I149" s="250">
        <v>2019</v>
      </c>
      <c r="J149" s="250">
        <v>2019</v>
      </c>
      <c r="K149" s="250" t="s">
        <v>23</v>
      </c>
      <c r="L149" s="250">
        <v>78000</v>
      </c>
      <c r="M149" s="250" t="s">
        <v>110</v>
      </c>
      <c r="N149" s="250" t="s">
        <v>111</v>
      </c>
    </row>
    <row r="150" spans="1:14" x14ac:dyDescent="0.35">
      <c r="A150" s="250" t="s">
        <v>127</v>
      </c>
      <c r="B150" s="250" t="s">
        <v>128</v>
      </c>
      <c r="C150" s="250">
        <v>800</v>
      </c>
      <c r="D150" s="250" t="s">
        <v>232</v>
      </c>
      <c r="E150" s="250">
        <v>5312</v>
      </c>
      <c r="F150" s="250" t="s">
        <v>129</v>
      </c>
      <c r="G150" s="250" t="s">
        <v>160</v>
      </c>
      <c r="H150" s="250" t="s">
        <v>161</v>
      </c>
      <c r="I150" s="250">
        <v>2020</v>
      </c>
      <c r="J150" s="250">
        <v>2020</v>
      </c>
      <c r="K150" s="250" t="s">
        <v>23</v>
      </c>
      <c r="L150" s="250">
        <v>75404</v>
      </c>
      <c r="M150" s="250" t="s">
        <v>130</v>
      </c>
      <c r="N150" s="250" t="s">
        <v>131</v>
      </c>
    </row>
    <row r="151" spans="1:14" x14ac:dyDescent="0.35">
      <c r="A151" s="250" t="s">
        <v>127</v>
      </c>
      <c r="B151" s="250" t="s">
        <v>128</v>
      </c>
      <c r="C151" s="250">
        <v>800</v>
      </c>
      <c r="D151" s="250" t="s">
        <v>232</v>
      </c>
      <c r="E151" s="250">
        <v>5312</v>
      </c>
      <c r="F151" s="250" t="s">
        <v>129</v>
      </c>
      <c r="G151" s="250" t="s">
        <v>160</v>
      </c>
      <c r="H151" s="250" t="s">
        <v>161</v>
      </c>
      <c r="I151" s="250">
        <v>2021</v>
      </c>
      <c r="J151" s="250">
        <v>2021</v>
      </c>
      <c r="K151" s="250" t="s">
        <v>23</v>
      </c>
      <c r="L151" s="250">
        <v>85313</v>
      </c>
      <c r="M151" s="250" t="s">
        <v>130</v>
      </c>
      <c r="N151" s="250" t="s">
        <v>131</v>
      </c>
    </row>
    <row r="152" spans="1:14" x14ac:dyDescent="0.35">
      <c r="A152" s="250" t="s">
        <v>127</v>
      </c>
      <c r="B152" s="250" t="s">
        <v>128</v>
      </c>
      <c r="C152" s="250">
        <v>800</v>
      </c>
      <c r="D152" s="250" t="s">
        <v>232</v>
      </c>
      <c r="E152" s="250">
        <v>5312</v>
      </c>
      <c r="F152" s="250" t="s">
        <v>129</v>
      </c>
      <c r="G152" s="250" t="s">
        <v>171</v>
      </c>
      <c r="H152" s="250" t="s">
        <v>172</v>
      </c>
      <c r="I152" s="250">
        <v>2017</v>
      </c>
      <c r="J152" s="250">
        <v>2017</v>
      </c>
      <c r="K152" s="250" t="s">
        <v>23</v>
      </c>
      <c r="L152" s="250">
        <v>256000</v>
      </c>
      <c r="M152" s="250" t="s">
        <v>142</v>
      </c>
      <c r="N152" s="250" t="s">
        <v>143</v>
      </c>
    </row>
    <row r="153" spans="1:14" x14ac:dyDescent="0.35">
      <c r="A153" s="250" t="s">
        <v>127</v>
      </c>
      <c r="B153" s="250" t="s">
        <v>128</v>
      </c>
      <c r="C153" s="250">
        <v>800</v>
      </c>
      <c r="D153" s="250" t="s">
        <v>232</v>
      </c>
      <c r="E153" s="250">
        <v>5312</v>
      </c>
      <c r="F153" s="250" t="s">
        <v>129</v>
      </c>
      <c r="G153" s="250" t="s">
        <v>171</v>
      </c>
      <c r="H153" s="250" t="s">
        <v>172</v>
      </c>
      <c r="I153" s="250">
        <v>2018</v>
      </c>
      <c r="J153" s="250">
        <v>2018</v>
      </c>
      <c r="K153" s="250" t="s">
        <v>23</v>
      </c>
      <c r="L153" s="250">
        <v>272000</v>
      </c>
      <c r="M153" s="250" t="s">
        <v>142</v>
      </c>
      <c r="N153" s="250" t="s">
        <v>143</v>
      </c>
    </row>
    <row r="154" spans="1:14" x14ac:dyDescent="0.35">
      <c r="A154" s="250" t="s">
        <v>127</v>
      </c>
      <c r="B154" s="250" t="s">
        <v>128</v>
      </c>
      <c r="C154" s="250">
        <v>800</v>
      </c>
      <c r="D154" s="250" t="s">
        <v>232</v>
      </c>
      <c r="E154" s="250">
        <v>5312</v>
      </c>
      <c r="F154" s="250" t="s">
        <v>129</v>
      </c>
      <c r="G154" s="250" t="s">
        <v>171</v>
      </c>
      <c r="H154" s="250" t="s">
        <v>172</v>
      </c>
      <c r="I154" s="250">
        <v>2019</v>
      </c>
      <c r="J154" s="250">
        <v>2019</v>
      </c>
      <c r="K154" s="250" t="s">
        <v>23</v>
      </c>
      <c r="L154" s="250">
        <v>265000</v>
      </c>
      <c r="M154" s="250" t="s">
        <v>142</v>
      </c>
      <c r="N154" s="250" t="s">
        <v>143</v>
      </c>
    </row>
    <row r="155" spans="1:14" x14ac:dyDescent="0.35">
      <c r="A155" s="250" t="s">
        <v>127</v>
      </c>
      <c r="B155" s="250" t="s">
        <v>128</v>
      </c>
      <c r="C155" s="250">
        <v>800</v>
      </c>
      <c r="D155" s="250" t="s">
        <v>232</v>
      </c>
      <c r="E155" s="250">
        <v>5312</v>
      </c>
      <c r="F155" s="250" t="s">
        <v>129</v>
      </c>
      <c r="G155" s="250" t="s">
        <v>171</v>
      </c>
      <c r="H155" s="250" t="s">
        <v>172</v>
      </c>
      <c r="I155" s="250">
        <v>2020</v>
      </c>
      <c r="J155" s="250">
        <v>2020</v>
      </c>
      <c r="K155" s="250" t="s">
        <v>23</v>
      </c>
      <c r="L155" s="250">
        <v>275000</v>
      </c>
      <c r="M155" s="250" t="s">
        <v>142</v>
      </c>
      <c r="N155" s="250" t="s">
        <v>143</v>
      </c>
    </row>
    <row r="156" spans="1:14" x14ac:dyDescent="0.35">
      <c r="A156" s="250" t="s">
        <v>127</v>
      </c>
      <c r="B156" s="250" t="s">
        <v>128</v>
      </c>
      <c r="C156" s="250">
        <v>800</v>
      </c>
      <c r="D156" s="250" t="s">
        <v>232</v>
      </c>
      <c r="E156" s="250">
        <v>5312</v>
      </c>
      <c r="F156" s="250" t="s">
        <v>129</v>
      </c>
      <c r="G156" s="250" t="s">
        <v>171</v>
      </c>
      <c r="H156" s="250" t="s">
        <v>172</v>
      </c>
      <c r="I156" s="250">
        <v>2021</v>
      </c>
      <c r="J156" s="250">
        <v>2021</v>
      </c>
      <c r="K156" s="250" t="s">
        <v>23</v>
      </c>
      <c r="L156" s="250">
        <v>280000</v>
      </c>
      <c r="M156" s="250" t="s">
        <v>142</v>
      </c>
      <c r="N156" s="250" t="s">
        <v>143</v>
      </c>
    </row>
    <row r="157" spans="1:14" x14ac:dyDescent="0.35">
      <c r="A157" s="250" t="s">
        <v>127</v>
      </c>
      <c r="B157" s="250" t="s">
        <v>128</v>
      </c>
      <c r="C157" s="250">
        <v>800</v>
      </c>
      <c r="D157" s="250" t="s">
        <v>232</v>
      </c>
      <c r="E157" s="250">
        <v>5312</v>
      </c>
      <c r="F157" s="250" t="s">
        <v>129</v>
      </c>
      <c r="G157" s="250" t="s">
        <v>162</v>
      </c>
      <c r="H157" s="250" t="s">
        <v>124</v>
      </c>
      <c r="I157" s="250">
        <v>2017</v>
      </c>
      <c r="J157" s="250">
        <v>2017</v>
      </c>
      <c r="K157" s="250" t="s">
        <v>23</v>
      </c>
      <c r="L157" s="250">
        <v>448548</v>
      </c>
      <c r="M157" s="250" t="s">
        <v>130</v>
      </c>
      <c r="N157" s="250" t="s">
        <v>131</v>
      </c>
    </row>
    <row r="158" spans="1:14" x14ac:dyDescent="0.35">
      <c r="A158" s="250" t="s">
        <v>127</v>
      </c>
      <c r="B158" s="250" t="s">
        <v>128</v>
      </c>
      <c r="C158" s="250">
        <v>800</v>
      </c>
      <c r="D158" s="250" t="s">
        <v>232</v>
      </c>
      <c r="E158" s="250">
        <v>5312</v>
      </c>
      <c r="F158" s="250" t="s">
        <v>129</v>
      </c>
      <c r="G158" s="250" t="s">
        <v>162</v>
      </c>
      <c r="H158" s="250" t="s">
        <v>124</v>
      </c>
      <c r="I158" s="250">
        <v>2018</v>
      </c>
      <c r="J158" s="250">
        <v>2018</v>
      </c>
      <c r="K158" s="250" t="s">
        <v>23</v>
      </c>
      <c r="L158" s="250">
        <v>348670</v>
      </c>
      <c r="M158" s="250" t="s">
        <v>130</v>
      </c>
      <c r="N158" s="250" t="s">
        <v>131</v>
      </c>
    </row>
    <row r="159" spans="1:14" x14ac:dyDescent="0.35">
      <c r="A159" s="250" t="s">
        <v>127</v>
      </c>
      <c r="B159" s="250" t="s">
        <v>128</v>
      </c>
      <c r="C159" s="250">
        <v>800</v>
      </c>
      <c r="D159" s="250" t="s">
        <v>232</v>
      </c>
      <c r="E159" s="250">
        <v>5312</v>
      </c>
      <c r="F159" s="250" t="s">
        <v>129</v>
      </c>
      <c r="G159" s="250" t="s">
        <v>162</v>
      </c>
      <c r="H159" s="250" t="s">
        <v>124</v>
      </c>
      <c r="I159" s="250">
        <v>2019</v>
      </c>
      <c r="J159" s="250">
        <v>2019</v>
      </c>
      <c r="K159" s="250" t="s">
        <v>23</v>
      </c>
      <c r="L159" s="250">
        <v>252690</v>
      </c>
      <c r="M159" s="250" t="s">
        <v>130</v>
      </c>
      <c r="N159" s="250" t="s">
        <v>131</v>
      </c>
    </row>
    <row r="160" spans="1:14" x14ac:dyDescent="0.35">
      <c r="A160" s="250" t="s">
        <v>127</v>
      </c>
      <c r="B160" s="250" t="s">
        <v>128</v>
      </c>
      <c r="C160" s="250">
        <v>800</v>
      </c>
      <c r="D160" s="250" t="s">
        <v>232</v>
      </c>
      <c r="E160" s="250">
        <v>5312</v>
      </c>
      <c r="F160" s="250" t="s">
        <v>129</v>
      </c>
      <c r="G160" s="250" t="s">
        <v>162</v>
      </c>
      <c r="H160" s="250" t="s">
        <v>124</v>
      </c>
      <c r="I160" s="250">
        <v>2020</v>
      </c>
      <c r="J160" s="250">
        <v>2020</v>
      </c>
      <c r="K160" s="250" t="s">
        <v>23</v>
      </c>
      <c r="L160" s="250">
        <v>275218</v>
      </c>
      <c r="M160" s="250" t="s">
        <v>130</v>
      </c>
      <c r="N160" s="250" t="s">
        <v>131</v>
      </c>
    </row>
    <row r="161" spans="1:14" x14ac:dyDescent="0.35">
      <c r="A161" s="250" t="s">
        <v>127</v>
      </c>
      <c r="B161" s="250" t="s">
        <v>128</v>
      </c>
      <c r="C161" s="250">
        <v>800</v>
      </c>
      <c r="D161" s="250" t="s">
        <v>232</v>
      </c>
      <c r="E161" s="250">
        <v>5312</v>
      </c>
      <c r="F161" s="250" t="s">
        <v>129</v>
      </c>
      <c r="G161" s="250" t="s">
        <v>162</v>
      </c>
      <c r="H161" s="250" t="s">
        <v>124</v>
      </c>
      <c r="I161" s="250">
        <v>2021</v>
      </c>
      <c r="J161" s="250">
        <v>2021</v>
      </c>
      <c r="K161" s="250" t="s">
        <v>23</v>
      </c>
      <c r="L161" s="250">
        <v>299112</v>
      </c>
      <c r="M161" s="250" t="s">
        <v>130</v>
      </c>
      <c r="N161" s="250" t="s">
        <v>131</v>
      </c>
    </row>
    <row r="162" spans="1:14" x14ac:dyDescent="0.35">
      <c r="A162" s="250" t="s">
        <v>127</v>
      </c>
      <c r="B162" s="250" t="s">
        <v>128</v>
      </c>
      <c r="C162" s="250">
        <v>800</v>
      </c>
      <c r="D162" s="250" t="s">
        <v>232</v>
      </c>
      <c r="E162" s="250">
        <v>5312</v>
      </c>
      <c r="F162" s="250" t="s">
        <v>129</v>
      </c>
      <c r="G162" s="250" t="s">
        <v>251</v>
      </c>
      <c r="H162" s="250" t="s">
        <v>252</v>
      </c>
      <c r="I162" s="250">
        <v>2017</v>
      </c>
      <c r="J162" s="250">
        <v>2017</v>
      </c>
      <c r="K162" s="250" t="s">
        <v>23</v>
      </c>
      <c r="L162" s="250">
        <v>24368</v>
      </c>
      <c r="M162" s="250" t="s">
        <v>130</v>
      </c>
      <c r="N162" s="250" t="s">
        <v>131</v>
      </c>
    </row>
    <row r="163" spans="1:14" x14ac:dyDescent="0.35">
      <c r="A163" s="250" t="s">
        <v>127</v>
      </c>
      <c r="B163" s="250" t="s">
        <v>128</v>
      </c>
      <c r="C163" s="250">
        <v>800</v>
      </c>
      <c r="D163" s="250" t="s">
        <v>232</v>
      </c>
      <c r="E163" s="250">
        <v>5312</v>
      </c>
      <c r="F163" s="250" t="s">
        <v>129</v>
      </c>
      <c r="G163" s="250" t="s">
        <v>251</v>
      </c>
      <c r="H163" s="250" t="s">
        <v>252</v>
      </c>
      <c r="I163" s="250">
        <v>2018</v>
      </c>
      <c r="J163" s="250">
        <v>2018</v>
      </c>
      <c r="K163" s="250" t="s">
        <v>23</v>
      </c>
      <c r="L163" s="250">
        <v>34939</v>
      </c>
      <c r="M163" s="250" t="s">
        <v>130</v>
      </c>
      <c r="N163" s="250" t="s">
        <v>131</v>
      </c>
    </row>
    <row r="164" spans="1:14" x14ac:dyDescent="0.35">
      <c r="A164" s="250" t="s">
        <v>127</v>
      </c>
      <c r="B164" s="250" t="s">
        <v>128</v>
      </c>
      <c r="C164" s="250">
        <v>800</v>
      </c>
      <c r="D164" s="250" t="s">
        <v>232</v>
      </c>
      <c r="E164" s="250">
        <v>5312</v>
      </c>
      <c r="F164" s="250" t="s">
        <v>129</v>
      </c>
      <c r="G164" s="250" t="s">
        <v>251</v>
      </c>
      <c r="H164" s="250" t="s">
        <v>252</v>
      </c>
      <c r="I164" s="250">
        <v>2019</v>
      </c>
      <c r="J164" s="250">
        <v>2019</v>
      </c>
      <c r="K164" s="250" t="s">
        <v>23</v>
      </c>
      <c r="L164" s="250">
        <v>28569</v>
      </c>
      <c r="M164" s="250" t="s">
        <v>130</v>
      </c>
      <c r="N164" s="250" t="s">
        <v>131</v>
      </c>
    </row>
    <row r="165" spans="1:14" x14ac:dyDescent="0.35">
      <c r="A165" s="250" t="s">
        <v>127</v>
      </c>
      <c r="B165" s="250" t="s">
        <v>128</v>
      </c>
      <c r="C165" s="250">
        <v>800</v>
      </c>
      <c r="D165" s="250" t="s">
        <v>232</v>
      </c>
      <c r="E165" s="250">
        <v>5312</v>
      </c>
      <c r="F165" s="250" t="s">
        <v>129</v>
      </c>
      <c r="G165" s="250" t="s">
        <v>251</v>
      </c>
      <c r="H165" s="250" t="s">
        <v>252</v>
      </c>
      <c r="I165" s="250">
        <v>2020</v>
      </c>
      <c r="J165" s="250">
        <v>2020</v>
      </c>
      <c r="K165" s="250" t="s">
        <v>23</v>
      </c>
      <c r="L165" s="250">
        <v>35729</v>
      </c>
      <c r="M165" s="250" t="s">
        <v>130</v>
      </c>
      <c r="N165" s="250" t="s">
        <v>131</v>
      </c>
    </row>
    <row r="166" spans="1:14" x14ac:dyDescent="0.35">
      <c r="A166" s="250" t="s">
        <v>127</v>
      </c>
      <c r="B166" s="250" t="s">
        <v>128</v>
      </c>
      <c r="C166" s="250">
        <v>800</v>
      </c>
      <c r="D166" s="250" t="s">
        <v>232</v>
      </c>
      <c r="E166" s="250">
        <v>5312</v>
      </c>
      <c r="F166" s="250" t="s">
        <v>129</v>
      </c>
      <c r="G166" s="250" t="s">
        <v>251</v>
      </c>
      <c r="H166" s="250" t="s">
        <v>252</v>
      </c>
      <c r="I166" s="250">
        <v>2021</v>
      </c>
      <c r="J166" s="250">
        <v>2021</v>
      </c>
      <c r="K166" s="250" t="s">
        <v>23</v>
      </c>
      <c r="L166" s="250">
        <v>34691</v>
      </c>
      <c r="M166" s="250" t="s">
        <v>130</v>
      </c>
      <c r="N166" s="250" t="s">
        <v>131</v>
      </c>
    </row>
    <row r="167" spans="1:14" x14ac:dyDescent="0.35">
      <c r="A167" s="250" t="s">
        <v>127</v>
      </c>
      <c r="B167" s="250" t="s">
        <v>128</v>
      </c>
      <c r="C167" s="250">
        <v>800</v>
      </c>
      <c r="D167" s="250" t="s">
        <v>232</v>
      </c>
      <c r="E167" s="250">
        <v>5312</v>
      </c>
      <c r="F167" s="250" t="s">
        <v>129</v>
      </c>
      <c r="G167" s="250" t="s">
        <v>163</v>
      </c>
      <c r="H167" s="250" t="s">
        <v>120</v>
      </c>
      <c r="I167" s="250">
        <v>2017</v>
      </c>
      <c r="J167" s="250">
        <v>2017</v>
      </c>
      <c r="K167" s="250" t="s">
        <v>23</v>
      </c>
      <c r="L167" s="250">
        <v>6525</v>
      </c>
      <c r="M167" s="250" t="s">
        <v>130</v>
      </c>
      <c r="N167" s="250" t="s">
        <v>131</v>
      </c>
    </row>
    <row r="168" spans="1:14" x14ac:dyDescent="0.35">
      <c r="A168" s="250" t="s">
        <v>127</v>
      </c>
      <c r="B168" s="250" t="s">
        <v>128</v>
      </c>
      <c r="C168" s="250">
        <v>800</v>
      </c>
      <c r="D168" s="250" t="s">
        <v>232</v>
      </c>
      <c r="E168" s="250">
        <v>5312</v>
      </c>
      <c r="F168" s="250" t="s">
        <v>129</v>
      </c>
      <c r="G168" s="250" t="s">
        <v>163</v>
      </c>
      <c r="H168" s="250" t="s">
        <v>120</v>
      </c>
      <c r="I168" s="250">
        <v>2018</v>
      </c>
      <c r="J168" s="250">
        <v>2018</v>
      </c>
      <c r="K168" s="250" t="s">
        <v>23</v>
      </c>
      <c r="L168" s="250">
        <v>6544</v>
      </c>
      <c r="M168" s="250" t="s">
        <v>110</v>
      </c>
      <c r="N168" s="250" t="s">
        <v>111</v>
      </c>
    </row>
    <row r="169" spans="1:14" x14ac:dyDescent="0.35">
      <c r="A169" s="250" t="s">
        <v>127</v>
      </c>
      <c r="B169" s="250" t="s">
        <v>128</v>
      </c>
      <c r="C169" s="250">
        <v>800</v>
      </c>
      <c r="D169" s="250" t="s">
        <v>232</v>
      </c>
      <c r="E169" s="250">
        <v>5312</v>
      </c>
      <c r="F169" s="250" t="s">
        <v>129</v>
      </c>
      <c r="G169" s="250" t="s">
        <v>163</v>
      </c>
      <c r="H169" s="250" t="s">
        <v>120</v>
      </c>
      <c r="I169" s="250">
        <v>2019</v>
      </c>
      <c r="J169" s="250">
        <v>2019</v>
      </c>
      <c r="K169" s="250" t="s">
        <v>23</v>
      </c>
      <c r="L169" s="250">
        <v>6454</v>
      </c>
      <c r="M169" s="250" t="s">
        <v>110</v>
      </c>
      <c r="N169" s="250" t="s">
        <v>111</v>
      </c>
    </row>
    <row r="170" spans="1:14" x14ac:dyDescent="0.35">
      <c r="A170" s="250" t="s">
        <v>127</v>
      </c>
      <c r="B170" s="250" t="s">
        <v>128</v>
      </c>
      <c r="C170" s="250">
        <v>800</v>
      </c>
      <c r="D170" s="250" t="s">
        <v>232</v>
      </c>
      <c r="E170" s="250">
        <v>5312</v>
      </c>
      <c r="F170" s="250" t="s">
        <v>129</v>
      </c>
      <c r="G170" s="250" t="s">
        <v>163</v>
      </c>
      <c r="H170" s="250" t="s">
        <v>120</v>
      </c>
      <c r="I170" s="250">
        <v>2020</v>
      </c>
      <c r="J170" s="250">
        <v>2020</v>
      </c>
      <c r="K170" s="250" t="s">
        <v>23</v>
      </c>
      <c r="L170" s="250">
        <v>6507</v>
      </c>
      <c r="M170" s="250" t="s">
        <v>110</v>
      </c>
      <c r="N170" s="250" t="s">
        <v>111</v>
      </c>
    </row>
    <row r="171" spans="1:14" x14ac:dyDescent="0.35">
      <c r="A171" s="250" t="s">
        <v>127</v>
      </c>
      <c r="B171" s="250" t="s">
        <v>128</v>
      </c>
      <c r="C171" s="250">
        <v>800</v>
      </c>
      <c r="D171" s="250" t="s">
        <v>232</v>
      </c>
      <c r="E171" s="250">
        <v>5312</v>
      </c>
      <c r="F171" s="250" t="s">
        <v>129</v>
      </c>
      <c r="G171" s="250" t="s">
        <v>163</v>
      </c>
      <c r="H171" s="250" t="s">
        <v>120</v>
      </c>
      <c r="I171" s="250">
        <v>2021</v>
      </c>
      <c r="J171" s="250">
        <v>2021</v>
      </c>
      <c r="K171" s="250" t="s">
        <v>23</v>
      </c>
      <c r="L171" s="250">
        <v>6502</v>
      </c>
      <c r="M171" s="250" t="s">
        <v>110</v>
      </c>
      <c r="N171" s="250" t="s">
        <v>111</v>
      </c>
    </row>
    <row r="172" spans="1:14" x14ac:dyDescent="0.35">
      <c r="A172" s="250" t="s">
        <v>127</v>
      </c>
      <c r="B172" s="250" t="s">
        <v>128</v>
      </c>
      <c r="C172" s="250">
        <v>800</v>
      </c>
      <c r="D172" s="250" t="s">
        <v>232</v>
      </c>
      <c r="E172" s="250">
        <v>5312</v>
      </c>
      <c r="F172" s="250" t="s">
        <v>129</v>
      </c>
      <c r="G172" s="250" t="s">
        <v>253</v>
      </c>
      <c r="H172" s="250" t="s">
        <v>254</v>
      </c>
      <c r="I172" s="250">
        <v>2017</v>
      </c>
      <c r="J172" s="250">
        <v>2017</v>
      </c>
      <c r="K172" s="250" t="s">
        <v>23</v>
      </c>
      <c r="L172" s="250">
        <v>22310</v>
      </c>
      <c r="M172" s="250" t="s">
        <v>110</v>
      </c>
      <c r="N172" s="250" t="s">
        <v>111</v>
      </c>
    </row>
    <row r="173" spans="1:14" x14ac:dyDescent="0.35">
      <c r="A173" s="250" t="s">
        <v>127</v>
      </c>
      <c r="B173" s="250" t="s">
        <v>128</v>
      </c>
      <c r="C173" s="250">
        <v>800</v>
      </c>
      <c r="D173" s="250" t="s">
        <v>232</v>
      </c>
      <c r="E173" s="250">
        <v>5312</v>
      </c>
      <c r="F173" s="250" t="s">
        <v>129</v>
      </c>
      <c r="G173" s="250" t="s">
        <v>253</v>
      </c>
      <c r="H173" s="250" t="s">
        <v>254</v>
      </c>
      <c r="I173" s="250">
        <v>2018</v>
      </c>
      <c r="J173" s="250">
        <v>2018</v>
      </c>
      <c r="K173" s="250" t="s">
        <v>23</v>
      </c>
      <c r="L173" s="250">
        <v>22204</v>
      </c>
      <c r="M173" s="250" t="s">
        <v>130</v>
      </c>
      <c r="N173" s="250" t="s">
        <v>131</v>
      </c>
    </row>
    <row r="174" spans="1:14" x14ac:dyDescent="0.35">
      <c r="A174" s="250" t="s">
        <v>127</v>
      </c>
      <c r="B174" s="250" t="s">
        <v>128</v>
      </c>
      <c r="C174" s="250">
        <v>800</v>
      </c>
      <c r="D174" s="250" t="s">
        <v>232</v>
      </c>
      <c r="E174" s="250">
        <v>5312</v>
      </c>
      <c r="F174" s="250" t="s">
        <v>129</v>
      </c>
      <c r="G174" s="250" t="s">
        <v>253</v>
      </c>
      <c r="H174" s="250" t="s">
        <v>254</v>
      </c>
      <c r="I174" s="250">
        <v>2019</v>
      </c>
      <c r="J174" s="250">
        <v>2019</v>
      </c>
      <c r="K174" s="250" t="s">
        <v>23</v>
      </c>
      <c r="L174" s="250">
        <v>21778</v>
      </c>
      <c r="M174" s="250" t="s">
        <v>130</v>
      </c>
      <c r="N174" s="250" t="s">
        <v>131</v>
      </c>
    </row>
    <row r="175" spans="1:14" x14ac:dyDescent="0.35">
      <c r="A175" s="250" t="s">
        <v>127</v>
      </c>
      <c r="B175" s="250" t="s">
        <v>128</v>
      </c>
      <c r="C175" s="250">
        <v>800</v>
      </c>
      <c r="D175" s="250" t="s">
        <v>232</v>
      </c>
      <c r="E175" s="250">
        <v>5312</v>
      </c>
      <c r="F175" s="250" t="s">
        <v>129</v>
      </c>
      <c r="G175" s="250" t="s">
        <v>253</v>
      </c>
      <c r="H175" s="250" t="s">
        <v>254</v>
      </c>
      <c r="I175" s="250">
        <v>2020</v>
      </c>
      <c r="J175" s="250">
        <v>2020</v>
      </c>
      <c r="K175" s="250" t="s">
        <v>23</v>
      </c>
      <c r="L175" s="250">
        <v>22011</v>
      </c>
      <c r="M175" s="250" t="s">
        <v>130</v>
      </c>
      <c r="N175" s="250" t="s">
        <v>131</v>
      </c>
    </row>
    <row r="176" spans="1:14" x14ac:dyDescent="0.35">
      <c r="A176" s="250" t="s">
        <v>127</v>
      </c>
      <c r="B176" s="250" t="s">
        <v>128</v>
      </c>
      <c r="C176" s="250">
        <v>800</v>
      </c>
      <c r="D176" s="250" t="s">
        <v>232</v>
      </c>
      <c r="E176" s="250">
        <v>5312</v>
      </c>
      <c r="F176" s="250" t="s">
        <v>129</v>
      </c>
      <c r="G176" s="250" t="s">
        <v>253</v>
      </c>
      <c r="H176" s="250" t="s">
        <v>254</v>
      </c>
      <c r="I176" s="250">
        <v>2021</v>
      </c>
      <c r="J176" s="250">
        <v>2021</v>
      </c>
      <c r="K176" s="250" t="s">
        <v>23</v>
      </c>
      <c r="L176" s="250">
        <v>22244</v>
      </c>
      <c r="M176" s="250" t="s">
        <v>130</v>
      </c>
      <c r="N176" s="250" t="s">
        <v>131</v>
      </c>
    </row>
    <row r="177" spans="1:14" x14ac:dyDescent="0.35">
      <c r="A177" s="250" t="s">
        <v>127</v>
      </c>
      <c r="B177" s="250" t="s">
        <v>128</v>
      </c>
      <c r="C177" s="250">
        <v>800</v>
      </c>
      <c r="D177" s="250" t="s">
        <v>232</v>
      </c>
      <c r="E177" s="250">
        <v>5312</v>
      </c>
      <c r="F177" s="250" t="s">
        <v>129</v>
      </c>
      <c r="G177" s="250" t="s">
        <v>255</v>
      </c>
      <c r="H177" s="250" t="s">
        <v>256</v>
      </c>
      <c r="I177" s="250">
        <v>2017</v>
      </c>
      <c r="J177" s="250">
        <v>2017</v>
      </c>
      <c r="K177" s="250" t="s">
        <v>23</v>
      </c>
      <c r="L177" s="250">
        <v>350</v>
      </c>
      <c r="M177" s="250" t="s">
        <v>130</v>
      </c>
      <c r="N177" s="250" t="s">
        <v>131</v>
      </c>
    </row>
    <row r="178" spans="1:14" x14ac:dyDescent="0.35">
      <c r="A178" s="250" t="s">
        <v>127</v>
      </c>
      <c r="B178" s="250" t="s">
        <v>128</v>
      </c>
      <c r="C178" s="250">
        <v>800</v>
      </c>
      <c r="D178" s="250" t="s">
        <v>232</v>
      </c>
      <c r="E178" s="250">
        <v>5312</v>
      </c>
      <c r="F178" s="250" t="s">
        <v>129</v>
      </c>
      <c r="G178" s="250" t="s">
        <v>255</v>
      </c>
      <c r="H178" s="250" t="s">
        <v>256</v>
      </c>
      <c r="I178" s="250">
        <v>2018</v>
      </c>
      <c r="J178" s="250">
        <v>2018</v>
      </c>
      <c r="K178" s="250" t="s">
        <v>23</v>
      </c>
      <c r="L178" s="250">
        <v>361</v>
      </c>
      <c r="M178" s="250" t="s">
        <v>110</v>
      </c>
      <c r="N178" s="250" t="s">
        <v>111</v>
      </c>
    </row>
    <row r="179" spans="1:14" x14ac:dyDescent="0.35">
      <c r="A179" s="250" t="s">
        <v>127</v>
      </c>
      <c r="B179" s="250" t="s">
        <v>128</v>
      </c>
      <c r="C179" s="250">
        <v>800</v>
      </c>
      <c r="D179" s="250" t="s">
        <v>232</v>
      </c>
      <c r="E179" s="250">
        <v>5312</v>
      </c>
      <c r="F179" s="250" t="s">
        <v>129</v>
      </c>
      <c r="G179" s="250" t="s">
        <v>255</v>
      </c>
      <c r="H179" s="250" t="s">
        <v>256</v>
      </c>
      <c r="I179" s="250">
        <v>2019</v>
      </c>
      <c r="J179" s="250">
        <v>2019</v>
      </c>
      <c r="K179" s="250" t="s">
        <v>23</v>
      </c>
      <c r="L179" s="250">
        <v>357</v>
      </c>
      <c r="M179" s="250" t="s">
        <v>110</v>
      </c>
      <c r="N179" s="250" t="s">
        <v>111</v>
      </c>
    </row>
    <row r="180" spans="1:14" x14ac:dyDescent="0.35">
      <c r="A180" s="250" t="s">
        <v>127</v>
      </c>
      <c r="B180" s="250" t="s">
        <v>128</v>
      </c>
      <c r="C180" s="250">
        <v>800</v>
      </c>
      <c r="D180" s="250" t="s">
        <v>232</v>
      </c>
      <c r="E180" s="250">
        <v>5312</v>
      </c>
      <c r="F180" s="250" t="s">
        <v>129</v>
      </c>
      <c r="G180" s="250" t="s">
        <v>255</v>
      </c>
      <c r="H180" s="250" t="s">
        <v>256</v>
      </c>
      <c r="I180" s="250">
        <v>2020</v>
      </c>
      <c r="J180" s="250">
        <v>2020</v>
      </c>
      <c r="K180" s="250" t="s">
        <v>23</v>
      </c>
      <c r="L180" s="250">
        <v>356</v>
      </c>
      <c r="M180" s="250" t="s">
        <v>110</v>
      </c>
      <c r="N180" s="250" t="s">
        <v>111</v>
      </c>
    </row>
    <row r="181" spans="1:14" x14ac:dyDescent="0.35">
      <c r="A181" s="250" t="s">
        <v>127</v>
      </c>
      <c r="B181" s="250" t="s">
        <v>128</v>
      </c>
      <c r="C181" s="250">
        <v>800</v>
      </c>
      <c r="D181" s="250" t="s">
        <v>232</v>
      </c>
      <c r="E181" s="250">
        <v>5312</v>
      </c>
      <c r="F181" s="250" t="s">
        <v>129</v>
      </c>
      <c r="G181" s="250" t="s">
        <v>255</v>
      </c>
      <c r="H181" s="250" t="s">
        <v>256</v>
      </c>
      <c r="I181" s="250">
        <v>2021</v>
      </c>
      <c r="J181" s="250">
        <v>2021</v>
      </c>
      <c r="K181" s="250" t="s">
        <v>23</v>
      </c>
      <c r="L181" s="250">
        <v>358</v>
      </c>
      <c r="M181" s="250" t="s">
        <v>110</v>
      </c>
      <c r="N181" s="250" t="s">
        <v>111</v>
      </c>
    </row>
    <row r="182" spans="1:14" x14ac:dyDescent="0.35">
      <c r="A182" s="250" t="s">
        <v>127</v>
      </c>
      <c r="B182" s="250" t="s">
        <v>128</v>
      </c>
      <c r="C182" s="250">
        <v>800</v>
      </c>
      <c r="D182" s="250" t="s">
        <v>232</v>
      </c>
      <c r="E182" s="250">
        <v>5312</v>
      </c>
      <c r="F182" s="250" t="s">
        <v>129</v>
      </c>
      <c r="G182" s="250" t="s">
        <v>164</v>
      </c>
      <c r="H182" s="250" t="s">
        <v>79</v>
      </c>
      <c r="I182" s="250">
        <v>2017</v>
      </c>
      <c r="J182" s="250">
        <v>2017</v>
      </c>
      <c r="K182" s="250" t="s">
        <v>23</v>
      </c>
      <c r="L182" s="250">
        <v>14155</v>
      </c>
      <c r="M182" s="250" t="s">
        <v>130</v>
      </c>
      <c r="N182" s="250" t="s">
        <v>131</v>
      </c>
    </row>
    <row r="183" spans="1:14" x14ac:dyDescent="0.35">
      <c r="A183" s="250" t="s">
        <v>127</v>
      </c>
      <c r="B183" s="250" t="s">
        <v>128</v>
      </c>
      <c r="C183" s="250">
        <v>800</v>
      </c>
      <c r="D183" s="250" t="s">
        <v>232</v>
      </c>
      <c r="E183" s="250">
        <v>5312</v>
      </c>
      <c r="F183" s="250" t="s">
        <v>129</v>
      </c>
      <c r="G183" s="250" t="s">
        <v>164</v>
      </c>
      <c r="H183" s="250" t="s">
        <v>79</v>
      </c>
      <c r="I183" s="250">
        <v>2018</v>
      </c>
      <c r="J183" s="250">
        <v>2018</v>
      </c>
      <c r="K183" s="250" t="s">
        <v>23</v>
      </c>
      <c r="L183" s="250">
        <v>14842</v>
      </c>
      <c r="M183" s="250" t="s">
        <v>130</v>
      </c>
      <c r="N183" s="250" t="s">
        <v>131</v>
      </c>
    </row>
    <row r="184" spans="1:14" x14ac:dyDescent="0.35">
      <c r="A184" s="250" t="s">
        <v>127</v>
      </c>
      <c r="B184" s="250" t="s">
        <v>128</v>
      </c>
      <c r="C184" s="250">
        <v>800</v>
      </c>
      <c r="D184" s="250" t="s">
        <v>232</v>
      </c>
      <c r="E184" s="250">
        <v>5312</v>
      </c>
      <c r="F184" s="250" t="s">
        <v>129</v>
      </c>
      <c r="G184" s="250" t="s">
        <v>164</v>
      </c>
      <c r="H184" s="250" t="s">
        <v>79</v>
      </c>
      <c r="I184" s="250">
        <v>2019</v>
      </c>
      <c r="J184" s="250">
        <v>2019</v>
      </c>
      <c r="K184" s="250" t="s">
        <v>23</v>
      </c>
      <c r="L184" s="250">
        <v>15396</v>
      </c>
      <c r="M184" s="250" t="s">
        <v>130</v>
      </c>
      <c r="N184" s="250" t="s">
        <v>131</v>
      </c>
    </row>
    <row r="185" spans="1:14" x14ac:dyDescent="0.35">
      <c r="A185" s="250" t="s">
        <v>127</v>
      </c>
      <c r="B185" s="250" t="s">
        <v>128</v>
      </c>
      <c r="C185" s="250">
        <v>800</v>
      </c>
      <c r="D185" s="250" t="s">
        <v>232</v>
      </c>
      <c r="E185" s="250">
        <v>5312</v>
      </c>
      <c r="F185" s="250" t="s">
        <v>129</v>
      </c>
      <c r="G185" s="250" t="s">
        <v>164</v>
      </c>
      <c r="H185" s="250" t="s">
        <v>79</v>
      </c>
      <c r="I185" s="250">
        <v>2020</v>
      </c>
      <c r="J185" s="250">
        <v>2020</v>
      </c>
      <c r="K185" s="250" t="s">
        <v>23</v>
      </c>
      <c r="L185" s="250">
        <v>16117</v>
      </c>
      <c r="M185" s="250" t="s">
        <v>130</v>
      </c>
      <c r="N185" s="250" t="s">
        <v>131</v>
      </c>
    </row>
    <row r="186" spans="1:14" x14ac:dyDescent="0.35">
      <c r="A186" s="250" t="s">
        <v>127</v>
      </c>
      <c r="B186" s="250" t="s">
        <v>128</v>
      </c>
      <c r="C186" s="250">
        <v>800</v>
      </c>
      <c r="D186" s="250" t="s">
        <v>232</v>
      </c>
      <c r="E186" s="250">
        <v>5312</v>
      </c>
      <c r="F186" s="250" t="s">
        <v>129</v>
      </c>
      <c r="G186" s="250" t="s">
        <v>164</v>
      </c>
      <c r="H186" s="250" t="s">
        <v>79</v>
      </c>
      <c r="I186" s="250">
        <v>2021</v>
      </c>
      <c r="J186" s="250">
        <v>2021</v>
      </c>
      <c r="K186" s="250" t="s">
        <v>23</v>
      </c>
      <c r="L186" s="250">
        <v>16198</v>
      </c>
      <c r="M186" s="250" t="s">
        <v>130</v>
      </c>
      <c r="N186" s="250" t="s">
        <v>131</v>
      </c>
    </row>
  </sheetData>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A8EF-9386-4DE3-9654-92BCD7AAD4FB}">
  <dimension ref="A1:W210"/>
  <sheetViews>
    <sheetView showGridLines="0" tabSelected="1" topLeftCell="D1" zoomScale="60" zoomScaleNormal="60" workbookViewId="0">
      <pane ySplit="10" topLeftCell="A11" activePane="bottomLeft" state="frozen"/>
      <selection pane="bottomLeft" activeCell="M40" sqref="M40"/>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453125" style="2" customWidth="1"/>
    <col min="5" max="5" width="20.26953125" style="2" customWidth="1"/>
    <col min="6" max="6" width="35" style="2" bestFit="1" customWidth="1"/>
    <col min="7" max="7" width="20.26953125" style="2" customWidth="1"/>
    <col min="8" max="8" width="13.81640625" style="2" customWidth="1"/>
    <col min="9" max="13" width="20.26953125" style="2" customWidth="1"/>
    <col min="14" max="14" width="9.26953125" style="2"/>
    <col min="15" max="15" width="32.453125" style="2" bestFit="1" customWidth="1"/>
    <col min="16" max="16" width="24.81640625" style="2" bestFit="1" customWidth="1"/>
    <col min="17" max="17" width="34.54296875" style="2" bestFit="1" customWidth="1"/>
    <col min="18" max="18" width="35.08984375" style="2" customWidth="1"/>
    <col min="19" max="19" width="35.81640625" style="2" customWidth="1"/>
    <col min="20" max="20" width="30.54296875" style="2" bestFit="1" customWidth="1"/>
    <col min="21" max="21" width="13.81640625" style="2" customWidth="1"/>
    <col min="22" max="22" width="9.26953125" style="2"/>
    <col min="23" max="23" width="0" style="2" hidden="1" customWidth="1"/>
    <col min="24" max="16384" width="9.26953125" style="2"/>
  </cols>
  <sheetData>
    <row r="1" spans="1:21" s="7" customFormat="1" ht="13.5" customHeight="1" x14ac:dyDescent="0.25">
      <c r="A1" s="5"/>
      <c r="B1" s="5"/>
      <c r="C1" s="5"/>
      <c r="D1" s="6"/>
      <c r="E1" s="25"/>
    </row>
    <row r="2" spans="1:21" s="7" customFormat="1" ht="13.5" customHeight="1" x14ac:dyDescent="0.25">
      <c r="A2" s="5"/>
      <c r="B2" s="5"/>
      <c r="C2" s="5"/>
      <c r="D2" s="6"/>
      <c r="E2" s="26" t="str">
        <f>Title</f>
        <v>OCP Africa - Uganda P205</v>
      </c>
    </row>
    <row r="3" spans="1:21" s="7" customFormat="1" ht="13.5" customHeight="1" x14ac:dyDescent="0.25">
      <c r="A3" s="5"/>
      <c r="B3" s="5"/>
      <c r="C3" s="5"/>
      <c r="D3" s="6"/>
      <c r="E3" s="27" t="str">
        <f ca="1">MID(CELL("filename",E3),FIND("]",CELL("filename",E3))+1,256)</f>
        <v>ProjectedP205_Consumption</v>
      </c>
    </row>
    <row r="4" spans="1:21" s="7" customFormat="1" ht="13.5" customHeight="1" x14ac:dyDescent="0.25">
      <c r="A4" s="5"/>
      <c r="B4" s="5"/>
      <c r="C4" s="5"/>
      <c r="D4" s="6"/>
      <c r="E4" s="25"/>
    </row>
    <row r="5" spans="1:21" s="11" customFormat="1" ht="13.5" customHeight="1" x14ac:dyDescent="0.3">
      <c r="A5" s="8"/>
      <c r="B5" s="8"/>
      <c r="C5" s="8"/>
      <c r="D5" s="9"/>
      <c r="E5" s="10"/>
    </row>
    <row r="6" spans="1:21" ht="13.5" customHeight="1" thickBot="1" x14ac:dyDescent="0.3">
      <c r="F6" s="7"/>
      <c r="G6" s="7"/>
      <c r="H6" s="59"/>
      <c r="I6" s="59"/>
    </row>
    <row r="7" spans="1:21" ht="13.5" customHeight="1" x14ac:dyDescent="0.35">
      <c r="B7" s="29">
        <v>1</v>
      </c>
      <c r="D7" s="28" t="s">
        <v>10</v>
      </c>
      <c r="F7" s="146"/>
      <c r="G7" s="147"/>
      <c r="H7" s="367" t="s">
        <v>11</v>
      </c>
      <c r="I7" s="368"/>
      <c r="L7" s="154" t="s">
        <v>12</v>
      </c>
    </row>
    <row r="8" spans="1:21" ht="13.5" customHeight="1" x14ac:dyDescent="0.3">
      <c r="F8" s="148" t="s">
        <v>13</v>
      </c>
      <c r="G8" s="149" t="s">
        <v>14</v>
      </c>
      <c r="H8" s="150">
        <f>M37</f>
        <v>21.738951959687071</v>
      </c>
      <c r="I8" s="153">
        <f>M68</f>
        <v>39.096899497361051</v>
      </c>
      <c r="K8" s="157" t="s">
        <v>15</v>
      </c>
      <c r="L8" s="155">
        <f>P37</f>
        <v>0.22459839492476341</v>
      </c>
    </row>
    <row r="9" spans="1:21" ht="13.5" customHeight="1" thickBot="1" x14ac:dyDescent="0.35">
      <c r="D9" s="32" t="s">
        <v>16</v>
      </c>
      <c r="E9" s="7"/>
      <c r="F9" s="151" t="s">
        <v>17</v>
      </c>
      <c r="G9" s="152" t="s">
        <v>14</v>
      </c>
      <c r="H9" s="187">
        <f>M38</f>
        <v>47.258591216711025</v>
      </c>
      <c r="I9" s="188">
        <f>M69</f>
        <v>84.993259776871852</v>
      </c>
      <c r="J9" s="163"/>
      <c r="K9" s="158" t="s">
        <v>18</v>
      </c>
      <c r="L9" s="156">
        <f>P68</f>
        <v>0.4181416580184758</v>
      </c>
    </row>
    <row r="10" spans="1:21" ht="13.5" customHeight="1" x14ac:dyDescent="0.3">
      <c r="D10" s="33" t="s">
        <v>19</v>
      </c>
      <c r="E10" s="7"/>
      <c r="F10" s="7"/>
      <c r="G10" s="7"/>
      <c r="H10" s="189"/>
      <c r="I10" s="7"/>
    </row>
    <row r="11" spans="1:21" ht="13.5" customHeight="1" outlineLevel="1" x14ac:dyDescent="0.25">
      <c r="E11" s="7"/>
      <c r="F11" s="7"/>
      <c r="G11" s="7"/>
      <c r="H11" s="7"/>
      <c r="I11" s="7"/>
    </row>
    <row r="12" spans="1:21" ht="13.5" customHeight="1" outlineLevel="1" x14ac:dyDescent="0.3">
      <c r="D12" s="30"/>
      <c r="E12" s="34">
        <v>2017</v>
      </c>
      <c r="F12" s="34">
        <v>2018</v>
      </c>
      <c r="G12" s="34">
        <v>2019</v>
      </c>
      <c r="H12" s="34">
        <v>2020</v>
      </c>
      <c r="I12" s="34">
        <v>2021</v>
      </c>
      <c r="J12" s="34">
        <v>2022</v>
      </c>
      <c r="K12" s="34">
        <v>2023</v>
      </c>
      <c r="L12" s="34">
        <v>2024</v>
      </c>
      <c r="M12" s="34">
        <v>2025</v>
      </c>
      <c r="O12" s="30" t="s">
        <v>20</v>
      </c>
      <c r="P12" s="30" t="s">
        <v>12</v>
      </c>
      <c r="R12" s="1" t="s">
        <v>218</v>
      </c>
      <c r="S12" s="1" t="s">
        <v>219</v>
      </c>
      <c r="T12" s="2" t="s">
        <v>220</v>
      </c>
      <c r="U12" s="2" t="s">
        <v>221</v>
      </c>
    </row>
    <row r="13" spans="1:21" ht="13.5" customHeight="1" outlineLevel="1" x14ac:dyDescent="0.25">
      <c r="D13" s="79" t="str">
        <f>HarvestedAreas_TCD_Uganda!D9</f>
        <v>Plantains and cooking bananas</v>
      </c>
      <c r="E13" s="127">
        <f t="shared" ref="E13:M13" si="0">(E78*E110)/1000000</f>
        <v>0.39193380137632589</v>
      </c>
      <c r="F13" s="127">
        <f t="shared" si="0"/>
        <v>0.559411721289229</v>
      </c>
      <c r="G13" s="127">
        <f t="shared" si="0"/>
        <v>1.4645843213505734</v>
      </c>
      <c r="H13" s="127">
        <f t="shared" si="0"/>
        <v>0.74433217131912044</v>
      </c>
      <c r="I13" s="127">
        <f t="shared" si="0"/>
        <v>1.3599775678663448</v>
      </c>
      <c r="J13" s="101">
        <f t="shared" si="0"/>
        <v>1.4279764462596622</v>
      </c>
      <c r="K13" s="101">
        <f t="shared" si="0"/>
        <v>1.4993752685726454</v>
      </c>
      <c r="L13" s="101">
        <f t="shared" si="0"/>
        <v>1.5743440320012774</v>
      </c>
      <c r="M13" s="283">
        <f t="shared" si="0"/>
        <v>1.6530612336013415</v>
      </c>
      <c r="N13" s="2">
        <f>IF(M13&gt;M44,1,0)</f>
        <v>0</v>
      </c>
      <c r="O13" s="143">
        <f>IFERROR(_xlfn.RRI($H$12-$E$12,E13,H13),0)</f>
        <v>0.23837266426199499</v>
      </c>
      <c r="P13" s="143">
        <f>IFERROR(_xlfn.RRI($M$12-$I$12,I13,M13),0)</f>
        <v>5.0000000000000044E-2</v>
      </c>
      <c r="Q13" s="2" t="s">
        <v>246</v>
      </c>
      <c r="R13" s="170">
        <f t="shared" ref="R13:R36" si="1">J13/$J$37</f>
        <v>0.1220949245169015</v>
      </c>
      <c r="S13" s="170">
        <f t="shared" ref="S13:S36" si="2">M13/$M$37</f>
        <v>7.6041441034820564E-2</v>
      </c>
      <c r="T13" s="2">
        <f>M13-J13</f>
        <v>0.22508478734167925</v>
      </c>
      <c r="U13" s="170">
        <f t="shared" ref="U13:U36" si="3">(M13-J13)/($M$37-$J$37)</f>
        <v>2.2411376954421663E-2</v>
      </c>
    </row>
    <row r="14" spans="1:21" ht="13.5" customHeight="1" outlineLevel="1" x14ac:dyDescent="0.25">
      <c r="D14" s="79" t="str">
        <f>HarvestedAreas_TCD_Uganda!D10</f>
        <v>Maize (corn)</v>
      </c>
      <c r="E14" s="127">
        <f t="shared" ref="E14:M14" si="4">(E79*E111)/1000000</f>
        <v>2.0018974014559192</v>
      </c>
      <c r="F14" s="127">
        <f t="shared" si="4"/>
        <v>4.6986710684054449</v>
      </c>
      <c r="G14" s="127">
        <f t="shared" si="4"/>
        <v>3.519258231098898</v>
      </c>
      <c r="H14" s="127">
        <f t="shared" si="4"/>
        <v>2.7793940516737972</v>
      </c>
      <c r="I14" s="127">
        <f t="shared" si="4"/>
        <v>3.2513861758750253</v>
      </c>
      <c r="J14" s="101">
        <f t="shared" si="4"/>
        <v>4.2918297521550333</v>
      </c>
      <c r="K14" s="101">
        <f t="shared" si="4"/>
        <v>5.6652152728446445</v>
      </c>
      <c r="L14" s="101">
        <f t="shared" si="4"/>
        <v>7.4780841601549302</v>
      </c>
      <c r="M14" s="283">
        <f t="shared" si="4"/>
        <v>9.8710710914045094</v>
      </c>
      <c r="N14" s="2">
        <f t="shared" ref="N14:N36" si="5">IF(M14&gt;M45,1,0)</f>
        <v>0</v>
      </c>
      <c r="O14" s="143">
        <f t="shared" ref="O14:O38" si="6">IFERROR(_xlfn.RRI($I$77-$E$77,E14,I14),0)</f>
        <v>0.12890314973877559</v>
      </c>
      <c r="P14" s="143">
        <f t="shared" ref="P14:P38" si="7">IFERROR(_xlfn.RRI($M$12-$I$12,I14,M14),0)</f>
        <v>0.32000000000000006</v>
      </c>
      <c r="Q14" s="2" t="s">
        <v>122</v>
      </c>
      <c r="R14" s="170">
        <f t="shared" si="1"/>
        <v>0.36696027515111768</v>
      </c>
      <c r="S14" s="170">
        <f t="shared" si="2"/>
        <v>0.45407299807780621</v>
      </c>
      <c r="T14" s="2">
        <f t="shared" ref="T14:T36" si="8">M14-J14</f>
        <v>5.5792413392494762</v>
      </c>
      <c r="U14" s="170">
        <f t="shared" si="3"/>
        <v>0.55551724419209048</v>
      </c>
    </row>
    <row r="15" spans="1:21" ht="13.5" customHeight="1" outlineLevel="1" x14ac:dyDescent="0.25">
      <c r="D15" s="79" t="str">
        <f>HarvestedAreas_TCD_Uganda!D11</f>
        <v>Cassava, fresh</v>
      </c>
      <c r="E15" s="127">
        <f t="shared" ref="E15:M15" si="9">(E80*E112)/1000000</f>
        <v>0.90150418824952483</v>
      </c>
      <c r="F15" s="127">
        <f t="shared" si="9"/>
        <v>2.110848029348376</v>
      </c>
      <c r="G15" s="127">
        <f t="shared" si="9"/>
        <v>1.2203500038322908</v>
      </c>
      <c r="H15" s="127">
        <f t="shared" si="9"/>
        <v>0.72451115938453081</v>
      </c>
      <c r="I15" s="127">
        <f t="shared" si="9"/>
        <v>1.1596739979847641</v>
      </c>
      <c r="J15" s="101">
        <f t="shared" si="9"/>
        <v>1.2785405827782028</v>
      </c>
      <c r="K15" s="101">
        <f t="shared" si="9"/>
        <v>1.4095909925129688</v>
      </c>
      <c r="L15" s="101">
        <f t="shared" si="9"/>
        <v>1.5540740692455479</v>
      </c>
      <c r="M15" s="283">
        <f t="shared" si="9"/>
        <v>1.7133666613432166</v>
      </c>
      <c r="N15" s="2">
        <f t="shared" si="5"/>
        <v>0</v>
      </c>
      <c r="O15" s="143">
        <f t="shared" si="6"/>
        <v>6.4981448723344881E-2</v>
      </c>
      <c r="P15" s="143">
        <f t="shared" si="7"/>
        <v>0.10250000000000004</v>
      </c>
      <c r="Q15" s="2" t="s">
        <v>135</v>
      </c>
      <c r="R15" s="170">
        <f t="shared" si="1"/>
        <v>0.10931785069353603</v>
      </c>
      <c r="S15" s="170">
        <f t="shared" si="2"/>
        <v>7.8815513485677724E-2</v>
      </c>
      <c r="T15" s="2">
        <f t="shared" si="8"/>
        <v>0.43482607856501376</v>
      </c>
      <c r="U15" s="170">
        <f t="shared" si="3"/>
        <v>4.3295023495037374E-2</v>
      </c>
    </row>
    <row r="16" spans="1:21" ht="13.5" customHeight="1" outlineLevel="1" x14ac:dyDescent="0.25">
      <c r="D16" s="79" t="str">
        <f>HarvestedAreas_TCD_Uganda!D12</f>
        <v>Coffee, green</v>
      </c>
      <c r="E16" s="127">
        <f t="shared" ref="E16:M16" si="10">(E81*E113)/1000000</f>
        <v>0.58422992216035663</v>
      </c>
      <c r="F16" s="127">
        <f t="shared" si="10"/>
        <v>1.1094577180129876</v>
      </c>
      <c r="G16" s="127">
        <f t="shared" si="10"/>
        <v>1.1894986239166652</v>
      </c>
      <c r="H16" s="127">
        <f t="shared" si="10"/>
        <v>0.67178407350221681</v>
      </c>
      <c r="I16" s="127">
        <f t="shared" si="10"/>
        <v>1.3716357445027292</v>
      </c>
      <c r="J16" s="101">
        <f t="shared" si="10"/>
        <v>1.7334655421356007</v>
      </c>
      <c r="K16" s="101">
        <f t="shared" si="10"/>
        <v>2.190744006063261</v>
      </c>
      <c r="L16" s="101">
        <f t="shared" si="10"/>
        <v>2.7686499578118955</v>
      </c>
      <c r="M16" s="283">
        <f t="shared" si="10"/>
        <v>3.4990042504630541</v>
      </c>
      <c r="N16" s="2">
        <f t="shared" si="5"/>
        <v>0</v>
      </c>
      <c r="O16" s="143">
        <f t="shared" si="6"/>
        <v>0.23783782518426078</v>
      </c>
      <c r="P16" s="143">
        <f t="shared" si="7"/>
        <v>0.26379437768592773</v>
      </c>
      <c r="Q16" s="2" t="s">
        <v>236</v>
      </c>
      <c r="R16" s="170">
        <f t="shared" si="1"/>
        <v>0.14821487082232315</v>
      </c>
      <c r="S16" s="170">
        <f t="shared" si="2"/>
        <v>0.16095551694265861</v>
      </c>
      <c r="T16" s="2">
        <f t="shared" si="8"/>
        <v>1.7655387083274534</v>
      </c>
      <c r="U16" s="170">
        <f t="shared" si="3"/>
        <v>0.1757922158456881</v>
      </c>
    </row>
    <row r="17" spans="4:21" ht="13.5" customHeight="1" outlineLevel="1" x14ac:dyDescent="0.25">
      <c r="D17" s="79" t="str">
        <f>HarvestedAreas_TCD_Uganda!D13</f>
        <v>Beans, dry</v>
      </c>
      <c r="E17" s="127">
        <f t="shared" ref="E17:M17" si="11">(E82*E114)/1000000</f>
        <v>0.21756324847964439</v>
      </c>
      <c r="F17" s="127">
        <f t="shared" si="11"/>
        <v>0.40347790789546478</v>
      </c>
      <c r="G17" s="127">
        <f t="shared" si="11"/>
        <v>0.17303505716633205</v>
      </c>
      <c r="H17" s="127">
        <f t="shared" si="11"/>
        <v>0.14787625200905408</v>
      </c>
      <c r="I17" s="127">
        <f t="shared" si="11"/>
        <v>0.30497166867760095</v>
      </c>
      <c r="J17" s="101">
        <f t="shared" si="11"/>
        <v>0.35686119445163828</v>
      </c>
      <c r="K17" s="101">
        <f t="shared" si="11"/>
        <v>0.41757948421129315</v>
      </c>
      <c r="L17" s="101">
        <f t="shared" si="11"/>
        <v>0.48862871151377196</v>
      </c>
      <c r="M17" s="283">
        <f t="shared" si="11"/>
        <v>0.57176663783319059</v>
      </c>
      <c r="N17" s="2">
        <f t="shared" si="5"/>
        <v>0</v>
      </c>
      <c r="O17" s="143">
        <f t="shared" si="6"/>
        <v>8.8099198328769779E-2</v>
      </c>
      <c r="P17" s="143">
        <f t="shared" si="7"/>
        <v>0.170145397436547</v>
      </c>
      <c r="Q17" s="2" t="s">
        <v>133</v>
      </c>
      <c r="R17" s="170">
        <f t="shared" si="1"/>
        <v>3.0512366442535268E-2</v>
      </c>
      <c r="S17" s="170">
        <f t="shared" si="2"/>
        <v>2.6301481271658374E-2</v>
      </c>
      <c r="T17" s="2">
        <f t="shared" si="8"/>
        <v>0.21490544338155232</v>
      </c>
      <c r="U17" s="170">
        <f t="shared" si="3"/>
        <v>2.1397833936550745E-2</v>
      </c>
    </row>
    <row r="18" spans="4:21" ht="13.5" customHeight="1" outlineLevel="1" x14ac:dyDescent="0.25">
      <c r="D18" s="79" t="str">
        <f>HarvestedAreas_TCD_Uganda!D14</f>
        <v>Groundnuts, excluding shelled</v>
      </c>
      <c r="E18" s="127">
        <f t="shared" ref="E18:M18" si="12">(E83*E115)/1000000</f>
        <v>0.1568329987255187</v>
      </c>
      <c r="F18" s="127">
        <f t="shared" si="12"/>
        <v>0.20975702629009776</v>
      </c>
      <c r="G18" s="127">
        <f t="shared" si="12"/>
        <v>0.22394105870477904</v>
      </c>
      <c r="H18" s="127">
        <f t="shared" si="12"/>
        <v>0.11237366533947064</v>
      </c>
      <c r="I18" s="127">
        <f t="shared" si="12"/>
        <v>0.21786048417276399</v>
      </c>
      <c r="J18" s="101">
        <f t="shared" si="12"/>
        <v>0.2396465325900404</v>
      </c>
      <c r="K18" s="101">
        <f t="shared" si="12"/>
        <v>0.26361118584904447</v>
      </c>
      <c r="L18" s="101">
        <f t="shared" si="12"/>
        <v>0.28997230443394895</v>
      </c>
      <c r="M18" s="283">
        <f t="shared" si="12"/>
        <v>0.31896953487734386</v>
      </c>
      <c r="N18" s="2">
        <f t="shared" si="5"/>
        <v>0</v>
      </c>
      <c r="O18" s="143">
        <f t="shared" si="6"/>
        <v>8.5638545474288508E-2</v>
      </c>
      <c r="P18" s="143">
        <f t="shared" si="7"/>
        <v>0.10000000000000009</v>
      </c>
      <c r="Q18" s="2" t="s">
        <v>141</v>
      </c>
      <c r="R18" s="170">
        <f t="shared" si="1"/>
        <v>2.0490271659563221E-2</v>
      </c>
      <c r="S18" s="170">
        <f t="shared" si="2"/>
        <v>1.4672719065244918E-2</v>
      </c>
      <c r="T18" s="2">
        <f t="shared" si="8"/>
        <v>7.9323002287303462E-2</v>
      </c>
      <c r="U18" s="170">
        <f t="shared" si="3"/>
        <v>7.8980802141843543E-3</v>
      </c>
    </row>
    <row r="19" spans="4:21" ht="13.5" customHeight="1" outlineLevel="1" x14ac:dyDescent="0.25">
      <c r="D19" s="79" t="str">
        <f>HarvestedAreas_TCD_Uganda!D15</f>
        <v>Sweet potatoes</v>
      </c>
      <c r="E19" s="127">
        <f t="shared" ref="E19:M19" si="13">(E84*E116)/1000000</f>
        <v>0.33182607505817907</v>
      </c>
      <c r="F19" s="127">
        <f t="shared" si="13"/>
        <v>0.51144043605991885</v>
      </c>
      <c r="G19" s="127">
        <f t="shared" si="13"/>
        <v>0.35367291327569134</v>
      </c>
      <c r="H19" s="127">
        <f t="shared" si="13"/>
        <v>0.18743791168120258</v>
      </c>
      <c r="I19" s="127">
        <f t="shared" si="13"/>
        <v>0.3949374857083866</v>
      </c>
      <c r="J19" s="101">
        <f t="shared" si="13"/>
        <v>0.45615279599318653</v>
      </c>
      <c r="K19" s="101">
        <f t="shared" si="13"/>
        <v>0.52685647937213054</v>
      </c>
      <c r="L19" s="101">
        <f t="shared" si="13"/>
        <v>0.60851923367481087</v>
      </c>
      <c r="M19" s="283">
        <f t="shared" si="13"/>
        <v>0.70283971489440666</v>
      </c>
      <c r="N19" s="2">
        <f t="shared" si="5"/>
        <v>0</v>
      </c>
      <c r="O19" s="143">
        <f t="shared" si="6"/>
        <v>4.4490421703928806E-2</v>
      </c>
      <c r="P19" s="143">
        <f t="shared" si="7"/>
        <v>0.15500000000000025</v>
      </c>
      <c r="Q19" s="2" t="s">
        <v>124</v>
      </c>
      <c r="R19" s="170">
        <f t="shared" si="1"/>
        <v>3.9002002687679019E-2</v>
      </c>
      <c r="S19" s="170">
        <f t="shared" si="2"/>
        <v>3.2330892317061079E-2</v>
      </c>
      <c r="T19" s="2">
        <f t="shared" si="8"/>
        <v>0.24668691890122013</v>
      </c>
      <c r="U19" s="170">
        <f t="shared" si="3"/>
        <v>2.4562270931387613E-2</v>
      </c>
    </row>
    <row r="20" spans="4:21" ht="13.5" customHeight="1" outlineLevel="1" x14ac:dyDescent="0.25">
      <c r="D20" s="79" t="str">
        <f>HarvestedAreas_TCD_Uganda!D16</f>
        <v>Sunflower seed</v>
      </c>
      <c r="E20" s="127">
        <f t="shared" ref="E20:M20" si="14">(E85*E117)/1000000</f>
        <v>9.46916218720113E-2</v>
      </c>
      <c r="F20" s="127">
        <f t="shared" si="14"/>
        <v>0.19948919982834476</v>
      </c>
      <c r="G20" s="127">
        <f t="shared" si="14"/>
        <v>0.18545118923989515</v>
      </c>
      <c r="H20" s="127">
        <f t="shared" si="14"/>
        <v>9.3644721116225529E-2</v>
      </c>
      <c r="I20" s="127">
        <f t="shared" si="14"/>
        <v>0.1848513199041634</v>
      </c>
      <c r="J20" s="101">
        <f t="shared" si="14"/>
        <v>0.20379858019434013</v>
      </c>
      <c r="K20" s="101">
        <f t="shared" si="14"/>
        <v>0.22468793466426004</v>
      </c>
      <c r="L20" s="101">
        <f t="shared" si="14"/>
        <v>0.24771844796734671</v>
      </c>
      <c r="M20" s="283">
        <f t="shared" si="14"/>
        <v>0.27310958888399972</v>
      </c>
      <c r="N20" s="2">
        <f t="shared" si="5"/>
        <v>0</v>
      </c>
      <c r="O20" s="143">
        <f t="shared" si="6"/>
        <v>0.18202796164895418</v>
      </c>
      <c r="P20" s="143">
        <f t="shared" si="7"/>
        <v>0.10250000000000004</v>
      </c>
      <c r="Q20" s="2" t="s">
        <v>172</v>
      </c>
      <c r="R20" s="170">
        <f t="shared" si="1"/>
        <v>1.7425197965033515E-2</v>
      </c>
      <c r="S20" s="170">
        <f t="shared" si="2"/>
        <v>1.2563144230248858E-2</v>
      </c>
      <c r="T20" s="2">
        <f t="shared" si="8"/>
        <v>6.9311008689659587E-2</v>
      </c>
      <c r="U20" s="170">
        <f t="shared" si="3"/>
        <v>6.9012000374648148E-3</v>
      </c>
    </row>
    <row r="21" spans="4:21" ht="13.5" customHeight="1" outlineLevel="1" x14ac:dyDescent="0.25">
      <c r="D21" s="79" t="str">
        <f>HarvestedAreas_TCD_Uganda!D17</f>
        <v>Sesame seed</v>
      </c>
      <c r="E21" s="127">
        <f t="shared" ref="E21:M21" si="15">(E86*E118)/1000000</f>
        <v>7.6936942771009181E-2</v>
      </c>
      <c r="F21" s="127">
        <f t="shared" si="15"/>
        <v>0.15621764545381406</v>
      </c>
      <c r="G21" s="127">
        <f t="shared" si="15"/>
        <v>0.1483609513919161</v>
      </c>
      <c r="H21" s="127">
        <f t="shared" si="15"/>
        <v>7.3213145599958132E-2</v>
      </c>
      <c r="I21" s="127">
        <f t="shared" si="15"/>
        <v>0.14193940635498262</v>
      </c>
      <c r="J21" s="101">
        <f t="shared" si="15"/>
        <v>0.16394001434000491</v>
      </c>
      <c r="K21" s="101">
        <f t="shared" si="15"/>
        <v>0.18935071656270569</v>
      </c>
      <c r="L21" s="101">
        <f t="shared" si="15"/>
        <v>0.2187000776299251</v>
      </c>
      <c r="M21" s="283">
        <f t="shared" si="15"/>
        <v>0.25259858966256349</v>
      </c>
      <c r="N21" s="2">
        <f t="shared" si="5"/>
        <v>0</v>
      </c>
      <c r="O21" s="143">
        <f t="shared" si="6"/>
        <v>0.16544562237420157</v>
      </c>
      <c r="P21" s="143">
        <f t="shared" si="7"/>
        <v>0.15500000000000003</v>
      </c>
      <c r="Q21" s="2" t="s">
        <v>118</v>
      </c>
      <c r="R21" s="170">
        <f t="shared" si="1"/>
        <v>1.4017208567110294E-2</v>
      </c>
      <c r="S21" s="170">
        <f t="shared" si="2"/>
        <v>1.1619630519952609E-2</v>
      </c>
      <c r="T21" s="2">
        <f t="shared" si="8"/>
        <v>8.865857532255858E-2</v>
      </c>
      <c r="U21" s="170">
        <f t="shared" si="3"/>
        <v>8.8276101431041427E-3</v>
      </c>
    </row>
    <row r="22" spans="4:21" ht="13.5" customHeight="1" outlineLevel="1" x14ac:dyDescent="0.25">
      <c r="D22" s="79" t="str">
        <f>HarvestedAreas_TCD_Uganda!D18</f>
        <v>Sorghum</v>
      </c>
      <c r="E22" s="127">
        <f t="shared" ref="E22:M22" si="16">(E87*E119)/1000000</f>
        <v>7.1656405295052794E-2</v>
      </c>
      <c r="F22" s="127">
        <f t="shared" si="16"/>
        <v>0.20730961651132135</v>
      </c>
      <c r="G22" s="127">
        <f t="shared" si="16"/>
        <v>7.3627621207280641E-2</v>
      </c>
      <c r="H22" s="127">
        <f t="shared" si="16"/>
        <v>6.1435363893605807E-2</v>
      </c>
      <c r="I22" s="127">
        <f t="shared" si="16"/>
        <v>0.15108624577381183</v>
      </c>
      <c r="J22" s="101">
        <f t="shared" si="16"/>
        <v>0.16657258596562757</v>
      </c>
      <c r="K22" s="101">
        <f t="shared" si="16"/>
        <v>0.1836462760271044</v>
      </c>
      <c r="L22" s="101">
        <f t="shared" si="16"/>
        <v>0.20247001931988262</v>
      </c>
      <c r="M22" s="283">
        <f t="shared" si="16"/>
        <v>0.22322319630017062</v>
      </c>
      <c r="N22" s="2">
        <f t="shared" si="5"/>
        <v>0</v>
      </c>
      <c r="O22" s="143">
        <f t="shared" si="6"/>
        <v>0.20501506945633219</v>
      </c>
      <c r="P22" s="143">
        <f t="shared" si="7"/>
        <v>0.10250000000000004</v>
      </c>
      <c r="Q22" s="2" t="s">
        <v>58</v>
      </c>
      <c r="R22" s="170">
        <f t="shared" si="1"/>
        <v>1.4242298858170521E-2</v>
      </c>
      <c r="S22" s="170">
        <f t="shared" si="2"/>
        <v>1.0268351331477153E-2</v>
      </c>
      <c r="T22" s="2">
        <f t="shared" si="8"/>
        <v>5.665061033454305E-2</v>
      </c>
      <c r="U22" s="170">
        <f t="shared" si="3"/>
        <v>5.6406219091928965E-3</v>
      </c>
    </row>
    <row r="23" spans="4:21" ht="13.5" customHeight="1" outlineLevel="1" x14ac:dyDescent="0.25">
      <c r="D23" s="79" t="str">
        <f>HarvestedAreas_TCD_Uganda!D19</f>
        <v>Other vegetables, fresh n.e.c.</v>
      </c>
      <c r="E23" s="127">
        <f t="shared" ref="E23:M23" si="17">(E88*E120)/1000000</f>
        <v>5.6163228444540823E-2</v>
      </c>
      <c r="F23" s="127">
        <f t="shared" si="17"/>
        <v>0.11235129056067758</v>
      </c>
      <c r="G23" s="127">
        <f t="shared" si="17"/>
        <v>0.10602489424377765</v>
      </c>
      <c r="H23" s="127">
        <f t="shared" si="17"/>
        <v>5.1820264455650369E-2</v>
      </c>
      <c r="I23" s="127">
        <f t="shared" si="17"/>
        <v>0.10053931252930372</v>
      </c>
      <c r="J23" s="101">
        <f t="shared" si="17"/>
        <v>0.11084459206355737</v>
      </c>
      <c r="K23" s="101">
        <f t="shared" si="17"/>
        <v>0.12220616275007201</v>
      </c>
      <c r="L23" s="101">
        <f t="shared" si="17"/>
        <v>0.13473229443195439</v>
      </c>
      <c r="M23" s="283">
        <f t="shared" si="17"/>
        <v>0.14854235461122972</v>
      </c>
      <c r="N23" s="2">
        <f t="shared" si="5"/>
        <v>0</v>
      </c>
      <c r="O23" s="143">
        <f t="shared" si="6"/>
        <v>0.15670060222672411</v>
      </c>
      <c r="P23" s="143">
        <f t="shared" si="7"/>
        <v>0.10250000000000004</v>
      </c>
      <c r="Q23" s="2" t="s">
        <v>121</v>
      </c>
      <c r="R23" s="170">
        <f t="shared" si="1"/>
        <v>9.4774407074819794E-3</v>
      </c>
      <c r="S23" s="170">
        <f t="shared" si="2"/>
        <v>6.8330044100878527E-3</v>
      </c>
      <c r="T23" s="2">
        <f t="shared" si="8"/>
        <v>3.7697762547672348E-2</v>
      </c>
      <c r="U23" s="170">
        <f t="shared" si="3"/>
        <v>3.7535134060911303E-3</v>
      </c>
    </row>
    <row r="24" spans="4:21" ht="13.5" customHeight="1" outlineLevel="1" x14ac:dyDescent="0.25">
      <c r="D24" s="79" t="str">
        <f>HarvestedAreas_TCD_Uganda!D20</f>
        <v>Seed cotton, unginned</v>
      </c>
      <c r="E24" s="127">
        <f t="shared" ref="E24:M24" si="18">(E89*E121)/1000000</f>
        <v>3.5509358202004238E-2</v>
      </c>
      <c r="F24" s="127">
        <f t="shared" si="18"/>
        <v>5.8673294067160209E-2</v>
      </c>
      <c r="G24" s="127">
        <f t="shared" si="18"/>
        <v>6.298342276071911E-2</v>
      </c>
      <c r="H24" s="127">
        <f t="shared" si="18"/>
        <v>3.2009468308818907E-2</v>
      </c>
      <c r="I24" s="127">
        <f t="shared" si="18"/>
        <v>6.5358145251829203E-2</v>
      </c>
      <c r="J24" s="101">
        <f t="shared" si="18"/>
        <v>7.2057355140141693E-2</v>
      </c>
      <c r="K24" s="101">
        <f t="shared" si="18"/>
        <v>7.9443234042006219E-2</v>
      </c>
      <c r="L24" s="101">
        <f t="shared" si="18"/>
        <v>8.7586165531311863E-2</v>
      </c>
      <c r="M24" s="283">
        <f t="shared" si="18"/>
        <v>9.6563747498271346E-2</v>
      </c>
      <c r="N24" s="2">
        <f t="shared" si="5"/>
        <v>0</v>
      </c>
      <c r="O24" s="143">
        <f t="shared" si="6"/>
        <v>0.16476744599025683</v>
      </c>
      <c r="P24" s="143">
        <f t="shared" si="7"/>
        <v>0.10250000000000004</v>
      </c>
      <c r="Q24" s="2" t="s">
        <v>157</v>
      </c>
      <c r="R24" s="170">
        <f t="shared" si="1"/>
        <v>6.16105213763685E-3</v>
      </c>
      <c r="S24" s="170">
        <f t="shared" si="2"/>
        <v>4.4419688528379896E-3</v>
      </c>
      <c r="T24" s="2">
        <f t="shared" si="8"/>
        <v>2.4506392358129653E-2</v>
      </c>
      <c r="U24" s="170">
        <f t="shared" si="3"/>
        <v>2.4400671561036319E-3</v>
      </c>
    </row>
    <row r="25" spans="4:21" ht="13.5" customHeight="1" outlineLevel="1" x14ac:dyDescent="0.25">
      <c r="D25" s="79" t="str">
        <f>HarvestedAreas_TCD_Uganda!D21</f>
        <v>Rice</v>
      </c>
      <c r="E25" s="127">
        <f t="shared" ref="E25:M25" si="19">(E90*E122)/1000000</f>
        <v>7.9342331900047025E-2</v>
      </c>
      <c r="F25" s="127">
        <f t="shared" si="19"/>
        <v>0.15909997102486334</v>
      </c>
      <c r="G25" s="127">
        <f t="shared" si="19"/>
        <v>0.12229281252706294</v>
      </c>
      <c r="H25" s="127">
        <f t="shared" si="19"/>
        <v>0.13043007020197195</v>
      </c>
      <c r="I25" s="127">
        <f t="shared" si="19"/>
        <v>0.20067921417095735</v>
      </c>
      <c r="J25" s="101">
        <f t="shared" si="19"/>
        <v>0.26274518253301687</v>
      </c>
      <c r="K25" s="101">
        <f t="shared" si="19"/>
        <v>0.34400688297243309</v>
      </c>
      <c r="L25" s="101">
        <f t="shared" si="19"/>
        <v>0.4504011620366758</v>
      </c>
      <c r="M25" s="283">
        <f t="shared" si="19"/>
        <v>0.58970101124471996</v>
      </c>
      <c r="N25" s="2">
        <f t="shared" si="5"/>
        <v>0</v>
      </c>
      <c r="O25" s="143">
        <f t="shared" si="6"/>
        <v>0.26109951257729591</v>
      </c>
      <c r="P25" s="143">
        <f t="shared" si="7"/>
        <v>0.30927950669163939</v>
      </c>
      <c r="Q25" s="2" t="s">
        <v>61</v>
      </c>
      <c r="R25" s="170">
        <f t="shared" si="1"/>
        <v>2.2465253760015329E-2</v>
      </c>
      <c r="S25" s="170">
        <f t="shared" si="2"/>
        <v>2.7126469221619671E-2</v>
      </c>
      <c r="T25" s="2">
        <f t="shared" si="8"/>
        <v>0.32695582871170309</v>
      </c>
      <c r="U25" s="170">
        <f t="shared" si="3"/>
        <v>3.2554533832533476E-2</v>
      </c>
    </row>
    <row r="26" spans="4:21" ht="13.5" customHeight="1" outlineLevel="1" x14ac:dyDescent="0.25">
      <c r="D26" s="79" t="str">
        <f>HarvestedAreas_TCD_Uganda!D22</f>
        <v>Onions and shallots, dry (excluding dehydrated)</v>
      </c>
      <c r="E26" s="127">
        <f t="shared" ref="E26:M26" si="20">(E91*E123)/1000000</f>
        <v>3.0023902138090457E-2</v>
      </c>
      <c r="F26" s="127">
        <f t="shared" si="20"/>
        <v>5.9562194472277688E-2</v>
      </c>
      <c r="G26" s="127">
        <f t="shared" si="20"/>
        <v>5.6288984737063119E-2</v>
      </c>
      <c r="H26" s="127">
        <f t="shared" si="20"/>
        <v>2.7561854845186102E-2</v>
      </c>
      <c r="I26" s="127">
        <f t="shared" si="20"/>
        <v>5.3383740821751645E-2</v>
      </c>
      <c r="J26" s="101">
        <f t="shared" si="20"/>
        <v>5.8855574255981195E-2</v>
      </c>
      <c r="K26" s="101">
        <f t="shared" si="20"/>
        <v>6.4888270617219274E-2</v>
      </c>
      <c r="L26" s="101">
        <f t="shared" si="20"/>
        <v>7.1539318355484258E-2</v>
      </c>
      <c r="M26" s="283">
        <f t="shared" si="20"/>
        <v>7.887209848692138E-2</v>
      </c>
      <c r="N26" s="2">
        <f t="shared" si="5"/>
        <v>0</v>
      </c>
      <c r="O26" s="143">
        <f t="shared" si="6"/>
        <v>0.15474334199743067</v>
      </c>
      <c r="P26" s="143">
        <f t="shared" si="7"/>
        <v>0.10250000000000004</v>
      </c>
      <c r="Q26" s="2" t="s">
        <v>119</v>
      </c>
      <c r="R26" s="170">
        <f t="shared" si="1"/>
        <v>5.0322727066019297E-3</v>
      </c>
      <c r="S26" s="170">
        <f t="shared" si="2"/>
        <v>3.6281463169513684E-3</v>
      </c>
      <c r="T26" s="2">
        <f t="shared" si="8"/>
        <v>2.0016524230940184E-2</v>
      </c>
      <c r="U26" s="170">
        <f t="shared" si="3"/>
        <v>1.9930172765338558E-3</v>
      </c>
    </row>
    <row r="27" spans="4:21" ht="13.5" customHeight="1" outlineLevel="1" x14ac:dyDescent="0.25">
      <c r="D27" s="79" t="str">
        <f>HarvestedAreas_TCD_Uganda!D23</f>
        <v>Sugar cane</v>
      </c>
      <c r="E27" s="127">
        <f t="shared" ref="E27:M27" si="21">(E92*E124)/1000000</f>
        <v>0.11244630097301342</v>
      </c>
      <c r="F27" s="127">
        <f t="shared" si="21"/>
        <v>0.23175951156528285</v>
      </c>
      <c r="G27" s="127">
        <f t="shared" si="21"/>
        <v>0.21834253223715958</v>
      </c>
      <c r="H27" s="127">
        <f t="shared" si="21"/>
        <v>0.10270816801524174</v>
      </c>
      <c r="I27" s="127">
        <f t="shared" si="21"/>
        <v>0.22528886649976987</v>
      </c>
      <c r="J27" s="101">
        <f t="shared" si="21"/>
        <v>0.30587346667595666</v>
      </c>
      <c r="K27" s="101">
        <f t="shared" si="21"/>
        <v>0.41528273931132398</v>
      </c>
      <c r="L27" s="101">
        <f t="shared" si="21"/>
        <v>0.56382711270808417</v>
      </c>
      <c r="M27" s="283">
        <f t="shared" si="21"/>
        <v>0.76550499920107329</v>
      </c>
      <c r="N27" s="2">
        <f t="shared" si="5"/>
        <v>0</v>
      </c>
      <c r="O27" s="143">
        <f t="shared" si="6"/>
        <v>0.18973061996363993</v>
      </c>
      <c r="P27" s="143">
        <f t="shared" si="7"/>
        <v>0.35769455201315581</v>
      </c>
      <c r="Q27" s="2" t="s">
        <v>161</v>
      </c>
      <c r="R27" s="170">
        <f t="shared" si="1"/>
        <v>2.6152810799746917E-2</v>
      </c>
      <c r="S27" s="170">
        <f t="shared" si="2"/>
        <v>3.5213519061113592E-2</v>
      </c>
      <c r="T27" s="2">
        <f t="shared" si="8"/>
        <v>0.45963153252511663</v>
      </c>
      <c r="U27" s="170">
        <f t="shared" si="3"/>
        <v>4.5764867795894199E-2</v>
      </c>
    </row>
    <row r="28" spans="4:21" ht="13.5" customHeight="1" outlineLevel="1" x14ac:dyDescent="0.25">
      <c r="D28" s="79" t="str">
        <f>HarvestedAreas_TCD_Uganda!D24</f>
        <v>Millet</v>
      </c>
      <c r="E28" s="127">
        <f t="shared" ref="E28:M28" si="22">(E93*E125)/1000000</f>
        <v>4.8108152469904929E-2</v>
      </c>
      <c r="F28" s="127">
        <f t="shared" si="22"/>
        <v>7.3420826530940939E-2</v>
      </c>
      <c r="G28" s="127">
        <f t="shared" si="22"/>
        <v>3.5613626492144397E-2</v>
      </c>
      <c r="H28" s="127">
        <f t="shared" si="22"/>
        <v>1.689078347929825E-2</v>
      </c>
      <c r="I28" s="127">
        <f t="shared" si="22"/>
        <v>3.6699588833830149E-2</v>
      </c>
      <c r="J28" s="101">
        <f t="shared" si="22"/>
        <v>4.0461296689297752E-2</v>
      </c>
      <c r="K28" s="101">
        <f t="shared" si="22"/>
        <v>4.4608579599950772E-2</v>
      </c>
      <c r="L28" s="101">
        <f t="shared" si="22"/>
        <v>4.9180959008945729E-2</v>
      </c>
      <c r="M28" s="283">
        <f t="shared" si="22"/>
        <v>5.4222007307362673E-2</v>
      </c>
      <c r="N28" s="2">
        <f t="shared" si="5"/>
        <v>0</v>
      </c>
      <c r="O28" s="143">
        <f t="shared" si="6"/>
        <v>-6.5432595089238377E-2</v>
      </c>
      <c r="P28" s="143">
        <f t="shared" si="7"/>
        <v>0.10250000000000004</v>
      </c>
      <c r="Q28" s="2" t="s">
        <v>54</v>
      </c>
      <c r="R28" s="170">
        <f t="shared" si="1"/>
        <v>3.4595241245579046E-3</v>
      </c>
      <c r="S28" s="170">
        <f t="shared" si="2"/>
        <v>2.4942328134269077E-3</v>
      </c>
      <c r="T28" s="2">
        <f t="shared" si="8"/>
        <v>1.3760710618064921E-2</v>
      </c>
      <c r="U28" s="170">
        <f t="shared" si="3"/>
        <v>1.3701346788666756E-3</v>
      </c>
    </row>
    <row r="29" spans="4:21" ht="13.5" customHeight="1" outlineLevel="1" x14ac:dyDescent="0.25">
      <c r="D29" s="79" t="str">
        <f>HarvestedAreas_TCD_Uganda!D25</f>
        <v>Cocoa beans</v>
      </c>
      <c r="E29" s="127">
        <f t="shared" ref="E29:M29" si="23">(E94*E126)/1000000</f>
        <v>8.2261866944718057E-2</v>
      </c>
      <c r="F29" s="127">
        <f t="shared" si="23"/>
        <v>0.1608557693498231</v>
      </c>
      <c r="G29" s="127">
        <f t="shared" si="23"/>
        <v>0.15199789414844342</v>
      </c>
      <c r="H29" s="127">
        <f t="shared" si="23"/>
        <v>7.2572956233781766E-2</v>
      </c>
      <c r="I29" s="127">
        <f t="shared" si="23"/>
        <v>0.15783794023331138</v>
      </c>
      <c r="J29" s="101">
        <f t="shared" si="23"/>
        <v>0.21247866231340404</v>
      </c>
      <c r="K29" s="101">
        <f t="shared" si="23"/>
        <v>0.28603504247304762</v>
      </c>
      <c r="L29" s="101">
        <f t="shared" si="23"/>
        <v>0.38505534923728141</v>
      </c>
      <c r="M29" s="283">
        <f t="shared" si="23"/>
        <v>0.51835474665736336</v>
      </c>
      <c r="N29" s="2">
        <f t="shared" si="5"/>
        <v>0</v>
      </c>
      <c r="O29" s="143">
        <f t="shared" si="6"/>
        <v>0.17693698528414536</v>
      </c>
      <c r="P29" s="143">
        <f t="shared" si="7"/>
        <v>0.34618243243243252</v>
      </c>
      <c r="Q29" s="2" t="s">
        <v>234</v>
      </c>
      <c r="R29" s="170">
        <f t="shared" si="1"/>
        <v>1.8167362847307002E-2</v>
      </c>
      <c r="S29" s="170">
        <f t="shared" si="2"/>
        <v>2.3844514106227638E-2</v>
      </c>
      <c r="T29" s="2">
        <f t="shared" si="8"/>
        <v>0.3058760843439593</v>
      </c>
      <c r="U29" s="170">
        <f t="shared" si="3"/>
        <v>3.0455653216442755E-2</v>
      </c>
    </row>
    <row r="30" spans="4:21" ht="13.5" customHeight="1" outlineLevel="1" x14ac:dyDescent="0.25">
      <c r="D30" s="79" t="str">
        <f>HarvestedAreas_TCD_Uganda!D26</f>
        <v>Other oil seeds, n.e.c.</v>
      </c>
      <c r="E30" s="127">
        <f t="shared" ref="E30:M30" si="24">(E95*E127)/1000000</f>
        <v>1.9722489368029852E-2</v>
      </c>
      <c r="F30" s="127">
        <f t="shared" si="24"/>
        <v>3.840313779930804E-2</v>
      </c>
      <c r="G30" s="127">
        <f t="shared" si="24"/>
        <v>3.6864197341848891E-2</v>
      </c>
      <c r="H30" s="127">
        <f t="shared" si="24"/>
        <v>1.7975019086694841E-2</v>
      </c>
      <c r="I30" s="127">
        <f t="shared" si="24"/>
        <v>3.4730922276850811E-2</v>
      </c>
      <c r="J30" s="101">
        <f t="shared" si="24"/>
        <v>3.8075833055165424E-2</v>
      </c>
      <c r="K30" s="101">
        <f t="shared" si="24"/>
        <v>4.1742889845777044E-2</v>
      </c>
      <c r="L30" s="101">
        <f t="shared" si="24"/>
        <v>4.576311830530759E-2</v>
      </c>
      <c r="M30" s="283">
        <f t="shared" si="24"/>
        <v>5.0170532149619404E-2</v>
      </c>
      <c r="N30" s="2">
        <f t="shared" si="5"/>
        <v>0</v>
      </c>
      <c r="O30" s="143">
        <f t="shared" si="6"/>
        <v>0.15196330823944804</v>
      </c>
      <c r="P30" s="143">
        <f t="shared" si="7"/>
        <v>9.6309299005977955E-2</v>
      </c>
      <c r="Q30" s="2" t="s">
        <v>152</v>
      </c>
      <c r="R30" s="170">
        <f t="shared" si="1"/>
        <v>3.2555620752467364E-3</v>
      </c>
      <c r="S30" s="170">
        <f t="shared" si="2"/>
        <v>2.307863426105184E-3</v>
      </c>
      <c r="T30" s="2">
        <f t="shared" si="8"/>
        <v>1.209469909445398E-2</v>
      </c>
      <c r="U30" s="170">
        <f t="shared" si="3"/>
        <v>1.204252245375617E-3</v>
      </c>
    </row>
    <row r="31" spans="4:21" ht="13.5" customHeight="1" outlineLevel="1" x14ac:dyDescent="0.25">
      <c r="D31" s="79" t="str">
        <f>HarvestedAreas_TCD_Uganda!D27</f>
        <v>Soya beans</v>
      </c>
      <c r="E31" s="127">
        <f t="shared" ref="E31:M31" si="25">(E96*E128)/1000000</f>
        <v>3.4769579906129146E-2</v>
      </c>
      <c r="F31" s="127">
        <f t="shared" si="25"/>
        <v>6.8941120528913255E-2</v>
      </c>
      <c r="G31" s="127">
        <f t="shared" si="25"/>
        <v>6.998158084524346E-2</v>
      </c>
      <c r="H31" s="127">
        <f t="shared" si="25"/>
        <v>3.5414730894863473E-2</v>
      </c>
      <c r="I31" s="127">
        <f t="shared" si="25"/>
        <v>6.6018328537201201E-2</v>
      </c>
      <c r="J31" s="101">
        <f t="shared" si="25"/>
        <v>7.3752245286296467E-2</v>
      </c>
      <c r="K31" s="101">
        <f t="shared" si="25"/>
        <v>8.2392175101872675E-2</v>
      </c>
      <c r="L31" s="101">
        <f t="shared" si="25"/>
        <v>9.2044255624567126E-2</v>
      </c>
      <c r="M31" s="283">
        <f t="shared" si="25"/>
        <v>0.10282705830991098</v>
      </c>
      <c r="N31" s="2">
        <f t="shared" si="5"/>
        <v>0</v>
      </c>
      <c r="O31" s="143">
        <f t="shared" si="6"/>
        <v>0.17385990880220858</v>
      </c>
      <c r="P31" s="143">
        <f t="shared" si="7"/>
        <v>0.11714802419963144</v>
      </c>
      <c r="Q31" s="2" t="s">
        <v>250</v>
      </c>
      <c r="R31" s="170">
        <f t="shared" si="1"/>
        <v>6.3059687327258265E-3</v>
      </c>
      <c r="S31" s="170">
        <f t="shared" si="2"/>
        <v>4.730083515552843E-3</v>
      </c>
      <c r="T31" s="2">
        <f t="shared" si="8"/>
        <v>2.9074813023614518E-2</v>
      </c>
      <c r="U31" s="170">
        <f t="shared" si="3"/>
        <v>2.8949384018672614E-3</v>
      </c>
    </row>
    <row r="32" spans="4:21" ht="13.5" customHeight="1" outlineLevel="1" x14ac:dyDescent="0.25">
      <c r="D32" s="79" t="str">
        <f>HarvestedAreas_TCD_Uganda!D28</f>
        <v>Pigeon peas, dry</v>
      </c>
      <c r="E32" s="168">
        <f t="shared" ref="E32:M32" si="26">(E97*E129)/1000000</f>
        <v>1.4591756996988179E-2</v>
      </c>
      <c r="F32" s="168">
        <f t="shared" si="26"/>
        <v>3.0938427961613581E-2</v>
      </c>
      <c r="G32" s="168">
        <f t="shared" si="26"/>
        <v>3.5207733323241987E-2</v>
      </c>
      <c r="H32" s="168">
        <f t="shared" si="26"/>
        <v>1.4720269106953444E-2</v>
      </c>
      <c r="I32" s="168">
        <f t="shared" si="26"/>
        <v>2.9308176770805106E-2</v>
      </c>
      <c r="J32" s="169">
        <f t="shared" si="26"/>
        <v>3.3205005553983813E-2</v>
      </c>
      <c r="K32" s="169">
        <f t="shared" si="26"/>
        <v>3.7619958500400709E-2</v>
      </c>
      <c r="L32" s="169">
        <f t="shared" si="26"/>
        <v>4.2621925639222603E-2</v>
      </c>
      <c r="M32" s="284">
        <f t="shared" si="26"/>
        <v>4.828895664986102E-2</v>
      </c>
      <c r="N32" s="2">
        <f t="shared" si="5"/>
        <v>0</v>
      </c>
      <c r="O32" s="166">
        <f t="shared" si="6"/>
        <v>0.19047506522686919</v>
      </c>
      <c r="P32" s="143">
        <f t="shared" si="7"/>
        <v>0.13296046402519579</v>
      </c>
      <c r="Q32" s="2" t="s">
        <v>244</v>
      </c>
      <c r="R32" s="170">
        <f t="shared" si="1"/>
        <v>2.8390963011442716E-3</v>
      </c>
      <c r="S32" s="170">
        <f t="shared" si="2"/>
        <v>2.2213102425272637E-3</v>
      </c>
      <c r="T32" s="2">
        <f t="shared" si="8"/>
        <v>1.5083951095877207E-2</v>
      </c>
      <c r="U32" s="170">
        <f t="shared" si="3"/>
        <v>1.5018878795153843E-3</v>
      </c>
    </row>
    <row r="33" spans="4:22" ht="13.5" customHeight="1" outlineLevel="1" x14ac:dyDescent="0.25">
      <c r="D33" s="79" t="str">
        <f>HarvestedAreas_TCD_Uganda!D29</f>
        <v>Potatoes</v>
      </c>
      <c r="E33" s="168">
        <f t="shared" ref="E33:M33" si="27">(E98*E130)/1000000</f>
        <v>1.4536643513945484E-2</v>
      </c>
      <c r="F33" s="168">
        <f t="shared" si="27"/>
        <v>3.4782262139188419E-2</v>
      </c>
      <c r="G33" s="168">
        <f t="shared" si="27"/>
        <v>3.1008838472527372E-2</v>
      </c>
      <c r="H33" s="168">
        <f t="shared" si="27"/>
        <v>1.3939782922232028E-2</v>
      </c>
      <c r="I33" s="168">
        <f t="shared" si="27"/>
        <v>2.665291959703887E-2</v>
      </c>
      <c r="J33" s="169">
        <f t="shared" si="27"/>
        <v>2.9516129212614282E-2</v>
      </c>
      <c r="K33" s="169">
        <f t="shared" si="27"/>
        <v>3.2686921240423224E-2</v>
      </c>
      <c r="L33" s="169">
        <f t="shared" si="27"/>
        <v>3.619833794876514E-2</v>
      </c>
      <c r="M33" s="284">
        <f t="shared" si="27"/>
        <v>4.0086971196068646E-2</v>
      </c>
      <c r="N33" s="2">
        <f t="shared" si="5"/>
        <v>0</v>
      </c>
      <c r="O33" s="166">
        <f t="shared" si="6"/>
        <v>0.16364407420412763</v>
      </c>
      <c r="P33" s="143">
        <f t="shared" ref="P33:P36" si="28">IFERROR(_xlfn.RRI($M$12-$I$12,I33,M33),0)</f>
        <v>0.10742574017645379</v>
      </c>
      <c r="Q33" s="2" t="s">
        <v>123</v>
      </c>
      <c r="R33" s="170">
        <f t="shared" si="1"/>
        <v>2.5236897833186985E-3</v>
      </c>
      <c r="S33" s="170">
        <f t="shared" si="2"/>
        <v>1.8440158141204933E-3</v>
      </c>
      <c r="T33" s="2">
        <f t="shared" si="8"/>
        <v>1.0570841983454364E-2</v>
      </c>
      <c r="U33" s="170">
        <f t="shared" si="3"/>
        <v>1.0525239276042079E-3</v>
      </c>
    </row>
    <row r="34" spans="4:22" ht="13.5" customHeight="1" outlineLevel="1" x14ac:dyDescent="0.25">
      <c r="D34" s="79" t="str">
        <f>HarvestedAreas_TCD_Uganda!D30</f>
        <v>Tea leaves</v>
      </c>
      <c r="E34" s="168">
        <f t="shared" ref="E34:M34" si="29">(E99*E131)/1000000</f>
        <v>3.6053835027768301E-2</v>
      </c>
      <c r="F34" s="168">
        <f t="shared" si="29"/>
        <v>0.10249931107062554</v>
      </c>
      <c r="G34" s="168">
        <f t="shared" si="29"/>
        <v>7.99721513267104E-2</v>
      </c>
      <c r="H34" s="168">
        <f t="shared" si="29"/>
        <v>4.86666507747145E-2</v>
      </c>
      <c r="I34" s="168">
        <f t="shared" si="29"/>
        <v>9.1609673411361892E-2</v>
      </c>
      <c r="J34" s="169">
        <f t="shared" si="29"/>
        <v>9.3395637698486758E-2</v>
      </c>
      <c r="K34" s="169">
        <f t="shared" si="29"/>
        <v>9.5216420016460412E-2</v>
      </c>
      <c r="L34" s="169">
        <f t="shared" si="29"/>
        <v>9.7072699155604111E-2</v>
      </c>
      <c r="M34" s="284">
        <f t="shared" si="29"/>
        <v>9.8965167139506177E-2</v>
      </c>
      <c r="N34" s="2">
        <f t="shared" si="5"/>
        <v>0</v>
      </c>
      <c r="O34" s="166">
        <f t="shared" si="6"/>
        <v>0.2625467460298625</v>
      </c>
      <c r="P34" s="143">
        <f t="shared" si="28"/>
        <v>1.9495367908421768E-2</v>
      </c>
      <c r="Q34" s="2" t="s">
        <v>252</v>
      </c>
      <c r="R34" s="170">
        <f t="shared" si="1"/>
        <v>7.9855192043770465E-3</v>
      </c>
      <c r="S34" s="170">
        <f t="shared" si="2"/>
        <v>4.552435063246295E-3</v>
      </c>
      <c r="T34" s="2">
        <f t="shared" si="8"/>
        <v>5.569529441019419E-3</v>
      </c>
      <c r="U34" s="170">
        <f t="shared" si="3"/>
        <v>5.5455024409071802E-4</v>
      </c>
    </row>
    <row r="35" spans="4:22" ht="13.5" customHeight="1" outlineLevel="1" x14ac:dyDescent="0.25">
      <c r="D35" s="79" t="str">
        <f>HarvestedAreas_TCD_Uganda!D31</f>
        <v>Cow peas, dry</v>
      </c>
      <c r="E35" s="168">
        <f t="shared" ref="E35:M35" si="30">(E100*E132)/1000000</f>
        <v>9.8786294739679915E-3</v>
      </c>
      <c r="F35" s="168">
        <f t="shared" si="30"/>
        <v>2.021881713554341E-2</v>
      </c>
      <c r="G35" s="168">
        <f t="shared" si="30"/>
        <v>2.0382835236985607E-2</v>
      </c>
      <c r="H35" s="168">
        <f t="shared" si="30"/>
        <v>1.096051868570164E-2</v>
      </c>
      <c r="I35" s="168">
        <f t="shared" si="30"/>
        <v>2.1927987823631381E-2</v>
      </c>
      <c r="J35" s="169">
        <f t="shared" si="30"/>
        <v>2.5472334788361903E-2</v>
      </c>
      <c r="K35" s="169">
        <f t="shared" si="30"/>
        <v>2.9589574966433978E-2</v>
      </c>
      <c r="L35" s="169">
        <f t="shared" si="30"/>
        <v>3.4372308387460596E-2</v>
      </c>
      <c r="M35" s="284">
        <f t="shared" si="30"/>
        <v>3.992810255716487E-2</v>
      </c>
      <c r="N35" s="2">
        <f t="shared" si="5"/>
        <v>0</v>
      </c>
      <c r="O35" s="166">
        <f t="shared" si="6"/>
        <v>0.22060605854575677</v>
      </c>
      <c r="P35" s="143">
        <f t="shared" si="28"/>
        <v>0.16163575943392527</v>
      </c>
      <c r="Q35" s="2" t="s">
        <v>117</v>
      </c>
      <c r="R35" s="170">
        <f t="shared" si="1"/>
        <v>2.1779370390880822E-3</v>
      </c>
      <c r="S35" s="170">
        <f t="shared" si="2"/>
        <v>1.8367077967331609E-3</v>
      </c>
      <c r="T35" s="2">
        <f t="shared" si="8"/>
        <v>1.4455767768802967E-2</v>
      </c>
      <c r="U35" s="170">
        <f t="shared" si="3"/>
        <v>1.4393405456603759E-3</v>
      </c>
    </row>
    <row r="36" spans="4:22" ht="13.5" customHeight="1" outlineLevel="1" x14ac:dyDescent="0.25">
      <c r="D36" s="79" t="str">
        <f>HarvestedAreas_TCD_Uganda!D32</f>
        <v>Peas, dry</v>
      </c>
      <c r="E36" s="168">
        <f t="shared" ref="E36:M36" si="31">(E101*E133)/1000000</f>
        <v>9.5479485757118277E-3</v>
      </c>
      <c r="F36" s="168">
        <f t="shared" si="31"/>
        <v>1.7291753177767953E-2</v>
      </c>
      <c r="G36" s="168">
        <f t="shared" si="31"/>
        <v>1.7617862977790038E-2</v>
      </c>
      <c r="H36" s="168">
        <f t="shared" si="31"/>
        <v>9.3031773850737499E-3</v>
      </c>
      <c r="I36" s="168">
        <f t="shared" si="31"/>
        <v>1.8024984240512049E-2</v>
      </c>
      <c r="J36" s="169">
        <f t="shared" si="31"/>
        <v>2.010761451622815E-2</v>
      </c>
      <c r="K36" s="169">
        <f t="shared" si="31"/>
        <v>2.2430874620378776E-2</v>
      </c>
      <c r="L36" s="169">
        <f t="shared" si="31"/>
        <v>2.5022567238350561E-2</v>
      </c>
      <c r="M36" s="284">
        <f t="shared" si="31"/>
        <v>2.7913707414196305E-2</v>
      </c>
      <c r="N36" s="2">
        <f t="shared" si="5"/>
        <v>0</v>
      </c>
      <c r="O36" s="166">
        <f t="shared" si="6"/>
        <v>0.17217162900800909</v>
      </c>
      <c r="P36" s="143">
        <f t="shared" si="28"/>
        <v>0.11554130910335503</v>
      </c>
      <c r="Q36" s="2" t="s">
        <v>240</v>
      </c>
      <c r="R36" s="170">
        <f t="shared" si="1"/>
        <v>1.7192424167810163E-3</v>
      </c>
      <c r="S36" s="170">
        <f t="shared" si="2"/>
        <v>1.284041082843357E-3</v>
      </c>
      <c r="T36" s="2">
        <f t="shared" si="8"/>
        <v>7.8060928979681553E-3</v>
      </c>
      <c r="U36" s="170">
        <f t="shared" si="3"/>
        <v>7.7724173429824365E-4</v>
      </c>
    </row>
    <row r="37" spans="4:22" ht="13.5" customHeight="1" outlineLevel="1" thickBot="1" x14ac:dyDescent="0.3">
      <c r="D37" s="80" t="s">
        <v>13</v>
      </c>
      <c r="E37" s="102">
        <f t="shared" ref="E37:M37" si="32">SUM(E13:E36)</f>
        <v>5.4120286293784003</v>
      </c>
      <c r="F37" s="102">
        <f t="shared" si="32"/>
        <v>11.334878056478983</v>
      </c>
      <c r="G37" s="102">
        <f t="shared" si="32"/>
        <v>9.5963593378550414</v>
      </c>
      <c r="H37" s="102">
        <f t="shared" si="32"/>
        <v>6.1809762299153626</v>
      </c>
      <c r="I37" s="102">
        <f t="shared" si="32"/>
        <v>9.6663798978187234</v>
      </c>
      <c r="J37" s="103">
        <f t="shared" si="32"/>
        <v>11.695624956645831</v>
      </c>
      <c r="K37" s="103">
        <f t="shared" si="32"/>
        <v>14.268807342737855</v>
      </c>
      <c r="L37" s="103">
        <f t="shared" si="32"/>
        <v>17.546578587362351</v>
      </c>
      <c r="M37" s="103">
        <f t="shared" si="32"/>
        <v>21.738951959687071</v>
      </c>
      <c r="O37" s="144">
        <f t="shared" si="6"/>
        <v>0.15604820443024536</v>
      </c>
      <c r="P37" s="167">
        <f t="shared" si="7"/>
        <v>0.22459839492476341</v>
      </c>
    </row>
    <row r="38" spans="4:22" ht="13.5" customHeight="1" outlineLevel="1" thickTop="1" thickBot="1" x14ac:dyDescent="0.35">
      <c r="D38" s="129" t="s">
        <v>17</v>
      </c>
      <c r="E38" s="104">
        <f>E37/46%</f>
        <v>11.765279629083478</v>
      </c>
      <c r="F38" s="104">
        <f t="shared" ref="F38:M38" si="33">F37/46%</f>
        <v>24.64103925321518</v>
      </c>
      <c r="G38" s="104">
        <f t="shared" si="33"/>
        <v>20.861650734467482</v>
      </c>
      <c r="H38" s="104">
        <f t="shared" si="33"/>
        <v>13.436904847642092</v>
      </c>
      <c r="I38" s="104">
        <f>I37/46%</f>
        <v>21.013869343084181</v>
      </c>
      <c r="J38" s="105">
        <f t="shared" si="33"/>
        <v>25.42527164488224</v>
      </c>
      <c r="K38" s="105">
        <f t="shared" si="33"/>
        <v>31.019146397256204</v>
      </c>
      <c r="L38" s="105">
        <f t="shared" si="33"/>
        <v>38.144736059483371</v>
      </c>
      <c r="M38" s="105">
        <f t="shared" si="33"/>
        <v>47.258591216711025</v>
      </c>
      <c r="O38" s="144">
        <f t="shared" si="6"/>
        <v>0.15604820443024536</v>
      </c>
      <c r="P38" s="144">
        <f t="shared" si="7"/>
        <v>0.22459839492476341</v>
      </c>
      <c r="Q38" s="1"/>
    </row>
    <row r="39" spans="4:22" ht="13.5" customHeight="1" thickTop="1" x14ac:dyDescent="0.25">
      <c r="E39" s="37"/>
      <c r="F39" s="37"/>
      <c r="G39" s="37"/>
      <c r="H39" s="37"/>
      <c r="I39" s="37"/>
      <c r="J39" s="37"/>
      <c r="K39" s="37"/>
      <c r="L39" s="37"/>
      <c r="M39" s="170"/>
    </row>
    <row r="40" spans="4:22" ht="13.5" customHeight="1" x14ac:dyDescent="0.3">
      <c r="D40" s="32" t="s">
        <v>222</v>
      </c>
      <c r="F40" s="35"/>
      <c r="G40" s="7"/>
      <c r="H40" s="7"/>
      <c r="I40" s="7"/>
      <c r="J40" s="170"/>
    </row>
    <row r="41" spans="4:22" ht="13.5" customHeight="1" x14ac:dyDescent="0.3">
      <c r="D41" s="33" t="s">
        <v>19</v>
      </c>
      <c r="F41" s="62"/>
      <c r="G41" s="7"/>
      <c r="H41" s="7"/>
      <c r="I41" s="7"/>
    </row>
    <row r="42" spans="4:22" ht="13.5" customHeight="1" outlineLevel="1" x14ac:dyDescent="0.3">
      <c r="E42" s="130" t="s">
        <v>12</v>
      </c>
      <c r="F42" s="137">
        <f>_xlfn.RRI(M43-I43,I68,M68)</f>
        <v>0.4181416580184758</v>
      </c>
      <c r="G42" s="7"/>
      <c r="H42" s="7"/>
      <c r="I42" s="7"/>
      <c r="R42" s="1"/>
    </row>
    <row r="43" spans="4:22" ht="13.5" customHeight="1" outlineLevel="1" x14ac:dyDescent="0.3">
      <c r="D43" s="30"/>
      <c r="E43" s="34">
        <v>2017</v>
      </c>
      <c r="F43" s="34">
        <v>2018</v>
      </c>
      <c r="G43" s="34">
        <v>2019</v>
      </c>
      <c r="H43" s="34">
        <v>2020</v>
      </c>
      <c r="I43" s="34">
        <v>2021</v>
      </c>
      <c r="J43" s="34">
        <v>2022</v>
      </c>
      <c r="K43" s="34">
        <v>2023</v>
      </c>
      <c r="L43" s="34">
        <v>2024</v>
      </c>
      <c r="M43" s="34">
        <v>2025</v>
      </c>
      <c r="O43" s="30" t="s">
        <v>20</v>
      </c>
      <c r="P43" s="30" t="s">
        <v>12</v>
      </c>
      <c r="R43" s="1" t="s">
        <v>218</v>
      </c>
      <c r="S43" s="1" t="s">
        <v>219</v>
      </c>
      <c r="T43" s="2" t="s">
        <v>220</v>
      </c>
      <c r="U43" s="2" t="s">
        <v>221</v>
      </c>
      <c r="V43" s="2" t="s">
        <v>304</v>
      </c>
    </row>
    <row r="44" spans="4:22" ht="13.5" customHeight="1" outlineLevel="1" x14ac:dyDescent="0.25">
      <c r="D44" s="79" t="str">
        <f>D13</f>
        <v>Plantains and cooking bananas</v>
      </c>
      <c r="E44" s="131">
        <f t="shared" ref="E44:M44" si="34">(E78*E150)/1000000</f>
        <v>0.39193380137632589</v>
      </c>
      <c r="F44" s="131">
        <f t="shared" si="34"/>
        <v>0.559411721289229</v>
      </c>
      <c r="G44" s="131">
        <f t="shared" si="34"/>
        <v>1.4645843213505734</v>
      </c>
      <c r="H44" s="131">
        <f t="shared" si="34"/>
        <v>0.74433217131912044</v>
      </c>
      <c r="I44" s="131">
        <f t="shared" si="34"/>
        <v>1.3599775678663448</v>
      </c>
      <c r="J44" s="106">
        <f t="shared" si="34"/>
        <v>1.4279764462596622</v>
      </c>
      <c r="K44" s="106">
        <f t="shared" si="34"/>
        <v>1.4993752685726454</v>
      </c>
      <c r="L44" s="106">
        <f t="shared" si="34"/>
        <v>1.5743440320012774</v>
      </c>
      <c r="M44" s="283">
        <f t="shared" si="34"/>
        <v>1.6530612336013415</v>
      </c>
      <c r="O44" s="143">
        <f>IFERROR(_xlfn.RRI($H$12-$E$12,E44,H44),0)</f>
        <v>0.23837266426199499</v>
      </c>
      <c r="P44" s="143">
        <f>IFERROR(_xlfn.RRI($M$12-$I$12,I44,M44),0)</f>
        <v>5.0000000000000044E-2</v>
      </c>
      <c r="Q44" s="2" t="s">
        <v>246</v>
      </c>
      <c r="R44" s="170">
        <f t="shared" ref="R44:R67" si="35">J44/$J$68</f>
        <v>0.1220949245169015</v>
      </c>
      <c r="S44" s="170">
        <f t="shared" ref="S44:S67" si="36">M44/$M$68</f>
        <v>4.2281133666697002E-2</v>
      </c>
      <c r="T44" s="2">
        <f>M44-J44</f>
        <v>0.22508478734167925</v>
      </c>
      <c r="U44" s="170">
        <f t="shared" ref="U44:U67" si="37">(M44-J44)/($M$68-$J$68)</f>
        <v>8.2143911593319675E-3</v>
      </c>
      <c r="V44" s="2">
        <f>T44-T13</f>
        <v>0</v>
      </c>
    </row>
    <row r="45" spans="4:22" ht="13.5" customHeight="1" outlineLevel="1" x14ac:dyDescent="0.25">
      <c r="D45" s="79" t="str">
        <f t="shared" ref="D45:D67" si="38">D14</f>
        <v>Maize (corn)</v>
      </c>
      <c r="E45" s="131">
        <f t="shared" ref="E45:M45" si="39">(E79*E151)/1000000</f>
        <v>2.0018974014559192</v>
      </c>
      <c r="F45" s="131">
        <f t="shared" si="39"/>
        <v>4.6986710684054449</v>
      </c>
      <c r="G45" s="131">
        <f t="shared" si="39"/>
        <v>3.519258231098898</v>
      </c>
      <c r="H45" s="131">
        <f t="shared" si="39"/>
        <v>2.7793940516737972</v>
      </c>
      <c r="I45" s="131">
        <f t="shared" si="39"/>
        <v>3.2513861758750253</v>
      </c>
      <c r="J45" s="106">
        <f t="shared" si="39"/>
        <v>4.2918297521550333</v>
      </c>
      <c r="K45" s="106">
        <f t="shared" si="39"/>
        <v>5.6652152728446445</v>
      </c>
      <c r="L45" s="106">
        <f t="shared" si="39"/>
        <v>8.2746709051537817</v>
      </c>
      <c r="M45" s="283">
        <f t="shared" si="39"/>
        <v>10.600289672687254</v>
      </c>
      <c r="O45" s="143">
        <f t="shared" ref="O45:O69" si="40">IFERROR(_xlfn.RRI($I$77-$E$77,E45,I45),0)</f>
        <v>0.12890314973877559</v>
      </c>
      <c r="P45" s="143">
        <f t="shared" ref="P45:P69" si="41">IFERROR(_xlfn.RRI($M$12-$I$12,I45,M45),0)</f>
        <v>0.34373087041634265</v>
      </c>
      <c r="Q45" s="2" t="s">
        <v>122</v>
      </c>
      <c r="R45" s="170">
        <f t="shared" si="35"/>
        <v>0.36696027515111768</v>
      </c>
      <c r="S45" s="170">
        <f t="shared" si="36"/>
        <v>0.27112865237313122</v>
      </c>
      <c r="T45" s="329">
        <f t="shared" ref="T45:T67" si="42">M45-J45</f>
        <v>6.3084599205322203</v>
      </c>
      <c r="U45" s="170">
        <f t="shared" si="37"/>
        <v>0.23022505435499199</v>
      </c>
      <c r="V45" s="2">
        <f t="shared" ref="V45:V67" si="43">T45-T14</f>
        <v>0.72921858128274408</v>
      </c>
    </row>
    <row r="46" spans="4:22" ht="13.5" customHeight="1" outlineLevel="1" x14ac:dyDescent="0.25">
      <c r="D46" s="79" t="str">
        <f t="shared" si="38"/>
        <v>Cassava, fresh</v>
      </c>
      <c r="E46" s="131">
        <f t="shared" ref="E46:M46" si="44">(E80*E152)/1000000</f>
        <v>0.90150418824952483</v>
      </c>
      <c r="F46" s="131">
        <f t="shared" si="44"/>
        <v>2.110848029348376</v>
      </c>
      <c r="G46" s="131">
        <f t="shared" si="44"/>
        <v>1.2203500038322908</v>
      </c>
      <c r="H46" s="131">
        <f t="shared" si="44"/>
        <v>0.72451115938453081</v>
      </c>
      <c r="I46" s="131">
        <f t="shared" si="44"/>
        <v>1.1596739979847641</v>
      </c>
      <c r="J46" s="106">
        <f t="shared" si="44"/>
        <v>1.2785405827782028</v>
      </c>
      <c r="K46" s="106">
        <f t="shared" si="44"/>
        <v>1.4095909925129688</v>
      </c>
      <c r="L46" s="106">
        <f t="shared" si="44"/>
        <v>2.6624259415816569</v>
      </c>
      <c r="M46" s="283">
        <f t="shared" si="44"/>
        <v>3.6231960182708671</v>
      </c>
      <c r="O46" s="143">
        <f t="shared" si="40"/>
        <v>6.4981448723344881E-2</v>
      </c>
      <c r="P46" s="143">
        <f t="shared" si="41"/>
        <v>0.32950194708795366</v>
      </c>
      <c r="Q46" s="2" t="s">
        <v>135</v>
      </c>
      <c r="R46" s="170">
        <f t="shared" si="35"/>
        <v>0.10931785069353603</v>
      </c>
      <c r="S46" s="170">
        <f t="shared" si="36"/>
        <v>9.267220840658795E-2</v>
      </c>
      <c r="T46" s="329">
        <f t="shared" si="42"/>
        <v>2.3446554354926645</v>
      </c>
      <c r="U46" s="170">
        <f t="shared" si="37"/>
        <v>8.5567385999099035E-2</v>
      </c>
      <c r="V46" s="2">
        <f t="shared" si="43"/>
        <v>1.9098293569276508</v>
      </c>
    </row>
    <row r="47" spans="4:22" ht="13.5" customHeight="1" outlineLevel="1" x14ac:dyDescent="0.25">
      <c r="D47" s="79" t="str">
        <f t="shared" si="38"/>
        <v>Coffee, green</v>
      </c>
      <c r="E47" s="131">
        <f t="shared" ref="E47:M47" si="45">(E81*E153)/1000000</f>
        <v>0.58422992216035663</v>
      </c>
      <c r="F47" s="131">
        <f t="shared" si="45"/>
        <v>1.1094577180129876</v>
      </c>
      <c r="G47" s="131">
        <f t="shared" si="45"/>
        <v>1.1894986239166652</v>
      </c>
      <c r="H47" s="131">
        <f t="shared" si="45"/>
        <v>0.67178407350221681</v>
      </c>
      <c r="I47" s="131">
        <f t="shared" si="45"/>
        <v>1.3716357445027292</v>
      </c>
      <c r="J47" s="106">
        <f t="shared" si="45"/>
        <v>1.7334655421356007</v>
      </c>
      <c r="K47" s="106">
        <f t="shared" si="45"/>
        <v>2.190744006063261</v>
      </c>
      <c r="L47" s="106">
        <f t="shared" si="45"/>
        <v>8.980767696557324</v>
      </c>
      <c r="M47" s="283">
        <f t="shared" si="45"/>
        <v>14.14376246119194</v>
      </c>
      <c r="O47" s="143">
        <f t="shared" si="40"/>
        <v>0.23783782518426078</v>
      </c>
      <c r="P47" s="143">
        <f t="shared" si="41"/>
        <v>0.79197332247851193</v>
      </c>
      <c r="Q47" s="2" t="s">
        <v>236</v>
      </c>
      <c r="R47" s="170">
        <f t="shared" si="35"/>
        <v>0.14821487082232315</v>
      </c>
      <c r="S47" s="170">
        <f t="shared" si="36"/>
        <v>0.36176174180120374</v>
      </c>
      <c r="T47" s="329">
        <f t="shared" si="42"/>
        <v>12.410296919056339</v>
      </c>
      <c r="U47" s="170">
        <f t="shared" si="37"/>
        <v>0.45290947691560951</v>
      </c>
      <c r="V47" s="2">
        <f t="shared" si="43"/>
        <v>10.644758210728886</v>
      </c>
    </row>
    <row r="48" spans="4:22" ht="13.5" customHeight="1" outlineLevel="1" x14ac:dyDescent="0.25">
      <c r="D48" s="79" t="str">
        <f t="shared" si="38"/>
        <v>Beans, dry</v>
      </c>
      <c r="E48" s="131">
        <f t="shared" ref="E48:M48" si="46">(E82*E154)/1000000</f>
        <v>0.21756324847964439</v>
      </c>
      <c r="F48" s="131">
        <f t="shared" si="46"/>
        <v>0.40347790789546478</v>
      </c>
      <c r="G48" s="131">
        <f t="shared" si="46"/>
        <v>0.17303505716633205</v>
      </c>
      <c r="H48" s="131">
        <f t="shared" si="46"/>
        <v>0.14787625200905408</v>
      </c>
      <c r="I48" s="131">
        <f t="shared" si="46"/>
        <v>0.30497166867760095</v>
      </c>
      <c r="J48" s="106">
        <f t="shared" si="46"/>
        <v>0.35686119445163828</v>
      </c>
      <c r="K48" s="106">
        <f t="shared" si="46"/>
        <v>0.41757948421129315</v>
      </c>
      <c r="L48" s="106">
        <f t="shared" si="46"/>
        <v>0.64146359862990754</v>
      </c>
      <c r="M48" s="283">
        <f t="shared" si="46"/>
        <v>0.82225838868124201</v>
      </c>
      <c r="O48" s="143">
        <f t="shared" si="40"/>
        <v>8.8099198328769779E-2</v>
      </c>
      <c r="P48" s="143">
        <f t="shared" si="41"/>
        <v>0.28140733075666891</v>
      </c>
      <c r="Q48" s="2" t="s">
        <v>133</v>
      </c>
      <c r="R48" s="170">
        <f t="shared" si="35"/>
        <v>3.0512366442535268E-2</v>
      </c>
      <c r="S48" s="170">
        <f t="shared" si="36"/>
        <v>2.1031294022093555E-2</v>
      </c>
      <c r="T48" s="2">
        <f t="shared" si="42"/>
        <v>0.46539719422960374</v>
      </c>
      <c r="U48" s="170">
        <f t="shared" si="37"/>
        <v>1.6984509006618496E-2</v>
      </c>
      <c r="V48" s="2">
        <f t="shared" si="43"/>
        <v>0.25049175084805142</v>
      </c>
    </row>
    <row r="49" spans="4:22" ht="13.5" customHeight="1" outlineLevel="1" x14ac:dyDescent="0.25">
      <c r="D49" s="79" t="str">
        <f t="shared" si="38"/>
        <v>Groundnuts, excluding shelled</v>
      </c>
      <c r="E49" s="131">
        <f t="shared" ref="E49:M49" si="47">(E83*E155)/1000000</f>
        <v>0.1568329987255187</v>
      </c>
      <c r="F49" s="131">
        <f t="shared" si="47"/>
        <v>0.20975702629009776</v>
      </c>
      <c r="G49" s="131">
        <f t="shared" si="47"/>
        <v>0.22394105870477904</v>
      </c>
      <c r="H49" s="131">
        <f t="shared" si="47"/>
        <v>0.11237366533947064</v>
      </c>
      <c r="I49" s="131">
        <f t="shared" si="47"/>
        <v>0.21786048417276399</v>
      </c>
      <c r="J49" s="106">
        <f t="shared" si="47"/>
        <v>0.2396465325900404</v>
      </c>
      <c r="K49" s="106">
        <f t="shared" si="47"/>
        <v>0.26361118584904447</v>
      </c>
      <c r="L49" s="106">
        <f t="shared" si="47"/>
        <v>0.38067079056602959</v>
      </c>
      <c r="M49" s="283">
        <f t="shared" si="47"/>
        <v>0.45871052704401971</v>
      </c>
      <c r="O49" s="143">
        <f t="shared" si="40"/>
        <v>8.5638545474288508E-2</v>
      </c>
      <c r="P49" s="143">
        <f t="shared" si="41"/>
        <v>0.2045922386399599</v>
      </c>
      <c r="Q49" s="2" t="s">
        <v>141</v>
      </c>
      <c r="R49" s="170">
        <f t="shared" si="35"/>
        <v>2.0490271659563221E-2</v>
      </c>
      <c r="S49" s="170">
        <f t="shared" si="36"/>
        <v>1.1732657395888428E-2</v>
      </c>
      <c r="T49" s="2">
        <f t="shared" si="42"/>
        <v>0.21906399445397931</v>
      </c>
      <c r="U49" s="170">
        <f t="shared" si="37"/>
        <v>7.9946644134554681E-3</v>
      </c>
      <c r="V49" s="2">
        <f t="shared" si="43"/>
        <v>0.13974099216667585</v>
      </c>
    </row>
    <row r="50" spans="4:22" ht="13.5" customHeight="1" outlineLevel="1" x14ac:dyDescent="0.25">
      <c r="D50" s="79" t="str">
        <f t="shared" si="38"/>
        <v>Sweet potatoes</v>
      </c>
      <c r="E50" s="131">
        <f t="shared" ref="E50:M50" si="48">(E84*E156)/1000000</f>
        <v>0.33182607505817907</v>
      </c>
      <c r="F50" s="131">
        <f t="shared" si="48"/>
        <v>0.51144043605991885</v>
      </c>
      <c r="G50" s="131">
        <f t="shared" si="48"/>
        <v>0.35367291327569134</v>
      </c>
      <c r="H50" s="131">
        <f t="shared" si="48"/>
        <v>0.18743791168120258</v>
      </c>
      <c r="I50" s="131">
        <f t="shared" si="48"/>
        <v>0.3949374857083866</v>
      </c>
      <c r="J50" s="106">
        <f t="shared" si="48"/>
        <v>0.45615279599318653</v>
      </c>
      <c r="K50" s="106">
        <f t="shared" si="48"/>
        <v>0.52685647937213054</v>
      </c>
      <c r="L50" s="106">
        <f t="shared" si="48"/>
        <v>0.93947852179361646</v>
      </c>
      <c r="M50" s="283">
        <f t="shared" si="48"/>
        <v>1.2568479008003128</v>
      </c>
      <c r="O50" s="143">
        <f t="shared" si="40"/>
        <v>4.4490421703928806E-2</v>
      </c>
      <c r="P50" s="143">
        <f t="shared" si="41"/>
        <v>0.33563746237674863</v>
      </c>
      <c r="Q50" s="2" t="s">
        <v>124</v>
      </c>
      <c r="R50" s="170">
        <f t="shared" si="35"/>
        <v>3.9002002687679019E-2</v>
      </c>
      <c r="S50" s="170">
        <f t="shared" si="36"/>
        <v>3.2146996742929632E-2</v>
      </c>
      <c r="T50" s="329">
        <f t="shared" si="42"/>
        <v>0.80069510480712625</v>
      </c>
      <c r="U50" s="170">
        <f t="shared" si="37"/>
        <v>2.922108982986843E-2</v>
      </c>
      <c r="V50" s="2">
        <f t="shared" si="43"/>
        <v>0.55400818590590606</v>
      </c>
    </row>
    <row r="51" spans="4:22" ht="13.5" customHeight="1" outlineLevel="1" x14ac:dyDescent="0.25">
      <c r="D51" s="79" t="str">
        <f t="shared" si="38"/>
        <v>Sunflower seed</v>
      </c>
      <c r="E51" s="131">
        <f t="shared" ref="E51:M51" si="49">(E85*E157)/1000000</f>
        <v>9.46916218720113E-2</v>
      </c>
      <c r="F51" s="131">
        <f t="shared" si="49"/>
        <v>0.19948919982834476</v>
      </c>
      <c r="G51" s="131">
        <f t="shared" si="49"/>
        <v>0.18545118923989515</v>
      </c>
      <c r="H51" s="131">
        <f t="shared" si="49"/>
        <v>9.3644721116225529E-2</v>
      </c>
      <c r="I51" s="131">
        <f t="shared" si="49"/>
        <v>0.1848513199041634</v>
      </c>
      <c r="J51" s="106">
        <f t="shared" si="49"/>
        <v>0.20379858019434013</v>
      </c>
      <c r="K51" s="106">
        <f t="shared" si="49"/>
        <v>0.22468793466426004</v>
      </c>
      <c r="L51" s="106">
        <f t="shared" si="49"/>
        <v>0.55120687145248204</v>
      </c>
      <c r="M51" s="283">
        <f t="shared" si="49"/>
        <v>0.79946639306361245</v>
      </c>
      <c r="O51" s="143">
        <f t="shared" si="40"/>
        <v>0.18202796164895418</v>
      </c>
      <c r="P51" s="143">
        <f t="shared" si="41"/>
        <v>0.44209680299073773</v>
      </c>
      <c r="Q51" s="2" t="s">
        <v>172</v>
      </c>
      <c r="R51" s="170">
        <f t="shared" si="35"/>
        <v>1.7425197965033515E-2</v>
      </c>
      <c r="S51" s="170">
        <f t="shared" si="36"/>
        <v>2.0448332306186444E-2</v>
      </c>
      <c r="T51" s="2">
        <f t="shared" si="42"/>
        <v>0.59566781286927228</v>
      </c>
      <c r="U51" s="170">
        <f t="shared" si="37"/>
        <v>2.173869000086754E-2</v>
      </c>
      <c r="V51" s="2">
        <f t="shared" si="43"/>
        <v>0.52635680417961273</v>
      </c>
    </row>
    <row r="52" spans="4:22" ht="13.5" customHeight="1" outlineLevel="1" x14ac:dyDescent="0.25">
      <c r="D52" s="79" t="str">
        <f t="shared" si="38"/>
        <v>Sesame seed</v>
      </c>
      <c r="E52" s="131">
        <f t="shared" ref="E52:M52" si="50">(E86*E158)/1000000</f>
        <v>7.6936942771009181E-2</v>
      </c>
      <c r="F52" s="131">
        <f t="shared" si="50"/>
        <v>0.15621764545381406</v>
      </c>
      <c r="G52" s="131">
        <f t="shared" si="50"/>
        <v>0.1483609513919161</v>
      </c>
      <c r="H52" s="131">
        <f t="shared" si="50"/>
        <v>7.3213145599958132E-2</v>
      </c>
      <c r="I52" s="131">
        <f t="shared" si="50"/>
        <v>0.14193940635498262</v>
      </c>
      <c r="J52" s="106">
        <f t="shared" si="50"/>
        <v>0.16394001434000491</v>
      </c>
      <c r="K52" s="106">
        <f t="shared" si="50"/>
        <v>0.18935071656270569</v>
      </c>
      <c r="L52" s="106">
        <f t="shared" si="50"/>
        <v>0.28710580346889397</v>
      </c>
      <c r="M52" s="283">
        <f t="shared" si="50"/>
        <v>0.36326237939697581</v>
      </c>
      <c r="O52" s="143">
        <f t="shared" si="40"/>
        <v>0.16544562237420157</v>
      </c>
      <c r="P52" s="143">
        <f t="shared" si="41"/>
        <v>0.26482185057195795</v>
      </c>
      <c r="Q52" s="2" t="s">
        <v>118</v>
      </c>
      <c r="R52" s="170">
        <f t="shared" si="35"/>
        <v>1.4017208567110294E-2</v>
      </c>
      <c r="S52" s="170">
        <f t="shared" si="36"/>
        <v>9.2913347111193614E-3</v>
      </c>
      <c r="T52" s="2">
        <f t="shared" si="42"/>
        <v>0.1993223650569709</v>
      </c>
      <c r="U52" s="170">
        <f t="shared" si="37"/>
        <v>7.2742005033671047E-3</v>
      </c>
      <c r="V52" s="2">
        <f t="shared" si="43"/>
        <v>0.11066378973441232</v>
      </c>
    </row>
    <row r="53" spans="4:22" ht="13.5" customHeight="1" outlineLevel="1" x14ac:dyDescent="0.25">
      <c r="D53" s="79" t="str">
        <f t="shared" si="38"/>
        <v>Sorghum</v>
      </c>
      <c r="E53" s="131">
        <f t="shared" ref="E53:M53" si="51">(E87*E159)/1000000</f>
        <v>7.1656405295052794E-2</v>
      </c>
      <c r="F53" s="131">
        <f t="shared" si="51"/>
        <v>0.20730961651132135</v>
      </c>
      <c r="G53" s="131">
        <f t="shared" si="51"/>
        <v>7.3627621207280641E-2</v>
      </c>
      <c r="H53" s="131">
        <f t="shared" si="51"/>
        <v>6.1435363893605807E-2</v>
      </c>
      <c r="I53" s="131">
        <f t="shared" si="51"/>
        <v>0.15108624577381183</v>
      </c>
      <c r="J53" s="106">
        <f t="shared" si="51"/>
        <v>0.16657258596562757</v>
      </c>
      <c r="K53" s="106">
        <f t="shared" si="51"/>
        <v>0.1836462760271044</v>
      </c>
      <c r="L53" s="106">
        <f t="shared" si="51"/>
        <v>0.24909475578459811</v>
      </c>
      <c r="M53" s="283">
        <f t="shared" si="51"/>
        <v>0.300935809743125</v>
      </c>
      <c r="O53" s="143">
        <f t="shared" si="40"/>
        <v>0.20501506945633219</v>
      </c>
      <c r="P53" s="143">
        <f t="shared" si="41"/>
        <v>0.18798849538930007</v>
      </c>
      <c r="Q53" s="2" t="s">
        <v>58</v>
      </c>
      <c r="R53" s="170">
        <f t="shared" si="35"/>
        <v>1.4242298858170521E-2</v>
      </c>
      <c r="S53" s="170">
        <f t="shared" si="36"/>
        <v>7.6971783852946563E-3</v>
      </c>
      <c r="T53" s="2">
        <f t="shared" si="42"/>
        <v>0.13436322377749743</v>
      </c>
      <c r="U53" s="170">
        <f t="shared" si="37"/>
        <v>4.9035391977058857E-3</v>
      </c>
      <c r="V53" s="2">
        <f t="shared" si="43"/>
        <v>7.7712613442954381E-2</v>
      </c>
    </row>
    <row r="54" spans="4:22" ht="13.5" customHeight="1" outlineLevel="1" x14ac:dyDescent="0.25">
      <c r="D54" s="79" t="str">
        <f t="shared" si="38"/>
        <v>Other vegetables, fresh n.e.c.</v>
      </c>
      <c r="E54" s="131">
        <f t="shared" ref="E54:M54" si="52">(E88*E160)/1000000</f>
        <v>5.6163228444540823E-2</v>
      </c>
      <c r="F54" s="131">
        <f t="shared" si="52"/>
        <v>0.11235129056067758</v>
      </c>
      <c r="G54" s="131">
        <f t="shared" si="52"/>
        <v>0.10602489424377765</v>
      </c>
      <c r="H54" s="131">
        <f t="shared" si="52"/>
        <v>5.1820264455650369E-2</v>
      </c>
      <c r="I54" s="131">
        <f t="shared" si="52"/>
        <v>0.10053931252930372</v>
      </c>
      <c r="J54" s="106">
        <f t="shared" si="52"/>
        <v>0.11084459206355737</v>
      </c>
      <c r="K54" s="106">
        <f t="shared" si="52"/>
        <v>0.12220616275007201</v>
      </c>
      <c r="L54" s="106">
        <f t="shared" si="52"/>
        <v>0.3381966719852067</v>
      </c>
      <c r="M54" s="283">
        <f t="shared" si="52"/>
        <v>0.50202264635280891</v>
      </c>
      <c r="O54" s="143">
        <f t="shared" si="40"/>
        <v>0.15670060222672411</v>
      </c>
      <c r="P54" s="143">
        <f t="shared" si="41"/>
        <v>0.49484736197702772</v>
      </c>
      <c r="Q54" s="2" t="s">
        <v>121</v>
      </c>
      <c r="R54" s="170">
        <f t="shared" si="35"/>
        <v>9.4774407074819794E-3</v>
      </c>
      <c r="S54" s="170">
        <f t="shared" si="36"/>
        <v>1.2840472078526182E-2</v>
      </c>
      <c r="T54" s="2">
        <f t="shared" si="42"/>
        <v>0.39117805428925156</v>
      </c>
      <c r="U54" s="170">
        <f t="shared" si="37"/>
        <v>1.4275907265116622E-2</v>
      </c>
      <c r="V54" s="2">
        <f t="shared" si="43"/>
        <v>0.35348029174157924</v>
      </c>
    </row>
    <row r="55" spans="4:22" ht="13.5" customHeight="1" outlineLevel="1" x14ac:dyDescent="0.25">
      <c r="D55" s="79" t="str">
        <f t="shared" si="38"/>
        <v>Seed cotton, unginned</v>
      </c>
      <c r="E55" s="131">
        <f t="shared" ref="E55:M55" si="53">(E89*E161)/1000000</f>
        <v>3.5509358202004238E-2</v>
      </c>
      <c r="F55" s="131">
        <f t="shared" si="53"/>
        <v>5.8673294067160209E-2</v>
      </c>
      <c r="G55" s="131">
        <f t="shared" si="53"/>
        <v>6.298342276071911E-2</v>
      </c>
      <c r="H55" s="131">
        <f t="shared" si="53"/>
        <v>3.2009468308818907E-2</v>
      </c>
      <c r="I55" s="131">
        <f t="shared" si="53"/>
        <v>6.5358145251829203E-2</v>
      </c>
      <c r="J55" s="106">
        <f t="shared" si="53"/>
        <v>7.2057355140141693E-2</v>
      </c>
      <c r="K55" s="106">
        <f t="shared" si="53"/>
        <v>7.9443234042006219E-2</v>
      </c>
      <c r="L55" s="106">
        <f t="shared" si="53"/>
        <v>0.19489100097784187</v>
      </c>
      <c r="M55" s="283">
        <f t="shared" si="53"/>
        <v>0.28266847469034867</v>
      </c>
      <c r="O55" s="143">
        <f t="shared" si="40"/>
        <v>0.16476744599025683</v>
      </c>
      <c r="P55" s="143">
        <f t="shared" si="41"/>
        <v>0.44209680299073773</v>
      </c>
      <c r="Q55" s="2" t="s">
        <v>157</v>
      </c>
      <c r="R55" s="170">
        <f t="shared" si="35"/>
        <v>6.16105213763685E-3</v>
      </c>
      <c r="S55" s="170">
        <f t="shared" si="36"/>
        <v>7.2299460654016347E-3</v>
      </c>
      <c r="T55" s="2">
        <f t="shared" si="42"/>
        <v>0.21061111955020698</v>
      </c>
      <c r="U55" s="170">
        <f t="shared" si="37"/>
        <v>7.6861796788781659E-3</v>
      </c>
      <c r="V55" s="2">
        <f t="shared" si="43"/>
        <v>0.18610472719207732</v>
      </c>
    </row>
    <row r="56" spans="4:22" ht="13.5" customHeight="1" outlineLevel="1" x14ac:dyDescent="0.25">
      <c r="D56" s="79" t="str">
        <f t="shared" si="38"/>
        <v>Rice</v>
      </c>
      <c r="E56" s="131">
        <f t="shared" ref="E56:M56" si="54">(E90*E162)/1000000</f>
        <v>7.9342331900047025E-2</v>
      </c>
      <c r="F56" s="131">
        <f t="shared" si="54"/>
        <v>0.15909997102486334</v>
      </c>
      <c r="G56" s="131">
        <f t="shared" si="54"/>
        <v>0.12229281252706294</v>
      </c>
      <c r="H56" s="131">
        <f t="shared" si="54"/>
        <v>0.13043007020197195</v>
      </c>
      <c r="I56" s="131">
        <f t="shared" si="54"/>
        <v>0.20067921417095735</v>
      </c>
      <c r="J56" s="106">
        <f t="shared" si="54"/>
        <v>0.26274518253301687</v>
      </c>
      <c r="K56" s="106">
        <f t="shared" si="54"/>
        <v>0.34400688297243309</v>
      </c>
      <c r="L56" s="106">
        <f t="shared" si="54"/>
        <v>0.5914539427154808</v>
      </c>
      <c r="M56" s="283">
        <f t="shared" si="54"/>
        <v>0.80251600361265252</v>
      </c>
      <c r="O56" s="143">
        <f t="shared" si="40"/>
        <v>0.26109951257729591</v>
      </c>
      <c r="P56" s="143">
        <f t="shared" si="41"/>
        <v>0.41412508914884882</v>
      </c>
      <c r="Q56" s="2" t="s">
        <v>61</v>
      </c>
      <c r="R56" s="170">
        <f t="shared" si="35"/>
        <v>2.2465253760015329E-2</v>
      </c>
      <c r="S56" s="170">
        <f t="shared" si="36"/>
        <v>2.0526333646145534E-2</v>
      </c>
      <c r="T56" s="2">
        <f t="shared" si="42"/>
        <v>0.5397708210796357</v>
      </c>
      <c r="U56" s="170">
        <f t="shared" si="37"/>
        <v>1.9698748694247665E-2</v>
      </c>
      <c r="V56" s="2">
        <f t="shared" si="43"/>
        <v>0.21281499236793261</v>
      </c>
    </row>
    <row r="57" spans="4:22" ht="13.5" customHeight="1" outlineLevel="1" x14ac:dyDescent="0.25">
      <c r="D57" s="79" t="str">
        <f t="shared" si="38"/>
        <v>Onions and shallots, dry (excluding dehydrated)</v>
      </c>
      <c r="E57" s="131">
        <f t="shared" ref="E57:M57" si="55">(E91*E163)/1000000</f>
        <v>3.0023902138090457E-2</v>
      </c>
      <c r="F57" s="131">
        <f t="shared" si="55"/>
        <v>5.9562194472277688E-2</v>
      </c>
      <c r="G57" s="131">
        <f t="shared" si="55"/>
        <v>5.6288984737063119E-2</v>
      </c>
      <c r="H57" s="131">
        <f t="shared" si="55"/>
        <v>2.7561854845186102E-2</v>
      </c>
      <c r="I57" s="131">
        <f t="shared" si="55"/>
        <v>5.3383740821751645E-2</v>
      </c>
      <c r="J57" s="106">
        <f t="shared" si="55"/>
        <v>5.8855574255981195E-2</v>
      </c>
      <c r="K57" s="106">
        <f t="shared" si="55"/>
        <v>6.4888270617219274E-2</v>
      </c>
      <c r="L57" s="106">
        <f t="shared" si="55"/>
        <v>0.17957357206689725</v>
      </c>
      <c r="M57" s="283">
        <f t="shared" si="55"/>
        <v>0.26656087221341407</v>
      </c>
      <c r="O57" s="143">
        <f t="shared" si="40"/>
        <v>0.15474334199743067</v>
      </c>
      <c r="P57" s="143">
        <f t="shared" si="41"/>
        <v>0.49484736197702772</v>
      </c>
      <c r="Q57" s="2" t="s">
        <v>119</v>
      </c>
      <c r="R57" s="170">
        <f t="shared" si="35"/>
        <v>5.0322727066019297E-3</v>
      </c>
      <c r="S57" s="170">
        <f t="shared" si="36"/>
        <v>6.8179542531603124E-3</v>
      </c>
      <c r="T57" s="2">
        <f t="shared" si="42"/>
        <v>0.20770529795743287</v>
      </c>
      <c r="U57" s="170">
        <f t="shared" si="37"/>
        <v>7.5801327288190952E-3</v>
      </c>
      <c r="V57" s="2">
        <f t="shared" si="43"/>
        <v>0.18768877372649267</v>
      </c>
    </row>
    <row r="58" spans="4:22" ht="13.5" customHeight="1" outlineLevel="1" x14ac:dyDescent="0.25">
      <c r="D58" s="79" t="str">
        <f t="shared" si="38"/>
        <v>Sugar cane</v>
      </c>
      <c r="E58" s="131">
        <f t="shared" ref="E58:M58" si="56">(E92*E164)/1000000</f>
        <v>0.11244630097301342</v>
      </c>
      <c r="F58" s="131">
        <f t="shared" si="56"/>
        <v>0.23175951156528285</v>
      </c>
      <c r="G58" s="131">
        <f t="shared" si="56"/>
        <v>0.21834253223715958</v>
      </c>
      <c r="H58" s="131">
        <f t="shared" si="56"/>
        <v>0.10270816801524174</v>
      </c>
      <c r="I58" s="131">
        <f t="shared" si="56"/>
        <v>0.22528886649976987</v>
      </c>
      <c r="J58" s="106">
        <f t="shared" si="56"/>
        <v>0.30587346667595666</v>
      </c>
      <c r="K58" s="106">
        <f t="shared" si="56"/>
        <v>0.41528273931132398</v>
      </c>
      <c r="L58" s="106">
        <f t="shared" si="56"/>
        <v>0.61356517307072045</v>
      </c>
      <c r="M58" s="283">
        <f t="shared" si="56"/>
        <v>0.80259133293903007</v>
      </c>
      <c r="O58" s="143">
        <f t="shared" si="40"/>
        <v>0.18973061996363993</v>
      </c>
      <c r="P58" s="143">
        <f t="shared" si="41"/>
        <v>0.37384799384453138</v>
      </c>
      <c r="Q58" s="2" t="s">
        <v>161</v>
      </c>
      <c r="R58" s="170">
        <f t="shared" si="35"/>
        <v>2.6152810799746917E-2</v>
      </c>
      <c r="S58" s="170">
        <f t="shared" si="36"/>
        <v>2.0528260380166544E-2</v>
      </c>
      <c r="T58" s="2">
        <f t="shared" si="42"/>
        <v>0.4967178662630734</v>
      </c>
      <c r="U58" s="170">
        <f t="shared" si="37"/>
        <v>1.8127546057210089E-2</v>
      </c>
      <c r="V58" s="2">
        <f t="shared" si="43"/>
        <v>3.7086333737956778E-2</v>
      </c>
    </row>
    <row r="59" spans="4:22" ht="13.5" customHeight="1" outlineLevel="1" x14ac:dyDescent="0.25">
      <c r="D59" s="79" t="str">
        <f t="shared" si="38"/>
        <v>Millet</v>
      </c>
      <c r="E59" s="131">
        <f t="shared" ref="E59:M59" si="57">(E93*E165)/1000000</f>
        <v>4.8108152469904929E-2</v>
      </c>
      <c r="F59" s="131">
        <f t="shared" si="57"/>
        <v>7.3420826530940939E-2</v>
      </c>
      <c r="G59" s="131">
        <f t="shared" si="57"/>
        <v>3.5613626492144397E-2</v>
      </c>
      <c r="H59" s="131">
        <f t="shared" si="57"/>
        <v>1.689078347929825E-2</v>
      </c>
      <c r="I59" s="131">
        <f t="shared" si="57"/>
        <v>3.6699588833830149E-2</v>
      </c>
      <c r="J59" s="106">
        <f t="shared" si="57"/>
        <v>4.0461296689297752E-2</v>
      </c>
      <c r="K59" s="106">
        <f t="shared" si="57"/>
        <v>4.4608579599950772E-2</v>
      </c>
      <c r="L59" s="106">
        <f t="shared" si="57"/>
        <v>5.7932240826215543E-2</v>
      </c>
      <c r="M59" s="283">
        <f t="shared" si="57"/>
        <v>6.8594115439913395E-2</v>
      </c>
      <c r="O59" s="143">
        <f t="shared" si="40"/>
        <v>-6.5432595089238377E-2</v>
      </c>
      <c r="P59" s="143">
        <f t="shared" si="41"/>
        <v>0.16924740667590266</v>
      </c>
      <c r="Q59" s="2" t="s">
        <v>54</v>
      </c>
      <c r="R59" s="170">
        <f t="shared" si="35"/>
        <v>3.4595241245579046E-3</v>
      </c>
      <c r="S59" s="170">
        <f t="shared" si="36"/>
        <v>1.7544643263730756E-3</v>
      </c>
      <c r="T59" s="2">
        <f t="shared" si="42"/>
        <v>2.8132818750615643E-2</v>
      </c>
      <c r="U59" s="170">
        <f t="shared" si="37"/>
        <v>1.0266974519310564E-3</v>
      </c>
      <c r="V59" s="2">
        <f t="shared" si="43"/>
        <v>1.4372108132550722E-2</v>
      </c>
    </row>
    <row r="60" spans="4:22" ht="13.5" customHeight="1" outlineLevel="1" x14ac:dyDescent="0.25">
      <c r="D60" s="79" t="str">
        <f t="shared" si="38"/>
        <v>Cocoa beans</v>
      </c>
      <c r="E60" s="131">
        <f t="shared" ref="E60:M60" si="58">(E94*E166)/1000000</f>
        <v>8.2261866944718057E-2</v>
      </c>
      <c r="F60" s="131">
        <f t="shared" si="58"/>
        <v>0.1608557693498231</v>
      </c>
      <c r="G60" s="131">
        <f t="shared" si="58"/>
        <v>0.15199789414844342</v>
      </c>
      <c r="H60" s="131">
        <f t="shared" si="58"/>
        <v>7.2572956233781766E-2</v>
      </c>
      <c r="I60" s="131">
        <f t="shared" si="58"/>
        <v>0.15783794023331138</v>
      </c>
      <c r="J60" s="106">
        <f t="shared" si="58"/>
        <v>0.21247866231340404</v>
      </c>
      <c r="K60" s="106">
        <f t="shared" si="58"/>
        <v>0.28603504247304762</v>
      </c>
      <c r="L60" s="106">
        <f t="shared" si="58"/>
        <v>1.0419980412893222</v>
      </c>
      <c r="M60" s="283">
        <f t="shared" si="58"/>
        <v>1.7082424198058828</v>
      </c>
      <c r="O60" s="143">
        <f t="shared" si="40"/>
        <v>0.17693698528414536</v>
      </c>
      <c r="P60" s="143">
        <f t="shared" si="41"/>
        <v>0.8137796475578789</v>
      </c>
      <c r="Q60" s="2" t="s">
        <v>234</v>
      </c>
      <c r="R60" s="170">
        <f t="shared" si="35"/>
        <v>1.8167362847307002E-2</v>
      </c>
      <c r="S60" s="170">
        <f t="shared" si="36"/>
        <v>4.369252912040212E-2</v>
      </c>
      <c r="T60" s="329">
        <f t="shared" si="42"/>
        <v>1.4957637574924787</v>
      </c>
      <c r="U60" s="170">
        <f t="shared" si="37"/>
        <v>5.4587378965527372E-2</v>
      </c>
      <c r="V60" s="2">
        <f t="shared" si="43"/>
        <v>1.1898876731485193</v>
      </c>
    </row>
    <row r="61" spans="4:22" ht="13.5" customHeight="1" outlineLevel="1" x14ac:dyDescent="0.25">
      <c r="D61" s="79" t="str">
        <f t="shared" si="38"/>
        <v>Other oil seeds, n.e.c.</v>
      </c>
      <c r="E61" s="131">
        <f t="shared" ref="E61:M61" si="59">(E95*E167)/1000000</f>
        <v>1.9722489368029852E-2</v>
      </c>
      <c r="F61" s="131">
        <f t="shared" si="59"/>
        <v>3.840313779930804E-2</v>
      </c>
      <c r="G61" s="131">
        <f t="shared" si="59"/>
        <v>3.6864197341848891E-2</v>
      </c>
      <c r="H61" s="131">
        <f t="shared" si="59"/>
        <v>1.7975019086694841E-2</v>
      </c>
      <c r="I61" s="131">
        <f t="shared" si="59"/>
        <v>3.4730922276850811E-2</v>
      </c>
      <c r="J61" s="106">
        <f t="shared" si="59"/>
        <v>3.8075833055165424E-2</v>
      </c>
      <c r="K61" s="106">
        <f t="shared" si="59"/>
        <v>4.1742889845777044E-2</v>
      </c>
      <c r="L61" s="106">
        <f t="shared" si="59"/>
        <v>9.1028997570498579E-2</v>
      </c>
      <c r="M61" s="283">
        <f t="shared" si="59"/>
        <v>0.12356379794415345</v>
      </c>
      <c r="O61" s="143">
        <f t="shared" si="40"/>
        <v>0.15196330823944804</v>
      </c>
      <c r="P61" s="143">
        <f t="shared" si="41"/>
        <v>0.37338953280327969</v>
      </c>
      <c r="Q61" s="2" t="s">
        <v>152</v>
      </c>
      <c r="R61" s="170">
        <f t="shared" si="35"/>
        <v>3.2555620752467364E-3</v>
      </c>
      <c r="S61" s="170">
        <f t="shared" si="36"/>
        <v>3.1604500493061789E-3</v>
      </c>
      <c r="T61" s="2">
        <f t="shared" si="42"/>
        <v>8.5487964888988022E-2</v>
      </c>
      <c r="U61" s="170">
        <f t="shared" si="37"/>
        <v>3.1198535952027522E-3</v>
      </c>
      <c r="V61" s="2">
        <f t="shared" si="43"/>
        <v>7.3393265794534035E-2</v>
      </c>
    </row>
    <row r="62" spans="4:22" ht="13.5" customHeight="1" outlineLevel="1" x14ac:dyDescent="0.25">
      <c r="D62" s="79" t="str">
        <f t="shared" si="38"/>
        <v>Soya beans</v>
      </c>
      <c r="E62" s="131">
        <f t="shared" ref="E62:M62" si="60">(E96*E168)/1000000</f>
        <v>3.4769579906129146E-2</v>
      </c>
      <c r="F62" s="131">
        <f t="shared" si="60"/>
        <v>6.8941120528913255E-2</v>
      </c>
      <c r="G62" s="131">
        <f t="shared" si="60"/>
        <v>6.998158084524346E-2</v>
      </c>
      <c r="H62" s="131">
        <f t="shared" si="60"/>
        <v>3.5414730894863473E-2</v>
      </c>
      <c r="I62" s="131">
        <f t="shared" si="60"/>
        <v>6.6018328537201201E-2</v>
      </c>
      <c r="J62" s="106">
        <f t="shared" si="60"/>
        <v>7.3752245286296467E-2</v>
      </c>
      <c r="K62" s="106">
        <f t="shared" si="60"/>
        <v>8.2392175101872675E-2</v>
      </c>
      <c r="L62" s="106">
        <f t="shared" si="60"/>
        <v>0.10457171862869105</v>
      </c>
      <c r="M62" s="283">
        <f t="shared" si="60"/>
        <v>0.12034913831206311</v>
      </c>
      <c r="O62" s="143">
        <f t="shared" si="40"/>
        <v>0.17385990880220858</v>
      </c>
      <c r="P62" s="143">
        <f t="shared" si="41"/>
        <v>0.16196919638441676</v>
      </c>
      <c r="Q62" s="2" t="s">
        <v>250</v>
      </c>
      <c r="R62" s="170">
        <f t="shared" si="35"/>
        <v>6.3059687327258265E-3</v>
      </c>
      <c r="S62" s="170">
        <f t="shared" si="36"/>
        <v>3.0782271704227183E-3</v>
      </c>
      <c r="T62" s="2">
        <f t="shared" si="42"/>
        <v>4.6596893025766639E-2</v>
      </c>
      <c r="U62" s="170">
        <f t="shared" si="37"/>
        <v>1.7005374314442521E-3</v>
      </c>
      <c r="V62" s="2">
        <f t="shared" si="43"/>
        <v>1.7522080002152121E-2</v>
      </c>
    </row>
    <row r="63" spans="4:22" ht="13.5" customHeight="1" outlineLevel="1" x14ac:dyDescent="0.25">
      <c r="D63" s="79" t="str">
        <f t="shared" si="38"/>
        <v>Pigeon peas, dry</v>
      </c>
      <c r="E63" s="131">
        <f t="shared" ref="E63:M63" si="61">(E97*E169)/1000000</f>
        <v>1.4591756996988179E-2</v>
      </c>
      <c r="F63" s="131">
        <f t="shared" si="61"/>
        <v>3.0938427961613581E-2</v>
      </c>
      <c r="G63" s="131">
        <f t="shared" si="61"/>
        <v>3.5207733323241987E-2</v>
      </c>
      <c r="H63" s="131">
        <f t="shared" si="61"/>
        <v>1.4720269106953444E-2</v>
      </c>
      <c r="I63" s="131">
        <f t="shared" si="61"/>
        <v>2.9308176770805106E-2</v>
      </c>
      <c r="J63" s="106">
        <f t="shared" si="61"/>
        <v>3.3205005553983813E-2</v>
      </c>
      <c r="K63" s="106">
        <f t="shared" si="61"/>
        <v>3.7619958500400709E-2</v>
      </c>
      <c r="L63" s="106">
        <f t="shared" si="61"/>
        <v>5.5953350993991818E-2</v>
      </c>
      <c r="M63" s="283">
        <f t="shared" si="61"/>
        <v>6.9444415009042651E-2</v>
      </c>
      <c r="O63" s="143">
        <f t="shared" si="40"/>
        <v>0.19047506522686919</v>
      </c>
      <c r="P63" s="143">
        <f t="shared" ref="P63:P67" si="62">IFERROR(_xlfn.RRI($M$12-$I$12,I63,M63),0)</f>
        <v>0.2406867105915258</v>
      </c>
      <c r="Q63" s="2" t="s">
        <v>244</v>
      </c>
      <c r="R63" s="170">
        <f t="shared" si="35"/>
        <v>2.8390963011442716E-3</v>
      </c>
      <c r="S63" s="170">
        <f t="shared" si="36"/>
        <v>1.7762128430089447E-3</v>
      </c>
      <c r="T63" s="2">
        <f t="shared" si="42"/>
        <v>3.6239409455058838E-2</v>
      </c>
      <c r="U63" s="170">
        <f t="shared" si="37"/>
        <v>1.3225446648918151E-3</v>
      </c>
      <c r="V63" s="2">
        <f t="shared" si="43"/>
        <v>2.1155458359181631E-2</v>
      </c>
    </row>
    <row r="64" spans="4:22" ht="13.5" customHeight="1" outlineLevel="1" x14ac:dyDescent="0.25">
      <c r="D64" s="79" t="str">
        <f t="shared" si="38"/>
        <v>Potatoes</v>
      </c>
      <c r="E64" s="131">
        <f t="shared" ref="E64:M64" si="63">(E98*E170)/1000000</f>
        <v>1.4536643513945484E-2</v>
      </c>
      <c r="F64" s="131">
        <f t="shared" si="63"/>
        <v>3.4782262139188419E-2</v>
      </c>
      <c r="G64" s="131">
        <f t="shared" si="63"/>
        <v>3.1008838472527372E-2</v>
      </c>
      <c r="H64" s="131">
        <f t="shared" si="63"/>
        <v>1.3939782922232028E-2</v>
      </c>
      <c r="I64" s="131">
        <f t="shared" si="63"/>
        <v>2.665291959703887E-2</v>
      </c>
      <c r="J64" s="106">
        <f t="shared" si="63"/>
        <v>2.9516129212614282E-2</v>
      </c>
      <c r="K64" s="106">
        <f t="shared" si="63"/>
        <v>3.2686921240423224E-2</v>
      </c>
      <c r="L64" s="106">
        <f t="shared" si="63"/>
        <v>8.9833137239224495E-2</v>
      </c>
      <c r="M64" s="283">
        <f t="shared" si="63"/>
        <v>0.12864613343119252</v>
      </c>
      <c r="O64" s="143">
        <f t="shared" si="40"/>
        <v>0.16364407420412763</v>
      </c>
      <c r="P64" s="143">
        <f t="shared" si="62"/>
        <v>0.48222108563757371</v>
      </c>
      <c r="Q64" s="2" t="s">
        <v>123</v>
      </c>
      <c r="R64" s="170">
        <f t="shared" si="35"/>
        <v>2.5236897833186985E-3</v>
      </c>
      <c r="S64" s="170">
        <f t="shared" si="36"/>
        <v>3.2904433621360647E-3</v>
      </c>
      <c r="T64" s="2">
        <f t="shared" si="42"/>
        <v>9.9130004218578233E-2</v>
      </c>
      <c r="U64" s="170">
        <f t="shared" si="37"/>
        <v>3.6177150837010215E-3</v>
      </c>
      <c r="V64" s="2">
        <f t="shared" si="43"/>
        <v>8.8559162235123862E-2</v>
      </c>
    </row>
    <row r="65" spans="1:22" ht="13.5" customHeight="1" outlineLevel="1" x14ac:dyDescent="0.25">
      <c r="D65" s="79" t="str">
        <f t="shared" si="38"/>
        <v>Tea leaves</v>
      </c>
      <c r="E65" s="131">
        <f t="shared" ref="E65:M65" si="64">(E99*E171)/1000000</f>
        <v>3.6053835027768301E-2</v>
      </c>
      <c r="F65" s="131">
        <f t="shared" si="64"/>
        <v>0.10249931107062554</v>
      </c>
      <c r="G65" s="131">
        <f t="shared" si="64"/>
        <v>7.99721513267104E-2</v>
      </c>
      <c r="H65" s="131">
        <f t="shared" si="64"/>
        <v>4.86666507747145E-2</v>
      </c>
      <c r="I65" s="131">
        <f t="shared" si="64"/>
        <v>9.1609673411361892E-2</v>
      </c>
      <c r="J65" s="106">
        <f t="shared" si="64"/>
        <v>9.3395637698486758E-2</v>
      </c>
      <c r="K65" s="106">
        <f t="shared" si="64"/>
        <v>9.5216420016460412E-2</v>
      </c>
      <c r="L65" s="106">
        <f t="shared" si="64"/>
        <v>0.10022504845679735</v>
      </c>
      <c r="M65" s="283">
        <f t="shared" si="64"/>
        <v>0.1023459628523124</v>
      </c>
      <c r="O65" s="143">
        <f t="shared" si="40"/>
        <v>0.2625467460298625</v>
      </c>
      <c r="P65" s="143">
        <f t="shared" si="62"/>
        <v>2.8092865396545097E-2</v>
      </c>
      <c r="Q65" s="2" t="s">
        <v>252</v>
      </c>
      <c r="R65" s="170">
        <f t="shared" si="35"/>
        <v>7.9855192043770465E-3</v>
      </c>
      <c r="S65" s="170">
        <f t="shared" si="36"/>
        <v>2.6177513861225881E-3</v>
      </c>
      <c r="T65" s="2">
        <f t="shared" si="42"/>
        <v>8.9503251538256418E-3</v>
      </c>
      <c r="U65" s="170">
        <f t="shared" si="37"/>
        <v>3.2663900872663648E-4</v>
      </c>
      <c r="V65" s="2">
        <f t="shared" si="43"/>
        <v>3.3807957128062227E-3</v>
      </c>
    </row>
    <row r="66" spans="1:22" ht="13.5" customHeight="1" outlineLevel="1" x14ac:dyDescent="0.25">
      <c r="D66" s="79" t="str">
        <f t="shared" si="38"/>
        <v>Cow peas, dry</v>
      </c>
      <c r="E66" s="131">
        <f t="shared" ref="E66:M66" si="65">(E100*E172)/1000000</f>
        <v>9.8786294739679915E-3</v>
      </c>
      <c r="F66" s="131">
        <f t="shared" si="65"/>
        <v>2.021881713554341E-2</v>
      </c>
      <c r="G66" s="131">
        <f t="shared" si="65"/>
        <v>2.0382835236985607E-2</v>
      </c>
      <c r="H66" s="131">
        <f t="shared" si="65"/>
        <v>1.096051868570164E-2</v>
      </c>
      <c r="I66" s="131">
        <f t="shared" si="65"/>
        <v>2.1927987823631381E-2</v>
      </c>
      <c r="J66" s="106">
        <f t="shared" si="65"/>
        <v>2.5472334788361903E-2</v>
      </c>
      <c r="K66" s="106">
        <f t="shared" si="65"/>
        <v>2.9589574966433978E-2</v>
      </c>
      <c r="L66" s="106">
        <f t="shared" si="65"/>
        <v>4.5123391466561399E-2</v>
      </c>
      <c r="M66" s="283">
        <f t="shared" si="65"/>
        <v>5.7420659232888076E-2</v>
      </c>
      <c r="O66" s="143">
        <f t="shared" si="40"/>
        <v>0.22060605854575677</v>
      </c>
      <c r="P66" s="143">
        <f t="shared" si="62"/>
        <v>0.27208856358249256</v>
      </c>
      <c r="Q66" s="2" t="s">
        <v>117</v>
      </c>
      <c r="R66" s="170">
        <f t="shared" si="35"/>
        <v>2.1779370390880822E-3</v>
      </c>
      <c r="S66" s="170">
        <f t="shared" si="36"/>
        <v>1.46867552084952E-3</v>
      </c>
      <c r="T66" s="2">
        <f t="shared" si="42"/>
        <v>3.1948324444526173E-2</v>
      </c>
      <c r="U66" s="170">
        <f t="shared" si="37"/>
        <v>1.1659430073975043E-3</v>
      </c>
      <c r="V66" s="2">
        <f t="shared" si="43"/>
        <v>1.7492556675723206E-2</v>
      </c>
    </row>
    <row r="67" spans="1:22" ht="13.5" customHeight="1" outlineLevel="1" x14ac:dyDescent="0.25">
      <c r="D67" s="79" t="str">
        <f t="shared" si="38"/>
        <v>Peas, dry</v>
      </c>
      <c r="E67" s="131">
        <f t="shared" ref="E67:M67" si="66">(E101*E173)/1000000</f>
        <v>9.5479485757118277E-3</v>
      </c>
      <c r="F67" s="131">
        <f t="shared" si="66"/>
        <v>1.7291753177767953E-2</v>
      </c>
      <c r="G67" s="131">
        <f t="shared" si="66"/>
        <v>1.7617862977790038E-2</v>
      </c>
      <c r="H67" s="131">
        <f t="shared" si="66"/>
        <v>9.3031773850737499E-3</v>
      </c>
      <c r="I67" s="131">
        <f t="shared" si="66"/>
        <v>1.8024984240512049E-2</v>
      </c>
      <c r="J67" s="106">
        <f t="shared" si="66"/>
        <v>2.010761451622815E-2</v>
      </c>
      <c r="K67" s="106">
        <f t="shared" si="66"/>
        <v>2.2430874620378776E-2</v>
      </c>
      <c r="L67" s="106">
        <f t="shared" si="66"/>
        <v>3.2849207689709781E-2</v>
      </c>
      <c r="M67" s="283">
        <f t="shared" si="66"/>
        <v>4.0142741044665295E-2</v>
      </c>
      <c r="O67" s="143">
        <f t="shared" si="40"/>
        <v>0.17217162900800909</v>
      </c>
      <c r="P67" s="143">
        <f t="shared" si="62"/>
        <v>0.2216112752983288</v>
      </c>
      <c r="Q67" s="2" t="s">
        <v>240</v>
      </c>
      <c r="R67" s="170">
        <f t="shared" si="35"/>
        <v>1.7192424167810163E-3</v>
      </c>
      <c r="S67" s="170">
        <f t="shared" si="36"/>
        <v>1.026749986846779E-3</v>
      </c>
      <c r="T67" s="2">
        <f t="shared" si="42"/>
        <v>2.0035126528437145E-2</v>
      </c>
      <c r="U67" s="170">
        <f t="shared" si="37"/>
        <v>7.3117498599078643E-4</v>
      </c>
      <c r="V67" s="2">
        <f t="shared" si="43"/>
        <v>1.222903363046899E-2</v>
      </c>
    </row>
    <row r="68" spans="1:22" ht="13.5" customHeight="1" outlineLevel="1" thickBot="1" x14ac:dyDescent="0.3">
      <c r="D68" s="80" t="s">
        <v>13</v>
      </c>
      <c r="E68" s="132">
        <f t="shared" ref="E68:M68" si="67">SUM(E44:E67)</f>
        <v>5.4120286293784003</v>
      </c>
      <c r="F68" s="132">
        <f t="shared" si="67"/>
        <v>11.334878056478983</v>
      </c>
      <c r="G68" s="132">
        <f t="shared" si="67"/>
        <v>9.5963593378550414</v>
      </c>
      <c r="H68" s="132">
        <f t="shared" si="67"/>
        <v>6.1809762299153626</v>
      </c>
      <c r="I68" s="132">
        <f t="shared" si="67"/>
        <v>9.6663798978187234</v>
      </c>
      <c r="J68" s="103">
        <f t="shared" si="67"/>
        <v>11.695624956645831</v>
      </c>
      <c r="K68" s="103">
        <f t="shared" si="67"/>
        <v>14.268807342737855</v>
      </c>
      <c r="L68" s="103">
        <f t="shared" si="67"/>
        <v>28.078424411966726</v>
      </c>
      <c r="M68" s="103">
        <f t="shared" si="67"/>
        <v>39.096899497361051</v>
      </c>
      <c r="O68" s="144">
        <f t="shared" si="40"/>
        <v>0.15604820443024536</v>
      </c>
      <c r="P68" s="167">
        <f t="shared" si="41"/>
        <v>0.4181416580184758</v>
      </c>
    </row>
    <row r="69" spans="1:22" ht="13.5" customHeight="1" outlineLevel="1" thickTop="1" thickBot="1" x14ac:dyDescent="0.35">
      <c r="D69" s="129" t="s">
        <v>17</v>
      </c>
      <c r="E69" s="133">
        <f>E68/46%</f>
        <v>11.765279629083478</v>
      </c>
      <c r="F69" s="133">
        <f t="shared" ref="F69:M69" si="68">F68/46%</f>
        <v>24.64103925321518</v>
      </c>
      <c r="G69" s="133">
        <f t="shared" si="68"/>
        <v>20.861650734467482</v>
      </c>
      <c r="H69" s="133">
        <f t="shared" si="68"/>
        <v>13.436904847642092</v>
      </c>
      <c r="I69" s="133">
        <f t="shared" si="68"/>
        <v>21.013869343084181</v>
      </c>
      <c r="J69" s="107">
        <f t="shared" si="68"/>
        <v>25.42527164488224</v>
      </c>
      <c r="K69" s="107">
        <f t="shared" si="68"/>
        <v>31.019146397256204</v>
      </c>
      <c r="L69" s="107">
        <f t="shared" si="68"/>
        <v>61.040053069492878</v>
      </c>
      <c r="M69" s="107">
        <f t="shared" si="68"/>
        <v>84.993259776871852</v>
      </c>
      <c r="O69" s="144">
        <f t="shared" si="40"/>
        <v>0.15604820443024536</v>
      </c>
      <c r="P69" s="144">
        <f t="shared" si="41"/>
        <v>0.4181416580184758</v>
      </c>
    </row>
    <row r="70" spans="1:22" ht="13.5" customHeight="1" thickTop="1" x14ac:dyDescent="0.25">
      <c r="E70" s="75"/>
      <c r="F70" s="75"/>
      <c r="G70" s="75"/>
      <c r="H70" s="75"/>
      <c r="I70" s="75"/>
      <c r="J70" s="75"/>
      <c r="K70" s="75"/>
      <c r="L70" s="75"/>
      <c r="M70" s="75"/>
    </row>
    <row r="72" spans="1:22" ht="13.5" customHeight="1" x14ac:dyDescent="0.35">
      <c r="B72" s="29">
        <v>2</v>
      </c>
      <c r="D72" s="28" t="s">
        <v>21</v>
      </c>
    </row>
    <row r="74" spans="1:22" ht="13.5" customHeight="1" x14ac:dyDescent="0.3">
      <c r="D74" s="32" t="s">
        <v>22</v>
      </c>
    </row>
    <row r="75" spans="1:22" ht="13.5" customHeight="1" x14ac:dyDescent="0.3">
      <c r="D75" s="33" t="s">
        <v>23</v>
      </c>
      <c r="O75" s="39" t="s">
        <v>24</v>
      </c>
    </row>
    <row r="76" spans="1:22" ht="13.5" customHeight="1" outlineLevel="1" x14ac:dyDescent="0.25">
      <c r="A76" s="163"/>
      <c r="B76" s="163"/>
      <c r="C76" s="163"/>
      <c r="D76" s="163"/>
      <c r="E76" s="364" t="s">
        <v>25</v>
      </c>
      <c r="F76" s="365"/>
      <c r="G76" s="365"/>
      <c r="H76" s="365"/>
      <c r="I76" s="366"/>
      <c r="J76" s="134" t="s">
        <v>9</v>
      </c>
      <c r="K76" s="135"/>
      <c r="L76" s="135"/>
      <c r="M76" s="136"/>
      <c r="Q76" s="163"/>
      <c r="R76" s="1"/>
    </row>
    <row r="77" spans="1:22" ht="13.5" customHeight="1" outlineLevel="1" x14ac:dyDescent="0.3">
      <c r="D77" s="44"/>
      <c r="E77" s="45">
        <v>2017</v>
      </c>
      <c r="F77" s="45">
        <v>2018</v>
      </c>
      <c r="G77" s="45">
        <v>2019</v>
      </c>
      <c r="H77" s="45">
        <v>2020</v>
      </c>
      <c r="I77" s="45">
        <v>2021</v>
      </c>
      <c r="J77" s="45">
        <v>2022</v>
      </c>
      <c r="K77" s="45">
        <v>2023</v>
      </c>
      <c r="L77" s="45">
        <v>2024</v>
      </c>
      <c r="M77" s="45">
        <v>2025</v>
      </c>
      <c r="O77" s="30" t="s">
        <v>26</v>
      </c>
      <c r="P77" s="30" t="s">
        <v>27</v>
      </c>
      <c r="Q77" s="30" t="s">
        <v>28</v>
      </c>
      <c r="R77" s="30" t="s">
        <v>73</v>
      </c>
      <c r="S77" s="30" t="s">
        <v>29</v>
      </c>
      <c r="T77" s="30" t="s">
        <v>30</v>
      </c>
    </row>
    <row r="78" spans="1:22" ht="13.5" customHeight="1" outlineLevel="1" x14ac:dyDescent="0.25">
      <c r="D78" s="161" t="str">
        <f>D13</f>
        <v>Plantains and cooking bananas</v>
      </c>
      <c r="E78" s="164">
        <f>HarvestedAreas_TCD_Uganda!E9</f>
        <v>1059598</v>
      </c>
      <c r="F78" s="164">
        <f>HarvestedAreas_TCD_Uganda!F9</f>
        <v>762748</v>
      </c>
      <c r="G78" s="164">
        <f>HarvestedAreas_TCD_Uganda!G9</f>
        <v>2092814</v>
      </c>
      <c r="H78" s="164">
        <f>HarvestedAreas_TCD_Uganda!H9</f>
        <v>2185829</v>
      </c>
      <c r="I78" s="164">
        <f>HarvestedAreas_TCD_Uganda!I9</f>
        <v>2060000</v>
      </c>
      <c r="J78" s="108">
        <f t="shared" ref="J78" si="69">I78*(1+$Q78)</f>
        <v>2163000</v>
      </c>
      <c r="K78" s="108">
        <f t="shared" ref="K78:K101" si="70">J78*(1+$Q78)</f>
        <v>2271150</v>
      </c>
      <c r="L78" s="108">
        <f t="shared" ref="L78:L101" si="71">K78*(1+$Q78)</f>
        <v>2384707.5</v>
      </c>
      <c r="M78" s="108">
        <f t="shared" ref="M78:M101" si="72">L78*(1+$Q78)</f>
        <v>2503942.875</v>
      </c>
      <c r="O78" s="110">
        <f t="shared" ref="O78:O102" si="73">IFERROR(_xlfn.RRI($I$77-$E$77,E78,I78),0)</f>
        <v>0.18081407889101797</v>
      </c>
      <c r="P78" s="110">
        <f t="shared" ref="P78:P102" si="74">IFERROR(_xlfn.RRI($I$77-$H$77,H78,I78),0)</f>
        <v>-5.7565802265410526E-2</v>
      </c>
      <c r="Q78" s="162">
        <v>0.05</v>
      </c>
      <c r="R78" s="176"/>
      <c r="S78" s="139"/>
      <c r="T78" s="138"/>
    </row>
    <row r="79" spans="1:22" ht="13.5" customHeight="1" outlineLevel="1" x14ac:dyDescent="0.25">
      <c r="D79" s="161" t="str">
        <f t="shared" ref="D79:D101" si="75">D14</f>
        <v>Maize (corn)</v>
      </c>
      <c r="E79" s="164">
        <f>HarvestedAreas_TCD_Uganda!E10</f>
        <v>1082431</v>
      </c>
      <c r="F79" s="164">
        <f>HarvestedAreas_TCD_Uganda!F10</f>
        <v>1281311</v>
      </c>
      <c r="G79" s="164">
        <f>HarvestedAreas_TCD_Uganda!G10</f>
        <v>1005767</v>
      </c>
      <c r="H79" s="164">
        <f>HarvestedAreas_TCD_Uganda!H10</f>
        <v>1632411</v>
      </c>
      <c r="I79" s="164">
        <f>HarvestedAreas_TCD_Uganda!I10</f>
        <v>984995</v>
      </c>
      <c r="J79" s="108">
        <f t="shared" ref="J79:J101" si="76">I79*(1+$Q79)</f>
        <v>1083494.5</v>
      </c>
      <c r="K79" s="108">
        <f t="shared" si="70"/>
        <v>1191843.9500000002</v>
      </c>
      <c r="L79" s="108">
        <f t="shared" si="71"/>
        <v>1311028.3450000002</v>
      </c>
      <c r="M79" s="108">
        <f t="shared" si="72"/>
        <v>1442131.1795000003</v>
      </c>
      <c r="O79" s="110">
        <f t="shared" si="73"/>
        <v>-2.3306154502730214E-2</v>
      </c>
      <c r="P79" s="110">
        <f t="shared" si="74"/>
        <v>-0.39660110107074753</v>
      </c>
      <c r="Q79" s="162">
        <v>0.1</v>
      </c>
      <c r="R79" s="176" t="s">
        <v>271</v>
      </c>
      <c r="S79" s="139"/>
      <c r="T79" s="138"/>
    </row>
    <row r="80" spans="1:22" ht="13.5" customHeight="1" outlineLevel="1" x14ac:dyDescent="0.25">
      <c r="D80" s="161" t="str">
        <f t="shared" si="75"/>
        <v>Cassava, fresh</v>
      </c>
      <c r="E80" s="164">
        <f>HarvestedAreas_TCD_Uganda!E11</f>
        <v>1218614</v>
      </c>
      <c r="F80" s="164">
        <f>HarvestedAreas_TCD_Uganda!F11</f>
        <v>1439052</v>
      </c>
      <c r="G80" s="164">
        <f>HarvestedAreas_TCD_Uganda!G11</f>
        <v>871908</v>
      </c>
      <c r="H80" s="164">
        <f>HarvestedAreas_TCD_Uganda!H11</f>
        <v>1063811</v>
      </c>
      <c r="I80" s="164">
        <f>HarvestedAreas_TCD_Uganda!I11</f>
        <v>878297</v>
      </c>
      <c r="J80" s="108">
        <f t="shared" si="76"/>
        <v>922211.85000000009</v>
      </c>
      <c r="K80" s="108">
        <f t="shared" si="70"/>
        <v>968322.44250000012</v>
      </c>
      <c r="L80" s="108">
        <f t="shared" si="71"/>
        <v>1016738.5646250001</v>
      </c>
      <c r="M80" s="108">
        <f t="shared" si="72"/>
        <v>1067575.4928562501</v>
      </c>
      <c r="O80" s="110">
        <f t="shared" si="73"/>
        <v>-7.8609332627385342E-2</v>
      </c>
      <c r="P80" s="110">
        <f t="shared" si="74"/>
        <v>-0.17438623966099243</v>
      </c>
      <c r="Q80" s="162">
        <v>0.05</v>
      </c>
      <c r="R80" s="176"/>
      <c r="S80" s="139"/>
      <c r="T80" s="138"/>
    </row>
    <row r="81" spans="4:20" ht="13.5" customHeight="1" outlineLevel="1" x14ac:dyDescent="0.25">
      <c r="D81" s="161" t="str">
        <f t="shared" si="75"/>
        <v>Coffee, green</v>
      </c>
      <c r="E81" s="164">
        <f>HarvestedAreas_TCD_Uganda!E12</f>
        <v>526491</v>
      </c>
      <c r="F81" s="164">
        <f>HarvestedAreas_TCD_Uganda!F12</f>
        <v>504242</v>
      </c>
      <c r="G81" s="164">
        <f>HarvestedAreas_TCD_Uganda!G12</f>
        <v>566577</v>
      </c>
      <c r="H81" s="164">
        <f>HarvestedAreas_TCD_Uganda!H12</f>
        <v>657594</v>
      </c>
      <c r="I81" s="164">
        <f>HarvestedAreas_TCD_Uganda!I12</f>
        <v>692553</v>
      </c>
      <c r="J81" s="108">
        <f t="shared" si="76"/>
        <v>729370.48970793525</v>
      </c>
      <c r="K81" s="108">
        <f t="shared" si="70"/>
        <v>768145.27011910034</v>
      </c>
      <c r="L81" s="108">
        <f t="shared" si="71"/>
        <v>808981.39468546445</v>
      </c>
      <c r="M81" s="108">
        <f t="shared" si="72"/>
        <v>851988.44854667538</v>
      </c>
      <c r="O81" s="110">
        <f t="shared" si="73"/>
        <v>7.0940926917378855E-2</v>
      </c>
      <c r="P81" s="110">
        <f t="shared" si="74"/>
        <v>5.3161981404939773E-2</v>
      </c>
      <c r="Q81" s="162">
        <f>MIN(O81:P81)</f>
        <v>5.3161981404939773E-2</v>
      </c>
      <c r="R81" s="176" t="s">
        <v>266</v>
      </c>
      <c r="S81" s="139"/>
      <c r="T81" s="138"/>
    </row>
    <row r="82" spans="4:20" ht="13.5" customHeight="1" outlineLevel="1" x14ac:dyDescent="0.25">
      <c r="D82" s="161" t="str">
        <f t="shared" si="75"/>
        <v>Beans, dry</v>
      </c>
      <c r="E82" s="164">
        <f>HarvestedAreas_TCD_Uganda!E13</f>
        <v>588185</v>
      </c>
      <c r="F82" s="164">
        <f>HarvestedAreas_TCD_Uganda!F13</f>
        <v>550135</v>
      </c>
      <c r="G82" s="164">
        <f>HarvestedAreas_TCD_Uganda!G13</f>
        <v>247258</v>
      </c>
      <c r="H82" s="164">
        <f>HarvestedAreas_TCD_Uganda!H13</f>
        <v>434258</v>
      </c>
      <c r="I82" s="164">
        <f>HarvestedAreas_TCD_Uganda!I13</f>
        <v>461950</v>
      </c>
      <c r="J82" s="108">
        <f t="shared" si="76"/>
        <v>491407.87849619344</v>
      </c>
      <c r="K82" s="108">
        <f t="shared" si="70"/>
        <v>522744.24298761692</v>
      </c>
      <c r="L82" s="108">
        <f t="shared" si="71"/>
        <v>556078.88178946532</v>
      </c>
      <c r="M82" s="108">
        <f t="shared" si="72"/>
        <v>591539.22194327682</v>
      </c>
      <c r="O82" s="110">
        <f t="shared" si="73"/>
        <v>-5.8608534714304827E-2</v>
      </c>
      <c r="P82" s="110">
        <f t="shared" si="74"/>
        <v>6.3768543124133492E-2</v>
      </c>
      <c r="Q82" s="162">
        <f>MAX(O82:P82)</f>
        <v>6.3768543124133492E-2</v>
      </c>
      <c r="R82" s="176" t="s">
        <v>267</v>
      </c>
      <c r="S82" s="139"/>
      <c r="T82" s="138"/>
    </row>
    <row r="83" spans="4:20" ht="13.5" customHeight="1" outlineLevel="1" x14ac:dyDescent="0.25">
      <c r="D83" s="161" t="str">
        <f t="shared" si="75"/>
        <v>Groundnuts, excluding shelled</v>
      </c>
      <c r="E83" s="164">
        <f>HarvestedAreas_TCD_Uganda!E14</f>
        <v>424000</v>
      </c>
      <c r="F83" s="164">
        <f>HarvestedAreas_TCD_Uganda!F14</f>
        <v>286000</v>
      </c>
      <c r="G83" s="164">
        <f>HarvestedAreas_TCD_Uganda!G14</f>
        <v>320000</v>
      </c>
      <c r="H83" s="164">
        <f>HarvestedAreas_TCD_Uganda!H14</f>
        <v>330000</v>
      </c>
      <c r="I83" s="164">
        <f>HarvestedAreas_TCD_Uganda!I14</f>
        <v>330000</v>
      </c>
      <c r="J83" s="108">
        <f t="shared" si="76"/>
        <v>330000</v>
      </c>
      <c r="K83" s="108">
        <f t="shared" si="70"/>
        <v>330000</v>
      </c>
      <c r="L83" s="108">
        <f t="shared" si="71"/>
        <v>330000</v>
      </c>
      <c r="M83" s="108">
        <f t="shared" si="72"/>
        <v>330000</v>
      </c>
      <c r="O83" s="110">
        <f t="shared" si="73"/>
        <v>-6.0737419286407635E-2</v>
      </c>
      <c r="P83" s="110">
        <f t="shared" si="74"/>
        <v>0</v>
      </c>
      <c r="Q83" s="162">
        <f>MAX(O83:P83)</f>
        <v>0</v>
      </c>
      <c r="R83" s="176" t="s">
        <v>267</v>
      </c>
      <c r="S83" s="139"/>
      <c r="T83" s="138"/>
    </row>
    <row r="84" spans="4:20" ht="13.5" customHeight="1" outlineLevel="1" x14ac:dyDescent="0.25">
      <c r="D84" s="161" t="str">
        <f t="shared" si="75"/>
        <v>Sweet potatoes</v>
      </c>
      <c r="E84" s="164">
        <f>HarvestedAreas_TCD_Uganda!E15</f>
        <v>448548</v>
      </c>
      <c r="F84" s="164">
        <f>HarvestedAreas_TCD_Uganda!F15</f>
        <v>348670</v>
      </c>
      <c r="G84" s="164">
        <f>HarvestedAreas_TCD_Uganda!G15</f>
        <v>252690</v>
      </c>
      <c r="H84" s="164">
        <f>HarvestedAreas_TCD_Uganda!H15</f>
        <v>275218</v>
      </c>
      <c r="I84" s="164">
        <f>HarvestedAreas_TCD_Uganda!I15</f>
        <v>299112</v>
      </c>
      <c r="J84" s="108">
        <f t="shared" si="76"/>
        <v>314067.60000000003</v>
      </c>
      <c r="K84" s="108">
        <f t="shared" si="70"/>
        <v>329770.98000000004</v>
      </c>
      <c r="L84" s="108">
        <f t="shared" si="71"/>
        <v>346259.52900000004</v>
      </c>
      <c r="M84" s="108">
        <f t="shared" si="72"/>
        <v>363572.50545000006</v>
      </c>
      <c r="O84" s="110">
        <f t="shared" si="73"/>
        <v>-9.633756731466836E-2</v>
      </c>
      <c r="P84" s="110">
        <f t="shared" si="74"/>
        <v>8.6818449374677531E-2</v>
      </c>
      <c r="Q84" s="162">
        <v>0.05</v>
      </c>
      <c r="R84" s="176"/>
      <c r="S84" s="139"/>
      <c r="T84" s="138"/>
    </row>
    <row r="85" spans="4:20" ht="13.5" customHeight="1" outlineLevel="1" x14ac:dyDescent="0.25">
      <c r="D85" s="161" t="str">
        <f t="shared" si="75"/>
        <v>Sunflower seed</v>
      </c>
      <c r="E85" s="164">
        <f>HarvestedAreas_TCD_Uganda!E16</f>
        <v>256000</v>
      </c>
      <c r="F85" s="164">
        <f>HarvestedAreas_TCD_Uganda!F16</f>
        <v>272000</v>
      </c>
      <c r="G85" s="164">
        <f>HarvestedAreas_TCD_Uganda!G16</f>
        <v>265000</v>
      </c>
      <c r="H85" s="164">
        <f>HarvestedAreas_TCD_Uganda!H16</f>
        <v>275000</v>
      </c>
      <c r="I85" s="164">
        <f>HarvestedAreas_TCD_Uganda!I16</f>
        <v>280000</v>
      </c>
      <c r="J85" s="108">
        <f t="shared" si="76"/>
        <v>294000</v>
      </c>
      <c r="K85" s="108">
        <f t="shared" si="70"/>
        <v>308700</v>
      </c>
      <c r="L85" s="108">
        <f t="shared" si="71"/>
        <v>324135</v>
      </c>
      <c r="M85" s="108">
        <f t="shared" si="72"/>
        <v>340341.75</v>
      </c>
      <c r="O85" s="110">
        <f t="shared" si="73"/>
        <v>2.265587230876176E-2</v>
      </c>
      <c r="P85" s="110">
        <f t="shared" si="74"/>
        <v>1.8181818181818077E-2</v>
      </c>
      <c r="Q85" s="162">
        <v>0.05</v>
      </c>
      <c r="R85" s="176"/>
      <c r="S85" s="139"/>
      <c r="T85" s="138"/>
    </row>
    <row r="86" spans="4:20" ht="13.5" customHeight="1" outlineLevel="1" x14ac:dyDescent="0.25">
      <c r="D86" s="161" t="str">
        <f t="shared" si="75"/>
        <v>Sesame seed</v>
      </c>
      <c r="E86" s="164">
        <f>HarvestedAreas_TCD_Uganda!E17</f>
        <v>208000</v>
      </c>
      <c r="F86" s="164">
        <f>HarvestedAreas_TCD_Uganda!F17</f>
        <v>213000</v>
      </c>
      <c r="G86" s="164">
        <f>HarvestedAreas_TCD_Uganda!G17</f>
        <v>212000</v>
      </c>
      <c r="H86" s="164">
        <f>HarvestedAreas_TCD_Uganda!H17</f>
        <v>215000</v>
      </c>
      <c r="I86" s="164">
        <f>HarvestedAreas_TCD_Uganda!I17</f>
        <v>215000</v>
      </c>
      <c r="J86" s="108">
        <f t="shared" si="76"/>
        <v>225750</v>
      </c>
      <c r="K86" s="108">
        <f t="shared" si="70"/>
        <v>237037.5</v>
      </c>
      <c r="L86" s="108">
        <f t="shared" si="71"/>
        <v>248889.375</v>
      </c>
      <c r="M86" s="108">
        <f t="shared" si="72"/>
        <v>261333.84375</v>
      </c>
      <c r="O86" s="110">
        <f t="shared" si="73"/>
        <v>8.3093194469452403E-3</v>
      </c>
      <c r="P86" s="110">
        <f t="shared" si="74"/>
        <v>0</v>
      </c>
      <c r="Q86" s="162">
        <v>0.05</v>
      </c>
      <c r="R86" s="176"/>
      <c r="S86" s="139"/>
      <c r="T86" s="138"/>
    </row>
    <row r="87" spans="4:20" ht="13.5" customHeight="1" outlineLevel="1" x14ac:dyDescent="0.25">
      <c r="D87" s="161" t="str">
        <f t="shared" si="75"/>
        <v>Sorghum</v>
      </c>
      <c r="E87" s="164">
        <f>HarvestedAreas_TCD_Uganda!E18</f>
        <v>193724</v>
      </c>
      <c r="F87" s="164">
        <f>HarvestedAreas_TCD_Uganda!F18</f>
        <v>282663</v>
      </c>
      <c r="G87" s="164">
        <f>HarvestedAreas_TCD_Uganda!G18</f>
        <v>105210</v>
      </c>
      <c r="H87" s="164">
        <f>HarvestedAreas_TCD_Uganda!H18</f>
        <v>180413</v>
      </c>
      <c r="I87" s="164">
        <f>HarvestedAreas_TCD_Uganda!I18</f>
        <v>228855</v>
      </c>
      <c r="J87" s="108">
        <f t="shared" si="76"/>
        <v>240297.75</v>
      </c>
      <c r="K87" s="108">
        <f t="shared" si="70"/>
        <v>252312.63750000001</v>
      </c>
      <c r="L87" s="108">
        <f t="shared" si="71"/>
        <v>264928.26937500003</v>
      </c>
      <c r="M87" s="108">
        <f t="shared" si="72"/>
        <v>278174.68284375005</v>
      </c>
      <c r="O87" s="110">
        <f t="shared" si="73"/>
        <v>4.254364277555811E-2</v>
      </c>
      <c r="P87" s="110">
        <f t="shared" si="74"/>
        <v>0.26850614977856369</v>
      </c>
      <c r="Q87" s="162">
        <v>0.05</v>
      </c>
      <c r="R87" s="176"/>
      <c r="S87" s="139"/>
      <c r="T87" s="138"/>
    </row>
    <row r="88" spans="4:20" ht="13.5" customHeight="1" outlineLevel="1" x14ac:dyDescent="0.25">
      <c r="D88" s="161" t="str">
        <f t="shared" si="75"/>
        <v>Other vegetables, fresh n.e.c.</v>
      </c>
      <c r="E88" s="164">
        <f>HarvestedAreas_TCD_Uganda!E19</f>
        <v>151838</v>
      </c>
      <c r="F88" s="164">
        <f>HarvestedAreas_TCD_Uganda!F19</f>
        <v>153189</v>
      </c>
      <c r="G88" s="164">
        <f>HarvestedAreas_TCD_Uganda!G19</f>
        <v>151504</v>
      </c>
      <c r="H88" s="164">
        <f>HarvestedAreas_TCD_Uganda!H19</f>
        <v>152177</v>
      </c>
      <c r="I88" s="164">
        <f>HarvestedAreas_TCD_Uganda!I19</f>
        <v>152290</v>
      </c>
      <c r="J88" s="108">
        <f t="shared" si="76"/>
        <v>159904.5</v>
      </c>
      <c r="K88" s="108">
        <f t="shared" si="70"/>
        <v>167899.72500000001</v>
      </c>
      <c r="L88" s="108">
        <f t="shared" si="71"/>
        <v>176294.71125000002</v>
      </c>
      <c r="M88" s="108">
        <f t="shared" si="72"/>
        <v>185109.44681250004</v>
      </c>
      <c r="O88" s="110">
        <f t="shared" si="73"/>
        <v>7.4338488580316664E-4</v>
      </c>
      <c r="P88" s="110">
        <f t="shared" si="74"/>
        <v>7.4255636528519631E-4</v>
      </c>
      <c r="Q88" s="162">
        <v>0.05</v>
      </c>
      <c r="R88" s="176"/>
      <c r="S88" s="139"/>
      <c r="T88" s="138"/>
    </row>
    <row r="89" spans="4:20" ht="13.5" customHeight="1" outlineLevel="1" x14ac:dyDescent="0.25">
      <c r="D89" s="161" t="str">
        <f t="shared" si="75"/>
        <v>Seed cotton, unginned</v>
      </c>
      <c r="E89" s="164">
        <f>HarvestedAreas_TCD_Uganda!E20</f>
        <v>96000</v>
      </c>
      <c r="F89" s="164">
        <f>HarvestedAreas_TCD_Uganda!F20</f>
        <v>80000</v>
      </c>
      <c r="G89" s="164">
        <f>HarvestedAreas_TCD_Uganda!G20</f>
        <v>90000</v>
      </c>
      <c r="H89" s="164">
        <f>HarvestedAreas_TCD_Uganda!H20</f>
        <v>94000</v>
      </c>
      <c r="I89" s="164">
        <f>HarvestedAreas_TCD_Uganda!I20</f>
        <v>99000</v>
      </c>
      <c r="J89" s="108">
        <f t="shared" si="76"/>
        <v>103950</v>
      </c>
      <c r="K89" s="108">
        <f t="shared" si="70"/>
        <v>109147.5</v>
      </c>
      <c r="L89" s="108">
        <f t="shared" si="71"/>
        <v>114604.875</v>
      </c>
      <c r="M89" s="108">
        <f t="shared" si="72"/>
        <v>120335.11875000001</v>
      </c>
      <c r="O89" s="110">
        <f t="shared" si="73"/>
        <v>7.7225811598622407E-3</v>
      </c>
      <c r="P89" s="110">
        <f t="shared" si="74"/>
        <v>5.3191489361702038E-2</v>
      </c>
      <c r="Q89" s="162">
        <v>0.05</v>
      </c>
      <c r="R89" s="176"/>
      <c r="S89" s="139"/>
      <c r="T89" s="138"/>
    </row>
    <row r="90" spans="4:20" ht="13.5" customHeight="1" outlineLevel="1" x14ac:dyDescent="0.25">
      <c r="D90" s="161" t="str">
        <f t="shared" si="75"/>
        <v>Rice</v>
      </c>
      <c r="E90" s="164">
        <f>HarvestedAreas_TCD_Uganda!E21</f>
        <v>71501</v>
      </c>
      <c r="F90" s="164">
        <f>HarvestedAreas_TCD_Uganda!F21</f>
        <v>72310</v>
      </c>
      <c r="G90" s="164">
        <f>HarvestedAreas_TCD_Uganda!G21</f>
        <v>58250</v>
      </c>
      <c r="H90" s="164">
        <f>HarvestedAreas_TCD_Uganda!H21</f>
        <v>127675</v>
      </c>
      <c r="I90" s="164">
        <f>HarvestedAreas_TCD_Uganda!I21</f>
        <v>101325</v>
      </c>
      <c r="J90" s="108">
        <f t="shared" si="76"/>
        <v>110552.28834627529</v>
      </c>
      <c r="K90" s="108">
        <f t="shared" si="70"/>
        <v>120619.87129136933</v>
      </c>
      <c r="L90" s="108">
        <f t="shared" si="71"/>
        <v>131604.27131797757</v>
      </c>
      <c r="M90" s="108">
        <f t="shared" si="72"/>
        <v>143588.97952476196</v>
      </c>
      <c r="O90" s="110">
        <f t="shared" si="73"/>
        <v>9.1066255576366162E-2</v>
      </c>
      <c r="P90" s="110">
        <f t="shared" si="74"/>
        <v>-0.20638339533972982</v>
      </c>
      <c r="Q90" s="162">
        <f>MAX(O90:P90)</f>
        <v>9.1066255576366162E-2</v>
      </c>
      <c r="R90" s="176" t="s">
        <v>264</v>
      </c>
      <c r="S90" s="139"/>
      <c r="T90" s="138"/>
    </row>
    <row r="91" spans="4:20" ht="13.5" customHeight="1" outlineLevel="1" x14ac:dyDescent="0.25">
      <c r="D91" s="161" t="str">
        <f t="shared" si="75"/>
        <v>Onions and shallots, dry (excluding dehydrated)</v>
      </c>
      <c r="E91" s="164">
        <f>HarvestedAreas_TCD_Uganda!E22</f>
        <v>81170</v>
      </c>
      <c r="F91" s="164">
        <f>HarvestedAreas_TCD_Uganda!F22</f>
        <v>81212</v>
      </c>
      <c r="G91" s="164">
        <f>HarvestedAreas_TCD_Uganda!G22</f>
        <v>80434</v>
      </c>
      <c r="H91" s="164">
        <f>HarvestedAreas_TCD_Uganda!H22</f>
        <v>80939</v>
      </c>
      <c r="I91" s="164">
        <f>HarvestedAreas_TCD_Uganda!I22</f>
        <v>80862</v>
      </c>
      <c r="J91" s="108">
        <f t="shared" si="76"/>
        <v>84905.1</v>
      </c>
      <c r="K91" s="108">
        <f t="shared" si="70"/>
        <v>89150.35500000001</v>
      </c>
      <c r="L91" s="108">
        <f t="shared" si="71"/>
        <v>93607.87275000001</v>
      </c>
      <c r="M91" s="108">
        <f t="shared" si="72"/>
        <v>98288.266387500014</v>
      </c>
      <c r="O91" s="110">
        <f t="shared" si="73"/>
        <v>-9.4997917331030024E-4</v>
      </c>
      <c r="P91" s="110">
        <f t="shared" si="74"/>
        <v>-9.5133372045619335E-4</v>
      </c>
      <c r="Q91" s="162">
        <v>0.05</v>
      </c>
      <c r="R91" s="176"/>
      <c r="S91" s="139"/>
      <c r="T91" s="138"/>
    </row>
    <row r="92" spans="4:20" ht="13.5" customHeight="1" outlineLevel="1" x14ac:dyDescent="0.25">
      <c r="D92" s="161" t="str">
        <f t="shared" si="75"/>
        <v>Sugar cane</v>
      </c>
      <c r="E92" s="164">
        <f>HarvestedAreas_TCD_Uganda!E23</f>
        <v>76000</v>
      </c>
      <c r="F92" s="164">
        <f>HarvestedAreas_TCD_Uganda!F23</f>
        <v>79000</v>
      </c>
      <c r="G92" s="164">
        <f>HarvestedAreas_TCD_Uganda!G23</f>
        <v>78000</v>
      </c>
      <c r="H92" s="164">
        <f>HarvestedAreas_TCD_Uganda!H23</f>
        <v>75404</v>
      </c>
      <c r="I92" s="164">
        <f>HarvestedAreas_TCD_Uganda!I23</f>
        <v>85313</v>
      </c>
      <c r="J92" s="108">
        <f t="shared" si="76"/>
        <v>96524.162763248634</v>
      </c>
      <c r="K92" s="108">
        <f t="shared" si="70"/>
        <v>109208.60826774483</v>
      </c>
      <c r="L92" s="108">
        <f t="shared" si="71"/>
        <v>123559.94373171336</v>
      </c>
      <c r="M92" s="108">
        <f t="shared" si="72"/>
        <v>139797.21870966608</v>
      </c>
      <c r="O92" s="110">
        <f t="shared" si="73"/>
        <v>2.9319986029821665E-2</v>
      </c>
      <c r="P92" s="110">
        <f t="shared" si="74"/>
        <v>0.1314121266776298</v>
      </c>
      <c r="Q92" s="162">
        <f>MAX(O92:P92)</f>
        <v>0.1314121266776298</v>
      </c>
      <c r="R92" s="176" t="s">
        <v>264</v>
      </c>
      <c r="S92" s="139"/>
      <c r="T92" s="138"/>
    </row>
    <row r="93" spans="4:20" ht="13.5" customHeight="1" outlineLevel="1" x14ac:dyDescent="0.25">
      <c r="D93" s="161" t="str">
        <f t="shared" si="75"/>
        <v>Millet</v>
      </c>
      <c r="E93" s="164">
        <f>HarvestedAreas_TCD_Uganda!E24</f>
        <v>130061</v>
      </c>
      <c r="F93" s="164">
        <f>HarvestedAreas_TCD_Uganda!F24</f>
        <v>100108</v>
      </c>
      <c r="G93" s="164">
        <f>HarvestedAreas_TCD_Uganda!G24</f>
        <v>50890</v>
      </c>
      <c r="H93" s="164">
        <f>HarvestedAreas_TCD_Uganda!H24</f>
        <v>49602</v>
      </c>
      <c r="I93" s="164">
        <f>HarvestedAreas_TCD_Uganda!I24</f>
        <v>55590</v>
      </c>
      <c r="J93" s="108">
        <f t="shared" si="76"/>
        <v>58369.5</v>
      </c>
      <c r="K93" s="108">
        <f t="shared" si="70"/>
        <v>61287.975000000006</v>
      </c>
      <c r="L93" s="108">
        <f t="shared" si="71"/>
        <v>64352.373750000006</v>
      </c>
      <c r="M93" s="108">
        <f t="shared" si="72"/>
        <v>67569.992437500012</v>
      </c>
      <c r="O93" s="110">
        <f t="shared" si="73"/>
        <v>-0.19143973263790481</v>
      </c>
      <c r="P93" s="110">
        <f t="shared" si="74"/>
        <v>0.12072093867182776</v>
      </c>
      <c r="Q93" s="162">
        <v>0.05</v>
      </c>
      <c r="R93" s="176" t="s">
        <v>269</v>
      </c>
      <c r="S93" s="139"/>
      <c r="T93" s="138"/>
    </row>
    <row r="94" spans="4:20" ht="13.5" customHeight="1" outlineLevel="1" x14ac:dyDescent="0.25">
      <c r="D94" s="161" t="str">
        <f t="shared" si="75"/>
        <v>Cocoa beans</v>
      </c>
      <c r="E94" s="164">
        <f>HarvestedAreas_TCD_Uganda!E25</f>
        <v>74132</v>
      </c>
      <c r="F94" s="164">
        <f>HarvestedAreas_TCD_Uganda!F25</f>
        <v>73108</v>
      </c>
      <c r="G94" s="164">
        <f>HarvestedAreas_TCD_Uganda!G25</f>
        <v>72399</v>
      </c>
      <c r="H94" s="164">
        <f>HarvestedAreas_TCD_Uganda!H25</f>
        <v>71040</v>
      </c>
      <c r="I94" s="164">
        <f>HarvestedAreas_TCD_Uganda!I25</f>
        <v>79694</v>
      </c>
      <c r="J94" s="108">
        <f t="shared" si="76"/>
        <v>89402.218975225231</v>
      </c>
      <c r="K94" s="108">
        <f t="shared" si="70"/>
        <v>100293.08050410473</v>
      </c>
      <c r="L94" s="108">
        <f t="shared" si="71"/>
        <v>112510.65255763124</v>
      </c>
      <c r="M94" s="108">
        <f t="shared" si="72"/>
        <v>126216.55327882693</v>
      </c>
      <c r="O94" s="110">
        <f t="shared" si="73"/>
        <v>1.8251309096911861E-2</v>
      </c>
      <c r="P94" s="110">
        <f t="shared" si="74"/>
        <v>0.1218186936936938</v>
      </c>
      <c r="Q94" s="162">
        <f>MAX(O94:P94)</f>
        <v>0.1218186936936938</v>
      </c>
      <c r="R94" s="176" t="s">
        <v>268</v>
      </c>
      <c r="S94" s="139"/>
      <c r="T94" s="138"/>
    </row>
    <row r="95" spans="4:20" ht="13.5" customHeight="1" outlineLevel="1" x14ac:dyDescent="0.25">
      <c r="D95" s="161" t="str">
        <f t="shared" si="75"/>
        <v>Other oil seeds, n.e.c.</v>
      </c>
      <c r="E95" s="164">
        <f>HarvestedAreas_TCD_Uganda!E26</f>
        <v>53320</v>
      </c>
      <c r="F95" s="164">
        <f>HarvestedAreas_TCD_Uganda!F26</f>
        <v>52362</v>
      </c>
      <c r="G95" s="164">
        <f>HarvestedAreas_TCD_Uganda!G26</f>
        <v>52677</v>
      </c>
      <c r="H95" s="164">
        <f>HarvestedAreas_TCD_Uganda!H26</f>
        <v>52786</v>
      </c>
      <c r="I95" s="164">
        <f>HarvestedAreas_TCD_Uganda!I26</f>
        <v>52608</v>
      </c>
      <c r="J95" s="108">
        <f t="shared" si="76"/>
        <v>52431.490547369533</v>
      </c>
      <c r="K95" s="108">
        <f t="shared" si="70"/>
        <v>52255.573316204769</v>
      </c>
      <c r="L95" s="108">
        <f t="shared" si="71"/>
        <v>52080.246319494487</v>
      </c>
      <c r="M95" s="108">
        <f t="shared" si="72"/>
        <v>51905.507576894233</v>
      </c>
      <c r="O95" s="110">
        <f t="shared" si="73"/>
        <v>-3.3551827218383234E-3</v>
      </c>
      <c r="P95" s="110">
        <f t="shared" si="74"/>
        <v>-3.3721062402909396E-3</v>
      </c>
      <c r="Q95" s="162">
        <f t="shared" ref="Q95:Q97" si="77">MAX(O95:P95)</f>
        <v>-3.3551827218383234E-3</v>
      </c>
      <c r="R95" s="176" t="s">
        <v>267</v>
      </c>
      <c r="S95" s="139"/>
      <c r="T95" s="138"/>
    </row>
    <row r="96" spans="4:20" ht="13.5" customHeight="1" outlineLevel="1" x14ac:dyDescent="0.25">
      <c r="D96" s="161" t="str">
        <f t="shared" si="75"/>
        <v>Soya beans</v>
      </c>
      <c r="E96" s="164">
        <f>HarvestedAreas_TCD_Uganda!E27</f>
        <v>47000</v>
      </c>
      <c r="F96" s="164">
        <f>HarvestedAreas_TCD_Uganda!F27</f>
        <v>47000</v>
      </c>
      <c r="G96" s="164">
        <f>HarvestedAreas_TCD_Uganda!G27</f>
        <v>50000</v>
      </c>
      <c r="H96" s="164">
        <f>HarvestedAreas_TCD_Uganda!H27</f>
        <v>52000</v>
      </c>
      <c r="I96" s="164">
        <f>HarvestedAreas_TCD_Uganda!I27</f>
        <v>50000</v>
      </c>
      <c r="J96" s="108">
        <f t="shared" si="76"/>
        <v>50779.455645437789</v>
      </c>
      <c r="K96" s="108">
        <f t="shared" si="70"/>
        <v>51571.06231293967</v>
      </c>
      <c r="L96" s="108">
        <f t="shared" si="71"/>
        <v>52375.009426160563</v>
      </c>
      <c r="M96" s="108">
        <f t="shared" si="72"/>
        <v>53191.48936170213</v>
      </c>
      <c r="O96" s="110">
        <f t="shared" si="73"/>
        <v>1.5589112908755753E-2</v>
      </c>
      <c r="P96" s="110">
        <f t="shared" si="74"/>
        <v>-3.8461538461538436E-2</v>
      </c>
      <c r="Q96" s="162">
        <f t="shared" si="77"/>
        <v>1.5589112908755753E-2</v>
      </c>
      <c r="R96" s="176" t="s">
        <v>267</v>
      </c>
      <c r="S96" s="139"/>
      <c r="T96" s="138"/>
    </row>
    <row r="97" spans="2:20" ht="13.5" customHeight="1" outlineLevel="1" x14ac:dyDescent="0.25">
      <c r="D97" s="161" t="str">
        <f t="shared" si="75"/>
        <v>Pigeon peas, dry</v>
      </c>
      <c r="E97" s="164">
        <f>HarvestedAreas_TCD_Uganda!E28</f>
        <v>39449</v>
      </c>
      <c r="F97" s="164">
        <f>HarvestedAreas_TCD_Uganda!F28</f>
        <v>42184</v>
      </c>
      <c r="G97" s="164">
        <f>HarvestedAreas_TCD_Uganda!G28</f>
        <v>50310</v>
      </c>
      <c r="H97" s="164">
        <f>HarvestedAreas_TCD_Uganda!H28</f>
        <v>43228</v>
      </c>
      <c r="I97" s="164">
        <f>HarvestedAreas_TCD_Uganda!I28</f>
        <v>44394</v>
      </c>
      <c r="J97" s="108">
        <f t="shared" si="76"/>
        <v>45724.224399940489</v>
      </c>
      <c r="K97" s="108">
        <f t="shared" si="70"/>
        <v>47094.307721226141</v>
      </c>
      <c r="L97" s="108">
        <f t="shared" si="71"/>
        <v>48505.444298896116</v>
      </c>
      <c r="M97" s="108">
        <f t="shared" si="72"/>
        <v>49958.864255114204</v>
      </c>
      <c r="O97" s="110">
        <f t="shared" si="73"/>
        <v>2.9964058204723365E-2</v>
      </c>
      <c r="P97" s="110">
        <f t="shared" si="74"/>
        <v>2.6973258073470952E-2</v>
      </c>
      <c r="Q97" s="162">
        <f t="shared" si="77"/>
        <v>2.9964058204723365E-2</v>
      </c>
      <c r="R97" s="176" t="s">
        <v>267</v>
      </c>
      <c r="S97" s="139"/>
      <c r="T97" s="138"/>
    </row>
    <row r="98" spans="2:20" ht="13.5" customHeight="1" outlineLevel="1" x14ac:dyDescent="0.25">
      <c r="D98" s="161" t="str">
        <f t="shared" si="75"/>
        <v>Potatoes</v>
      </c>
      <c r="E98" s="164">
        <f>HarvestedAreas_TCD_Uganda!E29</f>
        <v>39300</v>
      </c>
      <c r="F98" s="164">
        <f>HarvestedAreas_TCD_Uganda!F29</f>
        <v>47425</v>
      </c>
      <c r="G98" s="164">
        <f>HarvestedAreas_TCD_Uganda!G29</f>
        <v>44310</v>
      </c>
      <c r="H98" s="164">
        <f>HarvestedAreas_TCD_Uganda!H29</f>
        <v>40936</v>
      </c>
      <c r="I98" s="164">
        <f>HarvestedAreas_TCD_Uganda!I29</f>
        <v>40372</v>
      </c>
      <c r="J98" s="108">
        <f t="shared" si="76"/>
        <v>40644.538165821628</v>
      </c>
      <c r="K98" s="108">
        <f t="shared" si="70"/>
        <v>40918.916147650125</v>
      </c>
      <c r="L98" s="108">
        <f t="shared" si="71"/>
        <v>41195.146365481531</v>
      </c>
      <c r="M98" s="108">
        <f t="shared" si="72"/>
        <v>41473.241323155205</v>
      </c>
      <c r="O98" s="110">
        <f t="shared" si="73"/>
        <v>6.7506728876851607E-3</v>
      </c>
      <c r="P98" s="110">
        <f t="shared" si="74"/>
        <v>-1.3777604064881821E-2</v>
      </c>
      <c r="Q98" s="162">
        <f>MAX(O98:P98)</f>
        <v>6.7506728876851607E-3</v>
      </c>
      <c r="R98" s="176"/>
      <c r="S98" s="139"/>
      <c r="T98" s="138"/>
    </row>
    <row r="99" spans="2:20" ht="13.5" customHeight="1" outlineLevel="1" x14ac:dyDescent="0.25">
      <c r="D99" s="161" t="str">
        <f t="shared" si="75"/>
        <v>Tea leaves</v>
      </c>
      <c r="E99" s="164">
        <f>HarvestedAreas_TCD_Uganda!E30</f>
        <v>24368</v>
      </c>
      <c r="F99" s="164">
        <f>HarvestedAreas_TCD_Uganda!F30</f>
        <v>34939</v>
      </c>
      <c r="G99" s="164">
        <f>HarvestedAreas_TCD_Uganda!G30</f>
        <v>28569</v>
      </c>
      <c r="H99" s="164">
        <f>HarvestedAreas_TCD_Uganda!H30</f>
        <v>35729</v>
      </c>
      <c r="I99" s="164">
        <f>HarvestedAreas_TCD_Uganda!I30</f>
        <v>34691</v>
      </c>
      <c r="J99" s="108">
        <f t="shared" si="76"/>
        <v>33683.156007724814</v>
      </c>
      <c r="K99" s="108">
        <f t="shared" si="70"/>
        <v>32704.591929916358</v>
      </c>
      <c r="L99" s="108">
        <f t="shared" si="71"/>
        <v>31754.457125604644</v>
      </c>
      <c r="M99" s="108">
        <f t="shared" si="72"/>
        <v>30831.925666667154</v>
      </c>
      <c r="O99" s="110">
        <f t="shared" si="73"/>
        <v>9.2318359449445664E-2</v>
      </c>
      <c r="P99" s="110">
        <f t="shared" si="74"/>
        <v>-2.9052030563407882E-2</v>
      </c>
      <c r="Q99" s="162">
        <f>P99</f>
        <v>-2.9052030563407882E-2</v>
      </c>
      <c r="R99" s="176"/>
      <c r="S99" s="139"/>
      <c r="T99" s="138"/>
    </row>
    <row r="100" spans="2:20" ht="13.5" customHeight="1" outlineLevel="1" x14ac:dyDescent="0.25">
      <c r="D100" s="161" t="str">
        <f t="shared" si="75"/>
        <v>Cow peas, dry</v>
      </c>
      <c r="E100" s="164">
        <f>HarvestedAreas_TCD_Uganda!E31</f>
        <v>26707</v>
      </c>
      <c r="F100" s="164">
        <f>HarvestedAreas_TCD_Uganda!F31</f>
        <v>27568</v>
      </c>
      <c r="G100" s="164">
        <f>HarvestedAreas_TCD_Uganda!G31</f>
        <v>29126</v>
      </c>
      <c r="H100" s="164">
        <f>HarvestedAreas_TCD_Uganda!H31</f>
        <v>32187</v>
      </c>
      <c r="I100" s="164">
        <f>HarvestedAreas_TCD_Uganda!I31</f>
        <v>33215</v>
      </c>
      <c r="J100" s="108">
        <f t="shared" si="76"/>
        <v>35076.119772361657</v>
      </c>
      <c r="K100" s="108">
        <f t="shared" si="70"/>
        <v>37041.522754329686</v>
      </c>
      <c r="L100" s="108">
        <f t="shared" si="71"/>
        <v>39117.052195740711</v>
      </c>
      <c r="M100" s="108">
        <f t="shared" si="72"/>
        <v>41308.878758377956</v>
      </c>
      <c r="O100" s="110">
        <f t="shared" si="73"/>
        <v>5.6032508576295603E-2</v>
      </c>
      <c r="P100" s="110">
        <f t="shared" si="74"/>
        <v>3.1938360207537153E-2</v>
      </c>
      <c r="Q100" s="162">
        <f t="shared" ref="Q100:Q101" si="78">MAX(O100:P100)</f>
        <v>5.6032508576295603E-2</v>
      </c>
      <c r="R100" s="176" t="s">
        <v>267</v>
      </c>
      <c r="S100" s="139"/>
      <c r="T100" s="138"/>
    </row>
    <row r="101" spans="2:20" ht="13.5" customHeight="1" outlineLevel="1" x14ac:dyDescent="0.25">
      <c r="D101" s="161" t="str">
        <f t="shared" si="75"/>
        <v>Peas, dry</v>
      </c>
      <c r="E101" s="164">
        <f>HarvestedAreas_TCD_Uganda!E32</f>
        <v>25813</v>
      </c>
      <c r="F101" s="164">
        <f>HarvestedAreas_TCD_Uganda!F32</f>
        <v>23577</v>
      </c>
      <c r="G101" s="164">
        <f>HarvestedAreas_TCD_Uganda!G32</f>
        <v>25175</v>
      </c>
      <c r="H101" s="164">
        <f>HarvestedAreas_TCD_Uganda!H32</f>
        <v>27320</v>
      </c>
      <c r="I101" s="164">
        <f>HarvestedAreas_TCD_Uganda!I32</f>
        <v>27303</v>
      </c>
      <c r="J101" s="108">
        <f t="shared" si="76"/>
        <v>27688.74942040809</v>
      </c>
      <c r="K101" s="108">
        <f t="shared" si="70"/>
        <v>28079.948887160728</v>
      </c>
      <c r="L101" s="108">
        <f t="shared" si="71"/>
        <v>28476.675401035063</v>
      </c>
      <c r="M101" s="108">
        <f t="shared" si="72"/>
        <v>28879.007050710872</v>
      </c>
      <c r="O101" s="110">
        <f t="shared" si="73"/>
        <v>1.4128462821231702E-2</v>
      </c>
      <c r="P101" s="110">
        <f t="shared" si="74"/>
        <v>-6.2225475841870548E-4</v>
      </c>
      <c r="Q101" s="162">
        <f t="shared" si="78"/>
        <v>1.4128462821231702E-2</v>
      </c>
      <c r="R101" s="176" t="s">
        <v>267</v>
      </c>
      <c r="S101" s="139"/>
      <c r="T101" s="138"/>
    </row>
    <row r="102" spans="2:20" ht="13.5" customHeight="1" outlineLevel="1" thickBot="1" x14ac:dyDescent="0.3">
      <c r="D102" s="80" t="s">
        <v>31</v>
      </c>
      <c r="E102" s="165">
        <f t="shared" ref="E102:M102" si="79">SUM(E78:E101)</f>
        <v>6942250</v>
      </c>
      <c r="F102" s="165">
        <f t="shared" si="79"/>
        <v>6853803</v>
      </c>
      <c r="G102" s="165">
        <f t="shared" si="79"/>
        <v>6800868</v>
      </c>
      <c r="H102" s="165">
        <f t="shared" si="79"/>
        <v>8184557</v>
      </c>
      <c r="I102" s="165">
        <f t="shared" si="79"/>
        <v>7367419</v>
      </c>
      <c r="J102" s="109">
        <f t="shared" si="79"/>
        <v>7783235.5722479401</v>
      </c>
      <c r="K102" s="109">
        <f t="shared" si="79"/>
        <v>8227300.0612393636</v>
      </c>
      <c r="L102" s="109">
        <f t="shared" si="79"/>
        <v>8701785.5909646675</v>
      </c>
      <c r="M102" s="109">
        <f t="shared" si="79"/>
        <v>9209054.4897833299</v>
      </c>
      <c r="O102" s="111">
        <f t="shared" si="73"/>
        <v>1.4971342360485362E-2</v>
      </c>
      <c r="P102" s="111">
        <f t="shared" si="74"/>
        <v>-9.9839001671073957E-2</v>
      </c>
      <c r="Q102" s="125">
        <f>IFERROR(_xlfn.RRI($M$77-$I$77,I102,M102),0)</f>
        <v>5.7364969743347594E-2</v>
      </c>
    </row>
    <row r="103" spans="2:20" ht="13.5" customHeight="1" thickTop="1" x14ac:dyDescent="0.25">
      <c r="Q103" s="163"/>
    </row>
    <row r="104" spans="2:20" ht="13.5" customHeight="1" x14ac:dyDescent="0.35">
      <c r="B104" s="29">
        <v>3</v>
      </c>
      <c r="C104" s="29" t="s">
        <v>32</v>
      </c>
      <c r="D104" s="28" t="s">
        <v>33</v>
      </c>
      <c r="I104" s="2">
        <f>(I82+I83+I86+I96+I97+I101+I100)*31/1000000</f>
        <v>36.017721999999999</v>
      </c>
    </row>
    <row r="106" spans="2:20" ht="13.5" customHeight="1" x14ac:dyDescent="0.3">
      <c r="D106" s="32" t="s">
        <v>22</v>
      </c>
      <c r="R106" s="81"/>
    </row>
    <row r="107" spans="2:20" ht="13.5" customHeight="1" x14ac:dyDescent="0.3">
      <c r="D107" s="33" t="s">
        <v>34</v>
      </c>
      <c r="O107" s="39" t="s">
        <v>24</v>
      </c>
    </row>
    <row r="108" spans="2:20" ht="13.5" customHeight="1" outlineLevel="1" x14ac:dyDescent="0.25">
      <c r="E108" s="370" t="s">
        <v>262</v>
      </c>
      <c r="F108" s="371"/>
      <c r="G108" s="371"/>
      <c r="H108" s="371"/>
      <c r="I108" s="372"/>
      <c r="J108" s="134" t="s">
        <v>35</v>
      </c>
      <c r="K108" s="135"/>
      <c r="L108" s="135"/>
      <c r="M108" s="136"/>
      <c r="Q108" s="163"/>
    </row>
    <row r="109" spans="2:20" ht="13.5" customHeight="1" outlineLevel="1" x14ac:dyDescent="0.3">
      <c r="D109" s="44"/>
      <c r="E109" s="34">
        <v>2017</v>
      </c>
      <c r="F109" s="34">
        <v>2018</v>
      </c>
      <c r="G109" s="34">
        <v>2019</v>
      </c>
      <c r="H109" s="34">
        <v>2020</v>
      </c>
      <c r="I109" s="34">
        <v>2021</v>
      </c>
      <c r="J109" s="34">
        <v>2022</v>
      </c>
      <c r="K109" s="34">
        <v>2023</v>
      </c>
      <c r="L109" s="34">
        <v>2024</v>
      </c>
      <c r="M109" s="34">
        <v>2025</v>
      </c>
      <c r="O109" s="30" t="s">
        <v>20</v>
      </c>
      <c r="P109" s="30" t="s">
        <v>27</v>
      </c>
      <c r="Q109" s="38" t="s">
        <v>28</v>
      </c>
      <c r="R109" s="38" t="s">
        <v>36</v>
      </c>
      <c r="S109" s="38" t="s">
        <v>73</v>
      </c>
      <c r="T109" s="35"/>
    </row>
    <row r="110" spans="2:20" ht="13.5" customHeight="1" outlineLevel="1" x14ac:dyDescent="0.25">
      <c r="D110" s="84" t="str">
        <f t="shared" ref="D110:D133" si="80">D78</f>
        <v>Plantains and cooking bananas</v>
      </c>
      <c r="E110" s="141">
        <f t="shared" ref="E110:I119" si="81">E$140*$R110</f>
        <v>0.36988914793754413</v>
      </c>
      <c r="F110" s="141">
        <f t="shared" si="81"/>
        <v>0.73341617583950269</v>
      </c>
      <c r="G110" s="141">
        <f t="shared" si="81"/>
        <v>0.69981580845243452</v>
      </c>
      <c r="H110" s="141">
        <f t="shared" si="81"/>
        <v>0.34052625860445646</v>
      </c>
      <c r="I110" s="141">
        <f t="shared" si="81"/>
        <v>0.6601832853720121</v>
      </c>
      <c r="J110" s="112">
        <f t="shared" ref="J110:M129" si="82">I110*(1+$Q110)</f>
        <v>0.6601832853720121</v>
      </c>
      <c r="K110" s="112">
        <f t="shared" si="82"/>
        <v>0.6601832853720121</v>
      </c>
      <c r="L110" s="112">
        <f t="shared" si="82"/>
        <v>0.6601832853720121</v>
      </c>
      <c r="M110" s="112">
        <f t="shared" si="82"/>
        <v>0.6601832853720121</v>
      </c>
      <c r="O110" s="113">
        <f>IFERROR(_xlfn.RRI($H$109-$E$109,E110,H110),0)</f>
        <v>-2.7193779531285212E-2</v>
      </c>
      <c r="P110" s="114">
        <f t="shared" ref="P110:P133" si="83">IFERROR(_xlfn.RRI($I$109-$H$109,H110,I110),0)</f>
        <v>0.93871476483949579</v>
      </c>
      <c r="Q110" s="241">
        <v>0</v>
      </c>
      <c r="R110" s="163">
        <v>0.5</v>
      </c>
      <c r="S110" s="2" t="s">
        <v>263</v>
      </c>
      <c r="T110" s="42" t="s">
        <v>246</v>
      </c>
    </row>
    <row r="111" spans="2:20" ht="13.5" customHeight="1" outlineLevel="1" x14ac:dyDescent="0.25">
      <c r="D111" s="84" t="str">
        <f t="shared" si="80"/>
        <v>Maize (corn)</v>
      </c>
      <c r="E111" s="141">
        <f t="shared" si="81"/>
        <v>1.8494457396877206</v>
      </c>
      <c r="F111" s="141">
        <f t="shared" si="81"/>
        <v>3.6670808791975134</v>
      </c>
      <c r="G111" s="141">
        <f t="shared" si="81"/>
        <v>3.4990790422621725</v>
      </c>
      <c r="H111" s="141">
        <f t="shared" si="81"/>
        <v>1.7026312930222822</v>
      </c>
      <c r="I111" s="141">
        <f t="shared" si="81"/>
        <v>3.3009164268600606</v>
      </c>
      <c r="J111" s="112">
        <f t="shared" si="82"/>
        <v>3.9610997122320724</v>
      </c>
      <c r="K111" s="112">
        <f t="shared" si="82"/>
        <v>4.7533196546784868</v>
      </c>
      <c r="L111" s="112">
        <f t="shared" si="82"/>
        <v>5.7039835856141838</v>
      </c>
      <c r="M111" s="112">
        <f t="shared" si="82"/>
        <v>6.8447803027370204</v>
      </c>
      <c r="O111" s="113">
        <f t="shared" ref="O111:O133" si="84">IFERROR(_xlfn.RRI($H$109-$E$109,E111,H111),0)</f>
        <v>-2.7193779531285212E-2</v>
      </c>
      <c r="P111" s="114">
        <f t="shared" si="83"/>
        <v>0.93871476483949579</v>
      </c>
      <c r="Q111" s="241">
        <v>0.2</v>
      </c>
      <c r="R111" s="163">
        <v>2.5</v>
      </c>
      <c r="S111" s="2" t="s">
        <v>270</v>
      </c>
      <c r="T111" s="42" t="s">
        <v>122</v>
      </c>
    </row>
    <row r="112" spans="2:20" ht="13.5" customHeight="1" outlineLevel="1" x14ac:dyDescent="0.25">
      <c r="D112" s="84" t="str">
        <f t="shared" si="80"/>
        <v>Cassava, fresh</v>
      </c>
      <c r="E112" s="141">
        <f t="shared" si="81"/>
        <v>0.73977829587508825</v>
      </c>
      <c r="F112" s="141">
        <f t="shared" si="81"/>
        <v>1.4668323516790054</v>
      </c>
      <c r="G112" s="141">
        <f t="shared" si="81"/>
        <v>1.399631616904869</v>
      </c>
      <c r="H112" s="141">
        <f t="shared" si="81"/>
        <v>0.68105251720891291</v>
      </c>
      <c r="I112" s="141">
        <f t="shared" si="81"/>
        <v>1.3203665707440242</v>
      </c>
      <c r="J112" s="112">
        <f t="shared" si="82"/>
        <v>1.3863848992812255</v>
      </c>
      <c r="K112" s="112">
        <f t="shared" si="82"/>
        <v>1.4557041442452869</v>
      </c>
      <c r="L112" s="112">
        <f t="shared" si="82"/>
        <v>1.5284893514575513</v>
      </c>
      <c r="M112" s="112">
        <f t="shared" si="82"/>
        <v>1.6049138190304288</v>
      </c>
      <c r="O112" s="113">
        <f t="shared" si="84"/>
        <v>-2.7193779531285212E-2</v>
      </c>
      <c r="P112" s="114">
        <f t="shared" si="83"/>
        <v>0.93871476483949579</v>
      </c>
      <c r="Q112" s="241">
        <v>0.05</v>
      </c>
      <c r="R112" s="163">
        <v>1</v>
      </c>
      <c r="T112" s="42" t="s">
        <v>135</v>
      </c>
    </row>
    <row r="113" spans="4:20" ht="13.5" customHeight="1" outlineLevel="1" x14ac:dyDescent="0.25">
      <c r="D113" s="84" t="str">
        <f t="shared" si="80"/>
        <v>Coffee, green</v>
      </c>
      <c r="E113" s="141">
        <f t="shared" si="81"/>
        <v>1.1096674438126324</v>
      </c>
      <c r="F113" s="141">
        <f t="shared" si="81"/>
        <v>2.2002485275185082</v>
      </c>
      <c r="G113" s="141">
        <f t="shared" si="81"/>
        <v>2.0994474253573037</v>
      </c>
      <c r="H113" s="141">
        <f t="shared" si="81"/>
        <v>1.0215787758133694</v>
      </c>
      <c r="I113" s="141">
        <f t="shared" si="81"/>
        <v>1.9805498561160362</v>
      </c>
      <c r="J113" s="112">
        <f t="shared" si="82"/>
        <v>2.3766598273392434</v>
      </c>
      <c r="K113" s="112">
        <f t="shared" si="82"/>
        <v>2.8519917928070919</v>
      </c>
      <c r="L113" s="112">
        <f t="shared" si="82"/>
        <v>3.4223901513685102</v>
      </c>
      <c r="M113" s="112">
        <f t="shared" si="82"/>
        <v>4.1068681816422119</v>
      </c>
      <c r="O113" s="113">
        <f t="shared" si="84"/>
        <v>-2.7193779531285212E-2</v>
      </c>
      <c r="P113" s="114">
        <f t="shared" si="83"/>
        <v>0.93871476483949556</v>
      </c>
      <c r="Q113" s="241">
        <v>0.2</v>
      </c>
      <c r="R113" s="163">
        <v>1.5</v>
      </c>
      <c r="S113" s="2" t="s">
        <v>264</v>
      </c>
      <c r="T113" s="42" t="s">
        <v>236</v>
      </c>
    </row>
    <row r="114" spans="4:20" ht="13.5" customHeight="1" outlineLevel="1" x14ac:dyDescent="0.25">
      <c r="D114" s="84" t="str">
        <f t="shared" si="80"/>
        <v>Beans, dry</v>
      </c>
      <c r="E114" s="141">
        <f t="shared" si="81"/>
        <v>0.36988914793754413</v>
      </c>
      <c r="F114" s="141">
        <f t="shared" si="81"/>
        <v>0.73341617583950269</v>
      </c>
      <c r="G114" s="141">
        <f t="shared" si="81"/>
        <v>0.69981580845243452</v>
      </c>
      <c r="H114" s="141">
        <f t="shared" si="81"/>
        <v>0.34052625860445646</v>
      </c>
      <c r="I114" s="141">
        <f t="shared" si="81"/>
        <v>0.6601832853720121</v>
      </c>
      <c r="J114" s="112">
        <f t="shared" si="82"/>
        <v>0.72620161390921334</v>
      </c>
      <c r="K114" s="112">
        <f t="shared" si="82"/>
        <v>0.79882177530013476</v>
      </c>
      <c r="L114" s="112">
        <f t="shared" si="82"/>
        <v>0.87870395283014835</v>
      </c>
      <c r="M114" s="112">
        <f t="shared" si="82"/>
        <v>0.96657434811316323</v>
      </c>
      <c r="O114" s="113">
        <f t="shared" si="84"/>
        <v>-2.7193779531285212E-2</v>
      </c>
      <c r="P114" s="114">
        <f t="shared" si="83"/>
        <v>0.93871476483949579</v>
      </c>
      <c r="Q114" s="241">
        <v>0.1</v>
      </c>
      <c r="R114" s="163">
        <v>0.5</v>
      </c>
      <c r="T114" s="42" t="s">
        <v>133</v>
      </c>
    </row>
    <row r="115" spans="4:20" ht="13.5" customHeight="1" outlineLevel="1" x14ac:dyDescent="0.25">
      <c r="D115" s="84" t="str">
        <f t="shared" si="80"/>
        <v>Groundnuts, excluding shelled</v>
      </c>
      <c r="E115" s="141">
        <f t="shared" si="81"/>
        <v>0.36988914793754413</v>
      </c>
      <c r="F115" s="141">
        <f t="shared" si="81"/>
        <v>0.73341617583950269</v>
      </c>
      <c r="G115" s="141">
        <f t="shared" si="81"/>
        <v>0.69981580845243452</v>
      </c>
      <c r="H115" s="141">
        <f t="shared" si="81"/>
        <v>0.34052625860445646</v>
      </c>
      <c r="I115" s="141">
        <f t="shared" si="81"/>
        <v>0.6601832853720121</v>
      </c>
      <c r="J115" s="112">
        <f t="shared" si="82"/>
        <v>0.72620161390921334</v>
      </c>
      <c r="K115" s="112">
        <f t="shared" si="82"/>
        <v>0.79882177530013476</v>
      </c>
      <c r="L115" s="112">
        <f t="shared" si="82"/>
        <v>0.87870395283014835</v>
      </c>
      <c r="M115" s="112">
        <f t="shared" si="82"/>
        <v>0.96657434811316323</v>
      </c>
      <c r="O115" s="113">
        <f t="shared" si="84"/>
        <v>-2.7193779531285212E-2</v>
      </c>
      <c r="P115" s="114">
        <f t="shared" si="83"/>
        <v>0.93871476483949579</v>
      </c>
      <c r="Q115" s="241">
        <v>0.1</v>
      </c>
      <c r="R115" s="163">
        <v>0.5</v>
      </c>
      <c r="T115" s="42" t="s">
        <v>141</v>
      </c>
    </row>
    <row r="116" spans="4:20" ht="13.5" customHeight="1" outlineLevel="1" x14ac:dyDescent="0.25">
      <c r="D116" s="84" t="str">
        <f t="shared" si="80"/>
        <v>Sweet potatoes</v>
      </c>
      <c r="E116" s="141">
        <f t="shared" si="81"/>
        <v>0.73977829587508825</v>
      </c>
      <c r="F116" s="141">
        <f t="shared" si="81"/>
        <v>1.4668323516790054</v>
      </c>
      <c r="G116" s="141">
        <f t="shared" si="81"/>
        <v>1.399631616904869</v>
      </c>
      <c r="H116" s="141">
        <f t="shared" si="81"/>
        <v>0.68105251720891291</v>
      </c>
      <c r="I116" s="141">
        <f t="shared" si="81"/>
        <v>1.3203665707440242</v>
      </c>
      <c r="J116" s="112">
        <f t="shared" si="82"/>
        <v>1.4524032278184267</v>
      </c>
      <c r="K116" s="112">
        <f t="shared" si="82"/>
        <v>1.5976435506002695</v>
      </c>
      <c r="L116" s="112">
        <f t="shared" si="82"/>
        <v>1.7574079056602967</v>
      </c>
      <c r="M116" s="112">
        <f t="shared" si="82"/>
        <v>1.9331486962263265</v>
      </c>
      <c r="O116" s="113">
        <f t="shared" si="84"/>
        <v>-2.7193779531285212E-2</v>
      </c>
      <c r="P116" s="114">
        <f t="shared" si="83"/>
        <v>0.93871476483949579</v>
      </c>
      <c r="Q116" s="241">
        <v>0.1</v>
      </c>
      <c r="R116" s="163">
        <v>1</v>
      </c>
      <c r="T116" s="42" t="s">
        <v>124</v>
      </c>
    </row>
    <row r="117" spans="4:20" ht="13.5" customHeight="1" outlineLevel="1" x14ac:dyDescent="0.25">
      <c r="D117" s="84" t="str">
        <f t="shared" si="80"/>
        <v>Sunflower seed</v>
      </c>
      <c r="E117" s="141">
        <f t="shared" si="81"/>
        <v>0.36988914793754413</v>
      </c>
      <c r="F117" s="141">
        <f t="shared" si="81"/>
        <v>0.73341617583950269</v>
      </c>
      <c r="G117" s="141">
        <f t="shared" si="81"/>
        <v>0.69981580845243452</v>
      </c>
      <c r="H117" s="141">
        <f t="shared" si="81"/>
        <v>0.34052625860445646</v>
      </c>
      <c r="I117" s="141">
        <f t="shared" si="81"/>
        <v>0.6601832853720121</v>
      </c>
      <c r="J117" s="112">
        <f t="shared" si="82"/>
        <v>0.69319244964061277</v>
      </c>
      <c r="K117" s="112">
        <f t="shared" si="82"/>
        <v>0.72785207212264347</v>
      </c>
      <c r="L117" s="112">
        <f t="shared" si="82"/>
        <v>0.76424467572877564</v>
      </c>
      <c r="M117" s="112">
        <f t="shared" si="82"/>
        <v>0.80245690951521442</v>
      </c>
      <c r="O117" s="113">
        <f t="shared" si="84"/>
        <v>-2.7193779531285212E-2</v>
      </c>
      <c r="P117" s="114">
        <f t="shared" si="83"/>
        <v>0.93871476483949579</v>
      </c>
      <c r="Q117" s="241">
        <v>0.05</v>
      </c>
      <c r="R117" s="163">
        <v>0.5</v>
      </c>
      <c r="T117" s="42" t="s">
        <v>172</v>
      </c>
    </row>
    <row r="118" spans="4:20" ht="13.5" customHeight="1" outlineLevel="1" x14ac:dyDescent="0.25">
      <c r="D118" s="84" t="str">
        <f t="shared" si="80"/>
        <v>Sesame seed</v>
      </c>
      <c r="E118" s="141">
        <f t="shared" si="81"/>
        <v>0.36988914793754413</v>
      </c>
      <c r="F118" s="141">
        <f t="shared" si="81"/>
        <v>0.73341617583950269</v>
      </c>
      <c r="G118" s="141">
        <f t="shared" si="81"/>
        <v>0.69981580845243452</v>
      </c>
      <c r="H118" s="141">
        <f t="shared" si="81"/>
        <v>0.34052625860445646</v>
      </c>
      <c r="I118" s="141">
        <f t="shared" si="81"/>
        <v>0.6601832853720121</v>
      </c>
      <c r="J118" s="112">
        <f t="shared" si="82"/>
        <v>0.72620161390921334</v>
      </c>
      <c r="K118" s="112">
        <f t="shared" si="82"/>
        <v>0.79882177530013476</v>
      </c>
      <c r="L118" s="112">
        <f t="shared" si="82"/>
        <v>0.87870395283014835</v>
      </c>
      <c r="M118" s="112">
        <f t="shared" si="82"/>
        <v>0.96657434811316323</v>
      </c>
      <c r="O118" s="113">
        <f t="shared" si="84"/>
        <v>-2.7193779531285212E-2</v>
      </c>
      <c r="P118" s="114">
        <f t="shared" si="83"/>
        <v>0.93871476483949579</v>
      </c>
      <c r="Q118" s="241">
        <v>0.1</v>
      </c>
      <c r="R118" s="163">
        <v>0.5</v>
      </c>
      <c r="T118" s="42" t="s">
        <v>118</v>
      </c>
    </row>
    <row r="119" spans="4:20" ht="13.5" customHeight="1" outlineLevel="1" x14ac:dyDescent="0.25">
      <c r="D119" s="84" t="str">
        <f t="shared" si="80"/>
        <v>Sorghum</v>
      </c>
      <c r="E119" s="141">
        <f t="shared" si="81"/>
        <v>0.36988914793754413</v>
      </c>
      <c r="F119" s="141">
        <f t="shared" si="81"/>
        <v>0.73341617583950269</v>
      </c>
      <c r="G119" s="141">
        <f t="shared" si="81"/>
        <v>0.69981580845243452</v>
      </c>
      <c r="H119" s="141">
        <f t="shared" si="81"/>
        <v>0.34052625860445646</v>
      </c>
      <c r="I119" s="141">
        <f t="shared" si="81"/>
        <v>0.6601832853720121</v>
      </c>
      <c r="J119" s="112">
        <f t="shared" si="82"/>
        <v>0.69319244964061277</v>
      </c>
      <c r="K119" s="112">
        <f t="shared" si="82"/>
        <v>0.72785207212264347</v>
      </c>
      <c r="L119" s="112">
        <f t="shared" si="82"/>
        <v>0.76424467572877564</v>
      </c>
      <c r="M119" s="112">
        <f t="shared" si="82"/>
        <v>0.80245690951521442</v>
      </c>
      <c r="O119" s="113">
        <f t="shared" si="84"/>
        <v>-2.7193779531285212E-2</v>
      </c>
      <c r="P119" s="114">
        <f t="shared" si="83"/>
        <v>0.93871476483949579</v>
      </c>
      <c r="Q119" s="241">
        <v>0.05</v>
      </c>
      <c r="R119" s="163">
        <v>0.5</v>
      </c>
      <c r="T119" s="42" t="s">
        <v>58</v>
      </c>
    </row>
    <row r="120" spans="4:20" ht="13.5" customHeight="1" outlineLevel="1" x14ac:dyDescent="0.25">
      <c r="D120" s="84" t="str">
        <f t="shared" si="80"/>
        <v>Other vegetables, fresh n.e.c.</v>
      </c>
      <c r="E120" s="141">
        <f t="shared" ref="E120:I133" si="85">E$140*$R120</f>
        <v>0.36988914793754413</v>
      </c>
      <c r="F120" s="141">
        <f t="shared" si="85"/>
        <v>0.73341617583950269</v>
      </c>
      <c r="G120" s="141">
        <f t="shared" si="85"/>
        <v>0.69981580845243452</v>
      </c>
      <c r="H120" s="141">
        <f t="shared" si="85"/>
        <v>0.34052625860445646</v>
      </c>
      <c r="I120" s="141">
        <f t="shared" si="85"/>
        <v>0.6601832853720121</v>
      </c>
      <c r="J120" s="112">
        <f t="shared" si="82"/>
        <v>0.69319244964061277</v>
      </c>
      <c r="K120" s="112">
        <f t="shared" si="82"/>
        <v>0.72785207212264347</v>
      </c>
      <c r="L120" s="112">
        <f t="shared" si="82"/>
        <v>0.76424467572877564</v>
      </c>
      <c r="M120" s="112">
        <f t="shared" si="82"/>
        <v>0.80245690951521442</v>
      </c>
      <c r="O120" s="113">
        <f t="shared" si="84"/>
        <v>-2.7193779531285212E-2</v>
      </c>
      <c r="P120" s="114">
        <f t="shared" si="83"/>
        <v>0.93871476483949579</v>
      </c>
      <c r="Q120" s="241">
        <v>0.05</v>
      </c>
      <c r="R120" s="163">
        <v>0.5</v>
      </c>
      <c r="T120" s="42" t="s">
        <v>121</v>
      </c>
    </row>
    <row r="121" spans="4:20" ht="13.5" customHeight="1" outlineLevel="1" x14ac:dyDescent="0.25">
      <c r="D121" s="84" t="str">
        <f t="shared" si="80"/>
        <v>Seed cotton, unginned</v>
      </c>
      <c r="E121" s="141">
        <f t="shared" si="85"/>
        <v>0.36988914793754413</v>
      </c>
      <c r="F121" s="141">
        <f t="shared" si="85"/>
        <v>0.73341617583950269</v>
      </c>
      <c r="G121" s="141">
        <f t="shared" si="85"/>
        <v>0.69981580845243452</v>
      </c>
      <c r="H121" s="141">
        <f t="shared" si="85"/>
        <v>0.34052625860445646</v>
      </c>
      <c r="I121" s="141">
        <f t="shared" si="85"/>
        <v>0.6601832853720121</v>
      </c>
      <c r="J121" s="112">
        <f t="shared" si="82"/>
        <v>0.69319244964061277</v>
      </c>
      <c r="K121" s="112">
        <f t="shared" si="82"/>
        <v>0.72785207212264347</v>
      </c>
      <c r="L121" s="112">
        <f t="shared" si="82"/>
        <v>0.76424467572877564</v>
      </c>
      <c r="M121" s="112">
        <f t="shared" si="82"/>
        <v>0.80245690951521442</v>
      </c>
      <c r="O121" s="113">
        <f t="shared" si="84"/>
        <v>-2.7193779531285212E-2</v>
      </c>
      <c r="P121" s="114">
        <f t="shared" si="83"/>
        <v>0.93871476483949579</v>
      </c>
      <c r="Q121" s="241">
        <v>0.05</v>
      </c>
      <c r="R121" s="163">
        <v>0.5</v>
      </c>
      <c r="S121" s="2" t="s">
        <v>265</v>
      </c>
      <c r="T121" s="42" t="s">
        <v>157</v>
      </c>
    </row>
    <row r="122" spans="4:20" ht="13.5" customHeight="1" outlineLevel="1" x14ac:dyDescent="0.25">
      <c r="D122" s="84" t="str">
        <f t="shared" si="80"/>
        <v>Rice</v>
      </c>
      <c r="E122" s="141">
        <f t="shared" si="85"/>
        <v>1.1096674438126324</v>
      </c>
      <c r="F122" s="141">
        <f t="shared" si="85"/>
        <v>2.2002485275185082</v>
      </c>
      <c r="G122" s="141">
        <f t="shared" si="85"/>
        <v>2.0994474253573037</v>
      </c>
      <c r="H122" s="141">
        <f t="shared" si="85"/>
        <v>1.0215787758133694</v>
      </c>
      <c r="I122" s="141">
        <f t="shared" si="85"/>
        <v>1.9805498561160362</v>
      </c>
      <c r="J122" s="112">
        <f t="shared" si="82"/>
        <v>2.3766598273392434</v>
      </c>
      <c r="K122" s="112">
        <f t="shared" si="82"/>
        <v>2.8519917928070919</v>
      </c>
      <c r="L122" s="112">
        <f t="shared" si="82"/>
        <v>3.4223901513685102</v>
      </c>
      <c r="M122" s="112">
        <f t="shared" si="82"/>
        <v>4.1068681816422119</v>
      </c>
      <c r="O122" s="113">
        <f t="shared" si="84"/>
        <v>-2.7193779531285212E-2</v>
      </c>
      <c r="P122" s="114">
        <f t="shared" si="83"/>
        <v>0.93871476483949556</v>
      </c>
      <c r="Q122" s="241">
        <v>0.2</v>
      </c>
      <c r="R122" s="163">
        <v>1.5</v>
      </c>
      <c r="S122" s="2" t="s">
        <v>264</v>
      </c>
      <c r="T122" s="42" t="s">
        <v>61</v>
      </c>
    </row>
    <row r="123" spans="4:20" ht="13.5" customHeight="1" outlineLevel="1" x14ac:dyDescent="0.25">
      <c r="D123" s="84" t="str">
        <f t="shared" si="80"/>
        <v>Onions and shallots, dry (excluding dehydrated)</v>
      </c>
      <c r="E123" s="141">
        <f t="shared" si="85"/>
        <v>0.36988914793754413</v>
      </c>
      <c r="F123" s="141">
        <f t="shared" si="85"/>
        <v>0.73341617583950269</v>
      </c>
      <c r="G123" s="141">
        <f t="shared" si="85"/>
        <v>0.69981580845243452</v>
      </c>
      <c r="H123" s="141">
        <f t="shared" si="85"/>
        <v>0.34052625860445646</v>
      </c>
      <c r="I123" s="141">
        <f t="shared" si="85"/>
        <v>0.6601832853720121</v>
      </c>
      <c r="J123" s="112">
        <f t="shared" si="82"/>
        <v>0.69319244964061277</v>
      </c>
      <c r="K123" s="112">
        <f t="shared" si="82"/>
        <v>0.72785207212264347</v>
      </c>
      <c r="L123" s="112">
        <f t="shared" si="82"/>
        <v>0.76424467572877564</v>
      </c>
      <c r="M123" s="112">
        <f t="shared" si="82"/>
        <v>0.80245690951521442</v>
      </c>
      <c r="O123" s="113">
        <f t="shared" si="84"/>
        <v>-2.7193779531285212E-2</v>
      </c>
      <c r="P123" s="114">
        <f t="shared" si="83"/>
        <v>0.93871476483949579</v>
      </c>
      <c r="Q123" s="241">
        <v>0.05</v>
      </c>
      <c r="R123" s="163">
        <v>0.5</v>
      </c>
      <c r="T123" s="42" t="s">
        <v>119</v>
      </c>
    </row>
    <row r="124" spans="4:20" ht="13.5" customHeight="1" outlineLevel="1" x14ac:dyDescent="0.25">
      <c r="D124" s="84" t="str">
        <f t="shared" si="80"/>
        <v>Sugar cane</v>
      </c>
      <c r="E124" s="141">
        <f t="shared" si="85"/>
        <v>1.4795565917501765</v>
      </c>
      <c r="F124" s="141">
        <f t="shared" si="85"/>
        <v>2.9336647033580108</v>
      </c>
      <c r="G124" s="141">
        <f t="shared" si="85"/>
        <v>2.7992632338097381</v>
      </c>
      <c r="H124" s="141">
        <f t="shared" si="85"/>
        <v>1.3621050344178258</v>
      </c>
      <c r="I124" s="141">
        <f t="shared" si="85"/>
        <v>2.6407331414880484</v>
      </c>
      <c r="J124" s="112">
        <f t="shared" si="82"/>
        <v>3.1688797697856579</v>
      </c>
      <c r="K124" s="112">
        <f t="shared" si="82"/>
        <v>3.8026557237427894</v>
      </c>
      <c r="L124" s="112">
        <f t="shared" si="82"/>
        <v>4.5631868684913472</v>
      </c>
      <c r="M124" s="112">
        <f t="shared" si="82"/>
        <v>5.4758242421896162</v>
      </c>
      <c r="O124" s="113">
        <f t="shared" si="84"/>
        <v>-2.7193779531285212E-2</v>
      </c>
      <c r="P124" s="114">
        <f t="shared" si="83"/>
        <v>0.93871476483949579</v>
      </c>
      <c r="Q124" s="241">
        <v>0.2</v>
      </c>
      <c r="R124" s="163">
        <v>2</v>
      </c>
      <c r="S124" s="2" t="s">
        <v>264</v>
      </c>
      <c r="T124" s="42" t="s">
        <v>161</v>
      </c>
    </row>
    <row r="125" spans="4:20" ht="13.5" customHeight="1" outlineLevel="1" x14ac:dyDescent="0.25">
      <c r="D125" s="84" t="str">
        <f t="shared" si="80"/>
        <v>Millet</v>
      </c>
      <c r="E125" s="141">
        <f t="shared" si="85"/>
        <v>0.36988914793754413</v>
      </c>
      <c r="F125" s="141">
        <f t="shared" si="85"/>
        <v>0.73341617583950269</v>
      </c>
      <c r="G125" s="141">
        <f t="shared" si="85"/>
        <v>0.69981580845243452</v>
      </c>
      <c r="H125" s="141">
        <f t="shared" si="85"/>
        <v>0.34052625860445646</v>
      </c>
      <c r="I125" s="141">
        <f t="shared" si="85"/>
        <v>0.6601832853720121</v>
      </c>
      <c r="J125" s="112">
        <f t="shared" si="82"/>
        <v>0.69319244964061277</v>
      </c>
      <c r="K125" s="112">
        <f t="shared" si="82"/>
        <v>0.72785207212264347</v>
      </c>
      <c r="L125" s="112">
        <f t="shared" si="82"/>
        <v>0.76424467572877564</v>
      </c>
      <c r="M125" s="112">
        <f t="shared" si="82"/>
        <v>0.80245690951521442</v>
      </c>
      <c r="O125" s="113">
        <f t="shared" si="84"/>
        <v>-2.7193779531285212E-2</v>
      </c>
      <c r="P125" s="114">
        <f t="shared" si="83"/>
        <v>0.93871476483949579</v>
      </c>
      <c r="Q125" s="241">
        <v>0.05</v>
      </c>
      <c r="R125" s="163">
        <v>0.5</v>
      </c>
      <c r="T125" s="42" t="s">
        <v>54</v>
      </c>
    </row>
    <row r="126" spans="4:20" ht="13.5" customHeight="1" outlineLevel="1" x14ac:dyDescent="0.25">
      <c r="D126" s="84" t="str">
        <f t="shared" si="80"/>
        <v>Cocoa beans</v>
      </c>
      <c r="E126" s="141">
        <f t="shared" si="85"/>
        <v>1.1096674438126324</v>
      </c>
      <c r="F126" s="141">
        <f t="shared" si="85"/>
        <v>2.2002485275185082</v>
      </c>
      <c r="G126" s="141">
        <f t="shared" si="85"/>
        <v>2.0994474253573037</v>
      </c>
      <c r="H126" s="141">
        <f t="shared" si="85"/>
        <v>1.0215787758133694</v>
      </c>
      <c r="I126" s="141">
        <f t="shared" si="85"/>
        <v>1.9805498561160362</v>
      </c>
      <c r="J126" s="112">
        <f t="shared" si="82"/>
        <v>2.3766598273392434</v>
      </c>
      <c r="K126" s="112">
        <f t="shared" si="82"/>
        <v>2.8519917928070919</v>
      </c>
      <c r="L126" s="112">
        <f t="shared" si="82"/>
        <v>3.4223901513685102</v>
      </c>
      <c r="M126" s="112">
        <f t="shared" si="82"/>
        <v>4.1068681816422119</v>
      </c>
      <c r="O126" s="113">
        <f t="shared" si="84"/>
        <v>-2.7193779531285212E-2</v>
      </c>
      <c r="P126" s="114">
        <f t="shared" si="83"/>
        <v>0.93871476483949556</v>
      </c>
      <c r="Q126" s="241">
        <v>0.2</v>
      </c>
      <c r="R126" s="163">
        <v>1.5</v>
      </c>
      <c r="S126" s="2" t="s">
        <v>264</v>
      </c>
      <c r="T126" s="42" t="s">
        <v>234</v>
      </c>
    </row>
    <row r="127" spans="4:20" ht="13.5" customHeight="1" outlineLevel="1" x14ac:dyDescent="0.25">
      <c r="D127" s="84" t="str">
        <f t="shared" si="80"/>
        <v>Other oil seeds, n.e.c.</v>
      </c>
      <c r="E127" s="141">
        <f t="shared" si="85"/>
        <v>0.36988914793754413</v>
      </c>
      <c r="F127" s="141">
        <f t="shared" si="85"/>
        <v>0.73341617583950269</v>
      </c>
      <c r="G127" s="141">
        <f t="shared" si="85"/>
        <v>0.69981580845243452</v>
      </c>
      <c r="H127" s="141">
        <f t="shared" si="85"/>
        <v>0.34052625860445646</v>
      </c>
      <c r="I127" s="141">
        <f t="shared" si="85"/>
        <v>0.6601832853720121</v>
      </c>
      <c r="J127" s="112">
        <f t="shared" si="82"/>
        <v>0.72620161390921334</v>
      </c>
      <c r="K127" s="112">
        <f t="shared" si="82"/>
        <v>0.79882177530013476</v>
      </c>
      <c r="L127" s="112">
        <f t="shared" si="82"/>
        <v>0.87870395283014835</v>
      </c>
      <c r="M127" s="112">
        <f t="shared" si="82"/>
        <v>0.96657434811316323</v>
      </c>
      <c r="O127" s="113">
        <f t="shared" si="84"/>
        <v>-2.7193779531285212E-2</v>
      </c>
      <c r="P127" s="114">
        <f t="shared" si="83"/>
        <v>0.93871476483949579</v>
      </c>
      <c r="Q127" s="241">
        <v>0.1</v>
      </c>
      <c r="R127" s="163">
        <v>0.5</v>
      </c>
      <c r="T127" s="42" t="s">
        <v>152</v>
      </c>
    </row>
    <row r="128" spans="4:20" ht="13.5" customHeight="1" outlineLevel="1" x14ac:dyDescent="0.25">
      <c r="D128" s="84" t="str">
        <f t="shared" si="80"/>
        <v>Soya beans</v>
      </c>
      <c r="E128" s="141">
        <f t="shared" si="85"/>
        <v>0.73977829587508825</v>
      </c>
      <c r="F128" s="141">
        <f t="shared" si="85"/>
        <v>1.4668323516790054</v>
      </c>
      <c r="G128" s="141">
        <f t="shared" si="85"/>
        <v>1.399631616904869</v>
      </c>
      <c r="H128" s="141">
        <f t="shared" si="85"/>
        <v>0.68105251720891291</v>
      </c>
      <c r="I128" s="141">
        <f t="shared" si="85"/>
        <v>1.3203665707440242</v>
      </c>
      <c r="J128" s="112">
        <f t="shared" si="82"/>
        <v>1.4524032278184267</v>
      </c>
      <c r="K128" s="112">
        <f t="shared" si="82"/>
        <v>1.5976435506002695</v>
      </c>
      <c r="L128" s="112">
        <f t="shared" si="82"/>
        <v>1.7574079056602967</v>
      </c>
      <c r="M128" s="112">
        <f t="shared" si="82"/>
        <v>1.9331486962263265</v>
      </c>
      <c r="O128" s="113">
        <f t="shared" si="84"/>
        <v>-2.7193779531285212E-2</v>
      </c>
      <c r="P128" s="114">
        <f t="shared" si="83"/>
        <v>0.93871476483949579</v>
      </c>
      <c r="Q128" s="241">
        <v>0.1</v>
      </c>
      <c r="R128" s="163">
        <v>1</v>
      </c>
      <c r="T128" s="42" t="s">
        <v>250</v>
      </c>
    </row>
    <row r="129" spans="2:20" ht="13.5" customHeight="1" outlineLevel="1" x14ac:dyDescent="0.25">
      <c r="D129" s="84" t="str">
        <f t="shared" si="80"/>
        <v>Pigeon peas, dry</v>
      </c>
      <c r="E129" s="141">
        <f t="shared" si="85"/>
        <v>0.36988914793754413</v>
      </c>
      <c r="F129" s="141">
        <f t="shared" si="85"/>
        <v>0.73341617583950269</v>
      </c>
      <c r="G129" s="141">
        <f t="shared" si="85"/>
        <v>0.69981580845243452</v>
      </c>
      <c r="H129" s="141">
        <f t="shared" si="85"/>
        <v>0.34052625860445646</v>
      </c>
      <c r="I129" s="141">
        <f t="shared" si="85"/>
        <v>0.6601832853720121</v>
      </c>
      <c r="J129" s="112">
        <f t="shared" si="82"/>
        <v>0.72620161390921334</v>
      </c>
      <c r="K129" s="112">
        <f t="shared" si="82"/>
        <v>0.79882177530013476</v>
      </c>
      <c r="L129" s="112">
        <f t="shared" si="82"/>
        <v>0.87870395283014835</v>
      </c>
      <c r="M129" s="112">
        <f t="shared" si="82"/>
        <v>0.96657434811316323</v>
      </c>
      <c r="O129" s="113">
        <f t="shared" si="84"/>
        <v>-2.7193779531285212E-2</v>
      </c>
      <c r="P129" s="114">
        <f t="shared" si="83"/>
        <v>0.93871476483949579</v>
      </c>
      <c r="Q129" s="241">
        <v>0.1</v>
      </c>
      <c r="R129" s="163">
        <v>0.5</v>
      </c>
      <c r="T129" s="42" t="s">
        <v>244</v>
      </c>
    </row>
    <row r="130" spans="2:20" ht="13.5" customHeight="1" outlineLevel="1" x14ac:dyDescent="0.25">
      <c r="D130" s="84" t="str">
        <f t="shared" si="80"/>
        <v>Potatoes</v>
      </c>
      <c r="E130" s="141">
        <f t="shared" si="85"/>
        <v>0.36988914793754413</v>
      </c>
      <c r="F130" s="141">
        <f t="shared" si="85"/>
        <v>0.73341617583950269</v>
      </c>
      <c r="G130" s="141">
        <f t="shared" si="85"/>
        <v>0.69981580845243452</v>
      </c>
      <c r="H130" s="141">
        <f t="shared" si="85"/>
        <v>0.34052625860445646</v>
      </c>
      <c r="I130" s="141">
        <f t="shared" si="85"/>
        <v>0.6601832853720121</v>
      </c>
      <c r="J130" s="112">
        <f t="shared" ref="J130:J133" si="86">I130*(1+$Q130)</f>
        <v>0.72620161390921334</v>
      </c>
      <c r="K130" s="112">
        <f t="shared" ref="K130:K133" si="87">J130*(1+$Q130)</f>
        <v>0.79882177530013476</v>
      </c>
      <c r="L130" s="112">
        <f t="shared" ref="L130:L133" si="88">K130*(1+$Q130)</f>
        <v>0.87870395283014835</v>
      </c>
      <c r="M130" s="112">
        <f t="shared" ref="M130:M133" si="89">L130*(1+$Q130)</f>
        <v>0.96657434811316323</v>
      </c>
      <c r="O130" s="113">
        <f t="shared" si="84"/>
        <v>-2.7193779531285212E-2</v>
      </c>
      <c r="P130" s="114">
        <f t="shared" si="83"/>
        <v>0.93871476483949579</v>
      </c>
      <c r="Q130" s="241">
        <v>0.1</v>
      </c>
      <c r="R130" s="163">
        <v>0.5</v>
      </c>
      <c r="T130" s="42" t="s">
        <v>123</v>
      </c>
    </row>
    <row r="131" spans="2:20" ht="13.5" customHeight="1" outlineLevel="1" x14ac:dyDescent="0.25">
      <c r="D131" s="84" t="str">
        <f t="shared" si="80"/>
        <v>Tea leaves</v>
      </c>
      <c r="E131" s="141">
        <f t="shared" si="85"/>
        <v>1.4795565917501765</v>
      </c>
      <c r="F131" s="141">
        <f t="shared" si="85"/>
        <v>2.9336647033580108</v>
      </c>
      <c r="G131" s="141">
        <f t="shared" si="85"/>
        <v>2.7992632338097381</v>
      </c>
      <c r="H131" s="141">
        <f t="shared" si="85"/>
        <v>1.3621050344178258</v>
      </c>
      <c r="I131" s="141">
        <f t="shared" si="85"/>
        <v>2.6407331414880484</v>
      </c>
      <c r="J131" s="112">
        <f t="shared" si="86"/>
        <v>2.7727697985624511</v>
      </c>
      <c r="K131" s="112">
        <f t="shared" si="87"/>
        <v>2.9114082884905739</v>
      </c>
      <c r="L131" s="112">
        <f t="shared" si="88"/>
        <v>3.0569787029151025</v>
      </c>
      <c r="M131" s="112">
        <f t="shared" si="89"/>
        <v>3.2098276380608577</v>
      </c>
      <c r="O131" s="113">
        <f t="shared" si="84"/>
        <v>-2.7193779531285212E-2</v>
      </c>
      <c r="P131" s="114">
        <f t="shared" si="83"/>
        <v>0.93871476483949579</v>
      </c>
      <c r="Q131" s="241">
        <v>0.05</v>
      </c>
      <c r="R131" s="163">
        <v>2</v>
      </c>
      <c r="S131" s="2" t="s">
        <v>264</v>
      </c>
      <c r="T131" s="42" t="s">
        <v>252</v>
      </c>
    </row>
    <row r="132" spans="2:20" ht="13.5" customHeight="1" outlineLevel="1" x14ac:dyDescent="0.25">
      <c r="D132" s="84" t="str">
        <f t="shared" si="80"/>
        <v>Cow peas, dry</v>
      </c>
      <c r="E132" s="141">
        <f t="shared" si="85"/>
        <v>0.36988914793754413</v>
      </c>
      <c r="F132" s="141">
        <f t="shared" si="85"/>
        <v>0.73341617583950269</v>
      </c>
      <c r="G132" s="141">
        <f t="shared" si="85"/>
        <v>0.69981580845243452</v>
      </c>
      <c r="H132" s="141">
        <f t="shared" si="85"/>
        <v>0.34052625860445646</v>
      </c>
      <c r="I132" s="141">
        <f t="shared" si="85"/>
        <v>0.6601832853720121</v>
      </c>
      <c r="J132" s="112">
        <f t="shared" si="86"/>
        <v>0.72620161390921334</v>
      </c>
      <c r="K132" s="112">
        <f t="shared" si="87"/>
        <v>0.79882177530013476</v>
      </c>
      <c r="L132" s="112">
        <f t="shared" si="88"/>
        <v>0.87870395283014835</v>
      </c>
      <c r="M132" s="112">
        <f t="shared" si="89"/>
        <v>0.96657434811316323</v>
      </c>
      <c r="O132" s="113">
        <f t="shared" si="84"/>
        <v>-2.7193779531285212E-2</v>
      </c>
      <c r="P132" s="114">
        <f t="shared" si="83"/>
        <v>0.93871476483949579</v>
      </c>
      <c r="Q132" s="241">
        <v>0.1</v>
      </c>
      <c r="R132" s="163">
        <v>0.5</v>
      </c>
      <c r="T132" s="42" t="s">
        <v>117</v>
      </c>
    </row>
    <row r="133" spans="2:20" ht="13.5" customHeight="1" outlineLevel="1" x14ac:dyDescent="0.25">
      <c r="D133" s="84" t="str">
        <f t="shared" si="80"/>
        <v>Peas, dry</v>
      </c>
      <c r="E133" s="141">
        <f t="shared" si="85"/>
        <v>0.36988914793754413</v>
      </c>
      <c r="F133" s="141">
        <f t="shared" si="85"/>
        <v>0.73341617583950269</v>
      </c>
      <c r="G133" s="141">
        <f t="shared" si="85"/>
        <v>0.69981580845243452</v>
      </c>
      <c r="H133" s="141">
        <f t="shared" si="85"/>
        <v>0.34052625860445646</v>
      </c>
      <c r="I133" s="141">
        <f t="shared" si="85"/>
        <v>0.6601832853720121</v>
      </c>
      <c r="J133" s="112">
        <f t="shared" si="86"/>
        <v>0.72620161390921334</v>
      </c>
      <c r="K133" s="112">
        <f t="shared" si="87"/>
        <v>0.79882177530013476</v>
      </c>
      <c r="L133" s="112">
        <f t="shared" si="88"/>
        <v>0.87870395283014835</v>
      </c>
      <c r="M133" s="112">
        <f t="shared" si="89"/>
        <v>0.96657434811316323</v>
      </c>
      <c r="O133" s="113">
        <f t="shared" si="84"/>
        <v>-2.7193779531285212E-2</v>
      </c>
      <c r="P133" s="114">
        <f t="shared" si="83"/>
        <v>0.93871476483949579</v>
      </c>
      <c r="Q133" s="241">
        <v>0.1</v>
      </c>
      <c r="R133" s="163">
        <v>0.5</v>
      </c>
      <c r="T133" s="42" t="s">
        <v>240</v>
      </c>
    </row>
    <row r="134" spans="2:20" ht="13.5" customHeight="1" thickBot="1" x14ac:dyDescent="0.35">
      <c r="D134" s="80"/>
      <c r="E134" s="165"/>
      <c r="F134" s="165"/>
      <c r="G134" s="165"/>
      <c r="H134" s="165"/>
      <c r="I134" s="165"/>
      <c r="J134" s="109"/>
      <c r="K134" s="109"/>
      <c r="L134" s="109"/>
      <c r="M134" s="109"/>
      <c r="O134" s="111"/>
      <c r="P134" s="111"/>
      <c r="Q134" s="254"/>
      <c r="R134" s="82">
        <f>AVERAGE(R110:R133)</f>
        <v>0.89583333333333337</v>
      </c>
      <c r="S134" s="61"/>
      <c r="T134" s="42"/>
    </row>
    <row r="135" spans="2:20" ht="13.5" customHeight="1" thickTop="1" x14ac:dyDescent="0.3">
      <c r="J135" s="43"/>
      <c r="K135" s="43"/>
      <c r="L135" s="43"/>
      <c r="M135" s="43"/>
      <c r="O135" s="54"/>
      <c r="P135" s="54"/>
      <c r="Q135" s="47"/>
      <c r="R135" s="83"/>
      <c r="S135" s="41"/>
    </row>
    <row r="136" spans="2:20" ht="13.5" customHeight="1" x14ac:dyDescent="0.3">
      <c r="D136" s="32" t="s">
        <v>37</v>
      </c>
      <c r="J136" s="43"/>
      <c r="K136" s="43"/>
      <c r="L136" s="43"/>
      <c r="M136" s="43"/>
      <c r="O136" s="54"/>
      <c r="P136" s="54"/>
      <c r="Q136" s="47"/>
      <c r="R136" s="43"/>
      <c r="S136" s="41"/>
    </row>
    <row r="137" spans="2:20" ht="13.5" customHeight="1" x14ac:dyDescent="0.3">
      <c r="D137" s="33" t="s">
        <v>38</v>
      </c>
      <c r="E137" s="64">
        <f>SUMPRODUCT(E110:E133,E78:E101)/1000000-E140*E102/1000000</f>
        <v>0.27630275483957156</v>
      </c>
      <c r="F137" s="64">
        <f t="shared" ref="F137:I137" si="90">SUMPRODUCT(F110:F133,F78:F101)/1000000-F140*F102/1000000</f>
        <v>1.2814980840443599</v>
      </c>
      <c r="G137" s="64">
        <f t="shared" si="90"/>
        <v>7.7649462658454738E-2</v>
      </c>
      <c r="H137" s="64">
        <f t="shared" si="90"/>
        <v>0.6068630828255337</v>
      </c>
      <c r="I137" s="64">
        <f t="shared" si="90"/>
        <v>-6.1313862445643963E-2</v>
      </c>
      <c r="J137" s="43"/>
      <c r="K137" s="43"/>
      <c r="L137" s="43"/>
      <c r="M137" s="43"/>
      <c r="O137" s="54"/>
      <c r="P137" s="54"/>
      <c r="Q137" s="47"/>
      <c r="R137" s="43"/>
      <c r="S137" s="41"/>
    </row>
    <row r="138" spans="2:20" ht="13.5" customHeight="1" x14ac:dyDescent="0.25">
      <c r="E138" s="170"/>
      <c r="F138" s="170"/>
      <c r="G138" s="170"/>
      <c r="H138" s="170"/>
      <c r="I138" s="170"/>
      <c r="Q138" s="47"/>
    </row>
    <row r="139" spans="2:20" ht="13.5" customHeight="1" outlineLevel="1" x14ac:dyDescent="0.3">
      <c r="D139" s="44"/>
      <c r="E139" s="115">
        <v>2017</v>
      </c>
      <c r="F139" s="115">
        <v>2018</v>
      </c>
      <c r="G139" s="115">
        <v>2019</v>
      </c>
      <c r="H139" s="115">
        <v>2020</v>
      </c>
      <c r="I139" s="115">
        <v>2021</v>
      </c>
      <c r="J139" s="55"/>
      <c r="K139" s="50"/>
      <c r="L139" s="50"/>
      <c r="M139" s="50"/>
      <c r="O139" s="35"/>
      <c r="P139" s="35"/>
      <c r="Q139" s="48"/>
      <c r="R139" s="48"/>
      <c r="S139" s="48"/>
      <c r="T139" s="7"/>
    </row>
    <row r="140" spans="2:20" ht="13.5" customHeight="1" outlineLevel="1" x14ac:dyDescent="0.3">
      <c r="D140" s="46" t="s">
        <v>39</v>
      </c>
      <c r="E140" s="252">
        <f>P2O5Consumption!O22</f>
        <v>0.73977829587508825</v>
      </c>
      <c r="F140" s="252">
        <f>P2O5Consumption!P22</f>
        <v>1.4668323516790054</v>
      </c>
      <c r="G140" s="252">
        <f>P2O5Consumption!Q22</f>
        <v>1.399631616904869</v>
      </c>
      <c r="H140" s="252">
        <f>P2O5Consumption!R22</f>
        <v>0.68105251720891291</v>
      </c>
      <c r="I140" s="253">
        <f>P2O5Consumption!S22</f>
        <v>1.3203665707440242</v>
      </c>
      <c r="J140" s="56"/>
      <c r="K140" s="49"/>
      <c r="L140" s="49"/>
      <c r="M140" s="49"/>
      <c r="O140" s="35"/>
      <c r="P140" s="35"/>
      <c r="Q140" s="35"/>
      <c r="R140" s="47"/>
      <c r="S140" s="47"/>
      <c r="T140" s="7"/>
    </row>
    <row r="141" spans="2:20" ht="13.5" customHeight="1" outlineLevel="1" x14ac:dyDescent="0.3">
      <c r="D141" s="85" t="s">
        <v>40</v>
      </c>
      <c r="E141" s="116">
        <f>E140/46%</f>
        <v>1.6082136866849743</v>
      </c>
      <c r="F141" s="116">
        <f t="shared" ref="F141:H141" si="91">F140/46%</f>
        <v>3.1887659819108811</v>
      </c>
      <c r="G141" s="116">
        <f t="shared" si="91"/>
        <v>3.0426774280540632</v>
      </c>
      <c r="H141" s="116">
        <f t="shared" si="91"/>
        <v>1.4805489504541585</v>
      </c>
      <c r="I141" s="116">
        <f>I140/46%</f>
        <v>2.8703621103130961</v>
      </c>
      <c r="J141" s="56"/>
      <c r="K141" s="49"/>
      <c r="L141" s="49"/>
      <c r="M141" s="49"/>
      <c r="O141" s="35"/>
      <c r="P141" s="35"/>
      <c r="Q141" s="35"/>
      <c r="R141" s="47"/>
      <c r="S141" s="47"/>
      <c r="T141" s="7"/>
    </row>
    <row r="142" spans="2:20" ht="13.5" customHeight="1" outlineLevel="1" x14ac:dyDescent="0.3">
      <c r="D142" s="91" t="s">
        <v>41</v>
      </c>
      <c r="E142" s="92" t="s">
        <v>261</v>
      </c>
      <c r="F142" s="92" t="s">
        <v>261</v>
      </c>
      <c r="G142" s="92" t="s">
        <v>261</v>
      </c>
      <c r="H142" s="92" t="s">
        <v>261</v>
      </c>
      <c r="I142" s="92" t="s">
        <v>261</v>
      </c>
      <c r="J142" s="47"/>
      <c r="K142" s="47"/>
      <c r="L142" s="47"/>
      <c r="M142" s="47"/>
      <c r="O142" s="47"/>
      <c r="P142" s="47"/>
      <c r="Q142" s="47"/>
      <c r="R142" s="47"/>
      <c r="S142" s="47"/>
      <c r="T142" s="7"/>
    </row>
    <row r="143" spans="2:20" ht="13.5" customHeight="1" x14ac:dyDescent="0.25">
      <c r="O143" s="47"/>
      <c r="P143" s="47"/>
      <c r="Q143" s="47"/>
      <c r="R143" s="47"/>
      <c r="S143" s="47"/>
      <c r="T143" s="7"/>
    </row>
    <row r="144" spans="2:20" ht="13.5" customHeight="1" x14ac:dyDescent="0.35">
      <c r="B144" s="29">
        <v>3</v>
      </c>
      <c r="C144" s="29" t="s">
        <v>42</v>
      </c>
      <c r="D144" s="28" t="s">
        <v>223</v>
      </c>
      <c r="O144" s="7"/>
      <c r="P144" s="7"/>
      <c r="Q144" s="7"/>
      <c r="R144" s="7"/>
      <c r="S144" s="7"/>
      <c r="T144" s="7"/>
    </row>
    <row r="145" spans="2:23" ht="13.5" customHeight="1" x14ac:dyDescent="0.35">
      <c r="B145" s="28"/>
      <c r="C145" s="28"/>
      <c r="D145" s="28"/>
      <c r="O145" s="7"/>
      <c r="P145" s="7"/>
      <c r="Q145" s="7"/>
      <c r="R145" s="7"/>
      <c r="S145" s="7"/>
      <c r="T145" s="7"/>
    </row>
    <row r="146" spans="2:23" ht="13.5" customHeight="1" x14ac:dyDescent="0.35">
      <c r="B146" s="28"/>
      <c r="C146" s="28"/>
      <c r="D146" s="32" t="s">
        <v>22</v>
      </c>
      <c r="J146" s="369" t="s">
        <v>43</v>
      </c>
      <c r="K146" s="369"/>
      <c r="L146" s="369"/>
      <c r="M146" s="369"/>
      <c r="T146" s="7"/>
    </row>
    <row r="147" spans="2:23" ht="13.5" customHeight="1" x14ac:dyDescent="0.35">
      <c r="B147" s="28"/>
      <c r="C147" s="28"/>
      <c r="D147" s="33" t="s">
        <v>44</v>
      </c>
      <c r="J147" s="159"/>
      <c r="K147" s="159"/>
      <c r="L147" s="159">
        <f>1/3</f>
        <v>0.33333333333333331</v>
      </c>
      <c r="M147" s="159">
        <f>1/3</f>
        <v>0.33333333333333331</v>
      </c>
      <c r="O147" s="39" t="s">
        <v>24</v>
      </c>
      <c r="T147" s="7"/>
    </row>
    <row r="148" spans="2:23" ht="13.5" customHeight="1" outlineLevel="1" x14ac:dyDescent="0.35">
      <c r="B148" s="28"/>
      <c r="C148" s="28"/>
      <c r="E148" s="370" t="s">
        <v>262</v>
      </c>
      <c r="F148" s="371"/>
      <c r="G148" s="371"/>
      <c r="H148" s="371"/>
      <c r="I148" s="372"/>
      <c r="J148" s="134" t="s">
        <v>45</v>
      </c>
      <c r="K148" s="135"/>
      <c r="L148" s="135"/>
      <c r="M148" s="136"/>
      <c r="Q148" s="128"/>
      <c r="T148" s="7"/>
    </row>
    <row r="149" spans="2:23" ht="13.5" customHeight="1" outlineLevel="1" x14ac:dyDescent="0.35">
      <c r="B149" s="28"/>
      <c r="C149" s="28"/>
      <c r="D149" s="44" t="s">
        <v>46</v>
      </c>
      <c r="E149" s="45">
        <v>2017</v>
      </c>
      <c r="F149" s="45">
        <v>2018</v>
      </c>
      <c r="G149" s="45">
        <v>2019</v>
      </c>
      <c r="H149" s="45">
        <v>2020</v>
      </c>
      <c r="I149" s="45">
        <v>2021</v>
      </c>
      <c r="J149" s="45">
        <v>2022</v>
      </c>
      <c r="K149" s="45">
        <v>2023</v>
      </c>
      <c r="L149" s="45">
        <v>2024</v>
      </c>
      <c r="M149" s="45">
        <v>2025</v>
      </c>
      <c r="O149" s="30" t="s">
        <v>47</v>
      </c>
      <c r="P149" s="38" t="s">
        <v>48</v>
      </c>
      <c r="Q149" s="38" t="s">
        <v>49</v>
      </c>
      <c r="R149" s="38" t="s">
        <v>50</v>
      </c>
      <c r="S149" s="30" t="s">
        <v>51</v>
      </c>
      <c r="T149" s="38" t="s">
        <v>52</v>
      </c>
      <c r="W149" s="1" t="s">
        <v>53</v>
      </c>
    </row>
    <row r="150" spans="2:23" ht="13.5" customHeight="1" outlineLevel="1" x14ac:dyDescent="0.35">
      <c r="B150" s="28"/>
      <c r="C150" s="28"/>
      <c r="D150" s="2" t="str">
        <f t="shared" ref="D150:K159" si="92">D110</f>
        <v>Plantains and cooking bananas</v>
      </c>
      <c r="E150" s="117">
        <f t="shared" si="92"/>
        <v>0.36988914793754413</v>
      </c>
      <c r="F150" s="100">
        <f t="shared" si="92"/>
        <v>0.73341617583950269</v>
      </c>
      <c r="G150" s="100">
        <f t="shared" si="92"/>
        <v>0.69981580845243452</v>
      </c>
      <c r="H150" s="118">
        <f t="shared" si="92"/>
        <v>0.34052625860445646</v>
      </c>
      <c r="I150" s="118">
        <f t="shared" si="92"/>
        <v>0.6601832853720121</v>
      </c>
      <c r="J150" s="106">
        <f t="shared" si="92"/>
        <v>0.6601832853720121</v>
      </c>
      <c r="K150" s="106">
        <f t="shared" si="92"/>
        <v>0.6601832853720121</v>
      </c>
      <c r="L150" s="106">
        <f t="shared" ref="L150:M150" si="93">IF($P150&lt;K150,K150,K150+($P150-K150)*L$147)</f>
        <v>0.6601832853720121</v>
      </c>
      <c r="M150" s="181">
        <f t="shared" si="93"/>
        <v>0.6601832853720121</v>
      </c>
      <c r="O150" s="1" t="str">
        <f>D189</f>
        <v>Gardening crop</v>
      </c>
      <c r="P150" s="40">
        <f t="shared" ref="P150:P173" si="94">S150*Q150</f>
        <v>0</v>
      </c>
      <c r="Q150" s="142">
        <v>0</v>
      </c>
      <c r="R150" s="90" t="s">
        <v>55</v>
      </c>
      <c r="S150" s="2">
        <f t="shared" ref="S150:S173" si="95">_xlfn.XLOOKUP(O150,$D$179:$D$190,$G$179:$G$190)</f>
        <v>85.987499999999997</v>
      </c>
      <c r="T150" s="1"/>
      <c r="W150" s="145">
        <f>80%</f>
        <v>0.8</v>
      </c>
    </row>
    <row r="151" spans="2:23" ht="13.5" customHeight="1" outlineLevel="1" x14ac:dyDescent="0.35">
      <c r="B151" s="28"/>
      <c r="C151" s="28"/>
      <c r="D151" s="2" t="str">
        <f t="shared" si="92"/>
        <v>Maize (corn)</v>
      </c>
      <c r="E151" s="117">
        <f t="shared" si="92"/>
        <v>1.8494457396877206</v>
      </c>
      <c r="F151" s="100">
        <f t="shared" si="92"/>
        <v>3.6670808791975134</v>
      </c>
      <c r="G151" s="100">
        <f t="shared" si="92"/>
        <v>3.4990790422621725</v>
      </c>
      <c r="H151" s="118">
        <f t="shared" si="92"/>
        <v>1.7026312930222822</v>
      </c>
      <c r="I151" s="118">
        <f t="shared" si="92"/>
        <v>3.3009164268600606</v>
      </c>
      <c r="J151" s="106">
        <f t="shared" si="92"/>
        <v>3.9610997122320724</v>
      </c>
      <c r="K151" s="106">
        <f t="shared" si="92"/>
        <v>4.7533196546784868</v>
      </c>
      <c r="L151" s="106">
        <f t="shared" ref="L151:M151" si="96">IF($P151&lt;K151,K151,K151+($P151-K151)*L$147)</f>
        <v>6.3115881031189911</v>
      </c>
      <c r="M151" s="181">
        <f t="shared" si="96"/>
        <v>7.3504337354126603</v>
      </c>
      <c r="O151" s="2" t="s">
        <v>62</v>
      </c>
      <c r="P151" s="40">
        <f t="shared" si="94"/>
        <v>9.4281249999999996</v>
      </c>
      <c r="Q151" s="142">
        <v>0.35</v>
      </c>
      <c r="R151" s="90" t="s">
        <v>57</v>
      </c>
      <c r="S151" s="2">
        <f t="shared" si="95"/>
        <v>26.9375</v>
      </c>
      <c r="T151" s="1"/>
      <c r="W151" s="145">
        <f>80%</f>
        <v>0.8</v>
      </c>
    </row>
    <row r="152" spans="2:23" ht="13.5" customHeight="1" outlineLevel="1" x14ac:dyDescent="0.35">
      <c r="B152" s="28"/>
      <c r="C152" s="28"/>
      <c r="D152" s="2" t="str">
        <f t="shared" si="92"/>
        <v>Cassava, fresh</v>
      </c>
      <c r="E152" s="117">
        <f t="shared" si="92"/>
        <v>0.73977829587508825</v>
      </c>
      <c r="F152" s="100">
        <f t="shared" si="92"/>
        <v>1.4668323516790054</v>
      </c>
      <c r="G152" s="100">
        <f t="shared" si="92"/>
        <v>1.399631616904869</v>
      </c>
      <c r="H152" s="118">
        <f t="shared" si="92"/>
        <v>0.68105251720891291</v>
      </c>
      <c r="I152" s="118">
        <f t="shared" si="92"/>
        <v>1.3203665707440242</v>
      </c>
      <c r="J152" s="106">
        <f t="shared" si="92"/>
        <v>1.3863848992812255</v>
      </c>
      <c r="K152" s="106">
        <f t="shared" si="92"/>
        <v>1.4557041442452869</v>
      </c>
      <c r="L152" s="106">
        <f t="shared" ref="L152:M152" si="97">IF($P152&lt;K152,K152,K152+($P152-K152)*L$147)</f>
        <v>2.6185944294968584</v>
      </c>
      <c r="M152" s="181">
        <f t="shared" si="97"/>
        <v>3.3938546196645722</v>
      </c>
      <c r="O152" s="2" t="s">
        <v>63</v>
      </c>
      <c r="P152" s="40">
        <f t="shared" si="94"/>
        <v>4.9443750000000009</v>
      </c>
      <c r="Q152" s="142">
        <v>0.1</v>
      </c>
      <c r="R152" s="90" t="s">
        <v>55</v>
      </c>
      <c r="S152" s="2">
        <f t="shared" si="95"/>
        <v>49.443750000000001</v>
      </c>
      <c r="T152" s="1"/>
      <c r="W152" s="145">
        <f>80%</f>
        <v>0.8</v>
      </c>
    </row>
    <row r="153" spans="2:23" ht="13.5" customHeight="1" outlineLevel="1" x14ac:dyDescent="0.35">
      <c r="B153" s="28"/>
      <c r="C153" s="28"/>
      <c r="D153" s="2" t="str">
        <f t="shared" si="92"/>
        <v>Coffee, green</v>
      </c>
      <c r="E153" s="117">
        <f t="shared" si="92"/>
        <v>1.1096674438126324</v>
      </c>
      <c r="F153" s="100">
        <f t="shared" si="92"/>
        <v>2.2002485275185082</v>
      </c>
      <c r="G153" s="100">
        <f t="shared" si="92"/>
        <v>2.0994474253573037</v>
      </c>
      <c r="H153" s="118">
        <f t="shared" si="92"/>
        <v>1.0215787758133694</v>
      </c>
      <c r="I153" s="118">
        <f t="shared" si="92"/>
        <v>1.9805498561160362</v>
      </c>
      <c r="J153" s="106">
        <f t="shared" si="92"/>
        <v>2.3766598273392434</v>
      </c>
      <c r="K153" s="106">
        <f t="shared" si="92"/>
        <v>2.8519917928070919</v>
      </c>
      <c r="L153" s="106">
        <f t="shared" ref="L153:M153" si="98">IF($P153&lt;K153,K153,K153+($P153-K153)*L$147)</f>
        <v>11.101327861871393</v>
      </c>
      <c r="M153" s="181">
        <f t="shared" si="98"/>
        <v>16.600885241247596</v>
      </c>
      <c r="O153" s="2" t="str">
        <f>D180</f>
        <v>Cacao, Coffee</v>
      </c>
      <c r="P153" s="40">
        <f t="shared" si="94"/>
        <v>27.599999999999998</v>
      </c>
      <c r="Q153" s="142">
        <v>0.25</v>
      </c>
      <c r="R153" s="90" t="s">
        <v>57</v>
      </c>
      <c r="S153" s="2">
        <f t="shared" si="95"/>
        <v>110.39999999999999</v>
      </c>
      <c r="T153" s="1"/>
      <c r="W153" s="145">
        <f>80%</f>
        <v>0.8</v>
      </c>
    </row>
    <row r="154" spans="2:23" ht="13.5" customHeight="1" outlineLevel="1" x14ac:dyDescent="0.35">
      <c r="B154" s="28"/>
      <c r="C154" s="28"/>
      <c r="D154" s="2" t="str">
        <f t="shared" si="92"/>
        <v>Beans, dry</v>
      </c>
      <c r="E154" s="117">
        <f t="shared" si="92"/>
        <v>0.36988914793754413</v>
      </c>
      <c r="F154" s="100">
        <f t="shared" si="92"/>
        <v>0.73341617583950269</v>
      </c>
      <c r="G154" s="100">
        <f t="shared" si="92"/>
        <v>0.69981580845243452</v>
      </c>
      <c r="H154" s="118">
        <f t="shared" si="92"/>
        <v>0.34052625860445646</v>
      </c>
      <c r="I154" s="118">
        <f t="shared" si="92"/>
        <v>0.6601832853720121</v>
      </c>
      <c r="J154" s="106">
        <f t="shared" si="92"/>
        <v>0.72620161390921334</v>
      </c>
      <c r="K154" s="106">
        <f t="shared" si="92"/>
        <v>0.79882177530013476</v>
      </c>
      <c r="L154" s="106">
        <f t="shared" ref="L154:M154" si="99">IF($P154&lt;K154,K154,K154+($P154-K154)*L$147)</f>
        <v>1.1535478502000898</v>
      </c>
      <c r="M154" s="181">
        <f t="shared" si="99"/>
        <v>1.3900319001333932</v>
      </c>
      <c r="O154" s="2" t="str">
        <f>D179</f>
        <v>Leguminous</v>
      </c>
      <c r="P154" s="40">
        <f t="shared" si="94"/>
        <v>1.863</v>
      </c>
      <c r="Q154" s="142">
        <v>0.1</v>
      </c>
      <c r="R154" s="90" t="s">
        <v>55</v>
      </c>
      <c r="S154" s="2">
        <f t="shared" si="95"/>
        <v>18.63</v>
      </c>
      <c r="T154" s="1"/>
      <c r="W154" s="145">
        <v>0.6</v>
      </c>
    </row>
    <row r="155" spans="2:23" ht="13.5" customHeight="1" outlineLevel="1" x14ac:dyDescent="0.35">
      <c r="B155" s="28"/>
      <c r="C155" s="28"/>
      <c r="D155" s="2" t="str">
        <f t="shared" si="92"/>
        <v>Groundnuts, excluding shelled</v>
      </c>
      <c r="E155" s="117">
        <f t="shared" si="92"/>
        <v>0.36988914793754413</v>
      </c>
      <c r="F155" s="100">
        <f t="shared" si="92"/>
        <v>0.73341617583950269</v>
      </c>
      <c r="G155" s="100">
        <f t="shared" si="92"/>
        <v>0.69981580845243452</v>
      </c>
      <c r="H155" s="118">
        <f t="shared" si="92"/>
        <v>0.34052625860445646</v>
      </c>
      <c r="I155" s="118">
        <f t="shared" si="92"/>
        <v>0.6601832853720121</v>
      </c>
      <c r="J155" s="106">
        <f t="shared" si="92"/>
        <v>0.72620161390921334</v>
      </c>
      <c r="K155" s="106">
        <f t="shared" si="92"/>
        <v>0.79882177530013476</v>
      </c>
      <c r="L155" s="106">
        <f t="shared" ref="L155:M155" si="100">IF($P155&lt;K155,K155,K155+($P155-K155)*L$147)</f>
        <v>1.1535478502000898</v>
      </c>
      <c r="M155" s="181">
        <f t="shared" si="100"/>
        <v>1.3900319001333932</v>
      </c>
      <c r="O155" s="2" t="str">
        <f>D179</f>
        <v>Leguminous</v>
      </c>
      <c r="P155" s="40">
        <f t="shared" si="94"/>
        <v>1.863</v>
      </c>
      <c r="Q155" s="142">
        <v>0.1</v>
      </c>
      <c r="R155" s="90" t="s">
        <v>55</v>
      </c>
      <c r="S155" s="2">
        <f t="shared" si="95"/>
        <v>18.63</v>
      </c>
      <c r="T155" s="1"/>
      <c r="W155" s="145">
        <f>80%</f>
        <v>0.8</v>
      </c>
    </row>
    <row r="156" spans="2:23" ht="13.5" customHeight="1" outlineLevel="1" x14ac:dyDescent="0.35">
      <c r="B156" s="28"/>
      <c r="C156" s="28"/>
      <c r="D156" s="2" t="str">
        <f t="shared" si="92"/>
        <v>Sweet potatoes</v>
      </c>
      <c r="E156" s="117">
        <f t="shared" si="92"/>
        <v>0.73977829587508825</v>
      </c>
      <c r="F156" s="100">
        <f t="shared" si="92"/>
        <v>1.4668323516790054</v>
      </c>
      <c r="G156" s="100">
        <f t="shared" si="92"/>
        <v>1.399631616904869</v>
      </c>
      <c r="H156" s="118">
        <f t="shared" si="92"/>
        <v>0.68105251720891291</v>
      </c>
      <c r="I156" s="118">
        <f t="shared" si="92"/>
        <v>1.3203665707440242</v>
      </c>
      <c r="J156" s="106">
        <f t="shared" si="92"/>
        <v>1.4524032278184267</v>
      </c>
      <c r="K156" s="106">
        <f t="shared" si="92"/>
        <v>1.5976435506002695</v>
      </c>
      <c r="L156" s="106">
        <f t="shared" ref="L156:M156" si="101">IF($P156&lt;K156,K156,K156+($P156-K156)*L$147)</f>
        <v>2.7132207004001798</v>
      </c>
      <c r="M156" s="181">
        <f t="shared" si="101"/>
        <v>3.4569388002667867</v>
      </c>
      <c r="O156" s="2" t="str">
        <f>D188</f>
        <v>Tubercules</v>
      </c>
      <c r="P156" s="40">
        <f t="shared" si="94"/>
        <v>4.9443750000000009</v>
      </c>
      <c r="Q156" s="142">
        <v>0.1</v>
      </c>
      <c r="R156" s="90" t="s">
        <v>55</v>
      </c>
      <c r="S156" s="2">
        <f t="shared" si="95"/>
        <v>49.443750000000001</v>
      </c>
      <c r="T156" s="1"/>
      <c r="W156" s="145">
        <f>80%</f>
        <v>0.8</v>
      </c>
    </row>
    <row r="157" spans="2:23" ht="13.5" customHeight="1" outlineLevel="1" x14ac:dyDescent="0.35">
      <c r="B157" s="28"/>
      <c r="C157" s="28"/>
      <c r="D157" s="2" t="str">
        <f t="shared" si="92"/>
        <v>Sunflower seed</v>
      </c>
      <c r="E157" s="117">
        <f t="shared" si="92"/>
        <v>0.36988914793754413</v>
      </c>
      <c r="F157" s="100">
        <f t="shared" si="92"/>
        <v>0.73341617583950269</v>
      </c>
      <c r="G157" s="100">
        <f t="shared" si="92"/>
        <v>0.69981580845243452</v>
      </c>
      <c r="H157" s="118">
        <f t="shared" si="92"/>
        <v>0.34052625860445646</v>
      </c>
      <c r="I157" s="118">
        <f t="shared" si="92"/>
        <v>0.6601832853720121</v>
      </c>
      <c r="J157" s="106">
        <f t="shared" si="92"/>
        <v>0.69319244964061277</v>
      </c>
      <c r="K157" s="106">
        <f t="shared" si="92"/>
        <v>0.72785207212264347</v>
      </c>
      <c r="L157" s="106">
        <f t="shared" ref="L157:M157" si="102">IF($P157&lt;K157,K157,K157+($P157-K157)*L$147)</f>
        <v>1.7005472147484291</v>
      </c>
      <c r="M157" s="181">
        <f t="shared" si="102"/>
        <v>2.3490106431656192</v>
      </c>
      <c r="O157" s="2" t="str">
        <f>D190</f>
        <v>Others</v>
      </c>
      <c r="P157" s="40">
        <f>S157*Q157</f>
        <v>3.6459375000000005</v>
      </c>
      <c r="Q157" s="142">
        <v>0.1</v>
      </c>
      <c r="R157" s="90" t="s">
        <v>55</v>
      </c>
      <c r="S157" s="2">
        <f t="shared" si="95"/>
        <v>36.459375000000001</v>
      </c>
      <c r="T157" s="1"/>
      <c r="W157" s="145">
        <f>80%</f>
        <v>0.8</v>
      </c>
    </row>
    <row r="158" spans="2:23" ht="13.5" customHeight="1" outlineLevel="1" x14ac:dyDescent="0.35">
      <c r="B158" s="28"/>
      <c r="C158" s="28"/>
      <c r="D158" s="2" t="str">
        <f t="shared" si="92"/>
        <v>Sesame seed</v>
      </c>
      <c r="E158" s="117">
        <f t="shared" si="92"/>
        <v>0.36988914793754413</v>
      </c>
      <c r="F158" s="100">
        <f t="shared" si="92"/>
        <v>0.73341617583950269</v>
      </c>
      <c r="G158" s="100">
        <f t="shared" si="92"/>
        <v>0.69981580845243452</v>
      </c>
      <c r="H158" s="118">
        <f t="shared" si="92"/>
        <v>0.34052625860445646</v>
      </c>
      <c r="I158" s="118">
        <f t="shared" si="92"/>
        <v>0.6601832853720121</v>
      </c>
      <c r="J158" s="106">
        <f t="shared" si="92"/>
        <v>0.72620161390921334</v>
      </c>
      <c r="K158" s="106">
        <f t="shared" si="92"/>
        <v>0.79882177530013476</v>
      </c>
      <c r="L158" s="106">
        <f t="shared" ref="L158:M158" si="103">IF($P158&lt;K158,K158,K158+($P158-K158)*L$147)</f>
        <v>1.1535478502000898</v>
      </c>
      <c r="M158" s="181">
        <f t="shared" si="103"/>
        <v>1.3900319001333932</v>
      </c>
      <c r="O158" s="2" t="str">
        <f>D179</f>
        <v>Leguminous</v>
      </c>
      <c r="P158" s="40">
        <f>S158*Q158</f>
        <v>1.863</v>
      </c>
      <c r="Q158" s="142">
        <v>0.1</v>
      </c>
      <c r="R158" s="90" t="s">
        <v>55</v>
      </c>
      <c r="S158" s="2">
        <f t="shared" si="95"/>
        <v>18.63</v>
      </c>
      <c r="T158" s="1"/>
      <c r="W158" s="145">
        <f>80%</f>
        <v>0.8</v>
      </c>
    </row>
    <row r="159" spans="2:23" ht="13.5" customHeight="1" outlineLevel="1" x14ac:dyDescent="0.35">
      <c r="B159" s="28"/>
      <c r="C159" s="28"/>
      <c r="D159" s="2" t="str">
        <f t="shared" si="92"/>
        <v>Sorghum</v>
      </c>
      <c r="E159" s="117">
        <f t="shared" si="92"/>
        <v>0.36988914793754413</v>
      </c>
      <c r="F159" s="100">
        <f t="shared" si="92"/>
        <v>0.73341617583950269</v>
      </c>
      <c r="G159" s="100">
        <f t="shared" si="92"/>
        <v>0.69981580845243452</v>
      </c>
      <c r="H159" s="118">
        <f t="shared" si="92"/>
        <v>0.34052625860445646</v>
      </c>
      <c r="I159" s="118">
        <f t="shared" si="92"/>
        <v>0.6601832853720121</v>
      </c>
      <c r="J159" s="106">
        <f t="shared" si="92"/>
        <v>0.69319244964061277</v>
      </c>
      <c r="K159" s="106">
        <f t="shared" si="92"/>
        <v>0.72785207212264347</v>
      </c>
      <c r="L159" s="106">
        <f t="shared" ref="L159:M159" si="104">IF($P159&lt;K159,K159,K159+($P159-K159)*L$147)</f>
        <v>0.94023471474842901</v>
      </c>
      <c r="M159" s="181">
        <f t="shared" si="104"/>
        <v>1.0818231431656193</v>
      </c>
      <c r="O159" s="2" t="str">
        <f>D184</f>
        <v>Sorghum</v>
      </c>
      <c r="P159" s="40">
        <f>S159*Q159</f>
        <v>1.3650000000000002</v>
      </c>
      <c r="Q159" s="142">
        <v>0.1</v>
      </c>
      <c r="R159" s="90" t="s">
        <v>55</v>
      </c>
      <c r="S159" s="2">
        <f t="shared" si="95"/>
        <v>13.65</v>
      </c>
      <c r="T159" s="1"/>
      <c r="W159" s="145">
        <f>80%</f>
        <v>0.8</v>
      </c>
    </row>
    <row r="160" spans="2:23" ht="13.5" customHeight="1" outlineLevel="1" x14ac:dyDescent="0.35">
      <c r="B160" s="28"/>
      <c r="C160" s="28"/>
      <c r="D160" s="2" t="str">
        <f t="shared" ref="D160:K169" si="105">D120</f>
        <v>Other vegetables, fresh n.e.c.</v>
      </c>
      <c r="E160" s="117">
        <f t="shared" si="105"/>
        <v>0.36988914793754413</v>
      </c>
      <c r="F160" s="100">
        <f t="shared" si="105"/>
        <v>0.73341617583950269</v>
      </c>
      <c r="G160" s="100">
        <f t="shared" si="105"/>
        <v>0.69981580845243452</v>
      </c>
      <c r="H160" s="118">
        <f t="shared" si="105"/>
        <v>0.34052625860445646</v>
      </c>
      <c r="I160" s="118">
        <f t="shared" si="105"/>
        <v>0.6601832853720121</v>
      </c>
      <c r="J160" s="106">
        <f t="shared" si="105"/>
        <v>0.69319244964061277</v>
      </c>
      <c r="K160" s="106">
        <f t="shared" si="105"/>
        <v>0.72785207212264347</v>
      </c>
      <c r="L160" s="106">
        <f t="shared" ref="L160:M160" si="106">IF($P160&lt;K160,K160,K160+($P160-K160)*L$147)</f>
        <v>1.918359714748429</v>
      </c>
      <c r="M160" s="181">
        <f t="shared" si="106"/>
        <v>2.7120314764989528</v>
      </c>
      <c r="O160" s="2" t="str">
        <f>D189</f>
        <v>Gardening crop</v>
      </c>
      <c r="P160" s="40">
        <f t="shared" si="94"/>
        <v>4.2993750000000004</v>
      </c>
      <c r="Q160" s="142">
        <v>0.05</v>
      </c>
      <c r="R160" s="90" t="s">
        <v>55</v>
      </c>
      <c r="S160" s="2">
        <f t="shared" si="95"/>
        <v>85.987499999999997</v>
      </c>
      <c r="T160" s="1"/>
      <c r="W160" s="145">
        <v>0.6</v>
      </c>
    </row>
    <row r="161" spans="2:23" ht="13.5" customHeight="1" outlineLevel="1" x14ac:dyDescent="0.35">
      <c r="B161" s="28"/>
      <c r="C161" s="28"/>
      <c r="D161" s="2" t="str">
        <f t="shared" si="105"/>
        <v>Seed cotton, unginned</v>
      </c>
      <c r="E161" s="117">
        <f t="shared" si="105"/>
        <v>0.36988914793754413</v>
      </c>
      <c r="F161" s="100">
        <f t="shared" si="105"/>
        <v>0.73341617583950269</v>
      </c>
      <c r="G161" s="100">
        <f t="shared" si="105"/>
        <v>0.69981580845243452</v>
      </c>
      <c r="H161" s="118">
        <f t="shared" si="105"/>
        <v>0.34052625860445646</v>
      </c>
      <c r="I161" s="118">
        <f t="shared" si="105"/>
        <v>0.6601832853720121</v>
      </c>
      <c r="J161" s="106">
        <f t="shared" si="105"/>
        <v>0.69319244964061277</v>
      </c>
      <c r="K161" s="106">
        <f t="shared" si="105"/>
        <v>0.72785207212264347</v>
      </c>
      <c r="L161" s="106">
        <f t="shared" ref="L161:M161" si="107">IF($P161&lt;K161,K161,K161+($P161-K161)*L$147)</f>
        <v>1.7005472147484291</v>
      </c>
      <c r="M161" s="181">
        <f t="shared" si="107"/>
        <v>2.3490106431656192</v>
      </c>
      <c r="O161" s="2" t="str">
        <f>D190</f>
        <v>Others</v>
      </c>
      <c r="P161" s="40">
        <f t="shared" si="94"/>
        <v>3.6459375000000005</v>
      </c>
      <c r="Q161" s="142">
        <v>0.1</v>
      </c>
      <c r="R161" s="90" t="s">
        <v>55</v>
      </c>
      <c r="S161" s="2">
        <f t="shared" si="95"/>
        <v>36.459375000000001</v>
      </c>
      <c r="T161" s="1"/>
      <c r="W161" s="145">
        <f>80%</f>
        <v>0.8</v>
      </c>
    </row>
    <row r="162" spans="2:23" ht="13.5" customHeight="1" outlineLevel="1" x14ac:dyDescent="0.35">
      <c r="B162" s="28"/>
      <c r="C162" s="28"/>
      <c r="D162" s="2" t="str">
        <f t="shared" si="105"/>
        <v>Rice</v>
      </c>
      <c r="E162" s="117">
        <f t="shared" si="105"/>
        <v>1.1096674438126324</v>
      </c>
      <c r="F162" s="100">
        <f t="shared" si="105"/>
        <v>2.2002485275185082</v>
      </c>
      <c r="G162" s="100">
        <f t="shared" si="105"/>
        <v>2.0994474253573037</v>
      </c>
      <c r="H162" s="118">
        <f t="shared" si="105"/>
        <v>1.0215787758133694</v>
      </c>
      <c r="I162" s="118">
        <f t="shared" si="105"/>
        <v>1.9805498561160362</v>
      </c>
      <c r="J162" s="106">
        <f t="shared" si="105"/>
        <v>2.3766598273392434</v>
      </c>
      <c r="K162" s="106">
        <f t="shared" si="105"/>
        <v>2.8519917928070919</v>
      </c>
      <c r="L162" s="106">
        <f t="shared" ref="L162:M162" si="108">IF($P162&lt;K162,K162,K162+($P162-K162)*L$147)</f>
        <v>4.4941850047285374</v>
      </c>
      <c r="M162" s="181">
        <f t="shared" si="108"/>
        <v>5.5889804793428342</v>
      </c>
      <c r="O162" s="2" t="str">
        <f>D182</f>
        <v>Rice</v>
      </c>
      <c r="P162" s="40">
        <f t="shared" si="94"/>
        <v>7.7785714285714276</v>
      </c>
      <c r="Q162" s="142">
        <v>0.25</v>
      </c>
      <c r="R162" s="90" t="s">
        <v>57</v>
      </c>
      <c r="S162" s="2">
        <f t="shared" si="95"/>
        <v>31.11428571428571</v>
      </c>
      <c r="T162" s="1"/>
      <c r="W162" s="145">
        <f>80%</f>
        <v>0.8</v>
      </c>
    </row>
    <row r="163" spans="2:23" ht="13.5" customHeight="1" outlineLevel="1" x14ac:dyDescent="0.35">
      <c r="B163" s="28"/>
      <c r="C163" s="28"/>
      <c r="D163" s="2" t="str">
        <f t="shared" si="105"/>
        <v>Onions and shallots, dry (excluding dehydrated)</v>
      </c>
      <c r="E163" s="117">
        <f t="shared" si="105"/>
        <v>0.36988914793754413</v>
      </c>
      <c r="F163" s="100">
        <f t="shared" si="105"/>
        <v>0.73341617583950269</v>
      </c>
      <c r="G163" s="100">
        <f t="shared" si="105"/>
        <v>0.69981580845243452</v>
      </c>
      <c r="H163" s="118">
        <f t="shared" si="105"/>
        <v>0.34052625860445646</v>
      </c>
      <c r="I163" s="118">
        <f t="shared" si="105"/>
        <v>0.6601832853720121</v>
      </c>
      <c r="J163" s="106">
        <f t="shared" si="105"/>
        <v>0.69319244964061277</v>
      </c>
      <c r="K163" s="106">
        <f t="shared" si="105"/>
        <v>0.72785207212264347</v>
      </c>
      <c r="L163" s="106">
        <f t="shared" ref="L163:M163" si="109">IF($P163&lt;K163,K163,K163+($P163-K163)*L$147)</f>
        <v>1.918359714748429</v>
      </c>
      <c r="M163" s="181">
        <f t="shared" si="109"/>
        <v>2.7120314764989528</v>
      </c>
      <c r="O163" s="2" t="str">
        <f>D189</f>
        <v>Gardening crop</v>
      </c>
      <c r="P163" s="40">
        <f t="shared" si="94"/>
        <v>4.2993750000000004</v>
      </c>
      <c r="Q163" s="142">
        <v>0.05</v>
      </c>
      <c r="R163" s="90" t="s">
        <v>55</v>
      </c>
      <c r="S163" s="2">
        <f t="shared" si="95"/>
        <v>85.987499999999997</v>
      </c>
      <c r="T163" s="1"/>
      <c r="W163" s="145">
        <v>0.6</v>
      </c>
    </row>
    <row r="164" spans="2:23" ht="13.5" customHeight="1" outlineLevel="1" x14ac:dyDescent="0.35">
      <c r="B164" s="28"/>
      <c r="C164" s="28"/>
      <c r="D164" s="2" t="str">
        <f t="shared" si="105"/>
        <v>Sugar cane</v>
      </c>
      <c r="E164" s="117">
        <f t="shared" si="105"/>
        <v>1.4795565917501765</v>
      </c>
      <c r="F164" s="100">
        <f t="shared" si="105"/>
        <v>2.9336647033580108</v>
      </c>
      <c r="G164" s="100">
        <f t="shared" si="105"/>
        <v>2.7992632338097381</v>
      </c>
      <c r="H164" s="118">
        <f t="shared" si="105"/>
        <v>1.3621050344178258</v>
      </c>
      <c r="I164" s="118">
        <f t="shared" si="105"/>
        <v>2.6407331414880484</v>
      </c>
      <c r="J164" s="106">
        <f t="shared" si="105"/>
        <v>3.1688797697856579</v>
      </c>
      <c r="K164" s="106">
        <f t="shared" si="105"/>
        <v>3.8026557237427894</v>
      </c>
      <c r="L164" s="106">
        <f t="shared" ref="L164:M164" si="110">IF($P164&lt;K164,K164,K164+($P164-K164)*L$147)</f>
        <v>4.9657288158285269</v>
      </c>
      <c r="M164" s="181">
        <f t="shared" si="110"/>
        <v>5.7411108772190182</v>
      </c>
      <c r="O164" s="2" t="str">
        <f>D190</f>
        <v>Others</v>
      </c>
      <c r="P164" s="40">
        <f t="shared" si="94"/>
        <v>7.291875000000001</v>
      </c>
      <c r="Q164" s="142">
        <v>0.2</v>
      </c>
      <c r="R164" s="90" t="s">
        <v>57</v>
      </c>
      <c r="S164" s="2">
        <f t="shared" si="95"/>
        <v>36.459375000000001</v>
      </c>
      <c r="T164" s="1"/>
      <c r="W164" s="145">
        <v>0.6</v>
      </c>
    </row>
    <row r="165" spans="2:23" ht="13.5" customHeight="1" outlineLevel="1" x14ac:dyDescent="0.35">
      <c r="B165" s="28"/>
      <c r="C165" s="28"/>
      <c r="D165" s="2" t="str">
        <f t="shared" si="105"/>
        <v>Millet</v>
      </c>
      <c r="E165" s="117">
        <f t="shared" si="105"/>
        <v>0.36988914793754413</v>
      </c>
      <c r="F165" s="100">
        <f t="shared" si="105"/>
        <v>0.73341617583950269</v>
      </c>
      <c r="G165" s="100">
        <f t="shared" si="105"/>
        <v>0.69981580845243452</v>
      </c>
      <c r="H165" s="118">
        <f t="shared" si="105"/>
        <v>0.34052625860445646</v>
      </c>
      <c r="I165" s="118">
        <f t="shared" si="105"/>
        <v>0.6601832853720121</v>
      </c>
      <c r="J165" s="106">
        <f t="shared" si="105"/>
        <v>0.69319244964061277</v>
      </c>
      <c r="K165" s="106">
        <f t="shared" si="105"/>
        <v>0.72785207212264347</v>
      </c>
      <c r="L165" s="106">
        <f t="shared" ref="L165:M165" si="111">IF($P165&lt;K165,K165,K165+($P165-K165)*L$147)</f>
        <v>0.90023471474842898</v>
      </c>
      <c r="M165" s="181">
        <f t="shared" si="111"/>
        <v>1.0151564764989527</v>
      </c>
      <c r="O165" s="2" t="str">
        <f>D186</f>
        <v>Millet</v>
      </c>
      <c r="P165" s="40">
        <f t="shared" si="94"/>
        <v>1.2450000000000001</v>
      </c>
      <c r="Q165" s="142">
        <v>0.1</v>
      </c>
      <c r="R165" s="90" t="s">
        <v>55</v>
      </c>
      <c r="S165" s="2">
        <f t="shared" si="95"/>
        <v>12.45</v>
      </c>
      <c r="T165" s="1"/>
      <c r="W165" s="145">
        <v>0.6</v>
      </c>
    </row>
    <row r="166" spans="2:23" ht="13.5" customHeight="1" outlineLevel="1" x14ac:dyDescent="0.35">
      <c r="B166" s="28"/>
      <c r="C166" s="28"/>
      <c r="D166" s="2" t="str">
        <f t="shared" si="105"/>
        <v>Cocoa beans</v>
      </c>
      <c r="E166" s="117">
        <f t="shared" si="105"/>
        <v>1.1096674438126324</v>
      </c>
      <c r="F166" s="100">
        <f t="shared" si="105"/>
        <v>2.2002485275185082</v>
      </c>
      <c r="G166" s="100">
        <f t="shared" si="105"/>
        <v>2.0994474253573037</v>
      </c>
      <c r="H166" s="118">
        <f t="shared" si="105"/>
        <v>1.0215787758133694</v>
      </c>
      <c r="I166" s="118">
        <f t="shared" si="105"/>
        <v>1.9805498561160362</v>
      </c>
      <c r="J166" s="106">
        <f t="shared" si="105"/>
        <v>2.3766598273392434</v>
      </c>
      <c r="K166" s="106">
        <f t="shared" si="105"/>
        <v>2.8519917928070919</v>
      </c>
      <c r="L166" s="106">
        <f t="shared" ref="L166:M166" si="112">IF($P166&lt;K166,K166,K166+($P166-K166)*L$147)</f>
        <v>9.2613278618713935</v>
      </c>
      <c r="M166" s="181">
        <f t="shared" si="112"/>
        <v>13.534218574580928</v>
      </c>
      <c r="O166" s="2" t="str">
        <f>D180</f>
        <v>Cacao, Coffee</v>
      </c>
      <c r="P166" s="40">
        <f t="shared" si="94"/>
        <v>22.08</v>
      </c>
      <c r="Q166" s="142">
        <v>0.2</v>
      </c>
      <c r="R166" s="90" t="s">
        <v>57</v>
      </c>
      <c r="S166" s="2">
        <f t="shared" si="95"/>
        <v>110.39999999999999</v>
      </c>
      <c r="T166" s="1"/>
      <c r="W166" s="145">
        <f>80%</f>
        <v>0.8</v>
      </c>
    </row>
    <row r="167" spans="2:23" ht="13.5" customHeight="1" outlineLevel="1" x14ac:dyDescent="0.35">
      <c r="B167" s="28"/>
      <c r="C167" s="28"/>
      <c r="D167" s="2" t="str">
        <f t="shared" si="105"/>
        <v>Other oil seeds, n.e.c.</v>
      </c>
      <c r="E167" s="117">
        <f t="shared" si="105"/>
        <v>0.36988914793754413</v>
      </c>
      <c r="F167" s="100">
        <f t="shared" si="105"/>
        <v>0.73341617583950269</v>
      </c>
      <c r="G167" s="100">
        <f t="shared" si="105"/>
        <v>0.69981580845243452</v>
      </c>
      <c r="H167" s="118">
        <f t="shared" si="105"/>
        <v>0.34052625860445646</v>
      </c>
      <c r="I167" s="118">
        <f t="shared" si="105"/>
        <v>0.6601832853720121</v>
      </c>
      <c r="J167" s="106">
        <f t="shared" si="105"/>
        <v>0.72620161390921334</v>
      </c>
      <c r="K167" s="106">
        <f t="shared" si="105"/>
        <v>0.79882177530013476</v>
      </c>
      <c r="L167" s="106">
        <f t="shared" ref="L167:M167" si="113">IF($P167&lt;K167,K167,K167+($P167-K167)*L$147)</f>
        <v>1.74786035020009</v>
      </c>
      <c r="M167" s="181">
        <f t="shared" si="113"/>
        <v>2.3805527334667267</v>
      </c>
      <c r="O167" s="2" t="str">
        <f>D190</f>
        <v>Others</v>
      </c>
      <c r="P167" s="40">
        <f t="shared" si="94"/>
        <v>3.6459375000000005</v>
      </c>
      <c r="Q167" s="142">
        <v>0.1</v>
      </c>
      <c r="R167" s="90" t="s">
        <v>55</v>
      </c>
      <c r="S167" s="2">
        <f t="shared" si="95"/>
        <v>36.459375000000001</v>
      </c>
      <c r="T167" s="1"/>
      <c r="W167" s="145">
        <v>0.6</v>
      </c>
    </row>
    <row r="168" spans="2:23" ht="13.5" customHeight="1" outlineLevel="1" x14ac:dyDescent="0.35">
      <c r="B168" s="28"/>
      <c r="C168" s="28"/>
      <c r="D168" s="2" t="str">
        <f t="shared" si="105"/>
        <v>Soya beans</v>
      </c>
      <c r="E168" s="117">
        <f t="shared" si="105"/>
        <v>0.73977829587508825</v>
      </c>
      <c r="F168" s="100">
        <f t="shared" si="105"/>
        <v>1.4668323516790054</v>
      </c>
      <c r="G168" s="100">
        <f t="shared" si="105"/>
        <v>1.399631616904869</v>
      </c>
      <c r="H168" s="118">
        <f t="shared" si="105"/>
        <v>0.68105251720891291</v>
      </c>
      <c r="I168" s="118">
        <f t="shared" si="105"/>
        <v>1.3203665707440242</v>
      </c>
      <c r="J168" s="106">
        <f t="shared" si="105"/>
        <v>1.4524032278184267</v>
      </c>
      <c r="K168" s="106">
        <f t="shared" si="105"/>
        <v>1.5976435506002695</v>
      </c>
      <c r="L168" s="106">
        <f t="shared" ref="L168:M168" si="114">IF($P168&lt;K168,K168,K168+($P168-K168)*L$147)</f>
        <v>1.9965957004001795</v>
      </c>
      <c r="M168" s="181">
        <f t="shared" si="114"/>
        <v>2.2625638002667863</v>
      </c>
      <c r="O168" s="2" t="str">
        <f>D179</f>
        <v>Leguminous</v>
      </c>
      <c r="P168" s="40">
        <f t="shared" si="94"/>
        <v>2.7944999999999998</v>
      </c>
      <c r="Q168" s="142">
        <v>0.15</v>
      </c>
      <c r="R168" s="90" t="s">
        <v>55</v>
      </c>
      <c r="S168" s="2">
        <f t="shared" si="95"/>
        <v>18.63</v>
      </c>
      <c r="T168" s="1"/>
      <c r="W168" s="145">
        <f>80%</f>
        <v>0.8</v>
      </c>
    </row>
    <row r="169" spans="2:23" ht="13.5" customHeight="1" outlineLevel="1" x14ac:dyDescent="0.35">
      <c r="B169" s="28"/>
      <c r="C169" s="28"/>
      <c r="D169" s="2" t="str">
        <f t="shared" si="105"/>
        <v>Pigeon peas, dry</v>
      </c>
      <c r="E169" s="117">
        <f t="shared" si="105"/>
        <v>0.36988914793754413</v>
      </c>
      <c r="F169" s="100">
        <f t="shared" si="105"/>
        <v>0.73341617583950269</v>
      </c>
      <c r="G169" s="100">
        <f t="shared" si="105"/>
        <v>0.69981580845243452</v>
      </c>
      <c r="H169" s="118">
        <f t="shared" si="105"/>
        <v>0.34052625860445646</v>
      </c>
      <c r="I169" s="118">
        <f t="shared" si="105"/>
        <v>0.6601832853720121</v>
      </c>
      <c r="J169" s="106">
        <f t="shared" si="105"/>
        <v>0.72620161390921334</v>
      </c>
      <c r="K169" s="106">
        <f t="shared" si="105"/>
        <v>0.79882177530013476</v>
      </c>
      <c r="L169" s="106">
        <f t="shared" ref="L169:M169" si="115">IF($P169&lt;K169,K169,K169+($P169-K169)*L$147)</f>
        <v>1.1535478502000898</v>
      </c>
      <c r="M169" s="181">
        <f t="shared" si="115"/>
        <v>1.3900319001333932</v>
      </c>
      <c r="O169" s="2" t="str">
        <f>D179</f>
        <v>Leguminous</v>
      </c>
      <c r="P169" s="40">
        <f t="shared" si="94"/>
        <v>1.863</v>
      </c>
      <c r="Q169" s="142">
        <v>0.1</v>
      </c>
      <c r="R169" s="90" t="s">
        <v>55</v>
      </c>
      <c r="S169" s="2">
        <f t="shared" si="95"/>
        <v>18.63</v>
      </c>
      <c r="T169" s="1"/>
      <c r="W169" s="145">
        <v>0.6</v>
      </c>
    </row>
    <row r="170" spans="2:23" ht="13.5" customHeight="1" outlineLevel="1" x14ac:dyDescent="0.35">
      <c r="B170" s="28"/>
      <c r="C170" s="28"/>
      <c r="D170" s="2" t="str">
        <f t="shared" ref="D170:K173" si="116">D130</f>
        <v>Potatoes</v>
      </c>
      <c r="E170" s="117">
        <f t="shared" si="116"/>
        <v>0.36988914793754413</v>
      </c>
      <c r="F170" s="100">
        <f t="shared" si="116"/>
        <v>0.73341617583950269</v>
      </c>
      <c r="G170" s="100">
        <f t="shared" si="116"/>
        <v>0.69981580845243452</v>
      </c>
      <c r="H170" s="118">
        <f t="shared" si="116"/>
        <v>0.34052625860445646</v>
      </c>
      <c r="I170" s="118">
        <f t="shared" si="116"/>
        <v>0.6601832853720121</v>
      </c>
      <c r="J170" s="106">
        <f t="shared" si="116"/>
        <v>0.72620161390921334</v>
      </c>
      <c r="K170" s="106">
        <f t="shared" si="116"/>
        <v>0.79882177530013476</v>
      </c>
      <c r="L170" s="106">
        <f t="shared" ref="L170:L173" si="117">IF($P170&lt;K170,K170,K170+($P170-K170)*L$147)</f>
        <v>2.1806728502000903</v>
      </c>
      <c r="M170" s="181">
        <f t="shared" ref="M170:M173" si="118">IF($P170&lt;L170,L170,L170+($P170-L170)*M$147)</f>
        <v>3.1019069001333937</v>
      </c>
      <c r="O170" s="2" t="str">
        <f>D188</f>
        <v>Tubercules</v>
      </c>
      <c r="P170" s="40">
        <f t="shared" si="94"/>
        <v>4.9443750000000009</v>
      </c>
      <c r="Q170" s="142">
        <v>0.1</v>
      </c>
      <c r="R170" s="90" t="s">
        <v>55</v>
      </c>
      <c r="S170" s="2">
        <f t="shared" si="95"/>
        <v>49.443750000000001</v>
      </c>
      <c r="T170" s="1"/>
      <c r="W170" s="145"/>
    </row>
    <row r="171" spans="2:23" ht="13.5" customHeight="1" outlineLevel="1" x14ac:dyDescent="0.35">
      <c r="B171" s="28"/>
      <c r="C171" s="28"/>
      <c r="D171" s="2" t="str">
        <f t="shared" si="116"/>
        <v>Tea leaves</v>
      </c>
      <c r="E171" s="117">
        <f t="shared" si="116"/>
        <v>1.4795565917501765</v>
      </c>
      <c r="F171" s="100">
        <f t="shared" si="116"/>
        <v>2.9336647033580108</v>
      </c>
      <c r="G171" s="100">
        <f t="shared" si="116"/>
        <v>2.7992632338097381</v>
      </c>
      <c r="H171" s="118">
        <f t="shared" si="116"/>
        <v>1.3621050344178258</v>
      </c>
      <c r="I171" s="118">
        <f t="shared" si="116"/>
        <v>2.6407331414880484</v>
      </c>
      <c r="J171" s="106">
        <f t="shared" si="116"/>
        <v>2.7727697985624511</v>
      </c>
      <c r="K171" s="106">
        <f t="shared" si="116"/>
        <v>2.9114082884905739</v>
      </c>
      <c r="L171" s="106">
        <f t="shared" si="117"/>
        <v>3.1562513589937162</v>
      </c>
      <c r="M171" s="181">
        <f t="shared" si="118"/>
        <v>3.3194800726624778</v>
      </c>
      <c r="O171" s="2" t="str">
        <f>D190</f>
        <v>Others</v>
      </c>
      <c r="P171" s="40">
        <f t="shared" si="94"/>
        <v>3.6459375000000005</v>
      </c>
      <c r="Q171" s="142">
        <v>0.1</v>
      </c>
      <c r="R171" s="90" t="s">
        <v>55</v>
      </c>
      <c r="S171" s="2">
        <f t="shared" si="95"/>
        <v>36.459375000000001</v>
      </c>
      <c r="T171" s="1"/>
      <c r="W171" s="145"/>
    </row>
    <row r="172" spans="2:23" ht="13.5" customHeight="1" outlineLevel="1" x14ac:dyDescent="0.35">
      <c r="B172" s="28"/>
      <c r="C172" s="28"/>
      <c r="D172" s="2" t="str">
        <f t="shared" si="116"/>
        <v>Cow peas, dry</v>
      </c>
      <c r="E172" s="117">
        <f t="shared" si="116"/>
        <v>0.36988914793754413</v>
      </c>
      <c r="F172" s="100">
        <f t="shared" si="116"/>
        <v>0.73341617583950269</v>
      </c>
      <c r="G172" s="100">
        <f t="shared" si="116"/>
        <v>0.69981580845243452</v>
      </c>
      <c r="H172" s="118">
        <f t="shared" si="116"/>
        <v>0.34052625860445646</v>
      </c>
      <c r="I172" s="118">
        <f t="shared" si="116"/>
        <v>0.6601832853720121</v>
      </c>
      <c r="J172" s="106">
        <f t="shared" si="116"/>
        <v>0.72620161390921334</v>
      </c>
      <c r="K172" s="106">
        <f t="shared" si="116"/>
        <v>0.79882177530013476</v>
      </c>
      <c r="L172" s="106">
        <f t="shared" si="117"/>
        <v>1.1535478502000898</v>
      </c>
      <c r="M172" s="181">
        <f t="shared" si="118"/>
        <v>1.3900319001333932</v>
      </c>
      <c r="O172" s="2" t="str">
        <f>D179</f>
        <v>Leguminous</v>
      </c>
      <c r="P172" s="40">
        <f t="shared" si="94"/>
        <v>1.863</v>
      </c>
      <c r="Q172" s="142">
        <v>0.1</v>
      </c>
      <c r="R172" s="90" t="s">
        <v>55</v>
      </c>
      <c r="S172" s="2">
        <f t="shared" si="95"/>
        <v>18.63</v>
      </c>
      <c r="T172" s="1"/>
      <c r="W172" s="145"/>
    </row>
    <row r="173" spans="2:23" ht="13.5" customHeight="1" outlineLevel="1" x14ac:dyDescent="0.35">
      <c r="B173" s="28"/>
      <c r="C173" s="28"/>
      <c r="D173" s="2" t="str">
        <f t="shared" si="116"/>
        <v>Peas, dry</v>
      </c>
      <c r="E173" s="117">
        <f t="shared" si="116"/>
        <v>0.36988914793754413</v>
      </c>
      <c r="F173" s="100">
        <f t="shared" si="116"/>
        <v>0.73341617583950269</v>
      </c>
      <c r="G173" s="100">
        <f t="shared" si="116"/>
        <v>0.69981580845243452</v>
      </c>
      <c r="H173" s="118">
        <f t="shared" si="116"/>
        <v>0.34052625860445646</v>
      </c>
      <c r="I173" s="118">
        <f t="shared" si="116"/>
        <v>0.6601832853720121</v>
      </c>
      <c r="J173" s="106">
        <f t="shared" si="116"/>
        <v>0.72620161390921334</v>
      </c>
      <c r="K173" s="106">
        <f t="shared" si="116"/>
        <v>0.79882177530013476</v>
      </c>
      <c r="L173" s="106">
        <f t="shared" si="117"/>
        <v>1.1535478502000898</v>
      </c>
      <c r="M173" s="181">
        <f t="shared" si="118"/>
        <v>1.3900319001333932</v>
      </c>
      <c r="O173" s="2" t="str">
        <f>D179</f>
        <v>Leguminous</v>
      </c>
      <c r="P173" s="40">
        <f t="shared" si="94"/>
        <v>1.863</v>
      </c>
      <c r="Q173" s="142">
        <v>0.1</v>
      </c>
      <c r="R173" s="90" t="s">
        <v>55</v>
      </c>
      <c r="S173" s="2">
        <f t="shared" si="95"/>
        <v>18.63</v>
      </c>
      <c r="T173" s="1"/>
      <c r="W173" s="145"/>
    </row>
    <row r="174" spans="2:23" ht="13.5" customHeight="1" x14ac:dyDescent="0.35">
      <c r="B174" s="28"/>
      <c r="C174" s="28"/>
      <c r="E174" s="74"/>
      <c r="F174" s="75"/>
      <c r="G174" s="75"/>
      <c r="H174" s="64"/>
      <c r="I174" s="64"/>
      <c r="J174" s="87"/>
      <c r="K174" s="87"/>
      <c r="L174" s="87"/>
      <c r="M174" s="88"/>
      <c r="N174" s="47"/>
      <c r="O174" s="89"/>
      <c r="P174" s="86"/>
      <c r="Q174" s="35"/>
      <c r="R174" s="1"/>
      <c r="T174" s="7"/>
    </row>
    <row r="175" spans="2:23" ht="13.5" customHeight="1" x14ac:dyDescent="0.3">
      <c r="D175" s="32" t="s">
        <v>64</v>
      </c>
      <c r="J175" s="31"/>
      <c r="K175" s="31"/>
      <c r="L175" s="31"/>
      <c r="M175" s="31"/>
      <c r="O175" s="40"/>
      <c r="R175" s="31"/>
    </row>
    <row r="176" spans="2:23" ht="13.5" customHeight="1" x14ac:dyDescent="0.3">
      <c r="D176" s="33" t="s">
        <v>44</v>
      </c>
      <c r="J176" s="31"/>
      <c r="K176" s="31"/>
      <c r="L176" s="31"/>
      <c r="M176" s="31"/>
      <c r="O176" s="40"/>
      <c r="R176" s="31"/>
    </row>
    <row r="177" spans="4:18" ht="13.5" customHeight="1" x14ac:dyDescent="0.3">
      <c r="F177" s="160" t="s">
        <v>65</v>
      </c>
      <c r="J177" s="31"/>
      <c r="K177" s="31"/>
      <c r="L177" s="31"/>
      <c r="M177" s="31"/>
      <c r="O177" s="40"/>
      <c r="P177" s="40"/>
      <c r="Q177" s="40"/>
      <c r="R177" s="31"/>
    </row>
    <row r="178" spans="4:18" ht="13.5" customHeight="1" outlineLevel="1" x14ac:dyDescent="0.3">
      <c r="D178" s="44"/>
      <c r="E178" s="45" t="s">
        <v>18</v>
      </c>
      <c r="F178" s="94" t="s">
        <v>66</v>
      </c>
      <c r="G178" s="45" t="s">
        <v>51</v>
      </c>
      <c r="H178" s="50"/>
      <c r="J178" s="31"/>
      <c r="K178" s="31"/>
      <c r="L178" s="31"/>
      <c r="M178" s="31"/>
      <c r="O178" s="40"/>
      <c r="P178" s="40"/>
      <c r="Q178" s="40"/>
      <c r="R178" s="31"/>
    </row>
    <row r="179" spans="4:18" ht="13.5" customHeight="1" outlineLevel="1" x14ac:dyDescent="0.3">
      <c r="D179" s="1" t="s">
        <v>56</v>
      </c>
      <c r="E179" s="119">
        <f>RAR_OCP!G8</f>
        <v>31.05</v>
      </c>
      <c r="F179" s="120">
        <v>0.6</v>
      </c>
      <c r="G179" s="121">
        <f t="shared" ref="G179:G190" si="119">F179*E179</f>
        <v>18.63</v>
      </c>
      <c r="Q179" s="40"/>
    </row>
    <row r="180" spans="4:18" ht="13.5" customHeight="1" outlineLevel="1" x14ac:dyDescent="0.25">
      <c r="D180" s="1" t="str">
        <f>RAR_OCP!E9</f>
        <v>Cacao, Coffee</v>
      </c>
      <c r="E180" s="119">
        <f>RAR_OCP!G9</f>
        <v>184</v>
      </c>
      <c r="F180" s="120">
        <v>0.6</v>
      </c>
      <c r="G180" s="121">
        <f t="shared" si="119"/>
        <v>110.39999999999999</v>
      </c>
    </row>
    <row r="181" spans="4:18" ht="13.5" customHeight="1" outlineLevel="1" x14ac:dyDescent="0.25">
      <c r="D181" s="1" t="str">
        <f>RAR_OCP!E10</f>
        <v>Maize</v>
      </c>
      <c r="E181" s="119">
        <f>RAR_OCP!G10</f>
        <v>44.895833333333336</v>
      </c>
      <c r="F181" s="120">
        <v>0.6</v>
      </c>
      <c r="G181" s="121">
        <f t="shared" si="119"/>
        <v>26.9375</v>
      </c>
    </row>
    <row r="182" spans="4:18" ht="13.5" customHeight="1" outlineLevel="1" x14ac:dyDescent="0.25">
      <c r="D182" s="1" t="str">
        <f>RAR_OCP!E11</f>
        <v>Rice</v>
      </c>
      <c r="E182" s="119">
        <f>RAR_OCP!G11</f>
        <v>51.857142857142854</v>
      </c>
      <c r="F182" s="120">
        <v>0.6</v>
      </c>
      <c r="G182" s="121">
        <f t="shared" si="119"/>
        <v>31.11428571428571</v>
      </c>
    </row>
    <row r="183" spans="4:18" ht="13.5" customHeight="1" outlineLevel="1" x14ac:dyDescent="0.25">
      <c r="D183" s="1" t="str">
        <f>RAR_OCP!E12</f>
        <v>Wheat</v>
      </c>
      <c r="E183" s="119">
        <f>RAR_OCP!G12</f>
        <v>53.5</v>
      </c>
      <c r="F183" s="120">
        <v>0.6</v>
      </c>
      <c r="G183" s="121">
        <f t="shared" si="119"/>
        <v>32.1</v>
      </c>
    </row>
    <row r="184" spans="4:18" ht="13.5" customHeight="1" outlineLevel="1" x14ac:dyDescent="0.25">
      <c r="D184" s="1" t="str">
        <f>RAR_OCP!E13</f>
        <v>Sorghum</v>
      </c>
      <c r="E184" s="119">
        <f>RAR_OCP!G13</f>
        <v>22.75</v>
      </c>
      <c r="F184" s="120">
        <v>0.6</v>
      </c>
      <c r="G184" s="121">
        <f t="shared" si="119"/>
        <v>13.65</v>
      </c>
    </row>
    <row r="185" spans="4:18" ht="13.5" customHeight="1" outlineLevel="1" x14ac:dyDescent="0.25">
      <c r="D185" s="1" t="str">
        <f>RAR_OCP!E14</f>
        <v xml:space="preserve">Fonio </v>
      </c>
      <c r="E185" s="119">
        <f>RAR_OCP!G14</f>
        <v>22.5</v>
      </c>
      <c r="F185" s="120">
        <v>0.6</v>
      </c>
      <c r="G185" s="121">
        <f t="shared" si="119"/>
        <v>13.5</v>
      </c>
    </row>
    <row r="186" spans="4:18" ht="13.5" customHeight="1" outlineLevel="1" x14ac:dyDescent="0.25">
      <c r="D186" s="1" t="s">
        <v>54</v>
      </c>
      <c r="E186" s="119">
        <f>RAR_OCP!G15</f>
        <v>20.75</v>
      </c>
      <c r="F186" s="120">
        <v>0.6</v>
      </c>
      <c r="G186" s="121">
        <f t="shared" si="119"/>
        <v>12.45</v>
      </c>
    </row>
    <row r="187" spans="4:18" ht="13.5" customHeight="1" outlineLevel="1" x14ac:dyDescent="0.25">
      <c r="D187" s="1" t="s">
        <v>67</v>
      </c>
      <c r="E187" s="119">
        <f>RAR_OCP!G16</f>
        <v>39.125</v>
      </c>
      <c r="F187" s="120">
        <v>0.6</v>
      </c>
      <c r="G187" s="121">
        <f t="shared" si="119"/>
        <v>23.474999999999998</v>
      </c>
    </row>
    <row r="188" spans="4:18" ht="13.5" customHeight="1" outlineLevel="1" x14ac:dyDescent="0.25">
      <c r="D188" s="1" t="str">
        <f>RAR_OCP!E17</f>
        <v>Tubercules</v>
      </c>
      <c r="E188" s="119">
        <f>RAR_OCP!G17</f>
        <v>82.40625</v>
      </c>
      <c r="F188" s="120">
        <v>0.6</v>
      </c>
      <c r="G188" s="121">
        <f t="shared" si="119"/>
        <v>49.443750000000001</v>
      </c>
    </row>
    <row r="189" spans="4:18" ht="13.5" customHeight="1" outlineLevel="1" x14ac:dyDescent="0.25">
      <c r="D189" s="1" t="s">
        <v>60</v>
      </c>
      <c r="E189" s="119">
        <f>RAR_OCP!G18</f>
        <v>143.3125</v>
      </c>
      <c r="F189" s="120">
        <v>0.6</v>
      </c>
      <c r="G189" s="121">
        <f t="shared" si="119"/>
        <v>85.987499999999997</v>
      </c>
    </row>
    <row r="190" spans="4:18" ht="13.5" customHeight="1" outlineLevel="1" x14ac:dyDescent="0.25">
      <c r="D190" s="1" t="str">
        <f>RAR_OCP!E19</f>
        <v>Others</v>
      </c>
      <c r="E190" s="119">
        <f>RAR_OCP!G19</f>
        <v>60.765625</v>
      </c>
      <c r="F190" s="120">
        <v>0.6</v>
      </c>
      <c r="G190" s="121">
        <f t="shared" si="119"/>
        <v>36.459375000000001</v>
      </c>
    </row>
    <row r="191" spans="4:18" ht="13.5" customHeight="1" outlineLevel="1" x14ac:dyDescent="0.3">
      <c r="D191" s="93" t="s">
        <v>41</v>
      </c>
      <c r="E191" s="93" t="s">
        <v>68</v>
      </c>
      <c r="F191" s="93" t="s">
        <v>69</v>
      </c>
      <c r="G191" s="93"/>
    </row>
    <row r="192" spans="4:18" ht="13.5" customHeight="1" x14ac:dyDescent="0.25">
      <c r="D192" s="1"/>
    </row>
    <row r="193" spans="2:20" ht="13.5" customHeight="1" x14ac:dyDescent="0.3">
      <c r="D193" s="35"/>
    </row>
    <row r="194" spans="2:20" ht="13.5" customHeight="1" x14ac:dyDescent="0.35">
      <c r="B194" s="29">
        <v>4</v>
      </c>
      <c r="C194" s="29" t="s">
        <v>177</v>
      </c>
      <c r="D194" s="28" t="s">
        <v>224</v>
      </c>
      <c r="O194" s="7"/>
      <c r="P194" s="7"/>
      <c r="Q194" s="7"/>
      <c r="R194" s="7"/>
      <c r="S194" s="7"/>
      <c r="T194" s="7"/>
    </row>
    <row r="195" spans="2:20" ht="13.5" customHeight="1" x14ac:dyDescent="0.25">
      <c r="D195" s="7"/>
    </row>
    <row r="196" spans="2:20" ht="13.5" customHeight="1" x14ac:dyDescent="0.3">
      <c r="D196" s="32" t="s">
        <v>226</v>
      </c>
      <c r="J196" s="31"/>
      <c r="K196" s="31"/>
      <c r="L196" s="32" t="s">
        <v>225</v>
      </c>
      <c r="R196" s="31"/>
    </row>
    <row r="197" spans="2:20" ht="13.5" customHeight="1" x14ac:dyDescent="0.3">
      <c r="D197" s="33" t="s">
        <v>228</v>
      </c>
      <c r="E197" s="219">
        <v>2022</v>
      </c>
      <c r="F197" s="219">
        <v>2023</v>
      </c>
      <c r="G197" s="219">
        <v>2024</v>
      </c>
      <c r="H197" s="219">
        <v>2025</v>
      </c>
      <c r="J197" s="31" t="s">
        <v>215</v>
      </c>
      <c r="K197" s="31"/>
      <c r="L197" s="33" t="s">
        <v>227</v>
      </c>
      <c r="M197" s="219">
        <v>2022</v>
      </c>
      <c r="N197" s="219">
        <v>2023</v>
      </c>
      <c r="O197" s="219">
        <v>2024</v>
      </c>
      <c r="P197" s="219">
        <v>2025</v>
      </c>
      <c r="R197" s="31"/>
    </row>
    <row r="198" spans="2:20" ht="13.5" customHeight="1" x14ac:dyDescent="0.3">
      <c r="D198" s="2" t="str">
        <f>OCP_SalesProduct!D11</f>
        <v>DAP</v>
      </c>
      <c r="F198" s="2">
        <f>N198*$J$198</f>
        <v>5.1042853183704597</v>
      </c>
      <c r="G198" s="2">
        <f t="shared" ref="G198:H198" si="120">O198*$J$198</f>
        <v>6.5642074247843487</v>
      </c>
      <c r="H198" s="2">
        <f t="shared" si="120"/>
        <v>6.6499634503711551</v>
      </c>
      <c r="J198" s="242">
        <f>OCP_SalesProduct!K11</f>
        <v>0.46</v>
      </c>
      <c r="L198" s="2" t="str">
        <f>D198</f>
        <v>DAP</v>
      </c>
      <c r="N198" s="2">
        <f>OCP_SalesProduct!F97</f>
        <v>11.096272431240129</v>
      </c>
      <c r="O198" s="2">
        <f>OCP_SalesProduct!G97</f>
        <v>14.270016140835541</v>
      </c>
      <c r="P198" s="2">
        <f>OCP_SalesProduct!H97</f>
        <v>14.456442283415553</v>
      </c>
    </row>
    <row r="199" spans="2:20" ht="13.5" customHeight="1" x14ac:dyDescent="0.3">
      <c r="D199" s="2" t="str">
        <f>OCP_SalesProduct!D12</f>
        <v>TSP</v>
      </c>
      <c r="F199" s="2">
        <f>N199*$J$199</f>
        <v>6.8176101977133509E-3</v>
      </c>
      <c r="G199" s="2">
        <f t="shared" ref="G199:H199" si="121">O199*$J$199</f>
        <v>0.38909339830454437</v>
      </c>
      <c r="H199" s="2">
        <f t="shared" si="121"/>
        <v>1.4585295264701124</v>
      </c>
      <c r="J199" s="242">
        <f>OCP_SalesProduct!K12</f>
        <v>0.46</v>
      </c>
      <c r="L199" s="2" t="str">
        <f t="shared" ref="L199:L200" si="122">D199</f>
        <v>TSP</v>
      </c>
      <c r="N199" s="2">
        <f>OCP_SalesProduct!F98</f>
        <v>1.4820891734159458E-2</v>
      </c>
      <c r="O199" s="2">
        <f>OCP_SalesProduct!G98</f>
        <v>0.84585521370553118</v>
      </c>
      <c r="P199" s="2">
        <f>OCP_SalesProduct!H98</f>
        <v>3.1707163618915484</v>
      </c>
    </row>
    <row r="200" spans="2:20" ht="13.5" customHeight="1" thickBot="1" x14ac:dyDescent="0.35">
      <c r="D200" s="236" t="str">
        <f>OCP_SalesProduct!D13</f>
        <v>NPK</v>
      </c>
      <c r="E200" s="236"/>
      <c r="F200" s="236" t="e">
        <f>N200*$J$200</f>
        <v>#REF!</v>
      </c>
      <c r="G200" s="236" t="e">
        <f>O200*$J$200</f>
        <v>#REF!</v>
      </c>
      <c r="H200" s="236" t="e">
        <f>P200*$J$200</f>
        <v>#REF!</v>
      </c>
      <c r="J200" s="242">
        <f>OCP_SalesProduct!K13</f>
        <v>0.11</v>
      </c>
      <c r="L200" s="236" t="str">
        <f t="shared" si="122"/>
        <v>NPK</v>
      </c>
      <c r="M200" s="236"/>
      <c r="N200" s="236" t="e">
        <f>OCP_SalesProduct!#REF!</f>
        <v>#REF!</v>
      </c>
      <c r="O200" s="236" t="e">
        <f>OCP_SalesProduct!#REF!</f>
        <v>#REF!</v>
      </c>
      <c r="P200" s="236" t="e">
        <f>OCP_SalesProduct!#REF!</f>
        <v>#REF!</v>
      </c>
    </row>
    <row r="201" spans="2:20" ht="13.5" customHeight="1" thickTop="1" thickBot="1" x14ac:dyDescent="0.3">
      <c r="D201" s="243" t="s">
        <v>185</v>
      </c>
      <c r="E201" s="236"/>
      <c r="F201" s="236" t="e">
        <f>SUM(F198:F200)</f>
        <v>#REF!</v>
      </c>
      <c r="G201" s="236" t="e">
        <f t="shared" ref="G201:H201" si="123">SUM(G198:G200)</f>
        <v>#REF!</v>
      </c>
      <c r="H201" s="236" t="e">
        <f t="shared" si="123"/>
        <v>#REF!</v>
      </c>
      <c r="L201" s="243" t="s">
        <v>185</v>
      </c>
      <c r="M201" s="236"/>
      <c r="N201" s="248" t="e">
        <f>SUM(N198:N200)</f>
        <v>#REF!</v>
      </c>
      <c r="O201" s="248" t="e">
        <f t="shared" ref="O201" si="124">SUM(O198:O200)</f>
        <v>#REF!</v>
      </c>
      <c r="P201" s="248" t="e">
        <f t="shared" ref="P201" si="125">SUM(P198:P200)</f>
        <v>#REF!</v>
      </c>
    </row>
    <row r="202" spans="2:20" ht="13.5" customHeight="1" thickTop="1" x14ac:dyDescent="0.25">
      <c r="D202" s="244" t="s">
        <v>212</v>
      </c>
      <c r="E202" s="245"/>
      <c r="F202" s="245" t="e">
        <f>F201-K37</f>
        <v>#REF!</v>
      </c>
      <c r="G202" s="245" t="e">
        <f>G201-L37</f>
        <v>#REF!</v>
      </c>
      <c r="H202" s="245" t="e">
        <f>H201-M37</f>
        <v>#REF!</v>
      </c>
      <c r="L202" s="244"/>
      <c r="M202" s="245"/>
      <c r="N202" s="245"/>
      <c r="O202" s="245"/>
      <c r="P202" s="245"/>
    </row>
    <row r="204" spans="2:20" ht="13.5" customHeight="1" x14ac:dyDescent="0.3">
      <c r="D204" s="32" t="s">
        <v>229</v>
      </c>
      <c r="J204" s="31"/>
      <c r="K204" s="31"/>
      <c r="L204" s="32" t="s">
        <v>225</v>
      </c>
      <c r="R204" s="31"/>
    </row>
    <row r="205" spans="2:20" ht="13.5" customHeight="1" x14ac:dyDescent="0.3">
      <c r="D205" s="33" t="s">
        <v>228</v>
      </c>
      <c r="E205" s="219">
        <v>2022</v>
      </c>
      <c r="F205" s="219">
        <v>2023</v>
      </c>
      <c r="G205" s="219">
        <v>2024</v>
      </c>
      <c r="H205" s="219">
        <v>2025</v>
      </c>
      <c r="J205" s="31"/>
      <c r="K205" s="31"/>
      <c r="L205" s="33" t="s">
        <v>227</v>
      </c>
      <c r="M205" s="219">
        <v>2022</v>
      </c>
      <c r="N205" s="219">
        <v>2023</v>
      </c>
      <c r="O205" s="219">
        <v>2024</v>
      </c>
      <c r="P205" s="219">
        <v>2025</v>
      </c>
      <c r="R205" s="31"/>
    </row>
    <row r="206" spans="2:20" ht="13.5" customHeight="1" x14ac:dyDescent="0.3">
      <c r="D206" s="2" t="str">
        <f>D198</f>
        <v>DAP</v>
      </c>
      <c r="F206" s="2">
        <f>N206*$J$198</f>
        <v>5.1042853183704597</v>
      </c>
      <c r="G206" s="2">
        <f t="shared" ref="G206" si="126">O206*$J$198</f>
        <v>10.491044422732328</v>
      </c>
      <c r="H206" s="2">
        <f t="shared" ref="H206" si="127">P206*$J$198</f>
        <v>12.267446138297242</v>
      </c>
      <c r="J206" s="242">
        <f>J198</f>
        <v>0.46</v>
      </c>
      <c r="L206" s="2" t="str">
        <f>L198</f>
        <v>DAP</v>
      </c>
      <c r="N206" s="2">
        <f>OCP_SalesProduct!F109</f>
        <v>11.096272431240129</v>
      </c>
      <c r="O206" s="2">
        <f>OCP_SalesProduct!G109</f>
        <v>22.806618310287668</v>
      </c>
      <c r="P206" s="2">
        <f>OCP_SalesProduct!H109</f>
        <v>26.668361170211394</v>
      </c>
    </row>
    <row r="207" spans="2:20" ht="13.5" customHeight="1" x14ac:dyDescent="0.3">
      <c r="D207" s="2" t="str">
        <f t="shared" ref="D207:D209" si="128">D199</f>
        <v>TSP</v>
      </c>
      <c r="F207" s="2">
        <f>N207*$J$199</f>
        <v>6.8176101977133509E-3</v>
      </c>
      <c r="G207" s="2">
        <f t="shared" ref="G207" si="129">O207*$J$199</f>
        <v>0.90815965996619763</v>
      </c>
      <c r="H207" s="2">
        <f t="shared" ref="H207" si="130">P207*$J$199</f>
        <v>4.090345437631286</v>
      </c>
      <c r="J207" s="242">
        <f t="shared" ref="J207:J208" si="131">J199</f>
        <v>0.46</v>
      </c>
      <c r="L207" s="2" t="str">
        <f t="shared" ref="L207:L209" si="132">L199</f>
        <v>TSP</v>
      </c>
      <c r="N207" s="2">
        <f>OCP_SalesProduct!F110</f>
        <v>1.4820891734159458E-2</v>
      </c>
      <c r="O207" s="2">
        <f>OCP_SalesProduct!G110</f>
        <v>1.9742601303612992</v>
      </c>
      <c r="P207" s="2">
        <f>OCP_SalesProduct!H110</f>
        <v>8.8920552991984483</v>
      </c>
    </row>
    <row r="208" spans="2:20" ht="13.5" customHeight="1" thickBot="1" x14ac:dyDescent="0.35">
      <c r="D208" s="236" t="str">
        <f t="shared" si="128"/>
        <v>NPK</v>
      </c>
      <c r="E208" s="236"/>
      <c r="F208" s="236" t="e">
        <f>N208*$J$200</f>
        <v>#REF!</v>
      </c>
      <c r="G208" s="236" t="e">
        <f>O208*$J$200</f>
        <v>#REF!</v>
      </c>
      <c r="H208" s="236" t="e">
        <f>P208*$J$200</f>
        <v>#REF!</v>
      </c>
      <c r="J208" s="242">
        <f t="shared" si="131"/>
        <v>0.11</v>
      </c>
      <c r="L208" s="236" t="str">
        <f t="shared" si="132"/>
        <v>NPK</v>
      </c>
      <c r="M208" s="236"/>
      <c r="N208" s="236" t="e">
        <f>OCP_SalesProduct!#REF!</f>
        <v>#REF!</v>
      </c>
      <c r="O208" s="236" t="e">
        <f>OCP_SalesProduct!#REF!</f>
        <v>#REF!</v>
      </c>
      <c r="P208" s="236" t="e">
        <f>OCP_SalesProduct!#REF!</f>
        <v>#REF!</v>
      </c>
    </row>
    <row r="209" spans="4:16" ht="13.5" customHeight="1" thickTop="1" thickBot="1" x14ac:dyDescent="0.3">
      <c r="D209" s="243" t="str">
        <f t="shared" si="128"/>
        <v>Total</v>
      </c>
      <c r="E209" s="236"/>
      <c r="F209" s="236" t="e">
        <f>SUM(F206:F208)</f>
        <v>#REF!</v>
      </c>
      <c r="G209" s="236" t="e">
        <f t="shared" ref="G209:H209" si="133">SUM(G206:G208)</f>
        <v>#REF!</v>
      </c>
      <c r="H209" s="236" t="e">
        <f t="shared" si="133"/>
        <v>#REF!</v>
      </c>
      <c r="L209" s="243" t="str">
        <f t="shared" si="132"/>
        <v>Total</v>
      </c>
      <c r="M209" s="236"/>
      <c r="N209" s="248" t="e">
        <f>SUM(N206:N208)</f>
        <v>#REF!</v>
      </c>
      <c r="O209" s="248" t="e">
        <f t="shared" ref="O209:P209" si="134">SUM(O206:O208)</f>
        <v>#REF!</v>
      </c>
      <c r="P209" s="248" t="e">
        <f t="shared" si="134"/>
        <v>#REF!</v>
      </c>
    </row>
    <row r="210" spans="4:16" ht="13.5" customHeight="1" thickTop="1" x14ac:dyDescent="0.25">
      <c r="D210" s="1" t="s">
        <v>212</v>
      </c>
      <c r="F210" s="2" t="e">
        <f>F209-K68</f>
        <v>#REF!</v>
      </c>
      <c r="G210" s="2" t="e">
        <f>G209-L68</f>
        <v>#REF!</v>
      </c>
      <c r="H210" s="2" t="e">
        <f>H209-M68</f>
        <v>#REF!</v>
      </c>
    </row>
  </sheetData>
  <dataConsolidate/>
  <mergeCells count="5">
    <mergeCell ref="E76:I76"/>
    <mergeCell ref="H7:I7"/>
    <mergeCell ref="J146:M146"/>
    <mergeCell ref="E148:I148"/>
    <mergeCell ref="E108:I108"/>
  </mergeCells>
  <phoneticPr fontId="45" type="noConversion"/>
  <conditionalFormatting sqref="N13:N38">
    <cfRule type="cellIs" dxfId="10" priority="7" operator="equal">
      <formula>1</formula>
    </cfRule>
  </conditionalFormatting>
  <conditionalFormatting sqref="N44:N67">
    <cfRule type="cellIs" dxfId="9" priority="1" operator="equal">
      <formula>1</formula>
    </cfRule>
  </conditionalFormatting>
  <conditionalFormatting sqref="N150:N173">
    <cfRule type="colorScale" priority="8">
      <colorScale>
        <cfvo type="min"/>
        <cfvo type="percentile" val="50"/>
        <cfvo type="max"/>
        <color rgb="FFF8696B"/>
        <color rgb="FFFFEB84"/>
        <color rgb="FF63BE7B"/>
      </colorScale>
    </cfRule>
  </conditionalFormatting>
  <dataValidations disablePrompts="1" count="1">
    <dataValidation type="list" allowBlank="1" showInputMessage="1" showErrorMessage="1" sqref="F41" xr:uid="{E4FC6BAF-3C57-4A68-A176-11D423EA78C7}">
      <formula1>$E$12:$M$12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A21B-CFFE-4761-B911-984A979CE85F}">
  <dimension ref="A1:AC169"/>
  <sheetViews>
    <sheetView showGridLines="0" zoomScale="90" zoomScaleNormal="90" workbookViewId="0">
      <selection activeCell="D68" sqref="D68"/>
    </sheetView>
  </sheetViews>
  <sheetFormatPr defaultColWidth="9.26953125" defaultRowHeight="13.5" customHeight="1" x14ac:dyDescent="0.25"/>
  <cols>
    <col min="1" max="1" width="1.7265625" style="2" customWidth="1"/>
    <col min="2" max="2" width="2.7265625" style="2" customWidth="1"/>
    <col min="3" max="3" width="2" style="2" customWidth="1"/>
    <col min="4" max="4" width="53.7265625" style="2" bestFit="1" customWidth="1"/>
    <col min="5" max="5" width="19.1796875" style="2" bestFit="1" customWidth="1"/>
    <col min="6" max="6" width="26.1796875" style="2" customWidth="1"/>
    <col min="7" max="16" width="14.1796875" style="2" customWidth="1"/>
    <col min="17" max="17" width="9.26953125" style="2"/>
    <col min="18" max="18" width="22.54296875" style="2" bestFit="1" customWidth="1"/>
    <col min="19" max="25" width="22.26953125" style="2" customWidth="1"/>
    <col min="26" max="16384" width="9.26953125" style="2"/>
  </cols>
  <sheetData>
    <row r="1" spans="1:16" s="7" customFormat="1" ht="13.5" customHeight="1" x14ac:dyDescent="0.25">
      <c r="A1" s="5"/>
      <c r="B1" s="5"/>
      <c r="C1" s="5"/>
      <c r="D1" s="6" t="s">
        <v>70</v>
      </c>
      <c r="E1" s="25"/>
    </row>
    <row r="2" spans="1:16" s="7" customFormat="1" ht="13.5" customHeight="1" x14ac:dyDescent="0.25">
      <c r="A2" s="5"/>
      <c r="B2" s="5"/>
      <c r="C2" s="5"/>
      <c r="D2" s="6"/>
      <c r="E2" s="26" t="str">
        <f>Title</f>
        <v>OCP Africa - Uganda P205</v>
      </c>
    </row>
    <row r="3" spans="1:16" s="7" customFormat="1" ht="13.5" customHeight="1" x14ac:dyDescent="0.25">
      <c r="A3" s="5"/>
      <c r="B3" s="5"/>
      <c r="C3" s="5"/>
      <c r="D3" s="6"/>
      <c r="E3" s="27" t="str">
        <f ca="1">MID(CELL("filename",E3),FIND("]",CELL("filename",E3))+1,256)</f>
        <v>OCPMarketShares</v>
      </c>
    </row>
    <row r="4" spans="1:16" s="7" customFormat="1" ht="13.5" customHeight="1" x14ac:dyDescent="0.25">
      <c r="A4" s="5"/>
      <c r="B4" s="5"/>
      <c r="C4" s="5"/>
      <c r="D4" s="6"/>
      <c r="E4" s="25"/>
    </row>
    <row r="5" spans="1:16" s="11" customFormat="1" ht="13.5" customHeight="1" x14ac:dyDescent="0.3">
      <c r="A5" s="8"/>
      <c r="B5" s="8"/>
      <c r="C5" s="8"/>
      <c r="D5" s="9"/>
      <c r="E5" s="10"/>
    </row>
    <row r="6" spans="1:16" s="175" customFormat="1" ht="13.5" customHeight="1" x14ac:dyDescent="0.3">
      <c r="A6" s="172"/>
      <c r="B6" s="172"/>
      <c r="C6" s="172"/>
      <c r="D6" s="173"/>
      <c r="E6" s="174"/>
    </row>
    <row r="7" spans="1:16" ht="13.5" customHeight="1" x14ac:dyDescent="0.35">
      <c r="B7" s="29">
        <v>0</v>
      </c>
      <c r="D7" s="28" t="s">
        <v>175</v>
      </c>
    </row>
    <row r="8" spans="1:16" s="175" customFormat="1" ht="13.5" customHeight="1" x14ac:dyDescent="0.3">
      <c r="A8" s="172"/>
      <c r="B8" s="172"/>
      <c r="C8" s="172"/>
      <c r="D8" s="173"/>
      <c r="E8" s="174"/>
    </row>
    <row r="9" spans="1:16" s="175" customFormat="1" ht="13.5" customHeight="1" x14ac:dyDescent="0.3">
      <c r="A9" s="172"/>
      <c r="B9" s="172"/>
      <c r="C9" s="172"/>
      <c r="D9" s="32" t="s">
        <v>71</v>
      </c>
      <c r="E9" s="174"/>
    </row>
    <row r="10" spans="1:16" s="175" customFormat="1" ht="13.5" customHeight="1" x14ac:dyDescent="0.3">
      <c r="A10" s="172"/>
      <c r="B10" s="172"/>
      <c r="C10" s="172"/>
      <c r="D10" s="33" t="s">
        <v>72</v>
      </c>
      <c r="E10" s="174"/>
    </row>
    <row r="11" spans="1:16" s="175" customFormat="1" ht="13.5" customHeight="1" x14ac:dyDescent="0.3">
      <c r="A11" s="172"/>
      <c r="B11" s="172"/>
      <c r="C11" s="172"/>
      <c r="D11" s="30" t="s">
        <v>15</v>
      </c>
      <c r="E11" s="115">
        <v>2017</v>
      </c>
      <c r="F11" s="115">
        <v>2018</v>
      </c>
      <c r="G11" s="115">
        <v>2019</v>
      </c>
      <c r="H11" s="115">
        <v>2020</v>
      </c>
      <c r="I11" s="115">
        <v>2021</v>
      </c>
      <c r="J11" s="115">
        <v>2022</v>
      </c>
      <c r="K11" s="115">
        <v>2023</v>
      </c>
      <c r="L11" s="115">
        <v>2024</v>
      </c>
      <c r="M11" s="115">
        <v>2025</v>
      </c>
      <c r="N11" s="255"/>
      <c r="O11" s="255"/>
      <c r="P11" s="255"/>
    </row>
    <row r="12" spans="1:16" s="175" customFormat="1" ht="13.5" customHeight="1" x14ac:dyDescent="0.35">
      <c r="A12" s="172"/>
      <c r="B12" s="172"/>
      <c r="C12" s="172"/>
      <c r="D12" s="180" t="s">
        <v>272</v>
      </c>
      <c r="E12" s="179"/>
      <c r="F12" s="176"/>
      <c r="K12" s="176">
        <v>0</v>
      </c>
      <c r="L12" s="176">
        <v>0</v>
      </c>
      <c r="M12" s="176">
        <v>0</v>
      </c>
      <c r="N12" s="176"/>
      <c r="O12" s="176"/>
      <c r="P12" s="176"/>
    </row>
    <row r="13" spans="1:16" s="175" customFormat="1" ht="13.5" customHeight="1" x14ac:dyDescent="0.35">
      <c r="A13" s="172"/>
      <c r="B13" s="172"/>
      <c r="C13" s="172"/>
      <c r="D13" s="180" t="s">
        <v>273</v>
      </c>
      <c r="E13" s="179"/>
      <c r="F13" s="176"/>
      <c r="K13" s="176">
        <f>K72</f>
        <v>0.2140321101410679</v>
      </c>
      <c r="L13" s="176">
        <f t="shared" ref="L13:M13" si="0">L72</f>
        <v>0.61413025055768256</v>
      </c>
      <c r="M13" s="176">
        <f t="shared" si="0"/>
        <v>0</v>
      </c>
      <c r="N13" s="176"/>
      <c r="O13" s="176"/>
      <c r="P13" s="176"/>
    </row>
    <row r="14" spans="1:16" s="175" customFormat="1" ht="13.5" customHeight="1" x14ac:dyDescent="0.35">
      <c r="A14" s="172"/>
      <c r="B14" s="172"/>
      <c r="C14" s="172"/>
      <c r="D14" s="180" t="s">
        <v>274</v>
      </c>
      <c r="E14" s="179"/>
      <c r="F14" s="176"/>
      <c r="K14" s="176">
        <f>K131</f>
        <v>0</v>
      </c>
      <c r="L14" s="176">
        <f t="shared" ref="L14:M14" si="1">L131</f>
        <v>1.5006854931409055</v>
      </c>
      <c r="M14" s="176">
        <f t="shared" si="1"/>
        <v>4.904257503635769</v>
      </c>
      <c r="N14" s="176"/>
      <c r="O14" s="176"/>
      <c r="P14" s="176"/>
    </row>
    <row r="15" spans="1:16" s="175" customFormat="1" ht="13.5" customHeight="1" thickBot="1" x14ac:dyDescent="0.4">
      <c r="A15" s="172"/>
      <c r="B15" s="172"/>
      <c r="C15" s="172"/>
      <c r="D15" s="180" t="s">
        <v>275</v>
      </c>
      <c r="E15" s="179"/>
      <c r="F15" s="176"/>
      <c r="K15" s="176">
        <v>0</v>
      </c>
      <c r="L15" s="176">
        <v>0</v>
      </c>
      <c r="M15" s="176">
        <v>0</v>
      </c>
      <c r="N15" s="176"/>
      <c r="O15" s="176"/>
      <c r="P15" s="176"/>
    </row>
    <row r="16" spans="1:16" s="175" customFormat="1" ht="13.5" customHeight="1" thickTop="1" thickBot="1" x14ac:dyDescent="0.3">
      <c r="A16" s="172"/>
      <c r="B16" s="172"/>
      <c r="C16" s="172"/>
      <c r="D16" s="262" t="s">
        <v>279</v>
      </c>
      <c r="E16" s="122"/>
      <c r="F16" s="122"/>
      <c r="G16" s="122"/>
      <c r="H16" s="122"/>
      <c r="I16" s="122"/>
      <c r="J16" s="123"/>
      <c r="K16" s="123">
        <f>SUM(K12:K15)</f>
        <v>0.2140321101410679</v>
      </c>
      <c r="L16" s="123">
        <f t="shared" ref="L16:M16" si="2">SUM(L12:L15)</f>
        <v>2.1148157436985882</v>
      </c>
      <c r="M16" s="123">
        <f t="shared" si="2"/>
        <v>4.904257503635769</v>
      </c>
      <c r="N16" s="178"/>
      <c r="O16" s="178"/>
      <c r="P16" s="178"/>
    </row>
    <row r="17" spans="1:17" s="175" customFormat="1" ht="13.5" customHeight="1" thickTop="1" thickBot="1" x14ac:dyDescent="0.3">
      <c r="A17" s="172"/>
      <c r="B17" s="172"/>
      <c r="C17" s="172"/>
      <c r="D17" s="97" t="s">
        <v>17</v>
      </c>
      <c r="E17" s="122"/>
      <c r="F17" s="122"/>
      <c r="G17" s="122"/>
      <c r="H17" s="122"/>
      <c r="I17" s="122"/>
      <c r="J17" s="123"/>
      <c r="K17" s="123">
        <f>K16/46%</f>
        <v>0.46528719595884327</v>
      </c>
      <c r="L17" s="123">
        <f t="shared" ref="L17:M17" si="3">L16/46%</f>
        <v>4.5974255297795397</v>
      </c>
      <c r="M17" s="123">
        <f t="shared" si="3"/>
        <v>10.661429355729933</v>
      </c>
      <c r="N17" s="178"/>
      <c r="O17" s="178"/>
      <c r="P17" s="178"/>
    </row>
    <row r="18" spans="1:17" s="175" customFormat="1" ht="13.5" customHeight="1" thickTop="1" x14ac:dyDescent="0.3">
      <c r="A18" s="172"/>
      <c r="B18" s="172"/>
      <c r="C18" s="172"/>
      <c r="D18" s="182" t="s">
        <v>278</v>
      </c>
      <c r="E18" s="183"/>
      <c r="F18" s="183"/>
      <c r="G18" s="183"/>
      <c r="H18" s="183"/>
      <c r="I18" s="183"/>
      <c r="J18" s="184"/>
      <c r="K18" s="185">
        <f>K16/ProjectedP205_Consumption!K37</f>
        <v>1.5000000000000006E-2</v>
      </c>
      <c r="L18" s="185">
        <f>L16/ProjectedP205_Consumption!L37</f>
        <v>0.12052581836220488</v>
      </c>
      <c r="M18" s="185">
        <f>M16/ProjectedP205_Consumption!M37</f>
        <v>0.22559769729149193</v>
      </c>
      <c r="N18" s="185"/>
      <c r="O18" s="185"/>
      <c r="P18" s="185"/>
    </row>
    <row r="19" spans="1:17" s="175" customFormat="1" ht="13.5" customHeight="1" x14ac:dyDescent="0.25">
      <c r="A19" s="172"/>
      <c r="B19" s="172"/>
      <c r="C19" s="172"/>
      <c r="D19" s="177"/>
      <c r="E19" s="178"/>
      <c r="F19" s="178"/>
      <c r="G19" s="178"/>
      <c r="H19" s="178"/>
      <c r="I19" s="178"/>
      <c r="J19" s="178"/>
      <c r="K19" s="178"/>
      <c r="L19" s="178"/>
      <c r="M19" s="178"/>
      <c r="N19" s="178"/>
      <c r="O19" s="178"/>
      <c r="P19" s="178"/>
    </row>
    <row r="20" spans="1:17" s="175" customFormat="1" ht="13.5" customHeight="1" x14ac:dyDescent="0.3">
      <c r="A20" s="172"/>
      <c r="B20" s="172"/>
      <c r="C20" s="172"/>
      <c r="D20" s="32" t="s">
        <v>71</v>
      </c>
      <c r="E20" s="178"/>
      <c r="F20" s="178"/>
      <c r="G20" s="178"/>
      <c r="H20" s="178"/>
      <c r="I20" s="178"/>
      <c r="J20" s="178"/>
      <c r="K20" s="178"/>
      <c r="L20" s="178"/>
      <c r="M20" s="178"/>
      <c r="N20" s="178"/>
      <c r="O20" s="178"/>
      <c r="P20" s="178"/>
    </row>
    <row r="21" spans="1:17" s="175" customFormat="1" ht="13.5" customHeight="1" x14ac:dyDescent="0.3">
      <c r="A21" s="172"/>
      <c r="B21" s="172"/>
      <c r="C21" s="172"/>
      <c r="D21" s="33" t="s">
        <v>72</v>
      </c>
      <c r="E21" s="178"/>
      <c r="F21" s="178"/>
      <c r="G21" s="178"/>
      <c r="H21" s="178"/>
      <c r="I21" s="178"/>
      <c r="J21" s="178"/>
      <c r="K21" s="178"/>
      <c r="L21" s="178"/>
      <c r="M21" s="178"/>
      <c r="N21" s="178"/>
      <c r="O21" s="178"/>
      <c r="P21" s="178"/>
    </row>
    <row r="22" spans="1:17" s="175" customFormat="1" ht="13.5" customHeight="1" x14ac:dyDescent="0.3">
      <c r="A22" s="172"/>
      <c r="B22" s="172"/>
      <c r="C22" s="172"/>
      <c r="D22" s="30" t="s">
        <v>186</v>
      </c>
      <c r="E22" s="115">
        <v>2017</v>
      </c>
      <c r="F22" s="115">
        <v>2018</v>
      </c>
      <c r="G22" s="115">
        <v>2019</v>
      </c>
      <c r="H22" s="115">
        <v>2020</v>
      </c>
      <c r="I22" s="115">
        <v>2021</v>
      </c>
      <c r="J22" s="115">
        <v>2022</v>
      </c>
      <c r="K22" s="115">
        <v>2023</v>
      </c>
      <c r="L22" s="115">
        <v>2024</v>
      </c>
      <c r="M22" s="115">
        <v>2025</v>
      </c>
      <c r="N22" s="255"/>
      <c r="O22" s="255"/>
      <c r="P22" s="255"/>
    </row>
    <row r="23" spans="1:17" s="175" customFormat="1" ht="13.5" customHeight="1" x14ac:dyDescent="0.35">
      <c r="A23" s="172"/>
      <c r="B23" s="172"/>
      <c r="C23" s="172"/>
      <c r="D23" s="180" t="s">
        <v>272</v>
      </c>
      <c r="E23" s="174"/>
      <c r="K23" s="176">
        <v>0</v>
      </c>
      <c r="L23" s="176">
        <v>0</v>
      </c>
      <c r="M23" s="176">
        <v>0</v>
      </c>
      <c r="N23" s="176"/>
      <c r="O23" s="176"/>
      <c r="P23" s="176"/>
    </row>
    <row r="24" spans="1:17" s="175" customFormat="1" ht="13.5" customHeight="1" x14ac:dyDescent="0.35">
      <c r="A24" s="172"/>
      <c r="B24" s="172"/>
      <c r="C24" s="172"/>
      <c r="D24" s="180" t="s">
        <v>273</v>
      </c>
      <c r="E24" s="174"/>
      <c r="K24" s="176">
        <f>K99</f>
        <v>0.2140321101410679</v>
      </c>
      <c r="L24" s="176">
        <f t="shared" ref="L24:M24" si="4">L99</f>
        <v>0.98274485441883586</v>
      </c>
      <c r="M24" s="176">
        <f t="shared" si="4"/>
        <v>0</v>
      </c>
      <c r="N24" s="176"/>
      <c r="O24" s="176"/>
      <c r="P24" s="176"/>
    </row>
    <row r="25" spans="1:17" s="175" customFormat="1" ht="13.5" customHeight="1" x14ac:dyDescent="0.35">
      <c r="A25" s="172"/>
      <c r="B25" s="172"/>
      <c r="C25" s="172"/>
      <c r="D25" s="180" t="s">
        <v>274</v>
      </c>
      <c r="E25" s="174"/>
      <c r="K25" s="176">
        <f>K158</f>
        <v>0</v>
      </c>
      <c r="L25" s="176">
        <f t="shared" ref="L25:M25" si="5">L158</f>
        <v>2.4407854440229975</v>
      </c>
      <c r="M25" s="176">
        <f t="shared" si="5"/>
        <v>8.8553430001741855</v>
      </c>
      <c r="N25" s="176"/>
      <c r="O25" s="176"/>
      <c r="P25" s="176"/>
    </row>
    <row r="26" spans="1:17" s="175" customFormat="1" ht="13.5" customHeight="1" thickBot="1" x14ac:dyDescent="0.4">
      <c r="A26" s="172"/>
      <c r="B26" s="172"/>
      <c r="C26" s="172"/>
      <c r="D26" s="180" t="s">
        <v>275</v>
      </c>
      <c r="E26" s="174"/>
      <c r="K26" s="176">
        <f>0</f>
        <v>0</v>
      </c>
      <c r="L26" s="176">
        <f>0</f>
        <v>0</v>
      </c>
      <c r="M26" s="176">
        <f>0</f>
        <v>0</v>
      </c>
      <c r="N26" s="176"/>
      <c r="O26" s="176"/>
      <c r="P26" s="176"/>
    </row>
    <row r="27" spans="1:17" s="175" customFormat="1" ht="13.5" customHeight="1" thickTop="1" thickBot="1" x14ac:dyDescent="0.3">
      <c r="A27" s="172"/>
      <c r="B27" s="172"/>
      <c r="C27" s="172"/>
      <c r="D27" s="262" t="s">
        <v>279</v>
      </c>
      <c r="E27" s="122"/>
      <c r="F27" s="122"/>
      <c r="G27" s="122"/>
      <c r="H27" s="122"/>
      <c r="I27" s="122"/>
      <c r="J27" s="123"/>
      <c r="K27" s="123">
        <f>SUM(K23:K26)</f>
        <v>0.2140321101410679</v>
      </c>
      <c r="L27" s="123">
        <f t="shared" ref="L27:M27" si="6">SUM(L23:L26)</f>
        <v>3.4235302984418334</v>
      </c>
      <c r="M27" s="123">
        <f t="shared" si="6"/>
        <v>8.8553430001741855</v>
      </c>
      <c r="N27" s="178"/>
      <c r="O27" s="178"/>
      <c r="P27" s="178"/>
    </row>
    <row r="28" spans="1:17" s="175" customFormat="1" ht="13.5" customHeight="1" thickTop="1" thickBot="1" x14ac:dyDescent="0.3">
      <c r="A28" s="172"/>
      <c r="B28" s="172"/>
      <c r="C28" s="172"/>
      <c r="D28" s="97" t="s">
        <v>17</v>
      </c>
      <c r="E28" s="122"/>
      <c r="F28" s="122"/>
      <c r="G28" s="122"/>
      <c r="H28" s="122"/>
      <c r="I28" s="122"/>
      <c r="J28" s="123"/>
      <c r="K28" s="123">
        <f>K27/46%</f>
        <v>0.46528719595884327</v>
      </c>
      <c r="L28" s="123">
        <f t="shared" ref="L28:M28" si="7">L27/46%</f>
        <v>7.4424571705257243</v>
      </c>
      <c r="M28" s="123">
        <f t="shared" si="7"/>
        <v>19.250745652552578</v>
      </c>
      <c r="N28" s="178"/>
      <c r="O28" s="178"/>
      <c r="P28" s="178"/>
    </row>
    <row r="29" spans="1:17" s="175" customFormat="1" ht="13.5" customHeight="1" thickTop="1" x14ac:dyDescent="0.3">
      <c r="A29" s="172"/>
      <c r="B29" s="172"/>
      <c r="C29" s="172"/>
      <c r="D29" s="182" t="s">
        <v>278</v>
      </c>
      <c r="E29" s="183"/>
      <c r="F29" s="183"/>
      <c r="G29" s="183"/>
      <c r="H29" s="183"/>
      <c r="I29" s="183"/>
      <c r="J29" s="184"/>
      <c r="K29" s="185">
        <f>K27/ProjectedP205_Consumption!K68</f>
        <v>1.5000000000000006E-2</v>
      </c>
      <c r="L29" s="185">
        <f>L27/ProjectedP205_Consumption!L68</f>
        <v>0.12192743610580803</v>
      </c>
      <c r="M29" s="185">
        <f>M27/ProjectedP205_Consumption!M68</f>
        <v>0.22649732111805695</v>
      </c>
      <c r="N29" s="185"/>
      <c r="O29" s="185"/>
      <c r="P29" s="185"/>
    </row>
    <row r="30" spans="1:17" s="175" customFormat="1" ht="13.5" customHeight="1" x14ac:dyDescent="0.3">
      <c r="A30" s="172"/>
      <c r="B30" s="172"/>
      <c r="C30" s="172"/>
      <c r="D30" s="182"/>
      <c r="E30" s="183"/>
      <c r="F30" s="183"/>
      <c r="G30" s="183"/>
      <c r="H30" s="183"/>
      <c r="I30" s="183"/>
      <c r="J30" s="184"/>
      <c r="K30" s="185"/>
      <c r="L30" s="185"/>
      <c r="M30" s="185"/>
      <c r="N30" s="185"/>
      <c r="O30" s="185"/>
      <c r="P30" s="185"/>
    </row>
    <row r="31" spans="1:17" ht="13.5" customHeight="1" x14ac:dyDescent="0.35">
      <c r="B31" s="29">
        <v>0</v>
      </c>
      <c r="D31" s="28" t="s">
        <v>276</v>
      </c>
      <c r="N31" s="163"/>
      <c r="O31" s="163"/>
      <c r="P31" s="163"/>
      <c r="Q31" s="163"/>
    </row>
    <row r="32" spans="1:17" ht="13.5" customHeight="1" x14ac:dyDescent="0.25">
      <c r="N32" s="163"/>
      <c r="O32" s="163"/>
      <c r="P32" s="163"/>
      <c r="Q32" s="163"/>
    </row>
    <row r="33" spans="2:29" ht="13.5" customHeight="1" x14ac:dyDescent="0.3">
      <c r="D33" s="32" t="s">
        <v>71</v>
      </c>
      <c r="N33" s="163"/>
      <c r="O33" s="163"/>
      <c r="P33" s="163"/>
      <c r="Q33" s="163"/>
    </row>
    <row r="34" spans="2:29" ht="13.5" customHeight="1" x14ac:dyDescent="0.3">
      <c r="D34" s="33" t="s">
        <v>72</v>
      </c>
      <c r="N34" s="163"/>
      <c r="O34" s="163"/>
      <c r="P34" s="163"/>
      <c r="Q34" s="163"/>
    </row>
    <row r="35" spans="2:29" ht="13.5" customHeight="1" x14ac:dyDescent="0.25">
      <c r="N35" s="163"/>
      <c r="O35" s="163"/>
      <c r="P35" s="163"/>
      <c r="Q35" s="163"/>
    </row>
    <row r="36" spans="2:29" ht="13.5" customHeight="1" x14ac:dyDescent="0.3">
      <c r="D36" s="30" t="s">
        <v>15</v>
      </c>
      <c r="E36" s="115">
        <v>2017</v>
      </c>
      <c r="F36" s="115">
        <v>2018</v>
      </c>
      <c r="G36" s="115">
        <v>2019</v>
      </c>
      <c r="H36" s="115">
        <v>2020</v>
      </c>
      <c r="I36" s="115">
        <v>2021</v>
      </c>
      <c r="J36" s="115">
        <v>2022</v>
      </c>
      <c r="K36" s="115">
        <v>2023</v>
      </c>
      <c r="L36" s="115">
        <v>2024</v>
      </c>
      <c r="M36" s="115">
        <v>2025</v>
      </c>
      <c r="N36" s="255"/>
      <c r="O36" s="255"/>
      <c r="P36" s="255"/>
    </row>
    <row r="37" spans="2:29" ht="13.5" customHeight="1" x14ac:dyDescent="0.25">
      <c r="D37" s="2" t="s">
        <v>277</v>
      </c>
    </row>
    <row r="39" spans="2:29" ht="13.5" customHeight="1" x14ac:dyDescent="0.3">
      <c r="D39" s="30" t="s">
        <v>186</v>
      </c>
      <c r="E39" s="115">
        <v>2017</v>
      </c>
      <c r="F39" s="115">
        <v>2018</v>
      </c>
      <c r="G39" s="115">
        <v>2019</v>
      </c>
      <c r="H39" s="115">
        <v>2020</v>
      </c>
      <c r="I39" s="115">
        <v>2021</v>
      </c>
      <c r="J39" s="115">
        <v>2022</v>
      </c>
      <c r="K39" s="115">
        <v>2023</v>
      </c>
      <c r="L39" s="115">
        <v>2024</v>
      </c>
      <c r="M39" s="115">
        <v>2025</v>
      </c>
      <c r="N39" s="255"/>
      <c r="O39" s="255"/>
      <c r="P39" s="255"/>
    </row>
    <row r="40" spans="2:29" ht="13.5" customHeight="1" x14ac:dyDescent="0.25">
      <c r="D40" s="2" t="s">
        <v>277</v>
      </c>
    </row>
    <row r="42" spans="2:29" ht="13.5" customHeight="1" x14ac:dyDescent="0.35">
      <c r="B42" s="29">
        <v>1</v>
      </c>
      <c r="D42" s="28" t="s">
        <v>273</v>
      </c>
    </row>
    <row r="44" spans="2:29" ht="13.5" customHeight="1" x14ac:dyDescent="0.3">
      <c r="D44" s="32" t="s">
        <v>71</v>
      </c>
      <c r="O44" s="39" t="s">
        <v>24</v>
      </c>
      <c r="P44" s="1" t="s">
        <v>280</v>
      </c>
    </row>
    <row r="45" spans="2:29" ht="13.5" customHeight="1" x14ac:dyDescent="0.3">
      <c r="D45" s="33" t="s">
        <v>72</v>
      </c>
      <c r="P45" s="1" t="s">
        <v>281</v>
      </c>
      <c r="Q45" s="1"/>
      <c r="S45" s="1" t="s">
        <v>282</v>
      </c>
      <c r="V45" s="1" t="s">
        <v>283</v>
      </c>
    </row>
    <row r="46" spans="2:29" ht="13.5" customHeight="1" x14ac:dyDescent="0.25">
      <c r="P46" s="115">
        <v>2023</v>
      </c>
      <c r="Q46" s="115">
        <v>2023</v>
      </c>
      <c r="R46" s="115">
        <v>2023</v>
      </c>
      <c r="S46" s="115">
        <v>2024</v>
      </c>
      <c r="T46" s="115">
        <v>2024</v>
      </c>
      <c r="U46" s="115">
        <v>2024</v>
      </c>
      <c r="V46" s="115">
        <v>2025</v>
      </c>
    </row>
    <row r="47" spans="2:29" ht="13.5" customHeight="1" x14ac:dyDescent="0.3">
      <c r="D47" s="30" t="s">
        <v>15</v>
      </c>
      <c r="E47" s="115">
        <v>2017</v>
      </c>
      <c r="F47" s="115">
        <v>2018</v>
      </c>
      <c r="G47" s="115">
        <v>2019</v>
      </c>
      <c r="H47" s="115">
        <v>2020</v>
      </c>
      <c r="I47" s="115">
        <v>2021</v>
      </c>
      <c r="J47" s="115">
        <v>2022</v>
      </c>
      <c r="K47" s="115">
        <v>2023</v>
      </c>
      <c r="L47" s="115">
        <v>2024</v>
      </c>
      <c r="M47" s="115">
        <v>2025</v>
      </c>
      <c r="N47" s="255"/>
      <c r="O47" s="124" t="s">
        <v>73</v>
      </c>
      <c r="P47" s="124" t="s">
        <v>288</v>
      </c>
      <c r="Q47" s="115" t="s">
        <v>284</v>
      </c>
      <c r="R47" s="115" t="s">
        <v>285</v>
      </c>
      <c r="S47" s="124" t="s">
        <v>288</v>
      </c>
      <c r="T47" s="115" t="s">
        <v>286</v>
      </c>
      <c r="U47" s="115" t="s">
        <v>287</v>
      </c>
      <c r="V47" s="115" t="s">
        <v>214</v>
      </c>
      <c r="W47" s="255"/>
      <c r="X47" s="257"/>
      <c r="Y47" s="257"/>
      <c r="Z47" s="257"/>
      <c r="AA47" s="255"/>
      <c r="AB47" s="255"/>
      <c r="AC47" s="255"/>
    </row>
    <row r="48" spans="2:29" ht="13.5" customHeight="1" x14ac:dyDescent="0.25">
      <c r="D48" s="176" t="s">
        <v>246</v>
      </c>
      <c r="E48" s="255"/>
      <c r="F48" s="255"/>
      <c r="G48" s="255"/>
      <c r="H48" s="255"/>
      <c r="I48" s="255"/>
      <c r="J48" s="255"/>
      <c r="K48" s="270">
        <f>ProjectedP205_Consumption!K13*P48*Q48*R48</f>
        <v>2.2490629028589684E-2</v>
      </c>
      <c r="L48" s="270">
        <f>ProjectedP205_Consumption!L13*S48*T48*U48</f>
        <v>5.5102041120044715E-2</v>
      </c>
      <c r="M48" s="270">
        <f>ProjectedP205_Consumption!M13*V48</f>
        <v>0</v>
      </c>
      <c r="N48" s="255"/>
      <c r="O48" s="255"/>
      <c r="P48" s="269">
        <f>50%</f>
        <v>0.5</v>
      </c>
      <c r="Q48" s="267">
        <f>15%+5%+10%</f>
        <v>0.30000000000000004</v>
      </c>
      <c r="R48" s="268">
        <v>0.1</v>
      </c>
      <c r="S48" s="268">
        <f>50%</f>
        <v>0.5</v>
      </c>
      <c r="T48" s="268">
        <f>Q48+5%</f>
        <v>0.35000000000000003</v>
      </c>
      <c r="U48" s="268">
        <f>20%</f>
        <v>0.2</v>
      </c>
      <c r="V48" s="266">
        <v>0</v>
      </c>
      <c r="AA48" s="266"/>
      <c r="AB48" s="266"/>
      <c r="AC48" s="266"/>
    </row>
    <row r="49" spans="4:29" ht="13.5" customHeight="1" x14ac:dyDescent="0.25">
      <c r="D49" s="176" t="s">
        <v>122</v>
      </c>
      <c r="E49" s="255"/>
      <c r="F49" s="255"/>
      <c r="G49" s="255"/>
      <c r="H49" s="255"/>
      <c r="I49" s="255"/>
      <c r="J49" s="255"/>
      <c r="K49" s="270">
        <f>ProjectedP205_Consumption!K14*P49*Q49*R49</f>
        <v>8.497822909266968E-2</v>
      </c>
      <c r="L49" s="270">
        <f>ProjectedP205_Consumption!L14*S49*T49*U49</f>
        <v>0.2617329456054226</v>
      </c>
      <c r="M49" s="270">
        <f>ProjectedP205_Consumption!M14*V49</f>
        <v>0</v>
      </c>
      <c r="N49" s="255"/>
      <c r="O49" s="255"/>
      <c r="P49" s="263">
        <f>$P$48</f>
        <v>0.5</v>
      </c>
      <c r="Q49" s="263">
        <f>$Q$48</f>
        <v>0.30000000000000004</v>
      </c>
      <c r="R49" s="264">
        <f>$R$48</f>
        <v>0.1</v>
      </c>
      <c r="S49" s="264">
        <f>$S$48</f>
        <v>0.5</v>
      </c>
      <c r="T49" s="264">
        <f>$T$48</f>
        <v>0.35000000000000003</v>
      </c>
      <c r="U49" s="265">
        <f>$U$48</f>
        <v>0.2</v>
      </c>
      <c r="V49" s="76">
        <f>$V$48</f>
        <v>0</v>
      </c>
      <c r="AA49" s="76"/>
      <c r="AB49" s="76"/>
      <c r="AC49" s="76"/>
    </row>
    <row r="50" spans="4:29" ht="13.5" customHeight="1" x14ac:dyDescent="0.25">
      <c r="D50" s="176" t="s">
        <v>135</v>
      </c>
      <c r="E50" s="255"/>
      <c r="F50" s="255"/>
      <c r="G50" s="255"/>
      <c r="H50" s="255"/>
      <c r="I50" s="255"/>
      <c r="J50" s="255"/>
      <c r="K50" s="270">
        <f>ProjectedP205_Consumption!K15*P50*Q50*R50</f>
        <v>2.1143864887694538E-2</v>
      </c>
      <c r="L50" s="270">
        <f>ProjectedP205_Consumption!L15*S50*T50*U50</f>
        <v>5.4392592423594177E-2</v>
      </c>
      <c r="M50" s="270">
        <f>ProjectedP205_Consumption!M15*V50</f>
        <v>0</v>
      </c>
      <c r="N50" s="255"/>
      <c r="O50" s="255"/>
      <c r="P50" s="263">
        <f t="shared" ref="P50:P71" si="8">$P$48</f>
        <v>0.5</v>
      </c>
      <c r="Q50" s="263">
        <f t="shared" ref="Q50:Q71" si="9">$Q$48</f>
        <v>0.30000000000000004</v>
      </c>
      <c r="R50" s="264">
        <f t="shared" ref="R50:R71" si="10">$R$48</f>
        <v>0.1</v>
      </c>
      <c r="S50" s="264">
        <f t="shared" ref="S50:S71" si="11">$S$48</f>
        <v>0.5</v>
      </c>
      <c r="T50" s="264">
        <f t="shared" ref="T50:T71" si="12">$T$48</f>
        <v>0.35000000000000003</v>
      </c>
      <c r="U50" s="265">
        <f t="shared" ref="U50:U71" si="13">$U$48</f>
        <v>0.2</v>
      </c>
      <c r="V50" s="76">
        <f t="shared" ref="V50:V71" si="14">$V$48</f>
        <v>0</v>
      </c>
      <c r="AA50" s="76"/>
      <c r="AB50" s="76"/>
      <c r="AC50" s="76"/>
    </row>
    <row r="51" spans="4:29" ht="13.5" customHeight="1" x14ac:dyDescent="0.25">
      <c r="D51" s="176" t="s">
        <v>236</v>
      </c>
      <c r="E51" s="255"/>
      <c r="F51" s="255"/>
      <c r="G51" s="255"/>
      <c r="H51" s="255"/>
      <c r="I51" s="255"/>
      <c r="J51" s="255"/>
      <c r="K51" s="270">
        <f>ProjectedP205_Consumption!K16*P51*Q51*R51</f>
        <v>3.2861160090948922E-2</v>
      </c>
      <c r="L51" s="270">
        <f>ProjectedP205_Consumption!L16*S51*T51*U51</f>
        <v>9.6902748523416349E-2</v>
      </c>
      <c r="M51" s="270">
        <f>ProjectedP205_Consumption!M16*V51</f>
        <v>0</v>
      </c>
      <c r="N51" s="255"/>
      <c r="O51" s="255"/>
      <c r="P51" s="263">
        <f t="shared" si="8"/>
        <v>0.5</v>
      </c>
      <c r="Q51" s="263">
        <f t="shared" si="9"/>
        <v>0.30000000000000004</v>
      </c>
      <c r="R51" s="264">
        <f t="shared" si="10"/>
        <v>0.1</v>
      </c>
      <c r="S51" s="264">
        <f t="shared" si="11"/>
        <v>0.5</v>
      </c>
      <c r="T51" s="264">
        <f t="shared" si="12"/>
        <v>0.35000000000000003</v>
      </c>
      <c r="U51" s="265">
        <f t="shared" si="13"/>
        <v>0.2</v>
      </c>
      <c r="V51" s="76">
        <f t="shared" si="14"/>
        <v>0</v>
      </c>
      <c r="AA51" s="76"/>
      <c r="AB51" s="76"/>
      <c r="AC51" s="76"/>
    </row>
    <row r="52" spans="4:29" ht="13.5" customHeight="1" x14ac:dyDescent="0.25">
      <c r="D52" s="176" t="s">
        <v>133</v>
      </c>
      <c r="E52" s="255"/>
      <c r="F52" s="255"/>
      <c r="G52" s="255"/>
      <c r="H52" s="255"/>
      <c r="I52" s="255"/>
      <c r="J52" s="255"/>
      <c r="K52" s="270">
        <f>ProjectedP205_Consumption!K17*P52*Q52*R52</f>
        <v>6.263692263169399E-3</v>
      </c>
      <c r="L52" s="270">
        <f>ProjectedP205_Consumption!L17*S52*T52*U52</f>
        <v>1.7102004902982023E-2</v>
      </c>
      <c r="M52" s="270">
        <f>ProjectedP205_Consumption!M17*V52</f>
        <v>0</v>
      </c>
      <c r="N52" s="255"/>
      <c r="O52" s="255"/>
      <c r="P52" s="263">
        <f t="shared" si="8"/>
        <v>0.5</v>
      </c>
      <c r="Q52" s="263">
        <f t="shared" si="9"/>
        <v>0.30000000000000004</v>
      </c>
      <c r="R52" s="264">
        <f t="shared" si="10"/>
        <v>0.1</v>
      </c>
      <c r="S52" s="264">
        <f t="shared" si="11"/>
        <v>0.5</v>
      </c>
      <c r="T52" s="264">
        <f t="shared" si="12"/>
        <v>0.35000000000000003</v>
      </c>
      <c r="U52" s="265">
        <f t="shared" si="13"/>
        <v>0.2</v>
      </c>
      <c r="V52" s="76">
        <f t="shared" si="14"/>
        <v>0</v>
      </c>
      <c r="AA52" s="76"/>
      <c r="AB52" s="76"/>
      <c r="AC52" s="76"/>
    </row>
    <row r="53" spans="4:29" ht="13.5" customHeight="1" x14ac:dyDescent="0.25">
      <c r="D53" s="176" t="s">
        <v>141</v>
      </c>
      <c r="E53" s="255"/>
      <c r="F53" s="255"/>
      <c r="G53" s="255"/>
      <c r="H53" s="255"/>
      <c r="I53" s="255"/>
      <c r="J53" s="255"/>
      <c r="K53" s="270">
        <f>ProjectedP205_Consumption!K18*P53*Q53*R53</f>
        <v>3.9541677877356681E-3</v>
      </c>
      <c r="L53" s="270">
        <f>ProjectedP205_Consumption!L18*S53*T53*U53</f>
        <v>1.0149030655188214E-2</v>
      </c>
      <c r="M53" s="270">
        <f>ProjectedP205_Consumption!M18*V53</f>
        <v>0</v>
      </c>
      <c r="N53" s="255"/>
      <c r="O53" s="255"/>
      <c r="P53" s="263">
        <f t="shared" si="8"/>
        <v>0.5</v>
      </c>
      <c r="Q53" s="263">
        <f t="shared" si="9"/>
        <v>0.30000000000000004</v>
      </c>
      <c r="R53" s="264">
        <f t="shared" si="10"/>
        <v>0.1</v>
      </c>
      <c r="S53" s="264">
        <f t="shared" si="11"/>
        <v>0.5</v>
      </c>
      <c r="T53" s="264">
        <f t="shared" si="12"/>
        <v>0.35000000000000003</v>
      </c>
      <c r="U53" s="265">
        <f t="shared" si="13"/>
        <v>0.2</v>
      </c>
      <c r="V53" s="76">
        <f t="shared" si="14"/>
        <v>0</v>
      </c>
      <c r="AA53" s="76"/>
      <c r="AB53" s="76"/>
      <c r="AC53" s="76"/>
    </row>
    <row r="54" spans="4:29" ht="13.5" customHeight="1" x14ac:dyDescent="0.25">
      <c r="D54" s="176" t="s">
        <v>124</v>
      </c>
      <c r="E54" s="255"/>
      <c r="F54" s="255"/>
      <c r="G54" s="255"/>
      <c r="H54" s="255"/>
      <c r="I54" s="255"/>
      <c r="J54" s="255"/>
      <c r="K54" s="270">
        <f>ProjectedP205_Consumption!K19*P54*Q54*R54</f>
        <v>7.9028471905819592E-3</v>
      </c>
      <c r="L54" s="270">
        <f>ProjectedP205_Consumption!L19*S54*T54*U54</f>
        <v>2.1298173178618384E-2</v>
      </c>
      <c r="M54" s="270">
        <f>ProjectedP205_Consumption!M19*V54</f>
        <v>0</v>
      </c>
      <c r="N54" s="255"/>
      <c r="O54" s="255"/>
      <c r="P54" s="263">
        <f t="shared" si="8"/>
        <v>0.5</v>
      </c>
      <c r="Q54" s="263">
        <f t="shared" si="9"/>
        <v>0.30000000000000004</v>
      </c>
      <c r="R54" s="264">
        <f t="shared" si="10"/>
        <v>0.1</v>
      </c>
      <c r="S54" s="264">
        <f t="shared" si="11"/>
        <v>0.5</v>
      </c>
      <c r="T54" s="264">
        <f t="shared" si="12"/>
        <v>0.35000000000000003</v>
      </c>
      <c r="U54" s="265">
        <f t="shared" si="13"/>
        <v>0.2</v>
      </c>
      <c r="V54" s="76">
        <f t="shared" si="14"/>
        <v>0</v>
      </c>
      <c r="AA54" s="76"/>
      <c r="AB54" s="76"/>
      <c r="AC54" s="76"/>
    </row>
    <row r="55" spans="4:29" ht="13.5" customHeight="1" x14ac:dyDescent="0.25">
      <c r="D55" s="176" t="s">
        <v>172</v>
      </c>
      <c r="E55" s="255"/>
      <c r="F55" s="255"/>
      <c r="G55" s="255"/>
      <c r="H55" s="255"/>
      <c r="I55" s="255"/>
      <c r="J55" s="255"/>
      <c r="K55" s="270">
        <f>ProjectedP205_Consumption!K20*P55*Q55*R55</f>
        <v>3.3703190199639017E-3</v>
      </c>
      <c r="L55" s="270">
        <f>ProjectedP205_Consumption!L20*S55*T55*U55</f>
        <v>8.6701456788571361E-3</v>
      </c>
      <c r="M55" s="270">
        <f>ProjectedP205_Consumption!M20*V55</f>
        <v>0</v>
      </c>
      <c r="N55" s="255"/>
      <c r="O55" s="255"/>
      <c r="P55" s="263">
        <f t="shared" si="8"/>
        <v>0.5</v>
      </c>
      <c r="Q55" s="263">
        <f t="shared" si="9"/>
        <v>0.30000000000000004</v>
      </c>
      <c r="R55" s="264">
        <f t="shared" si="10"/>
        <v>0.1</v>
      </c>
      <c r="S55" s="264">
        <f t="shared" si="11"/>
        <v>0.5</v>
      </c>
      <c r="T55" s="264">
        <f t="shared" si="12"/>
        <v>0.35000000000000003</v>
      </c>
      <c r="U55" s="265">
        <f t="shared" si="13"/>
        <v>0.2</v>
      </c>
      <c r="V55" s="76">
        <f t="shared" si="14"/>
        <v>0</v>
      </c>
      <c r="AA55" s="76"/>
      <c r="AB55" s="76"/>
      <c r="AC55" s="76"/>
    </row>
    <row r="56" spans="4:29" ht="13.5" customHeight="1" x14ac:dyDescent="0.25">
      <c r="D56" s="176" t="s">
        <v>118</v>
      </c>
      <c r="E56" s="255"/>
      <c r="F56" s="255"/>
      <c r="G56" s="255"/>
      <c r="H56" s="255"/>
      <c r="I56" s="255"/>
      <c r="J56" s="255"/>
      <c r="K56" s="270">
        <f>ProjectedP205_Consumption!K21*P56*Q56*R56</f>
        <v>2.8402607484405862E-3</v>
      </c>
      <c r="L56" s="270">
        <f>ProjectedP205_Consumption!L21*S56*T56*U56</f>
        <v>7.6545027170473795E-3</v>
      </c>
      <c r="M56" s="270">
        <f>ProjectedP205_Consumption!M21*V56</f>
        <v>0</v>
      </c>
      <c r="N56" s="255"/>
      <c r="O56" s="255"/>
      <c r="P56" s="263">
        <f t="shared" si="8"/>
        <v>0.5</v>
      </c>
      <c r="Q56" s="263">
        <f t="shared" si="9"/>
        <v>0.30000000000000004</v>
      </c>
      <c r="R56" s="264">
        <f t="shared" si="10"/>
        <v>0.1</v>
      </c>
      <c r="S56" s="264">
        <f t="shared" si="11"/>
        <v>0.5</v>
      </c>
      <c r="T56" s="264">
        <f t="shared" si="12"/>
        <v>0.35000000000000003</v>
      </c>
      <c r="U56" s="265">
        <f t="shared" si="13"/>
        <v>0.2</v>
      </c>
      <c r="V56" s="76">
        <f t="shared" si="14"/>
        <v>0</v>
      </c>
      <c r="AA56" s="76"/>
      <c r="AB56" s="76"/>
      <c r="AC56" s="76"/>
    </row>
    <row r="57" spans="4:29" ht="13.5" customHeight="1" x14ac:dyDescent="0.25">
      <c r="D57" s="176" t="s">
        <v>58</v>
      </c>
      <c r="E57" s="255"/>
      <c r="F57" s="255"/>
      <c r="G57" s="255"/>
      <c r="H57" s="255"/>
      <c r="I57" s="255"/>
      <c r="J57" s="255"/>
      <c r="K57" s="270">
        <f>ProjectedP205_Consumption!K22*P57*Q57*R57</f>
        <v>2.7546941404065668E-3</v>
      </c>
      <c r="L57" s="270">
        <f>ProjectedP205_Consumption!L22*S57*T57*U57</f>
        <v>7.086450676195892E-3</v>
      </c>
      <c r="M57" s="270">
        <f>ProjectedP205_Consumption!M22*V57</f>
        <v>0</v>
      </c>
      <c r="N57" s="255"/>
      <c r="O57" s="255"/>
      <c r="P57" s="263">
        <f t="shared" si="8"/>
        <v>0.5</v>
      </c>
      <c r="Q57" s="263">
        <f t="shared" si="9"/>
        <v>0.30000000000000004</v>
      </c>
      <c r="R57" s="264">
        <f t="shared" si="10"/>
        <v>0.1</v>
      </c>
      <c r="S57" s="264">
        <f t="shared" si="11"/>
        <v>0.5</v>
      </c>
      <c r="T57" s="264">
        <f t="shared" si="12"/>
        <v>0.35000000000000003</v>
      </c>
      <c r="U57" s="265">
        <f t="shared" si="13"/>
        <v>0.2</v>
      </c>
      <c r="V57" s="76">
        <f t="shared" si="14"/>
        <v>0</v>
      </c>
      <c r="AA57" s="76"/>
      <c r="AB57" s="76"/>
      <c r="AC57" s="76"/>
    </row>
    <row r="58" spans="4:29" ht="13.5" customHeight="1" x14ac:dyDescent="0.25">
      <c r="D58" s="176" t="s">
        <v>121</v>
      </c>
      <c r="E58" s="255"/>
      <c r="F58" s="255"/>
      <c r="G58" s="255"/>
      <c r="H58" s="255"/>
      <c r="I58" s="255"/>
      <c r="J58" s="255"/>
      <c r="K58" s="270">
        <f>ProjectedP205_Consumption!K23*P58*Q58*R58</f>
        <v>1.8330924412510805E-3</v>
      </c>
      <c r="L58" s="270">
        <f>ProjectedP205_Consumption!L23*S58*T58*U58</f>
        <v>4.7156303051184047E-3</v>
      </c>
      <c r="M58" s="270">
        <f>ProjectedP205_Consumption!M23*V58</f>
        <v>0</v>
      </c>
      <c r="N58" s="255"/>
      <c r="O58" s="255"/>
      <c r="P58" s="263">
        <f t="shared" si="8"/>
        <v>0.5</v>
      </c>
      <c r="Q58" s="263">
        <f t="shared" si="9"/>
        <v>0.30000000000000004</v>
      </c>
      <c r="R58" s="264">
        <f t="shared" si="10"/>
        <v>0.1</v>
      </c>
      <c r="S58" s="264">
        <f t="shared" si="11"/>
        <v>0.5</v>
      </c>
      <c r="T58" s="264">
        <f t="shared" si="12"/>
        <v>0.35000000000000003</v>
      </c>
      <c r="U58" s="265">
        <f t="shared" si="13"/>
        <v>0.2</v>
      </c>
      <c r="V58" s="76">
        <f t="shared" si="14"/>
        <v>0</v>
      </c>
      <c r="AA58" s="76"/>
      <c r="AB58" s="76"/>
      <c r="AC58" s="76"/>
    </row>
    <row r="59" spans="4:29" ht="13.5" customHeight="1" x14ac:dyDescent="0.25">
      <c r="D59" s="176" t="s">
        <v>157</v>
      </c>
      <c r="E59" s="255"/>
      <c r="F59" s="255"/>
      <c r="G59" s="255"/>
      <c r="H59" s="255"/>
      <c r="I59" s="255"/>
      <c r="J59" s="255"/>
      <c r="K59" s="270">
        <f>ProjectedP205_Consumption!K24*P59*Q59*R59</f>
        <v>1.1916485106300936E-3</v>
      </c>
      <c r="L59" s="270">
        <f>ProjectedP205_Consumption!L24*S59*T59*U59</f>
        <v>3.065515793595916E-3</v>
      </c>
      <c r="M59" s="270">
        <f>ProjectedP205_Consumption!M24*V59</f>
        <v>0</v>
      </c>
      <c r="N59" s="255"/>
      <c r="O59" s="255"/>
      <c r="P59" s="263">
        <f t="shared" si="8"/>
        <v>0.5</v>
      </c>
      <c r="Q59" s="263">
        <f t="shared" si="9"/>
        <v>0.30000000000000004</v>
      </c>
      <c r="R59" s="264">
        <f t="shared" si="10"/>
        <v>0.1</v>
      </c>
      <c r="S59" s="264">
        <f t="shared" si="11"/>
        <v>0.5</v>
      </c>
      <c r="T59" s="264">
        <f t="shared" si="12"/>
        <v>0.35000000000000003</v>
      </c>
      <c r="U59" s="265">
        <f t="shared" si="13"/>
        <v>0.2</v>
      </c>
      <c r="V59" s="76">
        <f t="shared" si="14"/>
        <v>0</v>
      </c>
      <c r="AA59" s="76"/>
      <c r="AB59" s="76"/>
      <c r="AC59" s="76"/>
    </row>
    <row r="60" spans="4:29" ht="13.5" customHeight="1" x14ac:dyDescent="0.25">
      <c r="D60" s="176" t="s">
        <v>61</v>
      </c>
      <c r="E60" s="255"/>
      <c r="F60" s="255"/>
      <c r="G60" s="255"/>
      <c r="H60" s="255"/>
      <c r="I60" s="255"/>
      <c r="J60" s="255"/>
      <c r="K60" s="270">
        <f>ProjectedP205_Consumption!K25*P60*Q60*R60</f>
        <v>5.1601032445864978E-3</v>
      </c>
      <c r="L60" s="270">
        <f>ProjectedP205_Consumption!L25*S60*T60*U60</f>
        <v>1.5764040671283657E-2</v>
      </c>
      <c r="M60" s="270">
        <f>ProjectedP205_Consumption!M25*V60</f>
        <v>0</v>
      </c>
      <c r="N60" s="255"/>
      <c r="O60" s="255"/>
      <c r="P60" s="263">
        <f t="shared" si="8"/>
        <v>0.5</v>
      </c>
      <c r="Q60" s="263">
        <f t="shared" si="9"/>
        <v>0.30000000000000004</v>
      </c>
      <c r="R60" s="264">
        <f t="shared" si="10"/>
        <v>0.1</v>
      </c>
      <c r="S60" s="264">
        <f t="shared" si="11"/>
        <v>0.5</v>
      </c>
      <c r="T60" s="264">
        <f t="shared" si="12"/>
        <v>0.35000000000000003</v>
      </c>
      <c r="U60" s="265">
        <f t="shared" si="13"/>
        <v>0.2</v>
      </c>
      <c r="V60" s="76">
        <f t="shared" si="14"/>
        <v>0</v>
      </c>
      <c r="AA60" s="76"/>
      <c r="AB60" s="76"/>
      <c r="AC60" s="76"/>
    </row>
    <row r="61" spans="4:29" ht="13.5" customHeight="1" x14ac:dyDescent="0.25">
      <c r="D61" s="176" t="s">
        <v>119</v>
      </c>
      <c r="E61" s="255"/>
      <c r="F61" s="255"/>
      <c r="G61" s="255"/>
      <c r="H61" s="255"/>
      <c r="I61" s="255"/>
      <c r="J61" s="255"/>
      <c r="K61" s="270">
        <f>ProjectedP205_Consumption!K26*P61*Q61*R61</f>
        <v>9.7332405925828938E-4</v>
      </c>
      <c r="L61" s="270">
        <f>ProjectedP205_Consumption!L26*S61*T61*U61</f>
        <v>2.5038761424419492E-3</v>
      </c>
      <c r="M61" s="270">
        <f>ProjectedP205_Consumption!M26*V61</f>
        <v>0</v>
      </c>
      <c r="N61" s="255"/>
      <c r="O61" s="255"/>
      <c r="P61" s="263">
        <f t="shared" si="8"/>
        <v>0.5</v>
      </c>
      <c r="Q61" s="263">
        <f t="shared" si="9"/>
        <v>0.30000000000000004</v>
      </c>
      <c r="R61" s="264">
        <f t="shared" si="10"/>
        <v>0.1</v>
      </c>
      <c r="S61" s="264">
        <f t="shared" si="11"/>
        <v>0.5</v>
      </c>
      <c r="T61" s="264">
        <f t="shared" si="12"/>
        <v>0.35000000000000003</v>
      </c>
      <c r="U61" s="265">
        <f t="shared" si="13"/>
        <v>0.2</v>
      </c>
      <c r="V61" s="76">
        <f t="shared" si="14"/>
        <v>0</v>
      </c>
      <c r="AA61" s="76"/>
      <c r="AB61" s="76"/>
      <c r="AC61" s="76"/>
    </row>
    <row r="62" spans="4:29" ht="13.5" customHeight="1" x14ac:dyDescent="0.25">
      <c r="D62" s="176" t="s">
        <v>161</v>
      </c>
      <c r="E62" s="255"/>
      <c r="F62" s="255"/>
      <c r="G62" s="255"/>
      <c r="H62" s="255"/>
      <c r="I62" s="255"/>
      <c r="J62" s="255"/>
      <c r="K62" s="270">
        <f>ProjectedP205_Consumption!K27*P62*Q62*R62</f>
        <v>6.2292410896698609E-3</v>
      </c>
      <c r="L62" s="270">
        <f>ProjectedP205_Consumption!L27*S62*T62*U62</f>
        <v>1.9733948944782947E-2</v>
      </c>
      <c r="M62" s="270">
        <f>ProjectedP205_Consumption!M27*V62</f>
        <v>0</v>
      </c>
      <c r="N62" s="255"/>
      <c r="O62" s="255"/>
      <c r="P62" s="263">
        <f t="shared" si="8"/>
        <v>0.5</v>
      </c>
      <c r="Q62" s="263">
        <f t="shared" si="9"/>
        <v>0.30000000000000004</v>
      </c>
      <c r="R62" s="264">
        <f t="shared" si="10"/>
        <v>0.1</v>
      </c>
      <c r="S62" s="264">
        <f t="shared" si="11"/>
        <v>0.5</v>
      </c>
      <c r="T62" s="264">
        <f t="shared" si="12"/>
        <v>0.35000000000000003</v>
      </c>
      <c r="U62" s="265">
        <f t="shared" si="13"/>
        <v>0.2</v>
      </c>
      <c r="V62" s="76">
        <f t="shared" si="14"/>
        <v>0</v>
      </c>
      <c r="AA62" s="76"/>
      <c r="AB62" s="76"/>
      <c r="AC62" s="76"/>
    </row>
    <row r="63" spans="4:29" ht="13.5" customHeight="1" x14ac:dyDescent="0.25">
      <c r="D63" s="176" t="s">
        <v>54</v>
      </c>
      <c r="K63" s="270">
        <f>ProjectedP205_Consumption!K28*P63*Q63*R63</f>
        <v>6.6912869399926177E-4</v>
      </c>
      <c r="L63" s="270">
        <f>ProjectedP205_Consumption!L28*S63*T63*U63</f>
        <v>1.7213335653131008E-3</v>
      </c>
      <c r="M63" s="270">
        <f>ProjectedP205_Consumption!M28*V63</f>
        <v>0</v>
      </c>
      <c r="P63" s="263">
        <f t="shared" si="8"/>
        <v>0.5</v>
      </c>
      <c r="Q63" s="263">
        <f t="shared" si="9"/>
        <v>0.30000000000000004</v>
      </c>
      <c r="R63" s="264">
        <f t="shared" si="10"/>
        <v>0.1</v>
      </c>
      <c r="S63" s="264">
        <f t="shared" si="11"/>
        <v>0.5</v>
      </c>
      <c r="T63" s="264">
        <f t="shared" si="12"/>
        <v>0.35000000000000003</v>
      </c>
      <c r="U63" s="265">
        <f t="shared" si="13"/>
        <v>0.2</v>
      </c>
      <c r="V63" s="76">
        <f t="shared" si="14"/>
        <v>0</v>
      </c>
      <c r="AA63" s="76"/>
      <c r="AB63" s="76"/>
      <c r="AC63" s="76"/>
    </row>
    <row r="64" spans="4:29" ht="13.5" customHeight="1" x14ac:dyDescent="0.25">
      <c r="D64" s="176" t="s">
        <v>234</v>
      </c>
      <c r="K64" s="270">
        <f>ProjectedP205_Consumption!K29*P64*Q64*R64</f>
        <v>4.2905256370957155E-3</v>
      </c>
      <c r="L64" s="270">
        <f>ProjectedP205_Consumption!L29*S64*T64*U64</f>
        <v>1.347693722330485E-2</v>
      </c>
      <c r="M64" s="270">
        <f>ProjectedP205_Consumption!M29*V64</f>
        <v>0</v>
      </c>
      <c r="P64" s="263">
        <f t="shared" si="8"/>
        <v>0.5</v>
      </c>
      <c r="Q64" s="263">
        <f t="shared" si="9"/>
        <v>0.30000000000000004</v>
      </c>
      <c r="R64" s="264">
        <f t="shared" si="10"/>
        <v>0.1</v>
      </c>
      <c r="S64" s="264">
        <f t="shared" si="11"/>
        <v>0.5</v>
      </c>
      <c r="T64" s="264">
        <f t="shared" si="12"/>
        <v>0.35000000000000003</v>
      </c>
      <c r="U64" s="265">
        <f t="shared" si="13"/>
        <v>0.2</v>
      </c>
      <c r="V64" s="76">
        <f t="shared" si="14"/>
        <v>0</v>
      </c>
      <c r="AA64" s="76"/>
      <c r="AB64" s="76"/>
      <c r="AC64" s="76"/>
    </row>
    <row r="65" spans="4:29" ht="13.5" customHeight="1" x14ac:dyDescent="0.25">
      <c r="D65" s="176" t="s">
        <v>152</v>
      </c>
      <c r="K65" s="270">
        <f>ProjectedP205_Consumption!K30*P65*Q65*R65</f>
        <v>6.2614334768665585E-4</v>
      </c>
      <c r="L65" s="270">
        <f>ProjectedP205_Consumption!L30*S65*T65*U65</f>
        <v>1.601709140685766E-3</v>
      </c>
      <c r="M65" s="270">
        <f>ProjectedP205_Consumption!M30*V65</f>
        <v>0</v>
      </c>
      <c r="P65" s="263">
        <f t="shared" si="8"/>
        <v>0.5</v>
      </c>
      <c r="Q65" s="263">
        <f t="shared" si="9"/>
        <v>0.30000000000000004</v>
      </c>
      <c r="R65" s="264">
        <f t="shared" si="10"/>
        <v>0.1</v>
      </c>
      <c r="S65" s="264">
        <f t="shared" si="11"/>
        <v>0.5</v>
      </c>
      <c r="T65" s="264">
        <f t="shared" si="12"/>
        <v>0.35000000000000003</v>
      </c>
      <c r="U65" s="265">
        <f t="shared" si="13"/>
        <v>0.2</v>
      </c>
      <c r="V65" s="76">
        <f t="shared" si="14"/>
        <v>0</v>
      </c>
      <c r="AA65" s="76"/>
      <c r="AB65" s="76"/>
      <c r="AC65" s="76"/>
    </row>
    <row r="66" spans="4:29" ht="13.5" customHeight="1" x14ac:dyDescent="0.25">
      <c r="D66" s="176" t="s">
        <v>250</v>
      </c>
      <c r="K66" s="270">
        <f>ProjectedP205_Consumption!K31*P66*Q66*R66</f>
        <v>1.2358826265280905E-3</v>
      </c>
      <c r="L66" s="270">
        <f>ProjectedP205_Consumption!L31*S66*T66*U66</f>
        <v>3.2215489468598504E-3</v>
      </c>
      <c r="M66" s="270">
        <f>ProjectedP205_Consumption!M31*V66</f>
        <v>0</v>
      </c>
      <c r="P66" s="263">
        <f t="shared" si="8"/>
        <v>0.5</v>
      </c>
      <c r="Q66" s="263">
        <f t="shared" si="9"/>
        <v>0.30000000000000004</v>
      </c>
      <c r="R66" s="264">
        <f t="shared" si="10"/>
        <v>0.1</v>
      </c>
      <c r="S66" s="264">
        <f t="shared" si="11"/>
        <v>0.5</v>
      </c>
      <c r="T66" s="264">
        <f t="shared" si="12"/>
        <v>0.35000000000000003</v>
      </c>
      <c r="U66" s="265">
        <f t="shared" si="13"/>
        <v>0.2</v>
      </c>
      <c r="V66" s="76">
        <f t="shared" si="14"/>
        <v>0</v>
      </c>
      <c r="AA66" s="76"/>
      <c r="AB66" s="76"/>
      <c r="AC66" s="76"/>
    </row>
    <row r="67" spans="4:29" ht="13.5" customHeight="1" x14ac:dyDescent="0.25">
      <c r="D67" s="176" t="s">
        <v>244</v>
      </c>
      <c r="K67" s="270">
        <f>ProjectedP205_Consumption!K32*P67*Q67*R67</f>
        <v>5.642993775060107E-4</v>
      </c>
      <c r="L67" s="270">
        <f>ProjectedP205_Consumption!L32*S67*T67*U67</f>
        <v>1.4917673973727913E-3</v>
      </c>
      <c r="M67" s="270">
        <f>ProjectedP205_Consumption!M32*V67</f>
        <v>0</v>
      </c>
      <c r="P67" s="263">
        <f t="shared" si="8"/>
        <v>0.5</v>
      </c>
      <c r="Q67" s="263">
        <f t="shared" si="9"/>
        <v>0.30000000000000004</v>
      </c>
      <c r="R67" s="264">
        <f t="shared" si="10"/>
        <v>0.1</v>
      </c>
      <c r="S67" s="264">
        <f t="shared" si="11"/>
        <v>0.5</v>
      </c>
      <c r="T67" s="264">
        <f t="shared" si="12"/>
        <v>0.35000000000000003</v>
      </c>
      <c r="U67" s="265">
        <f t="shared" si="13"/>
        <v>0.2</v>
      </c>
      <c r="V67" s="76">
        <f t="shared" si="14"/>
        <v>0</v>
      </c>
      <c r="AA67" s="76"/>
      <c r="AB67" s="76"/>
      <c r="AC67" s="76"/>
    </row>
    <row r="68" spans="4:29" ht="13.5" customHeight="1" x14ac:dyDescent="0.25">
      <c r="D68" s="176" t="s">
        <v>123</v>
      </c>
      <c r="K68" s="270">
        <f>ProjectedP205_Consumption!K33*P68*Q68*R68</f>
        <v>4.9030381860634849E-4</v>
      </c>
      <c r="L68" s="270">
        <f>ProjectedP205_Consumption!L33*S68*T68*U68</f>
        <v>1.26694182820678E-3</v>
      </c>
      <c r="M68" s="270">
        <f>ProjectedP205_Consumption!M33*V68</f>
        <v>0</v>
      </c>
      <c r="P68" s="263">
        <f t="shared" si="8"/>
        <v>0.5</v>
      </c>
      <c r="Q68" s="263">
        <f t="shared" si="9"/>
        <v>0.30000000000000004</v>
      </c>
      <c r="R68" s="264">
        <f t="shared" si="10"/>
        <v>0.1</v>
      </c>
      <c r="S68" s="264">
        <f t="shared" si="11"/>
        <v>0.5</v>
      </c>
      <c r="T68" s="264">
        <f t="shared" si="12"/>
        <v>0.35000000000000003</v>
      </c>
      <c r="U68" s="265">
        <f t="shared" si="13"/>
        <v>0.2</v>
      </c>
      <c r="V68" s="76">
        <f t="shared" si="14"/>
        <v>0</v>
      </c>
      <c r="AA68" s="76"/>
      <c r="AB68" s="76"/>
      <c r="AC68" s="76"/>
    </row>
    <row r="69" spans="4:29" ht="13.5" customHeight="1" x14ac:dyDescent="0.25">
      <c r="D69" s="176" t="s">
        <v>252</v>
      </c>
      <c r="K69" s="270">
        <f>ProjectedP205_Consumption!K34*P69*Q69*R69</f>
        <v>1.4282463002469065E-3</v>
      </c>
      <c r="L69" s="270">
        <f>ProjectedP205_Consumption!L34*S69*T69*U69</f>
        <v>3.3975444704461445E-3</v>
      </c>
      <c r="M69" s="270">
        <f>ProjectedP205_Consumption!M34*V69</f>
        <v>0</v>
      </c>
      <c r="P69" s="263">
        <f t="shared" si="8"/>
        <v>0.5</v>
      </c>
      <c r="Q69" s="263">
        <f t="shared" si="9"/>
        <v>0.30000000000000004</v>
      </c>
      <c r="R69" s="264">
        <f t="shared" si="10"/>
        <v>0.1</v>
      </c>
      <c r="S69" s="264">
        <f t="shared" si="11"/>
        <v>0.5</v>
      </c>
      <c r="T69" s="264">
        <f t="shared" si="12"/>
        <v>0.35000000000000003</v>
      </c>
      <c r="U69" s="265">
        <f t="shared" si="13"/>
        <v>0.2</v>
      </c>
      <c r="V69" s="76">
        <f t="shared" si="14"/>
        <v>0</v>
      </c>
      <c r="AA69" s="76"/>
      <c r="AB69" s="76"/>
      <c r="AC69" s="76"/>
    </row>
    <row r="70" spans="4:29" ht="13.5" customHeight="1" x14ac:dyDescent="0.25">
      <c r="D70" s="176" t="s">
        <v>117</v>
      </c>
      <c r="K70" s="270">
        <f>ProjectedP205_Consumption!K35*P70*Q70*R70</f>
        <v>4.4384362449650976E-4</v>
      </c>
      <c r="L70" s="270">
        <f>ProjectedP205_Consumption!L35*S70*T70*U70</f>
        <v>1.203030793561121E-3</v>
      </c>
      <c r="M70" s="270">
        <f>ProjectedP205_Consumption!M35*V70</f>
        <v>0</v>
      </c>
      <c r="P70" s="263">
        <f t="shared" si="8"/>
        <v>0.5</v>
      </c>
      <c r="Q70" s="263">
        <f t="shared" si="9"/>
        <v>0.30000000000000004</v>
      </c>
      <c r="R70" s="264">
        <f t="shared" si="10"/>
        <v>0.1</v>
      </c>
      <c r="S70" s="264">
        <f t="shared" si="11"/>
        <v>0.5</v>
      </c>
      <c r="T70" s="264">
        <f t="shared" si="12"/>
        <v>0.35000000000000003</v>
      </c>
      <c r="U70" s="265">
        <f t="shared" si="13"/>
        <v>0.2</v>
      </c>
      <c r="V70" s="76">
        <f t="shared" si="14"/>
        <v>0</v>
      </c>
      <c r="AA70" s="76"/>
      <c r="AB70" s="76"/>
      <c r="AC70" s="76"/>
    </row>
    <row r="71" spans="4:29" ht="13.5" customHeight="1" thickBot="1" x14ac:dyDescent="0.3">
      <c r="D71" s="258" t="s">
        <v>240</v>
      </c>
      <c r="E71" s="236"/>
      <c r="F71" s="236"/>
      <c r="G71" s="236"/>
      <c r="H71" s="236"/>
      <c r="I71" s="236"/>
      <c r="J71" s="236"/>
      <c r="K71" s="271">
        <f>ProjectedP205_Consumption!K36*P71*Q71*R71</f>
        <v>3.3646311930568171E-4</v>
      </c>
      <c r="L71" s="271">
        <f>ProjectedP205_Consumption!L36*S71*T71*U71</f>
        <v>8.7578985334226976E-4</v>
      </c>
      <c r="M71" s="271">
        <f>ProjectedP205_Consumption!M36*V71</f>
        <v>0</v>
      </c>
      <c r="P71" s="263">
        <f t="shared" si="8"/>
        <v>0.5</v>
      </c>
      <c r="Q71" s="263">
        <f t="shared" si="9"/>
        <v>0.30000000000000004</v>
      </c>
      <c r="R71" s="264">
        <f t="shared" si="10"/>
        <v>0.1</v>
      </c>
      <c r="S71" s="264">
        <f t="shared" si="11"/>
        <v>0.5</v>
      </c>
      <c r="T71" s="264">
        <f t="shared" si="12"/>
        <v>0.35000000000000003</v>
      </c>
      <c r="U71" s="265">
        <f t="shared" si="13"/>
        <v>0.2</v>
      </c>
      <c r="V71" s="76">
        <f t="shared" si="14"/>
        <v>0</v>
      </c>
      <c r="AA71" s="76"/>
      <c r="AB71" s="76"/>
      <c r="AC71" s="76"/>
    </row>
    <row r="72" spans="4:29" ht="13.5" customHeight="1" thickTop="1" thickBot="1" x14ac:dyDescent="0.3">
      <c r="D72" s="258" t="s">
        <v>185</v>
      </c>
      <c r="E72" s="236"/>
      <c r="F72" s="236"/>
      <c r="G72" s="236"/>
      <c r="H72" s="236"/>
      <c r="I72" s="236"/>
      <c r="J72" s="236"/>
      <c r="K72" s="259">
        <f>SUM(K48:K71)</f>
        <v>0.2140321101410679</v>
      </c>
      <c r="L72" s="259">
        <f t="shared" ref="L72:M72" si="15">SUM(L48:L71)</f>
        <v>0.61413025055768256</v>
      </c>
      <c r="M72" s="259">
        <f t="shared" si="15"/>
        <v>0</v>
      </c>
    </row>
    <row r="73" spans="4:29" ht="13.5" customHeight="1" thickTop="1" x14ac:dyDescent="0.25">
      <c r="D73" s="176"/>
    </row>
    <row r="74" spans="4:29" ht="13.5" customHeight="1" x14ac:dyDescent="0.3">
      <c r="D74" s="30" t="s">
        <v>186</v>
      </c>
      <c r="E74" s="115">
        <v>2017</v>
      </c>
      <c r="F74" s="115">
        <v>2018</v>
      </c>
      <c r="G74" s="115">
        <v>2019</v>
      </c>
      <c r="H74" s="115">
        <v>2020</v>
      </c>
      <c r="I74" s="115">
        <v>2021</v>
      </c>
      <c r="J74" s="115">
        <v>2022</v>
      </c>
      <c r="K74" s="115">
        <v>2023</v>
      </c>
      <c r="L74" s="115">
        <v>2024</v>
      </c>
      <c r="M74" s="115">
        <v>2025</v>
      </c>
    </row>
    <row r="75" spans="4:29" ht="13.5" customHeight="1" x14ac:dyDescent="0.25">
      <c r="D75" s="176" t="s">
        <v>246</v>
      </c>
      <c r="K75" s="77">
        <f>ProjectedP205_Consumption!K44*P75*Q75*R75</f>
        <v>2.2490629028589684E-2</v>
      </c>
      <c r="L75" s="77">
        <f>ProjectedP205_Consumption!L44*S75*T75*U75</f>
        <v>5.5102041120044715E-2</v>
      </c>
      <c r="M75" s="77">
        <f>ProjectedP205_Consumption!M44*V75</f>
        <v>0</v>
      </c>
      <c r="P75" s="76">
        <f>P48</f>
        <v>0.5</v>
      </c>
      <c r="Q75" s="76">
        <f t="shared" ref="Q75:V75" si="16">Q48</f>
        <v>0.30000000000000004</v>
      </c>
      <c r="R75" s="76">
        <f t="shared" si="16"/>
        <v>0.1</v>
      </c>
      <c r="S75" s="76">
        <f t="shared" si="16"/>
        <v>0.5</v>
      </c>
      <c r="T75" s="76">
        <f t="shared" si="16"/>
        <v>0.35000000000000003</v>
      </c>
      <c r="U75" s="76">
        <f t="shared" si="16"/>
        <v>0.2</v>
      </c>
      <c r="V75" s="76">
        <f t="shared" si="16"/>
        <v>0</v>
      </c>
    </row>
    <row r="76" spans="4:29" ht="13.5" customHeight="1" x14ac:dyDescent="0.25">
      <c r="D76" s="176" t="s">
        <v>122</v>
      </c>
      <c r="K76" s="77">
        <f>ProjectedP205_Consumption!K45*P76*Q76*R76</f>
        <v>8.497822909266968E-2</v>
      </c>
      <c r="L76" s="77">
        <f>ProjectedP205_Consumption!L45*S76*T76*U76</f>
        <v>0.28961348168038237</v>
      </c>
      <c r="M76" s="77">
        <f>ProjectedP205_Consumption!M45*V76</f>
        <v>0</v>
      </c>
      <c r="P76" s="76">
        <f t="shared" ref="P76:V76" si="17">P49</f>
        <v>0.5</v>
      </c>
      <c r="Q76" s="76">
        <f t="shared" si="17"/>
        <v>0.30000000000000004</v>
      </c>
      <c r="R76" s="76">
        <f t="shared" si="17"/>
        <v>0.1</v>
      </c>
      <c r="S76" s="76">
        <f t="shared" si="17"/>
        <v>0.5</v>
      </c>
      <c r="T76" s="76">
        <f t="shared" si="17"/>
        <v>0.35000000000000003</v>
      </c>
      <c r="U76" s="76">
        <f t="shared" si="17"/>
        <v>0.2</v>
      </c>
      <c r="V76" s="76">
        <f t="shared" si="17"/>
        <v>0</v>
      </c>
    </row>
    <row r="77" spans="4:29" ht="13.5" customHeight="1" x14ac:dyDescent="0.25">
      <c r="D77" s="176" t="s">
        <v>135</v>
      </c>
      <c r="K77" s="77">
        <f>ProjectedP205_Consumption!K46*P77*Q77*R77</f>
        <v>2.1143864887694538E-2</v>
      </c>
      <c r="L77" s="77">
        <f>ProjectedP205_Consumption!L46*S77*T77*U77</f>
        <v>9.3184907955357998E-2</v>
      </c>
      <c r="M77" s="77">
        <f>ProjectedP205_Consumption!M46*V77</f>
        <v>0</v>
      </c>
      <c r="P77" s="76">
        <f t="shared" ref="P77:V77" si="18">P50</f>
        <v>0.5</v>
      </c>
      <c r="Q77" s="76">
        <f t="shared" si="18"/>
        <v>0.30000000000000004</v>
      </c>
      <c r="R77" s="76">
        <f t="shared" si="18"/>
        <v>0.1</v>
      </c>
      <c r="S77" s="76">
        <f t="shared" si="18"/>
        <v>0.5</v>
      </c>
      <c r="T77" s="76">
        <f t="shared" si="18"/>
        <v>0.35000000000000003</v>
      </c>
      <c r="U77" s="76">
        <f t="shared" si="18"/>
        <v>0.2</v>
      </c>
      <c r="V77" s="76">
        <f t="shared" si="18"/>
        <v>0</v>
      </c>
    </row>
    <row r="78" spans="4:29" ht="13.5" customHeight="1" x14ac:dyDescent="0.25">
      <c r="D78" s="176" t="s">
        <v>236</v>
      </c>
      <c r="K78" s="77">
        <f>ProjectedP205_Consumption!K47*P78*Q78*R78</f>
        <v>3.2861160090948922E-2</v>
      </c>
      <c r="L78" s="77">
        <f>ProjectedP205_Consumption!L47*S78*T78*U78</f>
        <v>0.31432686937950638</v>
      </c>
      <c r="M78" s="77">
        <f>ProjectedP205_Consumption!M47*V78</f>
        <v>0</v>
      </c>
      <c r="P78" s="76">
        <f t="shared" ref="P78:V78" si="19">P51</f>
        <v>0.5</v>
      </c>
      <c r="Q78" s="76">
        <f t="shared" si="19"/>
        <v>0.30000000000000004</v>
      </c>
      <c r="R78" s="76">
        <f t="shared" si="19"/>
        <v>0.1</v>
      </c>
      <c r="S78" s="76">
        <f t="shared" si="19"/>
        <v>0.5</v>
      </c>
      <c r="T78" s="76">
        <f t="shared" si="19"/>
        <v>0.35000000000000003</v>
      </c>
      <c r="U78" s="76">
        <f t="shared" si="19"/>
        <v>0.2</v>
      </c>
      <c r="V78" s="76">
        <f t="shared" si="19"/>
        <v>0</v>
      </c>
    </row>
    <row r="79" spans="4:29" ht="13.5" customHeight="1" x14ac:dyDescent="0.25">
      <c r="D79" s="176" t="s">
        <v>133</v>
      </c>
      <c r="K79" s="77">
        <f>ProjectedP205_Consumption!K48*P79*Q79*R79</f>
        <v>6.263692263169399E-3</v>
      </c>
      <c r="L79" s="77">
        <f>ProjectedP205_Consumption!L48*S79*T79*U79</f>
        <v>2.2451225952046766E-2</v>
      </c>
      <c r="M79" s="77">
        <f>ProjectedP205_Consumption!M48*V79</f>
        <v>0</v>
      </c>
      <c r="P79" s="76">
        <f t="shared" ref="P79:V79" si="20">P52</f>
        <v>0.5</v>
      </c>
      <c r="Q79" s="76">
        <f t="shared" si="20"/>
        <v>0.30000000000000004</v>
      </c>
      <c r="R79" s="76">
        <f t="shared" si="20"/>
        <v>0.1</v>
      </c>
      <c r="S79" s="76">
        <f t="shared" si="20"/>
        <v>0.5</v>
      </c>
      <c r="T79" s="76">
        <f t="shared" si="20"/>
        <v>0.35000000000000003</v>
      </c>
      <c r="U79" s="76">
        <f t="shared" si="20"/>
        <v>0.2</v>
      </c>
      <c r="V79" s="76">
        <f t="shared" si="20"/>
        <v>0</v>
      </c>
    </row>
    <row r="80" spans="4:29" ht="13.5" customHeight="1" x14ac:dyDescent="0.25">
      <c r="D80" s="176" t="s">
        <v>141</v>
      </c>
      <c r="K80" s="77">
        <f>ProjectedP205_Consumption!K49*P80*Q80*R80</f>
        <v>3.9541677877356681E-3</v>
      </c>
      <c r="L80" s="77">
        <f>ProjectedP205_Consumption!L49*S80*T80*U80</f>
        <v>1.3323477669811038E-2</v>
      </c>
      <c r="M80" s="77">
        <f>ProjectedP205_Consumption!M49*V80</f>
        <v>0</v>
      </c>
      <c r="P80" s="76">
        <f t="shared" ref="P80:V80" si="21">P53</f>
        <v>0.5</v>
      </c>
      <c r="Q80" s="76">
        <f t="shared" si="21"/>
        <v>0.30000000000000004</v>
      </c>
      <c r="R80" s="76">
        <f t="shared" si="21"/>
        <v>0.1</v>
      </c>
      <c r="S80" s="76">
        <f t="shared" si="21"/>
        <v>0.5</v>
      </c>
      <c r="T80" s="76">
        <f t="shared" si="21"/>
        <v>0.35000000000000003</v>
      </c>
      <c r="U80" s="76">
        <f t="shared" si="21"/>
        <v>0.2</v>
      </c>
      <c r="V80" s="76">
        <f t="shared" si="21"/>
        <v>0</v>
      </c>
    </row>
    <row r="81" spans="4:22" ht="13.5" customHeight="1" x14ac:dyDescent="0.25">
      <c r="D81" s="176" t="s">
        <v>124</v>
      </c>
      <c r="K81" s="77">
        <f>ProjectedP205_Consumption!K50*P81*Q81*R81</f>
        <v>7.9028471905819592E-3</v>
      </c>
      <c r="L81" s="77">
        <f>ProjectedP205_Consumption!L50*S81*T81*U81</f>
        <v>3.2881748262776581E-2</v>
      </c>
      <c r="M81" s="77">
        <f>ProjectedP205_Consumption!M50*V81</f>
        <v>0</v>
      </c>
      <c r="P81" s="76">
        <f t="shared" ref="P81:V81" si="22">P54</f>
        <v>0.5</v>
      </c>
      <c r="Q81" s="76">
        <f t="shared" si="22"/>
        <v>0.30000000000000004</v>
      </c>
      <c r="R81" s="76">
        <f t="shared" si="22"/>
        <v>0.1</v>
      </c>
      <c r="S81" s="76">
        <f t="shared" si="22"/>
        <v>0.5</v>
      </c>
      <c r="T81" s="76">
        <f t="shared" si="22"/>
        <v>0.35000000000000003</v>
      </c>
      <c r="U81" s="76">
        <f t="shared" si="22"/>
        <v>0.2</v>
      </c>
      <c r="V81" s="76">
        <f t="shared" si="22"/>
        <v>0</v>
      </c>
    </row>
    <row r="82" spans="4:22" ht="13.5" customHeight="1" x14ac:dyDescent="0.25">
      <c r="D82" s="176" t="s">
        <v>172</v>
      </c>
      <c r="K82" s="77">
        <f>ProjectedP205_Consumption!K51*P82*Q82*R82</f>
        <v>3.3703190199639017E-3</v>
      </c>
      <c r="L82" s="77">
        <f>ProjectedP205_Consumption!L51*S82*T82*U82</f>
        <v>1.9292240500836874E-2</v>
      </c>
      <c r="M82" s="77">
        <f>ProjectedP205_Consumption!M51*V82</f>
        <v>0</v>
      </c>
      <c r="P82" s="76">
        <f t="shared" ref="P82:V82" si="23">P55</f>
        <v>0.5</v>
      </c>
      <c r="Q82" s="76">
        <f t="shared" si="23"/>
        <v>0.30000000000000004</v>
      </c>
      <c r="R82" s="76">
        <f t="shared" si="23"/>
        <v>0.1</v>
      </c>
      <c r="S82" s="76">
        <f t="shared" si="23"/>
        <v>0.5</v>
      </c>
      <c r="T82" s="76">
        <f t="shared" si="23"/>
        <v>0.35000000000000003</v>
      </c>
      <c r="U82" s="76">
        <f t="shared" si="23"/>
        <v>0.2</v>
      </c>
      <c r="V82" s="76">
        <f t="shared" si="23"/>
        <v>0</v>
      </c>
    </row>
    <row r="83" spans="4:22" ht="13.5" customHeight="1" x14ac:dyDescent="0.25">
      <c r="D83" s="176" t="s">
        <v>118</v>
      </c>
      <c r="K83" s="77">
        <f>ProjectedP205_Consumption!K52*P83*Q83*R83</f>
        <v>2.8402607484405862E-3</v>
      </c>
      <c r="L83" s="77">
        <f>ProjectedP205_Consumption!L52*S83*T83*U83</f>
        <v>1.004870312141129E-2</v>
      </c>
      <c r="M83" s="77">
        <f>ProjectedP205_Consumption!M52*V83</f>
        <v>0</v>
      </c>
      <c r="P83" s="76">
        <f t="shared" ref="P83:V83" si="24">P56</f>
        <v>0.5</v>
      </c>
      <c r="Q83" s="76">
        <f t="shared" si="24"/>
        <v>0.30000000000000004</v>
      </c>
      <c r="R83" s="76">
        <f t="shared" si="24"/>
        <v>0.1</v>
      </c>
      <c r="S83" s="76">
        <f t="shared" si="24"/>
        <v>0.5</v>
      </c>
      <c r="T83" s="76">
        <f t="shared" si="24"/>
        <v>0.35000000000000003</v>
      </c>
      <c r="U83" s="76">
        <f t="shared" si="24"/>
        <v>0.2</v>
      </c>
      <c r="V83" s="76">
        <f t="shared" si="24"/>
        <v>0</v>
      </c>
    </row>
    <row r="84" spans="4:22" ht="13.5" customHeight="1" x14ac:dyDescent="0.25">
      <c r="D84" s="176" t="s">
        <v>58</v>
      </c>
      <c r="K84" s="77">
        <f>ProjectedP205_Consumption!K53*P84*Q84*R84</f>
        <v>2.7546941404065668E-3</v>
      </c>
      <c r="L84" s="77">
        <f>ProjectedP205_Consumption!L53*S84*T84*U84</f>
        <v>8.7183164524609353E-3</v>
      </c>
      <c r="M84" s="77">
        <f>ProjectedP205_Consumption!M53*V84</f>
        <v>0</v>
      </c>
      <c r="P84" s="76">
        <f t="shared" ref="P84:V84" si="25">P57</f>
        <v>0.5</v>
      </c>
      <c r="Q84" s="76">
        <f t="shared" si="25"/>
        <v>0.30000000000000004</v>
      </c>
      <c r="R84" s="76">
        <f t="shared" si="25"/>
        <v>0.1</v>
      </c>
      <c r="S84" s="76">
        <f t="shared" si="25"/>
        <v>0.5</v>
      </c>
      <c r="T84" s="76">
        <f t="shared" si="25"/>
        <v>0.35000000000000003</v>
      </c>
      <c r="U84" s="76">
        <f t="shared" si="25"/>
        <v>0.2</v>
      </c>
      <c r="V84" s="76">
        <f t="shared" si="25"/>
        <v>0</v>
      </c>
    </row>
    <row r="85" spans="4:22" ht="13.5" customHeight="1" x14ac:dyDescent="0.25">
      <c r="D85" s="176" t="s">
        <v>121</v>
      </c>
      <c r="K85" s="77">
        <f>ProjectedP205_Consumption!K54*P85*Q85*R85</f>
        <v>1.8330924412510805E-3</v>
      </c>
      <c r="L85" s="77">
        <f>ProjectedP205_Consumption!L54*S85*T85*U85</f>
        <v>1.1836883519482236E-2</v>
      </c>
      <c r="M85" s="77">
        <f>ProjectedP205_Consumption!M54*V85</f>
        <v>0</v>
      </c>
      <c r="P85" s="76">
        <f t="shared" ref="P85:V85" si="26">P58</f>
        <v>0.5</v>
      </c>
      <c r="Q85" s="76">
        <f t="shared" si="26"/>
        <v>0.30000000000000004</v>
      </c>
      <c r="R85" s="76">
        <f t="shared" si="26"/>
        <v>0.1</v>
      </c>
      <c r="S85" s="76">
        <f t="shared" si="26"/>
        <v>0.5</v>
      </c>
      <c r="T85" s="76">
        <f t="shared" si="26"/>
        <v>0.35000000000000003</v>
      </c>
      <c r="U85" s="76">
        <f t="shared" si="26"/>
        <v>0.2</v>
      </c>
      <c r="V85" s="76">
        <f t="shared" si="26"/>
        <v>0</v>
      </c>
    </row>
    <row r="86" spans="4:22" ht="13.5" customHeight="1" x14ac:dyDescent="0.25">
      <c r="D86" s="176" t="s">
        <v>157</v>
      </c>
      <c r="K86" s="77">
        <f>ProjectedP205_Consumption!K55*P86*Q86*R86</f>
        <v>1.1916485106300936E-3</v>
      </c>
      <c r="L86" s="77">
        <f>ProjectedP205_Consumption!L55*S86*T86*U86</f>
        <v>6.8211850342244675E-3</v>
      </c>
      <c r="M86" s="77">
        <f>ProjectedP205_Consumption!M55*V86</f>
        <v>0</v>
      </c>
      <c r="P86" s="76">
        <f t="shared" ref="P86:V86" si="27">P59</f>
        <v>0.5</v>
      </c>
      <c r="Q86" s="76">
        <f t="shared" si="27"/>
        <v>0.30000000000000004</v>
      </c>
      <c r="R86" s="76">
        <f t="shared" si="27"/>
        <v>0.1</v>
      </c>
      <c r="S86" s="76">
        <f t="shared" si="27"/>
        <v>0.5</v>
      </c>
      <c r="T86" s="76">
        <f t="shared" si="27"/>
        <v>0.35000000000000003</v>
      </c>
      <c r="U86" s="76">
        <f t="shared" si="27"/>
        <v>0.2</v>
      </c>
      <c r="V86" s="76">
        <f t="shared" si="27"/>
        <v>0</v>
      </c>
    </row>
    <row r="87" spans="4:22" ht="13.5" customHeight="1" x14ac:dyDescent="0.25">
      <c r="D87" s="176" t="s">
        <v>61</v>
      </c>
      <c r="K87" s="77">
        <f>ProjectedP205_Consumption!K56*P87*Q87*R87</f>
        <v>5.1601032445864978E-3</v>
      </c>
      <c r="L87" s="77">
        <f>ProjectedP205_Consumption!L56*S87*T87*U87</f>
        <v>2.0700887995041831E-2</v>
      </c>
      <c r="M87" s="77">
        <f>ProjectedP205_Consumption!M56*V87</f>
        <v>0</v>
      </c>
      <c r="P87" s="76">
        <f t="shared" ref="P87:V87" si="28">P60</f>
        <v>0.5</v>
      </c>
      <c r="Q87" s="76">
        <f t="shared" si="28"/>
        <v>0.30000000000000004</v>
      </c>
      <c r="R87" s="76">
        <f t="shared" si="28"/>
        <v>0.1</v>
      </c>
      <c r="S87" s="76">
        <f t="shared" si="28"/>
        <v>0.5</v>
      </c>
      <c r="T87" s="76">
        <f t="shared" si="28"/>
        <v>0.35000000000000003</v>
      </c>
      <c r="U87" s="76">
        <f t="shared" si="28"/>
        <v>0.2</v>
      </c>
      <c r="V87" s="76">
        <f t="shared" si="28"/>
        <v>0</v>
      </c>
    </row>
    <row r="88" spans="4:22" ht="13.5" customHeight="1" x14ac:dyDescent="0.25">
      <c r="D88" s="176" t="s">
        <v>119</v>
      </c>
      <c r="K88" s="77">
        <f>ProjectedP205_Consumption!K57*P88*Q88*R88</f>
        <v>9.7332405925828938E-4</v>
      </c>
      <c r="L88" s="77">
        <f>ProjectedP205_Consumption!L57*S88*T88*U88</f>
        <v>6.285075022341405E-3</v>
      </c>
      <c r="M88" s="77">
        <f>ProjectedP205_Consumption!M57*V88</f>
        <v>0</v>
      </c>
      <c r="P88" s="76">
        <f t="shared" ref="P88:V88" si="29">P61</f>
        <v>0.5</v>
      </c>
      <c r="Q88" s="76">
        <f t="shared" si="29"/>
        <v>0.30000000000000004</v>
      </c>
      <c r="R88" s="76">
        <f t="shared" si="29"/>
        <v>0.1</v>
      </c>
      <c r="S88" s="76">
        <f t="shared" si="29"/>
        <v>0.5</v>
      </c>
      <c r="T88" s="76">
        <f t="shared" si="29"/>
        <v>0.35000000000000003</v>
      </c>
      <c r="U88" s="76">
        <f t="shared" si="29"/>
        <v>0.2</v>
      </c>
      <c r="V88" s="76">
        <f t="shared" si="29"/>
        <v>0</v>
      </c>
    </row>
    <row r="89" spans="4:22" ht="13.5" customHeight="1" x14ac:dyDescent="0.25">
      <c r="D89" s="176" t="s">
        <v>161</v>
      </c>
      <c r="K89" s="77">
        <f>ProjectedP205_Consumption!K58*P89*Q89*R89</f>
        <v>6.2292410896698609E-3</v>
      </c>
      <c r="L89" s="77">
        <f>ProjectedP205_Consumption!L58*S89*T89*U89</f>
        <v>2.1474781057475217E-2</v>
      </c>
      <c r="M89" s="77">
        <f>ProjectedP205_Consumption!M58*V89</f>
        <v>0</v>
      </c>
      <c r="P89" s="76">
        <f t="shared" ref="P89:V89" si="30">P62</f>
        <v>0.5</v>
      </c>
      <c r="Q89" s="76">
        <f t="shared" si="30"/>
        <v>0.30000000000000004</v>
      </c>
      <c r="R89" s="76">
        <f t="shared" si="30"/>
        <v>0.1</v>
      </c>
      <c r="S89" s="76">
        <f t="shared" si="30"/>
        <v>0.5</v>
      </c>
      <c r="T89" s="76">
        <f t="shared" si="30"/>
        <v>0.35000000000000003</v>
      </c>
      <c r="U89" s="76">
        <f t="shared" si="30"/>
        <v>0.2</v>
      </c>
      <c r="V89" s="76">
        <f t="shared" si="30"/>
        <v>0</v>
      </c>
    </row>
    <row r="90" spans="4:22" ht="13.5" customHeight="1" x14ac:dyDescent="0.25">
      <c r="D90" s="176" t="s">
        <v>54</v>
      </c>
      <c r="K90" s="77">
        <f>ProjectedP205_Consumption!K59*P90*Q90*R90</f>
        <v>6.6912869399926177E-4</v>
      </c>
      <c r="L90" s="77">
        <f>ProjectedP205_Consumption!L59*S90*T90*U90</f>
        <v>2.0276284289175443E-3</v>
      </c>
      <c r="M90" s="77">
        <f>ProjectedP205_Consumption!M59*V90</f>
        <v>0</v>
      </c>
      <c r="P90" s="76">
        <f t="shared" ref="P90:V90" si="31">P63</f>
        <v>0.5</v>
      </c>
      <c r="Q90" s="76">
        <f t="shared" si="31"/>
        <v>0.30000000000000004</v>
      </c>
      <c r="R90" s="76">
        <f t="shared" si="31"/>
        <v>0.1</v>
      </c>
      <c r="S90" s="76">
        <f t="shared" si="31"/>
        <v>0.5</v>
      </c>
      <c r="T90" s="76">
        <f t="shared" si="31"/>
        <v>0.35000000000000003</v>
      </c>
      <c r="U90" s="76">
        <f t="shared" si="31"/>
        <v>0.2</v>
      </c>
      <c r="V90" s="76">
        <f t="shared" si="31"/>
        <v>0</v>
      </c>
    </row>
    <row r="91" spans="4:22" ht="13.5" customHeight="1" x14ac:dyDescent="0.25">
      <c r="D91" s="176" t="s">
        <v>234</v>
      </c>
      <c r="K91" s="77">
        <f>ProjectedP205_Consumption!K60*P91*Q91*R91</f>
        <v>4.2905256370957155E-3</v>
      </c>
      <c r="L91" s="77">
        <f>ProjectedP205_Consumption!L60*S91*T91*U91</f>
        <v>3.646993144512628E-2</v>
      </c>
      <c r="M91" s="77">
        <f>ProjectedP205_Consumption!M60*V91</f>
        <v>0</v>
      </c>
      <c r="P91" s="76">
        <f t="shared" ref="P91:V91" si="32">P64</f>
        <v>0.5</v>
      </c>
      <c r="Q91" s="76">
        <f t="shared" si="32"/>
        <v>0.30000000000000004</v>
      </c>
      <c r="R91" s="76">
        <f t="shared" si="32"/>
        <v>0.1</v>
      </c>
      <c r="S91" s="76">
        <f t="shared" si="32"/>
        <v>0.5</v>
      </c>
      <c r="T91" s="76">
        <f t="shared" si="32"/>
        <v>0.35000000000000003</v>
      </c>
      <c r="U91" s="76">
        <f t="shared" si="32"/>
        <v>0.2</v>
      </c>
      <c r="V91" s="76">
        <f t="shared" si="32"/>
        <v>0</v>
      </c>
    </row>
    <row r="92" spans="4:22" ht="13.5" customHeight="1" x14ac:dyDescent="0.25">
      <c r="D92" s="176" t="s">
        <v>152</v>
      </c>
      <c r="K92" s="77">
        <f>ProjectedP205_Consumption!K61*P92*Q92*R92</f>
        <v>6.2614334768665585E-4</v>
      </c>
      <c r="L92" s="77">
        <f>ProjectedP205_Consumption!L61*S92*T92*U92</f>
        <v>3.1860149149674508E-3</v>
      </c>
      <c r="M92" s="77">
        <f>ProjectedP205_Consumption!M61*V92</f>
        <v>0</v>
      </c>
      <c r="P92" s="76">
        <f t="shared" ref="P92:V92" si="33">P65</f>
        <v>0.5</v>
      </c>
      <c r="Q92" s="76">
        <f t="shared" si="33"/>
        <v>0.30000000000000004</v>
      </c>
      <c r="R92" s="76">
        <f t="shared" si="33"/>
        <v>0.1</v>
      </c>
      <c r="S92" s="76">
        <f t="shared" si="33"/>
        <v>0.5</v>
      </c>
      <c r="T92" s="76">
        <f t="shared" si="33"/>
        <v>0.35000000000000003</v>
      </c>
      <c r="U92" s="76">
        <f t="shared" si="33"/>
        <v>0.2</v>
      </c>
      <c r="V92" s="76">
        <f t="shared" si="33"/>
        <v>0</v>
      </c>
    </row>
    <row r="93" spans="4:22" ht="13.5" customHeight="1" x14ac:dyDescent="0.25">
      <c r="D93" s="176" t="s">
        <v>250</v>
      </c>
      <c r="K93" s="77">
        <f>ProjectedP205_Consumption!K62*P93*Q93*R93</f>
        <v>1.2358826265280905E-3</v>
      </c>
      <c r="L93" s="77">
        <f>ProjectedP205_Consumption!L62*S93*T93*U93</f>
        <v>3.6600101520041874E-3</v>
      </c>
      <c r="M93" s="77">
        <f>ProjectedP205_Consumption!M62*V93</f>
        <v>0</v>
      </c>
      <c r="P93" s="76">
        <f t="shared" ref="P93:V93" si="34">P66</f>
        <v>0.5</v>
      </c>
      <c r="Q93" s="76">
        <f t="shared" si="34"/>
        <v>0.30000000000000004</v>
      </c>
      <c r="R93" s="76">
        <f t="shared" si="34"/>
        <v>0.1</v>
      </c>
      <c r="S93" s="76">
        <f t="shared" si="34"/>
        <v>0.5</v>
      </c>
      <c r="T93" s="76">
        <f t="shared" si="34"/>
        <v>0.35000000000000003</v>
      </c>
      <c r="U93" s="76">
        <f t="shared" si="34"/>
        <v>0.2</v>
      </c>
      <c r="V93" s="76">
        <f t="shared" si="34"/>
        <v>0</v>
      </c>
    </row>
    <row r="94" spans="4:22" ht="13.5" customHeight="1" x14ac:dyDescent="0.25">
      <c r="D94" s="176" t="s">
        <v>244</v>
      </c>
      <c r="K94" s="77">
        <f>ProjectedP205_Consumption!K63*P94*Q94*R94</f>
        <v>5.642993775060107E-4</v>
      </c>
      <c r="L94" s="77">
        <f>ProjectedP205_Consumption!L63*S94*T94*U94</f>
        <v>1.9583672847897139E-3</v>
      </c>
      <c r="M94" s="77">
        <f>ProjectedP205_Consumption!M63*V94</f>
        <v>0</v>
      </c>
      <c r="P94" s="76">
        <f t="shared" ref="P94:V94" si="35">P67</f>
        <v>0.5</v>
      </c>
      <c r="Q94" s="76">
        <f t="shared" si="35"/>
        <v>0.30000000000000004</v>
      </c>
      <c r="R94" s="76">
        <f t="shared" si="35"/>
        <v>0.1</v>
      </c>
      <c r="S94" s="76">
        <f t="shared" si="35"/>
        <v>0.5</v>
      </c>
      <c r="T94" s="76">
        <f t="shared" si="35"/>
        <v>0.35000000000000003</v>
      </c>
      <c r="U94" s="76">
        <f t="shared" si="35"/>
        <v>0.2</v>
      </c>
      <c r="V94" s="76">
        <f t="shared" si="35"/>
        <v>0</v>
      </c>
    </row>
    <row r="95" spans="4:22" ht="13.5" customHeight="1" x14ac:dyDescent="0.25">
      <c r="D95" s="176" t="s">
        <v>123</v>
      </c>
      <c r="K95" s="77">
        <f>ProjectedP205_Consumption!K64*P95*Q95*R95</f>
        <v>4.9030381860634849E-4</v>
      </c>
      <c r="L95" s="77">
        <f>ProjectedP205_Consumption!L64*S95*T95*U95</f>
        <v>3.1441598033728579E-3</v>
      </c>
      <c r="M95" s="77">
        <f>ProjectedP205_Consumption!M64*V95</f>
        <v>0</v>
      </c>
      <c r="P95" s="76">
        <f t="shared" ref="P95:V95" si="36">P68</f>
        <v>0.5</v>
      </c>
      <c r="Q95" s="76">
        <f t="shared" si="36"/>
        <v>0.30000000000000004</v>
      </c>
      <c r="R95" s="76">
        <f t="shared" si="36"/>
        <v>0.1</v>
      </c>
      <c r="S95" s="76">
        <f t="shared" si="36"/>
        <v>0.5</v>
      </c>
      <c r="T95" s="76">
        <f t="shared" si="36"/>
        <v>0.35000000000000003</v>
      </c>
      <c r="U95" s="76">
        <f t="shared" si="36"/>
        <v>0.2</v>
      </c>
      <c r="V95" s="76">
        <f t="shared" si="36"/>
        <v>0</v>
      </c>
    </row>
    <row r="96" spans="4:22" ht="13.5" customHeight="1" x14ac:dyDescent="0.25">
      <c r="D96" s="176" t="s">
        <v>252</v>
      </c>
      <c r="K96" s="77">
        <f>ProjectedP205_Consumption!K65*P96*Q96*R96</f>
        <v>1.4282463002469065E-3</v>
      </c>
      <c r="L96" s="77">
        <f>ProjectedP205_Consumption!L65*S96*T96*U96</f>
        <v>3.507876695987908E-3</v>
      </c>
      <c r="M96" s="77">
        <f>ProjectedP205_Consumption!M65*V96</f>
        <v>0</v>
      </c>
      <c r="P96" s="76">
        <f t="shared" ref="P96:V96" si="37">P69</f>
        <v>0.5</v>
      </c>
      <c r="Q96" s="76">
        <f t="shared" si="37"/>
        <v>0.30000000000000004</v>
      </c>
      <c r="R96" s="76">
        <f t="shared" si="37"/>
        <v>0.1</v>
      </c>
      <c r="S96" s="76">
        <f t="shared" si="37"/>
        <v>0.5</v>
      </c>
      <c r="T96" s="76">
        <f t="shared" si="37"/>
        <v>0.35000000000000003</v>
      </c>
      <c r="U96" s="76">
        <f t="shared" si="37"/>
        <v>0.2</v>
      </c>
      <c r="V96" s="76">
        <f t="shared" si="37"/>
        <v>0</v>
      </c>
    </row>
    <row r="97" spans="2:24" ht="13.5" customHeight="1" x14ac:dyDescent="0.25">
      <c r="D97" s="176" t="s">
        <v>117</v>
      </c>
      <c r="K97" s="77">
        <f>ProjectedP205_Consumption!K66*P97*Q97*R97</f>
        <v>4.4384362449650976E-4</v>
      </c>
      <c r="L97" s="77">
        <f>ProjectedP205_Consumption!L66*S97*T97*U97</f>
        <v>1.5793187013296494E-3</v>
      </c>
      <c r="M97" s="77">
        <f>ProjectedP205_Consumption!M66*V97</f>
        <v>0</v>
      </c>
      <c r="P97" s="76">
        <f t="shared" ref="P97:V97" si="38">P70</f>
        <v>0.5</v>
      </c>
      <c r="Q97" s="76">
        <f t="shared" si="38"/>
        <v>0.30000000000000004</v>
      </c>
      <c r="R97" s="76">
        <f t="shared" si="38"/>
        <v>0.1</v>
      </c>
      <c r="S97" s="76">
        <f t="shared" si="38"/>
        <v>0.5</v>
      </c>
      <c r="T97" s="76">
        <f t="shared" si="38"/>
        <v>0.35000000000000003</v>
      </c>
      <c r="U97" s="76">
        <f t="shared" si="38"/>
        <v>0.2</v>
      </c>
      <c r="V97" s="76">
        <f t="shared" si="38"/>
        <v>0</v>
      </c>
    </row>
    <row r="98" spans="2:24" ht="13.5" customHeight="1" thickBot="1" x14ac:dyDescent="0.3">
      <c r="D98" s="258" t="s">
        <v>240</v>
      </c>
      <c r="E98" s="236"/>
      <c r="F98" s="236"/>
      <c r="G98" s="236"/>
      <c r="H98" s="236"/>
      <c r="I98" s="236"/>
      <c r="J98" s="236"/>
      <c r="K98" s="259">
        <f>ProjectedP205_Consumption!K67*P98*Q98*R98</f>
        <v>3.3646311930568171E-4</v>
      </c>
      <c r="L98" s="259">
        <f>ProjectedP205_Consumption!L67*S98*T98*U98</f>
        <v>1.1497222691398425E-3</v>
      </c>
      <c r="M98" s="259">
        <f>ProjectedP205_Consumption!M67*V98</f>
        <v>0</v>
      </c>
      <c r="P98" s="76">
        <f t="shared" ref="P98:V98" si="39">P71</f>
        <v>0.5</v>
      </c>
      <c r="Q98" s="76">
        <f t="shared" si="39"/>
        <v>0.30000000000000004</v>
      </c>
      <c r="R98" s="76">
        <f t="shared" si="39"/>
        <v>0.1</v>
      </c>
      <c r="S98" s="76">
        <f t="shared" si="39"/>
        <v>0.5</v>
      </c>
      <c r="T98" s="76">
        <f t="shared" si="39"/>
        <v>0.35000000000000003</v>
      </c>
      <c r="U98" s="76">
        <f t="shared" si="39"/>
        <v>0.2</v>
      </c>
      <c r="V98" s="76">
        <f t="shared" si="39"/>
        <v>0</v>
      </c>
    </row>
    <row r="99" spans="2:24" ht="13.5" customHeight="1" thickTop="1" thickBot="1" x14ac:dyDescent="0.3">
      <c r="D99" s="258" t="s">
        <v>185</v>
      </c>
      <c r="E99" s="236"/>
      <c r="F99" s="236"/>
      <c r="G99" s="236"/>
      <c r="H99" s="236"/>
      <c r="I99" s="236"/>
      <c r="J99" s="236"/>
      <c r="K99" s="259">
        <f>SUM(K75:K98)</f>
        <v>0.2140321101410679</v>
      </c>
      <c r="L99" s="259">
        <f t="shared" ref="L99:M99" si="40">SUM(L75:L98)</f>
        <v>0.98274485441883586</v>
      </c>
      <c r="M99" s="259">
        <f t="shared" si="40"/>
        <v>0</v>
      </c>
    </row>
    <row r="100" spans="2:24" ht="13.5" customHeight="1" thickTop="1" x14ac:dyDescent="0.25">
      <c r="D100" s="176"/>
    </row>
    <row r="101" spans="2:24" ht="13.5" customHeight="1" x14ac:dyDescent="0.35">
      <c r="B101" s="29">
        <v>2</v>
      </c>
      <c r="D101" s="28" t="s">
        <v>274</v>
      </c>
    </row>
    <row r="102" spans="2:24" ht="13.5" customHeight="1" x14ac:dyDescent="0.25">
      <c r="D102" s="176"/>
    </row>
    <row r="103" spans="2:24" ht="13.5" customHeight="1" x14ac:dyDescent="0.3">
      <c r="D103" s="32" t="s">
        <v>71</v>
      </c>
    </row>
    <row r="104" spans="2:24" ht="13.5" customHeight="1" x14ac:dyDescent="0.3">
      <c r="D104" s="33" t="s">
        <v>72</v>
      </c>
      <c r="P104" s="39" t="s">
        <v>24</v>
      </c>
    </row>
    <row r="105" spans="2:24" ht="13.5" customHeight="1" x14ac:dyDescent="0.25">
      <c r="D105" s="176"/>
      <c r="S105" s="1" t="s">
        <v>290</v>
      </c>
      <c r="T105" s="1" t="s">
        <v>176</v>
      </c>
      <c r="V105" s="1" t="s">
        <v>291</v>
      </c>
      <c r="W105" s="1" t="s">
        <v>176</v>
      </c>
    </row>
    <row r="106" spans="2:24" ht="13.5" customHeight="1" x14ac:dyDescent="0.3">
      <c r="D106" s="30" t="s">
        <v>15</v>
      </c>
      <c r="E106" s="115">
        <v>2017</v>
      </c>
      <c r="F106" s="115">
        <v>2018</v>
      </c>
      <c r="G106" s="115">
        <v>2019</v>
      </c>
      <c r="H106" s="115">
        <v>2020</v>
      </c>
      <c r="I106" s="115">
        <v>2021</v>
      </c>
      <c r="J106" s="115">
        <v>2022</v>
      </c>
      <c r="K106" s="115">
        <v>2023</v>
      </c>
      <c r="L106" s="115">
        <v>2024</v>
      </c>
      <c r="M106" s="115">
        <v>2025</v>
      </c>
      <c r="P106" s="39" t="s">
        <v>73</v>
      </c>
      <c r="Q106" s="115">
        <v>2023</v>
      </c>
      <c r="R106" s="115" t="s">
        <v>174</v>
      </c>
      <c r="S106" s="115">
        <v>2024</v>
      </c>
      <c r="T106" s="115">
        <v>2024</v>
      </c>
      <c r="U106" s="1" t="s">
        <v>73</v>
      </c>
      <c r="V106" s="115">
        <v>2025</v>
      </c>
      <c r="W106" s="115">
        <v>2025</v>
      </c>
      <c r="X106" s="1" t="s">
        <v>174</v>
      </c>
    </row>
    <row r="107" spans="2:24" ht="13.5" customHeight="1" x14ac:dyDescent="0.25">
      <c r="D107" s="176" t="s">
        <v>246</v>
      </c>
      <c r="K107" s="77">
        <f>ProjectedP205_Consumption!K13*Q107</f>
        <v>0</v>
      </c>
      <c r="L107" s="77">
        <f>ProjectedP205_Consumption!L13*S107*T107</f>
        <v>3.9358600800031937E-2</v>
      </c>
      <c r="M107" s="77">
        <f>ProjectedP205_Consumption!M13*V107*W107</f>
        <v>0.16530612336013417</v>
      </c>
      <c r="Q107" s="266">
        <v>0</v>
      </c>
      <c r="R107" s="1" t="s">
        <v>289</v>
      </c>
      <c r="S107" s="266">
        <v>0.5</v>
      </c>
      <c r="T107" s="266">
        <v>0.05</v>
      </c>
      <c r="U107" s="1" t="s">
        <v>293</v>
      </c>
      <c r="V107" s="76">
        <v>1</v>
      </c>
      <c r="W107" s="76">
        <f>T107+5%</f>
        <v>0.1</v>
      </c>
      <c r="X107" s="1" t="s">
        <v>293</v>
      </c>
    </row>
    <row r="108" spans="2:24" ht="13.5" customHeight="1" x14ac:dyDescent="0.25">
      <c r="D108" s="176" t="s">
        <v>122</v>
      </c>
      <c r="K108" s="77">
        <f>ProjectedP205_Consumption!K14*Q108</f>
        <v>0</v>
      </c>
      <c r="L108" s="77">
        <f>ProjectedP205_Consumption!L14*S108*T108</f>
        <v>0.74780841601549308</v>
      </c>
      <c r="M108" s="77">
        <f>ProjectedP205_Consumption!M14*V108*W108</f>
        <v>2.4677677728511274</v>
      </c>
      <c r="Q108" s="76">
        <f>$Q$107</f>
        <v>0</v>
      </c>
      <c r="R108" s="1" t="s">
        <v>289</v>
      </c>
      <c r="S108" s="76">
        <f>$S$107</f>
        <v>0.5</v>
      </c>
      <c r="T108" s="266">
        <v>0.2</v>
      </c>
      <c r="U108" s="1" t="s">
        <v>295</v>
      </c>
      <c r="V108" s="76">
        <v>1</v>
      </c>
      <c r="W108" s="76">
        <f t="shared" ref="W108:W130" si="41">T108+5%</f>
        <v>0.25</v>
      </c>
    </row>
    <row r="109" spans="2:24" ht="13.5" customHeight="1" x14ac:dyDescent="0.25">
      <c r="D109" s="176" t="s">
        <v>135</v>
      </c>
      <c r="K109" s="77">
        <f>ProjectedP205_Consumption!K15*Q109</f>
        <v>0</v>
      </c>
      <c r="L109" s="77">
        <f>ProjectedP205_Consumption!L15*S109*T109</f>
        <v>7.7703703462277396E-2</v>
      </c>
      <c r="M109" s="77">
        <f>ProjectedP205_Consumption!M15*V109*W109</f>
        <v>0.25700499920148251</v>
      </c>
      <c r="Q109" s="76">
        <v>0</v>
      </c>
      <c r="R109" s="1" t="s">
        <v>289</v>
      </c>
      <c r="S109" s="76">
        <f t="shared" ref="S109:S130" si="42">$S$107</f>
        <v>0.5</v>
      </c>
      <c r="T109" s="266">
        <v>0.1</v>
      </c>
      <c r="U109" s="1" t="s">
        <v>292</v>
      </c>
      <c r="V109" s="76">
        <v>1</v>
      </c>
      <c r="W109" s="76">
        <f t="shared" si="41"/>
        <v>0.15000000000000002</v>
      </c>
    </row>
    <row r="110" spans="2:24" ht="13.5" customHeight="1" x14ac:dyDescent="0.25">
      <c r="D110" s="176" t="s">
        <v>236</v>
      </c>
      <c r="K110" s="77">
        <f>ProjectedP205_Consumption!K16*Q110</f>
        <v>0</v>
      </c>
      <c r="L110" s="77">
        <f>ProjectedP205_Consumption!L16*S110*T110</f>
        <v>0.27686499578118956</v>
      </c>
      <c r="M110" s="77">
        <f>ProjectedP205_Consumption!M16*V110*W110</f>
        <v>0.87475106261576352</v>
      </c>
      <c r="Q110" s="76">
        <v>0</v>
      </c>
      <c r="R110" s="1" t="s">
        <v>289</v>
      </c>
      <c r="S110" s="76">
        <f t="shared" si="42"/>
        <v>0.5</v>
      </c>
      <c r="T110" s="266">
        <v>0.2</v>
      </c>
      <c r="U110" s="1" t="s">
        <v>296</v>
      </c>
      <c r="V110" s="76">
        <v>1</v>
      </c>
      <c r="W110" s="76">
        <f t="shared" si="41"/>
        <v>0.25</v>
      </c>
    </row>
    <row r="111" spans="2:24" ht="13.5" customHeight="1" x14ac:dyDescent="0.25">
      <c r="D111" s="176" t="s">
        <v>133</v>
      </c>
      <c r="K111" s="77">
        <f>ProjectedP205_Consumption!K17*Q111</f>
        <v>0</v>
      </c>
      <c r="L111" s="77">
        <f>ProjectedP205_Consumption!L17*S111*T111</f>
        <v>6.1078588939221495E-2</v>
      </c>
      <c r="M111" s="77">
        <f>ProjectedP205_Consumption!M17*V111*W111</f>
        <v>0.17152999134995717</v>
      </c>
      <c r="Q111" s="76">
        <v>0</v>
      </c>
      <c r="R111" s="1" t="s">
        <v>289</v>
      </c>
      <c r="S111" s="76">
        <f t="shared" si="42"/>
        <v>0.5</v>
      </c>
      <c r="T111" s="266">
        <v>0.25</v>
      </c>
      <c r="U111" s="1" t="s">
        <v>294</v>
      </c>
      <c r="V111" s="76">
        <v>1</v>
      </c>
      <c r="W111" s="76">
        <f t="shared" si="41"/>
        <v>0.3</v>
      </c>
    </row>
    <row r="112" spans="2:24" ht="13.5" customHeight="1" x14ac:dyDescent="0.25">
      <c r="D112" s="176" t="s">
        <v>141</v>
      </c>
      <c r="K112" s="77">
        <f>ProjectedP205_Consumption!K18*Q112</f>
        <v>0</v>
      </c>
      <c r="L112" s="77">
        <f>ProjectedP205_Consumption!L18*S112*T112</f>
        <v>1.4498615221697448E-2</v>
      </c>
      <c r="M112" s="77">
        <f>ProjectedP205_Consumption!M18*V112*W112</f>
        <v>4.7845430231601586E-2</v>
      </c>
      <c r="Q112" s="76">
        <v>0</v>
      </c>
      <c r="R112" s="1" t="s">
        <v>289</v>
      </c>
      <c r="S112" s="76">
        <f t="shared" si="42"/>
        <v>0.5</v>
      </c>
      <c r="T112" s="266">
        <v>0.1</v>
      </c>
      <c r="U112" s="1" t="s">
        <v>292</v>
      </c>
      <c r="V112" s="76">
        <v>1</v>
      </c>
      <c r="W112" s="76">
        <f t="shared" si="41"/>
        <v>0.15000000000000002</v>
      </c>
    </row>
    <row r="113" spans="4:24" ht="13.5" customHeight="1" x14ac:dyDescent="0.25">
      <c r="D113" s="176" t="s">
        <v>124</v>
      </c>
      <c r="K113" s="77">
        <f>ProjectedP205_Consumption!K19*Q113</f>
        <v>0</v>
      </c>
      <c r="L113" s="77">
        <f>ProjectedP205_Consumption!L19*S113*T113</f>
        <v>3.0425961683740545E-2</v>
      </c>
      <c r="M113" s="77">
        <f>ProjectedP205_Consumption!M19*V113*W113</f>
        <v>0.10542595723416101</v>
      </c>
      <c r="Q113" s="76">
        <v>0</v>
      </c>
      <c r="R113" s="1" t="s">
        <v>289</v>
      </c>
      <c r="S113" s="76">
        <f t="shared" si="42"/>
        <v>0.5</v>
      </c>
      <c r="T113" s="266">
        <v>0.1</v>
      </c>
      <c r="U113" s="1" t="s">
        <v>292</v>
      </c>
      <c r="V113" s="76">
        <v>1</v>
      </c>
      <c r="W113" s="76">
        <f t="shared" si="41"/>
        <v>0.15000000000000002</v>
      </c>
    </row>
    <row r="114" spans="4:24" ht="13.5" customHeight="1" x14ac:dyDescent="0.25">
      <c r="D114" s="176" t="s">
        <v>172</v>
      </c>
      <c r="K114" s="77">
        <f>ProjectedP205_Consumption!K20*Q114</f>
        <v>0</v>
      </c>
      <c r="L114" s="77">
        <f>ProjectedP205_Consumption!L20*S114*T114</f>
        <v>6.1929611991836681E-3</v>
      </c>
      <c r="M114" s="77">
        <f>ProjectedP205_Consumption!M20*V114*W114</f>
        <v>2.7310958888399975E-2</v>
      </c>
      <c r="Q114" s="76">
        <v>0</v>
      </c>
      <c r="R114" s="1" t="s">
        <v>289</v>
      </c>
      <c r="S114" s="76">
        <f t="shared" si="42"/>
        <v>0.5</v>
      </c>
      <c r="T114" s="266">
        <v>0.05</v>
      </c>
      <c r="U114" s="1" t="s">
        <v>293</v>
      </c>
      <c r="V114" s="76">
        <v>1</v>
      </c>
      <c r="W114" s="76">
        <f t="shared" si="41"/>
        <v>0.1</v>
      </c>
    </row>
    <row r="115" spans="4:24" ht="13.5" customHeight="1" x14ac:dyDescent="0.25">
      <c r="D115" s="176" t="s">
        <v>118</v>
      </c>
      <c r="K115" s="77">
        <f>ProjectedP205_Consumption!K21*Q115</f>
        <v>0</v>
      </c>
      <c r="L115" s="77">
        <f>ProjectedP205_Consumption!L21*S115*T115</f>
        <v>2.7337509703740638E-2</v>
      </c>
      <c r="M115" s="77">
        <f>ProjectedP205_Consumption!M21*V115*W115</f>
        <v>7.5779576898769047E-2</v>
      </c>
      <c r="Q115" s="76">
        <v>0</v>
      </c>
      <c r="R115" s="1" t="s">
        <v>289</v>
      </c>
      <c r="S115" s="76">
        <f t="shared" si="42"/>
        <v>0.5</v>
      </c>
      <c r="T115" s="266">
        <v>0.25</v>
      </c>
      <c r="U115" s="1" t="s">
        <v>294</v>
      </c>
      <c r="V115" s="76">
        <v>1</v>
      </c>
      <c r="W115" s="76">
        <f t="shared" si="41"/>
        <v>0.3</v>
      </c>
    </row>
    <row r="116" spans="4:24" ht="13.5" customHeight="1" x14ac:dyDescent="0.25">
      <c r="D116" s="176" t="s">
        <v>58</v>
      </c>
      <c r="K116" s="77">
        <f>ProjectedP205_Consumption!K22*Q116</f>
        <v>0</v>
      </c>
      <c r="L116" s="77">
        <f>ProjectedP205_Consumption!L22*S116*T116</f>
        <v>5.0617504829970662E-3</v>
      </c>
      <c r="M116" s="77">
        <f>ProjectedP205_Consumption!M22*V116*W116</f>
        <v>2.2322319630017063E-2</v>
      </c>
      <c r="Q116" s="76">
        <v>0</v>
      </c>
      <c r="R116" s="1" t="s">
        <v>289</v>
      </c>
      <c r="S116" s="76">
        <f t="shared" si="42"/>
        <v>0.5</v>
      </c>
      <c r="T116" s="266">
        <v>0.05</v>
      </c>
      <c r="U116" s="1" t="s">
        <v>292</v>
      </c>
      <c r="V116" s="76">
        <v>1</v>
      </c>
      <c r="W116" s="76">
        <f t="shared" si="41"/>
        <v>0.1</v>
      </c>
    </row>
    <row r="117" spans="4:24" ht="13.5" customHeight="1" x14ac:dyDescent="0.25">
      <c r="D117" s="176" t="s">
        <v>121</v>
      </c>
      <c r="K117" s="77">
        <f>ProjectedP205_Consumption!K23*Q117</f>
        <v>0</v>
      </c>
      <c r="L117" s="77">
        <f>ProjectedP205_Consumption!L23*S117*T117</f>
        <v>3.36830736079886E-3</v>
      </c>
      <c r="M117" s="77">
        <f>ProjectedP205_Consumption!M23*V117*W117</f>
        <v>1.4854235461122973E-2</v>
      </c>
      <c r="Q117" s="76">
        <v>0</v>
      </c>
      <c r="R117" s="1" t="s">
        <v>289</v>
      </c>
      <c r="S117" s="76">
        <f t="shared" si="42"/>
        <v>0.5</v>
      </c>
      <c r="T117" s="266">
        <v>0.05</v>
      </c>
      <c r="U117" s="1" t="s">
        <v>293</v>
      </c>
      <c r="V117" s="76">
        <v>1</v>
      </c>
      <c r="W117" s="76">
        <f t="shared" si="41"/>
        <v>0.1</v>
      </c>
      <c r="X117" s="1" t="s">
        <v>293</v>
      </c>
    </row>
    <row r="118" spans="4:24" ht="13.5" customHeight="1" x14ac:dyDescent="0.25">
      <c r="D118" s="176" t="s">
        <v>157</v>
      </c>
      <c r="K118" s="77">
        <f>ProjectedP205_Consumption!K24*Q118</f>
        <v>0</v>
      </c>
      <c r="L118" s="77">
        <f>ProjectedP205_Consumption!L24*S118*T118</f>
        <v>2.1896541382827968E-3</v>
      </c>
      <c r="M118" s="77">
        <f>ProjectedP205_Consumption!M24*V118*W118</f>
        <v>9.656374749827135E-3</v>
      </c>
      <c r="Q118" s="76">
        <v>0</v>
      </c>
      <c r="R118" s="1" t="s">
        <v>289</v>
      </c>
      <c r="S118" s="76">
        <f t="shared" si="42"/>
        <v>0.5</v>
      </c>
      <c r="T118" s="266">
        <v>0.05</v>
      </c>
      <c r="U118" s="1" t="s">
        <v>293</v>
      </c>
      <c r="V118" s="76">
        <v>1</v>
      </c>
      <c r="W118" s="76">
        <f t="shared" si="41"/>
        <v>0.1</v>
      </c>
      <c r="X118" s="1" t="s">
        <v>293</v>
      </c>
    </row>
    <row r="119" spans="4:24" ht="13.5" customHeight="1" x14ac:dyDescent="0.25">
      <c r="D119" s="176" t="s">
        <v>61</v>
      </c>
      <c r="K119" s="77">
        <f>ProjectedP205_Consumption!K25*Q119</f>
        <v>0</v>
      </c>
      <c r="L119" s="77">
        <f>ProjectedP205_Consumption!L25*S119*T119</f>
        <v>5.6300145254584474E-2</v>
      </c>
      <c r="M119" s="77">
        <f>ProjectedP205_Consumption!M25*V119*W119</f>
        <v>0.17691030337341598</v>
      </c>
      <c r="Q119" s="76">
        <v>0</v>
      </c>
      <c r="R119" s="1" t="s">
        <v>289</v>
      </c>
      <c r="S119" s="76">
        <f t="shared" si="42"/>
        <v>0.5</v>
      </c>
      <c r="T119" s="266">
        <v>0.25</v>
      </c>
      <c r="U119" s="1" t="s">
        <v>294</v>
      </c>
      <c r="V119" s="76">
        <v>1</v>
      </c>
      <c r="W119" s="76">
        <f t="shared" si="41"/>
        <v>0.3</v>
      </c>
    </row>
    <row r="120" spans="4:24" ht="13.5" customHeight="1" x14ac:dyDescent="0.25">
      <c r="D120" s="176" t="s">
        <v>119</v>
      </c>
      <c r="K120" s="77">
        <f>ProjectedP205_Consumption!K26*Q120</f>
        <v>0</v>
      </c>
      <c r="L120" s="77">
        <f>ProjectedP205_Consumption!L26*S120*T120</f>
        <v>1.7884829588871065E-3</v>
      </c>
      <c r="M120" s="77">
        <f>ProjectedP205_Consumption!M26*V120*W120</f>
        <v>7.8872098486921383E-3</v>
      </c>
      <c r="Q120" s="76">
        <v>0</v>
      </c>
      <c r="R120" s="1" t="s">
        <v>289</v>
      </c>
      <c r="S120" s="76">
        <f t="shared" si="42"/>
        <v>0.5</v>
      </c>
      <c r="T120" s="266">
        <v>0.05</v>
      </c>
      <c r="U120" s="1" t="s">
        <v>293</v>
      </c>
      <c r="V120" s="76">
        <v>1</v>
      </c>
      <c r="W120" s="76">
        <f t="shared" si="41"/>
        <v>0.1</v>
      </c>
      <c r="X120" s="1" t="s">
        <v>293</v>
      </c>
    </row>
    <row r="121" spans="4:24" ht="13.5" customHeight="1" x14ac:dyDescent="0.25">
      <c r="D121" s="176" t="s">
        <v>161</v>
      </c>
      <c r="K121" s="77">
        <f>ProjectedP205_Consumption!K27*Q121</f>
        <v>0</v>
      </c>
      <c r="L121" s="77">
        <f>ProjectedP205_Consumption!L27*S121*T121</f>
        <v>7.0478389088510521E-2</v>
      </c>
      <c r="M121" s="77">
        <f>ProjectedP205_Consumption!M27*V121*W121</f>
        <v>0.22965149976032198</v>
      </c>
      <c r="Q121" s="76">
        <v>0</v>
      </c>
      <c r="R121" s="1" t="s">
        <v>289</v>
      </c>
      <c r="S121" s="76">
        <f t="shared" si="42"/>
        <v>0.5</v>
      </c>
      <c r="T121" s="266">
        <v>0.25</v>
      </c>
      <c r="U121" s="1" t="s">
        <v>294</v>
      </c>
      <c r="V121" s="76">
        <v>1</v>
      </c>
      <c r="W121" s="76">
        <f t="shared" si="41"/>
        <v>0.3</v>
      </c>
    </row>
    <row r="122" spans="4:24" ht="13.5" customHeight="1" x14ac:dyDescent="0.25">
      <c r="D122" s="176" t="s">
        <v>54</v>
      </c>
      <c r="K122" s="77">
        <f>ProjectedP205_Consumption!K28*Q122</f>
        <v>0</v>
      </c>
      <c r="L122" s="77">
        <f>ProjectedP205_Consumption!L28*S122*T122</f>
        <v>2.4590479504472866E-3</v>
      </c>
      <c r="M122" s="77">
        <f>ProjectedP205_Consumption!M28*V122*W122</f>
        <v>8.1333010961044012E-3</v>
      </c>
      <c r="Q122" s="76">
        <v>0</v>
      </c>
      <c r="R122" s="1" t="s">
        <v>289</v>
      </c>
      <c r="S122" s="76">
        <f t="shared" si="42"/>
        <v>0.5</v>
      </c>
      <c r="T122" s="266">
        <v>0.1</v>
      </c>
      <c r="U122" s="1" t="s">
        <v>292</v>
      </c>
      <c r="V122" s="76">
        <v>1</v>
      </c>
      <c r="W122" s="76">
        <f t="shared" si="41"/>
        <v>0.15000000000000002</v>
      </c>
    </row>
    <row r="123" spans="4:24" ht="13.5" customHeight="1" x14ac:dyDescent="0.25">
      <c r="D123" s="176" t="s">
        <v>234</v>
      </c>
      <c r="K123" s="77">
        <f>ProjectedP205_Consumption!K29*Q123</f>
        <v>0</v>
      </c>
      <c r="L123" s="77">
        <f>ProjectedP205_Consumption!L29*S123*T123</f>
        <v>4.8131918654660176E-2</v>
      </c>
      <c r="M123" s="77">
        <f>ProjectedP205_Consumption!M29*V123*W123</f>
        <v>0.15550642399720901</v>
      </c>
      <c r="Q123" s="76">
        <v>0</v>
      </c>
      <c r="R123" s="1" t="s">
        <v>289</v>
      </c>
      <c r="S123" s="76">
        <f t="shared" si="42"/>
        <v>0.5</v>
      </c>
      <c r="T123" s="266">
        <v>0.25</v>
      </c>
      <c r="U123" s="1" t="s">
        <v>294</v>
      </c>
      <c r="V123" s="76">
        <v>1</v>
      </c>
      <c r="W123" s="76">
        <f t="shared" si="41"/>
        <v>0.3</v>
      </c>
    </row>
    <row r="124" spans="4:24" ht="13.5" customHeight="1" x14ac:dyDescent="0.25">
      <c r="D124" s="176" t="s">
        <v>152</v>
      </c>
      <c r="K124" s="77">
        <f>ProjectedP205_Consumption!K30*Q124</f>
        <v>0</v>
      </c>
      <c r="L124" s="77">
        <f>ProjectedP205_Consumption!L30*S124*T124</f>
        <v>1.1440779576326898E-3</v>
      </c>
      <c r="M124" s="77">
        <f>ProjectedP205_Consumption!M30*V124*W124</f>
        <v>5.0170532149619411E-3</v>
      </c>
      <c r="Q124" s="76">
        <v>0</v>
      </c>
      <c r="R124" s="1" t="s">
        <v>289</v>
      </c>
      <c r="S124" s="76">
        <f t="shared" si="42"/>
        <v>0.5</v>
      </c>
      <c r="T124" s="266">
        <v>0.05</v>
      </c>
      <c r="U124" s="1" t="s">
        <v>293</v>
      </c>
      <c r="V124" s="76">
        <v>1</v>
      </c>
      <c r="W124" s="76">
        <f t="shared" si="41"/>
        <v>0.1</v>
      </c>
    </row>
    <row r="125" spans="4:24" ht="13.5" customHeight="1" x14ac:dyDescent="0.25">
      <c r="D125" s="176" t="s">
        <v>250</v>
      </c>
      <c r="K125" s="77">
        <f>ProjectedP205_Consumption!K31*Q125</f>
        <v>0</v>
      </c>
      <c r="L125" s="77">
        <f>ProjectedP205_Consumption!L31*S125*T125</f>
        <v>1.1505531953070891E-2</v>
      </c>
      <c r="M125" s="77">
        <f>ProjectedP205_Consumption!M31*V125*W125</f>
        <v>3.0848117492973295E-2</v>
      </c>
      <c r="Q125" s="76">
        <v>0</v>
      </c>
      <c r="R125" s="1" t="s">
        <v>289</v>
      </c>
      <c r="S125" s="76">
        <f t="shared" si="42"/>
        <v>0.5</v>
      </c>
      <c r="T125" s="266">
        <v>0.25</v>
      </c>
      <c r="U125" s="1" t="s">
        <v>294</v>
      </c>
      <c r="V125" s="76">
        <v>1</v>
      </c>
      <c r="W125" s="76">
        <f t="shared" si="41"/>
        <v>0.3</v>
      </c>
    </row>
    <row r="126" spans="4:24" ht="13.5" customHeight="1" x14ac:dyDescent="0.25">
      <c r="D126" s="176" t="s">
        <v>244</v>
      </c>
      <c r="K126" s="77">
        <f>ProjectedP205_Consumption!K32*Q126</f>
        <v>0</v>
      </c>
      <c r="L126" s="77">
        <f>ProjectedP205_Consumption!L32*S126*T126</f>
        <v>5.3277407049028254E-3</v>
      </c>
      <c r="M126" s="77">
        <f>ProjectedP205_Consumption!M32*V126*W126</f>
        <v>1.4486686994958305E-2</v>
      </c>
      <c r="Q126" s="76">
        <v>0</v>
      </c>
      <c r="R126" s="1" t="s">
        <v>289</v>
      </c>
      <c r="S126" s="76">
        <f t="shared" si="42"/>
        <v>0.5</v>
      </c>
      <c r="T126" s="266">
        <v>0.25</v>
      </c>
      <c r="U126" s="1" t="s">
        <v>294</v>
      </c>
      <c r="V126" s="76">
        <v>1</v>
      </c>
      <c r="W126" s="76">
        <f t="shared" si="41"/>
        <v>0.3</v>
      </c>
    </row>
    <row r="127" spans="4:24" ht="13.5" customHeight="1" x14ac:dyDescent="0.25">
      <c r="D127" s="176" t="s">
        <v>123</v>
      </c>
      <c r="K127" s="77">
        <f>ProjectedP205_Consumption!K33*Q127</f>
        <v>0</v>
      </c>
      <c r="L127" s="77">
        <f>ProjectedP205_Consumption!L33*S127*T127</f>
        <v>1.8099168974382571E-3</v>
      </c>
      <c r="M127" s="77">
        <f>ProjectedP205_Consumption!M33*V127*W127</f>
        <v>6.0130456794102978E-3</v>
      </c>
      <c r="Q127" s="76">
        <v>0</v>
      </c>
      <c r="R127" s="1" t="s">
        <v>289</v>
      </c>
      <c r="S127" s="76">
        <f t="shared" si="42"/>
        <v>0.5</v>
      </c>
      <c r="T127" s="266">
        <v>0.1</v>
      </c>
      <c r="U127" s="1" t="s">
        <v>292</v>
      </c>
      <c r="V127" s="76">
        <v>1</v>
      </c>
      <c r="W127" s="76">
        <f t="shared" si="41"/>
        <v>0.15000000000000002</v>
      </c>
    </row>
    <row r="128" spans="4:24" ht="13.5" customHeight="1" x14ac:dyDescent="0.25">
      <c r="D128" s="176" t="s">
        <v>252</v>
      </c>
      <c r="K128" s="77">
        <f>ProjectedP205_Consumption!K34*Q128</f>
        <v>0</v>
      </c>
      <c r="L128" s="77">
        <f>ProjectedP205_Consumption!L34*S128*T128</f>
        <v>2.4268174788901029E-3</v>
      </c>
      <c r="M128" s="77">
        <f>ProjectedP205_Consumption!M34*V128*W128</f>
        <v>9.8965167139506184E-3</v>
      </c>
      <c r="Q128" s="76">
        <v>0</v>
      </c>
      <c r="R128" s="1" t="s">
        <v>289</v>
      </c>
      <c r="S128" s="76">
        <f t="shared" si="42"/>
        <v>0.5</v>
      </c>
      <c r="T128" s="266">
        <v>0.05</v>
      </c>
      <c r="U128" s="1" t="s">
        <v>293</v>
      </c>
      <c r="V128" s="76">
        <v>1</v>
      </c>
      <c r="W128" s="76">
        <f t="shared" si="41"/>
        <v>0.1</v>
      </c>
      <c r="X128" s="1" t="s">
        <v>293</v>
      </c>
    </row>
    <row r="129" spans="4:24" ht="13.5" customHeight="1" x14ac:dyDescent="0.25">
      <c r="D129" s="176" t="s">
        <v>117</v>
      </c>
      <c r="K129" s="77">
        <f>ProjectedP205_Consumption!K35*Q129</f>
        <v>0</v>
      </c>
      <c r="L129" s="77">
        <f>ProjectedP205_Consumption!L35*S129*T129</f>
        <v>4.2965385484325744E-3</v>
      </c>
      <c r="M129" s="77">
        <f>ProjectedP205_Consumption!M35*V129*W129</f>
        <v>1.197843076714946E-2</v>
      </c>
      <c r="Q129" s="76">
        <v>0</v>
      </c>
      <c r="R129" s="1" t="s">
        <v>289</v>
      </c>
      <c r="S129" s="76">
        <f t="shared" si="42"/>
        <v>0.5</v>
      </c>
      <c r="T129" s="266">
        <v>0.25</v>
      </c>
      <c r="U129" s="1" t="s">
        <v>294</v>
      </c>
      <c r="V129" s="76">
        <v>1</v>
      </c>
      <c r="W129" s="76">
        <f t="shared" si="41"/>
        <v>0.3</v>
      </c>
    </row>
    <row r="130" spans="4:24" ht="13.5" customHeight="1" thickBot="1" x14ac:dyDescent="0.3">
      <c r="D130" s="258" t="s">
        <v>240</v>
      </c>
      <c r="E130" s="236"/>
      <c r="F130" s="236"/>
      <c r="G130" s="236"/>
      <c r="H130" s="236"/>
      <c r="I130" s="236"/>
      <c r="J130" s="236"/>
      <c r="K130" s="259">
        <f>ProjectedP205_Consumption!K36*Q130</f>
        <v>0</v>
      </c>
      <c r="L130" s="259">
        <f>ProjectedP205_Consumption!L36*S130*T130</f>
        <v>3.1278209047938201E-3</v>
      </c>
      <c r="M130" s="259">
        <f>ProjectedP205_Consumption!M36*V130*W130</f>
        <v>8.3741122242588905E-3</v>
      </c>
      <c r="Q130" s="76">
        <v>0</v>
      </c>
      <c r="R130" s="1" t="s">
        <v>289</v>
      </c>
      <c r="S130" s="76">
        <f t="shared" si="42"/>
        <v>0.5</v>
      </c>
      <c r="T130" s="266">
        <v>0.25</v>
      </c>
      <c r="U130" s="1" t="s">
        <v>294</v>
      </c>
      <c r="V130" s="76">
        <v>1</v>
      </c>
      <c r="W130" s="76">
        <f t="shared" si="41"/>
        <v>0.3</v>
      </c>
    </row>
    <row r="131" spans="4:24" ht="13.5" customHeight="1" thickTop="1" thickBot="1" x14ac:dyDescent="0.3">
      <c r="D131" s="258" t="s">
        <v>185</v>
      </c>
      <c r="E131" s="236"/>
      <c r="F131" s="236"/>
      <c r="G131" s="236"/>
      <c r="H131" s="236"/>
      <c r="I131" s="236"/>
      <c r="J131" s="236"/>
      <c r="K131" s="259">
        <f>SUM(K107:K130)</f>
        <v>0</v>
      </c>
      <c r="L131" s="259">
        <f t="shared" ref="L131:M131" si="43">SUM(L107:L130)</f>
        <v>1.5006854931409055</v>
      </c>
      <c r="M131" s="259">
        <f t="shared" si="43"/>
        <v>4.904257503635769</v>
      </c>
    </row>
    <row r="132" spans="4:24" ht="13.5" customHeight="1" thickTop="1" x14ac:dyDescent="0.25">
      <c r="D132" s="260"/>
      <c r="E132" s="245"/>
      <c r="F132" s="245"/>
      <c r="G132" s="245"/>
      <c r="H132" s="245"/>
      <c r="I132" s="245"/>
      <c r="J132" s="245"/>
      <c r="K132" s="177"/>
      <c r="L132" s="177"/>
      <c r="M132" s="177"/>
    </row>
    <row r="133" spans="4:24" ht="13.5" customHeight="1" x14ac:dyDescent="0.3">
      <c r="D133" s="30" t="s">
        <v>15</v>
      </c>
      <c r="E133" s="115">
        <v>2017</v>
      </c>
      <c r="F133" s="115">
        <v>2018</v>
      </c>
      <c r="G133" s="115">
        <v>2019</v>
      </c>
      <c r="H133" s="115">
        <v>2020</v>
      </c>
      <c r="I133" s="115">
        <v>2021</v>
      </c>
      <c r="J133" s="115">
        <v>2022</v>
      </c>
      <c r="K133" s="115">
        <v>2023</v>
      </c>
      <c r="L133" s="115">
        <v>2024</v>
      </c>
      <c r="M133" s="115">
        <v>2025</v>
      </c>
      <c r="Q133" s="115">
        <v>2023</v>
      </c>
      <c r="R133" s="115" t="s">
        <v>174</v>
      </c>
      <c r="S133" s="115">
        <v>2024</v>
      </c>
      <c r="T133" s="115">
        <v>2024</v>
      </c>
      <c r="U133" s="1" t="s">
        <v>73</v>
      </c>
      <c r="V133" s="115">
        <v>2025</v>
      </c>
      <c r="W133" s="115">
        <v>2025</v>
      </c>
      <c r="X133" s="1" t="s">
        <v>174</v>
      </c>
    </row>
    <row r="134" spans="4:24" ht="13.5" customHeight="1" x14ac:dyDescent="0.25">
      <c r="D134" s="260" t="s">
        <v>246</v>
      </c>
      <c r="E134" s="245"/>
      <c r="F134" s="245"/>
      <c r="G134" s="245"/>
      <c r="H134" s="245"/>
      <c r="I134" s="245"/>
      <c r="J134" s="245"/>
      <c r="K134" s="261">
        <f>ProjectedP205_Consumption!K44*Q134</f>
        <v>0</v>
      </c>
      <c r="L134" s="261">
        <f>ProjectedP205_Consumption!L44*S134*T134</f>
        <v>3.9358600800031937E-2</v>
      </c>
      <c r="M134" s="261">
        <f>ProjectedP205_Consumption!M44*V134*W134</f>
        <v>0.16530612336013417</v>
      </c>
      <c r="Q134" s="76">
        <f>Q107</f>
        <v>0</v>
      </c>
      <c r="R134" s="2" t="str">
        <f>R107</f>
        <v>No warehouse</v>
      </c>
      <c r="S134" s="76">
        <f>$S$107</f>
        <v>0.5</v>
      </c>
      <c r="T134" s="76">
        <f>T107</f>
        <v>0.05</v>
      </c>
      <c r="V134" s="76">
        <f>V107</f>
        <v>1</v>
      </c>
      <c r="W134" s="76">
        <f>W107</f>
        <v>0.1</v>
      </c>
    </row>
    <row r="135" spans="4:24" ht="13.5" customHeight="1" x14ac:dyDescent="0.25">
      <c r="D135" s="260" t="s">
        <v>122</v>
      </c>
      <c r="E135" s="245"/>
      <c r="F135" s="245"/>
      <c r="G135" s="245"/>
      <c r="H135" s="245"/>
      <c r="I135" s="245"/>
      <c r="J135" s="245"/>
      <c r="K135" s="261">
        <f>ProjectedP205_Consumption!K45*Q135</f>
        <v>0</v>
      </c>
      <c r="L135" s="261">
        <f>ProjectedP205_Consumption!L45*S135*T135</f>
        <v>0.82746709051537826</v>
      </c>
      <c r="M135" s="261">
        <f>ProjectedP205_Consumption!M45*V135*W135</f>
        <v>2.6500724181718134</v>
      </c>
      <c r="Q135" s="76">
        <f t="shared" ref="Q135:R157" si="44">Q108</f>
        <v>0</v>
      </c>
      <c r="R135" s="2" t="str">
        <f t="shared" si="44"/>
        <v>No warehouse</v>
      </c>
      <c r="S135" s="76">
        <f t="shared" ref="S135:S157" si="45">$S$107</f>
        <v>0.5</v>
      </c>
      <c r="T135" s="76">
        <f t="shared" ref="T135:T157" si="46">T108</f>
        <v>0.2</v>
      </c>
      <c r="V135" s="76">
        <f t="shared" ref="V135:W157" si="47">V108</f>
        <v>1</v>
      </c>
      <c r="W135" s="76">
        <f t="shared" si="47"/>
        <v>0.25</v>
      </c>
    </row>
    <row r="136" spans="4:24" ht="13.5" customHeight="1" x14ac:dyDescent="0.25">
      <c r="D136" s="260" t="s">
        <v>135</v>
      </c>
      <c r="E136" s="245"/>
      <c r="F136" s="245"/>
      <c r="G136" s="245"/>
      <c r="H136" s="245"/>
      <c r="I136" s="245"/>
      <c r="J136" s="245"/>
      <c r="K136" s="261">
        <f>ProjectedP205_Consumption!K46*Q136</f>
        <v>0</v>
      </c>
      <c r="L136" s="261">
        <f>ProjectedP205_Consumption!L46*S136*T136</f>
        <v>0.13312129707908285</v>
      </c>
      <c r="M136" s="261">
        <f>ProjectedP205_Consumption!M46*V136*W136</f>
        <v>0.54347940274063011</v>
      </c>
      <c r="Q136" s="76">
        <f t="shared" si="44"/>
        <v>0</v>
      </c>
      <c r="R136" s="2" t="str">
        <f t="shared" si="44"/>
        <v>No warehouse</v>
      </c>
      <c r="S136" s="76">
        <f t="shared" si="45"/>
        <v>0.5</v>
      </c>
      <c r="T136" s="76">
        <f t="shared" si="46"/>
        <v>0.1</v>
      </c>
      <c r="V136" s="76">
        <f t="shared" si="47"/>
        <v>1</v>
      </c>
      <c r="W136" s="76">
        <f t="shared" si="47"/>
        <v>0.15000000000000002</v>
      </c>
    </row>
    <row r="137" spans="4:24" ht="13.5" customHeight="1" x14ac:dyDescent="0.25">
      <c r="D137" s="260" t="s">
        <v>236</v>
      </c>
      <c r="E137" s="245"/>
      <c r="F137" s="245"/>
      <c r="G137" s="245"/>
      <c r="H137" s="245"/>
      <c r="I137" s="245"/>
      <c r="J137" s="245"/>
      <c r="K137" s="261">
        <f>ProjectedP205_Consumption!K47*Q137</f>
        <v>0</v>
      </c>
      <c r="L137" s="261">
        <f>ProjectedP205_Consumption!L47*S137*T137</f>
        <v>0.89807676965573247</v>
      </c>
      <c r="M137" s="261">
        <f>ProjectedP205_Consumption!M47*V137*W137</f>
        <v>3.5359406152979851</v>
      </c>
      <c r="Q137" s="76">
        <f t="shared" si="44"/>
        <v>0</v>
      </c>
      <c r="R137" s="2" t="str">
        <f t="shared" si="44"/>
        <v>No warehouse</v>
      </c>
      <c r="S137" s="76">
        <f t="shared" si="45"/>
        <v>0.5</v>
      </c>
      <c r="T137" s="76">
        <f t="shared" si="46"/>
        <v>0.2</v>
      </c>
      <c r="V137" s="76">
        <f t="shared" si="47"/>
        <v>1</v>
      </c>
      <c r="W137" s="76">
        <f t="shared" si="47"/>
        <v>0.25</v>
      </c>
    </row>
    <row r="138" spans="4:24" ht="13.5" customHeight="1" x14ac:dyDescent="0.25">
      <c r="D138" s="260" t="s">
        <v>133</v>
      </c>
      <c r="E138" s="245"/>
      <c r="F138" s="245"/>
      <c r="G138" s="245"/>
      <c r="H138" s="245"/>
      <c r="I138" s="245"/>
      <c r="J138" s="245"/>
      <c r="K138" s="261">
        <f>ProjectedP205_Consumption!K48*Q138</f>
        <v>0</v>
      </c>
      <c r="L138" s="261">
        <f>ProjectedP205_Consumption!L48*S138*T138</f>
        <v>8.0182949828738442E-2</v>
      </c>
      <c r="M138" s="261">
        <f>ProjectedP205_Consumption!M48*V138*W138</f>
        <v>0.24667751660437259</v>
      </c>
      <c r="Q138" s="76">
        <f t="shared" si="44"/>
        <v>0</v>
      </c>
      <c r="R138" s="2" t="str">
        <f t="shared" si="44"/>
        <v>No warehouse</v>
      </c>
      <c r="S138" s="76">
        <f t="shared" si="45"/>
        <v>0.5</v>
      </c>
      <c r="T138" s="76">
        <f t="shared" si="46"/>
        <v>0.25</v>
      </c>
      <c r="V138" s="76">
        <f t="shared" si="47"/>
        <v>1</v>
      </c>
      <c r="W138" s="76">
        <f t="shared" si="47"/>
        <v>0.3</v>
      </c>
    </row>
    <row r="139" spans="4:24" ht="13.5" customHeight="1" x14ac:dyDescent="0.25">
      <c r="D139" s="260" t="s">
        <v>141</v>
      </c>
      <c r="E139" s="245"/>
      <c r="F139" s="245"/>
      <c r="G139" s="245"/>
      <c r="H139" s="245"/>
      <c r="I139" s="245"/>
      <c r="J139" s="245"/>
      <c r="K139" s="261">
        <f>ProjectedP205_Consumption!K49*Q139</f>
        <v>0</v>
      </c>
      <c r="L139" s="261">
        <f>ProjectedP205_Consumption!L49*S139*T139</f>
        <v>1.9033539528301481E-2</v>
      </c>
      <c r="M139" s="261">
        <f>ProjectedP205_Consumption!M49*V139*W139</f>
        <v>6.8806579056602965E-2</v>
      </c>
      <c r="Q139" s="76">
        <f t="shared" si="44"/>
        <v>0</v>
      </c>
      <c r="R139" s="2" t="str">
        <f t="shared" si="44"/>
        <v>No warehouse</v>
      </c>
      <c r="S139" s="76">
        <f t="shared" si="45"/>
        <v>0.5</v>
      </c>
      <c r="T139" s="76">
        <f t="shared" si="46"/>
        <v>0.1</v>
      </c>
      <c r="V139" s="76">
        <f t="shared" si="47"/>
        <v>1</v>
      </c>
      <c r="W139" s="76">
        <f t="shared" si="47"/>
        <v>0.15000000000000002</v>
      </c>
    </row>
    <row r="140" spans="4:24" ht="13.5" customHeight="1" x14ac:dyDescent="0.25">
      <c r="D140" s="260" t="s">
        <v>124</v>
      </c>
      <c r="E140" s="245"/>
      <c r="F140" s="245"/>
      <c r="G140" s="245"/>
      <c r="H140" s="245"/>
      <c r="I140" s="245"/>
      <c r="J140" s="245"/>
      <c r="K140" s="261">
        <f>ProjectedP205_Consumption!K50*Q140</f>
        <v>0</v>
      </c>
      <c r="L140" s="261">
        <f>ProjectedP205_Consumption!L50*S140*T140</f>
        <v>4.6973926089680824E-2</v>
      </c>
      <c r="M140" s="261">
        <f>ProjectedP205_Consumption!M50*V140*W140</f>
        <v>0.18852718512004696</v>
      </c>
      <c r="Q140" s="76">
        <f t="shared" si="44"/>
        <v>0</v>
      </c>
      <c r="R140" s="2" t="str">
        <f t="shared" si="44"/>
        <v>No warehouse</v>
      </c>
      <c r="S140" s="76">
        <f t="shared" si="45"/>
        <v>0.5</v>
      </c>
      <c r="T140" s="76">
        <f t="shared" si="46"/>
        <v>0.1</v>
      </c>
      <c r="V140" s="76">
        <f t="shared" si="47"/>
        <v>1</v>
      </c>
      <c r="W140" s="76">
        <f t="shared" si="47"/>
        <v>0.15000000000000002</v>
      </c>
    </row>
    <row r="141" spans="4:24" ht="13.5" customHeight="1" x14ac:dyDescent="0.25">
      <c r="D141" s="260" t="s">
        <v>172</v>
      </c>
      <c r="E141" s="245"/>
      <c r="F141" s="245"/>
      <c r="G141" s="245"/>
      <c r="H141" s="245"/>
      <c r="I141" s="245"/>
      <c r="J141" s="245"/>
      <c r="K141" s="261">
        <f>ProjectedP205_Consumption!K51*Q141</f>
        <v>0</v>
      </c>
      <c r="L141" s="261">
        <f>ProjectedP205_Consumption!L51*S141*T141</f>
        <v>1.3780171786312051E-2</v>
      </c>
      <c r="M141" s="261">
        <f>ProjectedP205_Consumption!M51*V141*W141</f>
        <v>7.9946639306361256E-2</v>
      </c>
      <c r="Q141" s="76">
        <f t="shared" si="44"/>
        <v>0</v>
      </c>
      <c r="R141" s="2" t="str">
        <f t="shared" si="44"/>
        <v>No warehouse</v>
      </c>
      <c r="S141" s="76">
        <f t="shared" si="45"/>
        <v>0.5</v>
      </c>
      <c r="T141" s="76">
        <f t="shared" si="46"/>
        <v>0.05</v>
      </c>
      <c r="V141" s="76">
        <f t="shared" si="47"/>
        <v>1</v>
      </c>
      <c r="W141" s="76">
        <f t="shared" si="47"/>
        <v>0.1</v>
      </c>
    </row>
    <row r="142" spans="4:24" ht="13.5" customHeight="1" x14ac:dyDescent="0.25">
      <c r="D142" s="260" t="s">
        <v>118</v>
      </c>
      <c r="E142" s="245"/>
      <c r="F142" s="245"/>
      <c r="G142" s="245"/>
      <c r="H142" s="245"/>
      <c r="I142" s="245"/>
      <c r="J142" s="245"/>
      <c r="K142" s="261">
        <f>ProjectedP205_Consumption!K52*Q142</f>
        <v>0</v>
      </c>
      <c r="L142" s="261">
        <f>ProjectedP205_Consumption!L52*S142*T142</f>
        <v>3.5888225433611746E-2</v>
      </c>
      <c r="M142" s="261">
        <f>ProjectedP205_Consumption!M52*V142*W142</f>
        <v>0.10897871381909274</v>
      </c>
      <c r="Q142" s="76">
        <f t="shared" si="44"/>
        <v>0</v>
      </c>
      <c r="R142" s="2" t="str">
        <f t="shared" si="44"/>
        <v>No warehouse</v>
      </c>
      <c r="S142" s="76">
        <f t="shared" si="45"/>
        <v>0.5</v>
      </c>
      <c r="T142" s="76">
        <f t="shared" si="46"/>
        <v>0.25</v>
      </c>
      <c r="V142" s="76">
        <f t="shared" si="47"/>
        <v>1</v>
      </c>
      <c r="W142" s="76">
        <f t="shared" si="47"/>
        <v>0.3</v>
      </c>
    </row>
    <row r="143" spans="4:24" ht="13.5" customHeight="1" x14ac:dyDescent="0.25">
      <c r="D143" s="260" t="s">
        <v>58</v>
      </c>
      <c r="E143" s="245"/>
      <c r="F143" s="245"/>
      <c r="G143" s="245"/>
      <c r="H143" s="245"/>
      <c r="I143" s="245"/>
      <c r="J143" s="245"/>
      <c r="K143" s="261">
        <f>ProjectedP205_Consumption!K53*Q143</f>
        <v>0</v>
      </c>
      <c r="L143" s="261">
        <f>ProjectedP205_Consumption!L53*S143*T143</f>
        <v>6.2273688946149529E-3</v>
      </c>
      <c r="M143" s="261">
        <f>ProjectedP205_Consumption!M53*V143*W143</f>
        <v>3.00935809743125E-2</v>
      </c>
      <c r="Q143" s="76">
        <f t="shared" si="44"/>
        <v>0</v>
      </c>
      <c r="R143" s="2" t="str">
        <f t="shared" si="44"/>
        <v>No warehouse</v>
      </c>
      <c r="S143" s="76">
        <f t="shared" si="45"/>
        <v>0.5</v>
      </c>
      <c r="T143" s="76">
        <f t="shared" si="46"/>
        <v>0.05</v>
      </c>
      <c r="V143" s="76">
        <f t="shared" si="47"/>
        <v>1</v>
      </c>
      <c r="W143" s="76">
        <f t="shared" si="47"/>
        <v>0.1</v>
      </c>
    </row>
    <row r="144" spans="4:24" ht="13.5" customHeight="1" x14ac:dyDescent="0.25">
      <c r="D144" s="260" t="s">
        <v>121</v>
      </c>
      <c r="E144" s="245"/>
      <c r="F144" s="245"/>
      <c r="G144" s="245"/>
      <c r="H144" s="245"/>
      <c r="I144" s="245"/>
      <c r="J144" s="245"/>
      <c r="K144" s="261">
        <f>ProjectedP205_Consumption!K54*Q144</f>
        <v>0</v>
      </c>
      <c r="L144" s="261">
        <f>ProjectedP205_Consumption!L54*S144*T144</f>
        <v>8.4549167996301675E-3</v>
      </c>
      <c r="M144" s="261">
        <f>ProjectedP205_Consumption!M54*V144*W144</f>
        <v>5.0202264635280894E-2</v>
      </c>
      <c r="Q144" s="76">
        <f t="shared" si="44"/>
        <v>0</v>
      </c>
      <c r="R144" s="2" t="str">
        <f t="shared" si="44"/>
        <v>No warehouse</v>
      </c>
      <c r="S144" s="76">
        <f t="shared" si="45"/>
        <v>0.5</v>
      </c>
      <c r="T144" s="76">
        <f t="shared" si="46"/>
        <v>0.05</v>
      </c>
      <c r="V144" s="76">
        <f t="shared" si="47"/>
        <v>1</v>
      </c>
      <c r="W144" s="76">
        <f t="shared" si="47"/>
        <v>0.1</v>
      </c>
    </row>
    <row r="145" spans="2:23" ht="13.5" customHeight="1" x14ac:dyDescent="0.25">
      <c r="D145" s="260" t="s">
        <v>157</v>
      </c>
      <c r="E145" s="245"/>
      <c r="F145" s="245"/>
      <c r="G145" s="245"/>
      <c r="H145" s="245"/>
      <c r="I145" s="245"/>
      <c r="J145" s="245"/>
      <c r="K145" s="261">
        <f>ProjectedP205_Consumption!K55*Q145</f>
        <v>0</v>
      </c>
      <c r="L145" s="261">
        <f>ProjectedP205_Consumption!L55*S145*T145</f>
        <v>4.8722750244460473E-3</v>
      </c>
      <c r="M145" s="261">
        <f>ProjectedP205_Consumption!M55*V145*W145</f>
        <v>2.8266847469034868E-2</v>
      </c>
      <c r="Q145" s="76">
        <f t="shared" si="44"/>
        <v>0</v>
      </c>
      <c r="R145" s="2" t="str">
        <f t="shared" si="44"/>
        <v>No warehouse</v>
      </c>
      <c r="S145" s="76">
        <f t="shared" si="45"/>
        <v>0.5</v>
      </c>
      <c r="T145" s="76">
        <f t="shared" si="46"/>
        <v>0.05</v>
      </c>
      <c r="V145" s="76">
        <f t="shared" si="47"/>
        <v>1</v>
      </c>
      <c r="W145" s="76">
        <f t="shared" si="47"/>
        <v>0.1</v>
      </c>
    </row>
    <row r="146" spans="2:23" ht="13.5" customHeight="1" x14ac:dyDescent="0.25">
      <c r="D146" s="260" t="s">
        <v>61</v>
      </c>
      <c r="E146" s="245"/>
      <c r="F146" s="245"/>
      <c r="G146" s="245"/>
      <c r="H146" s="245"/>
      <c r="I146" s="245"/>
      <c r="J146" s="245"/>
      <c r="K146" s="261">
        <f>ProjectedP205_Consumption!K56*Q146</f>
        <v>0</v>
      </c>
      <c r="L146" s="261">
        <f>ProjectedP205_Consumption!L56*S146*T146</f>
        <v>7.39317428394351E-2</v>
      </c>
      <c r="M146" s="261">
        <f>ProjectedP205_Consumption!M56*V146*W146</f>
        <v>0.24075480108379574</v>
      </c>
      <c r="Q146" s="76">
        <f t="shared" si="44"/>
        <v>0</v>
      </c>
      <c r="R146" s="2" t="str">
        <f t="shared" si="44"/>
        <v>No warehouse</v>
      </c>
      <c r="S146" s="76">
        <f t="shared" si="45"/>
        <v>0.5</v>
      </c>
      <c r="T146" s="76">
        <f t="shared" si="46"/>
        <v>0.25</v>
      </c>
      <c r="V146" s="76">
        <f t="shared" si="47"/>
        <v>1</v>
      </c>
      <c r="W146" s="76">
        <f t="shared" si="47"/>
        <v>0.3</v>
      </c>
    </row>
    <row r="147" spans="2:23" ht="13.5" customHeight="1" x14ac:dyDescent="0.25">
      <c r="D147" s="260" t="s">
        <v>119</v>
      </c>
      <c r="E147" s="245"/>
      <c r="F147" s="245"/>
      <c r="G147" s="245"/>
      <c r="H147" s="245"/>
      <c r="I147" s="245"/>
      <c r="J147" s="245"/>
      <c r="K147" s="261">
        <f>ProjectedP205_Consumption!K57*Q147</f>
        <v>0</v>
      </c>
      <c r="L147" s="261">
        <f>ProjectedP205_Consumption!L57*S147*T147</f>
        <v>4.4893393016724311E-3</v>
      </c>
      <c r="M147" s="261">
        <f>ProjectedP205_Consumption!M57*V147*W147</f>
        <v>2.6656087221341409E-2</v>
      </c>
      <c r="Q147" s="76">
        <f t="shared" si="44"/>
        <v>0</v>
      </c>
      <c r="R147" s="2" t="str">
        <f t="shared" si="44"/>
        <v>No warehouse</v>
      </c>
      <c r="S147" s="76">
        <f t="shared" si="45"/>
        <v>0.5</v>
      </c>
      <c r="T147" s="76">
        <f t="shared" si="46"/>
        <v>0.05</v>
      </c>
      <c r="V147" s="76">
        <f t="shared" si="47"/>
        <v>1</v>
      </c>
      <c r="W147" s="76">
        <f t="shared" si="47"/>
        <v>0.1</v>
      </c>
    </row>
    <row r="148" spans="2:23" ht="13.5" customHeight="1" x14ac:dyDescent="0.25">
      <c r="D148" s="260" t="s">
        <v>161</v>
      </c>
      <c r="E148" s="245"/>
      <c r="F148" s="245"/>
      <c r="G148" s="245"/>
      <c r="H148" s="245"/>
      <c r="I148" s="245"/>
      <c r="J148" s="245"/>
      <c r="K148" s="261">
        <f>ProjectedP205_Consumption!K58*Q148</f>
        <v>0</v>
      </c>
      <c r="L148" s="261">
        <f>ProjectedP205_Consumption!L58*S148*T148</f>
        <v>7.6695646633840056E-2</v>
      </c>
      <c r="M148" s="261">
        <f>ProjectedP205_Consumption!M58*V148*W148</f>
        <v>0.24077739988170901</v>
      </c>
      <c r="Q148" s="76">
        <f t="shared" si="44"/>
        <v>0</v>
      </c>
      <c r="R148" s="2" t="str">
        <f t="shared" si="44"/>
        <v>No warehouse</v>
      </c>
      <c r="S148" s="76">
        <f t="shared" si="45"/>
        <v>0.5</v>
      </c>
      <c r="T148" s="76">
        <f t="shared" si="46"/>
        <v>0.25</v>
      </c>
      <c r="V148" s="76">
        <f t="shared" si="47"/>
        <v>1</v>
      </c>
      <c r="W148" s="76">
        <f t="shared" si="47"/>
        <v>0.3</v>
      </c>
    </row>
    <row r="149" spans="2:23" ht="13.5" customHeight="1" x14ac:dyDescent="0.25">
      <c r="D149" s="260" t="s">
        <v>54</v>
      </c>
      <c r="E149" s="245"/>
      <c r="F149" s="245"/>
      <c r="G149" s="245"/>
      <c r="H149" s="245"/>
      <c r="I149" s="245"/>
      <c r="J149" s="245"/>
      <c r="K149" s="261">
        <f>ProjectedP205_Consumption!K59*Q149</f>
        <v>0</v>
      </c>
      <c r="L149" s="261">
        <f>ProjectedP205_Consumption!L59*S149*T149</f>
        <v>2.8966120413107775E-3</v>
      </c>
      <c r="M149" s="261">
        <f>ProjectedP205_Consumption!M59*V149*W149</f>
        <v>1.0289117315987011E-2</v>
      </c>
      <c r="Q149" s="76">
        <f t="shared" si="44"/>
        <v>0</v>
      </c>
      <c r="R149" s="2" t="str">
        <f t="shared" si="44"/>
        <v>No warehouse</v>
      </c>
      <c r="S149" s="76">
        <f t="shared" si="45"/>
        <v>0.5</v>
      </c>
      <c r="T149" s="76">
        <f t="shared" si="46"/>
        <v>0.1</v>
      </c>
      <c r="V149" s="76">
        <f t="shared" si="47"/>
        <v>1</v>
      </c>
      <c r="W149" s="76">
        <f t="shared" si="47"/>
        <v>0.15000000000000002</v>
      </c>
    </row>
    <row r="150" spans="2:23" ht="13.5" customHeight="1" x14ac:dyDescent="0.25">
      <c r="D150" s="260" t="s">
        <v>234</v>
      </c>
      <c r="E150" s="245"/>
      <c r="F150" s="245"/>
      <c r="G150" s="245"/>
      <c r="H150" s="245"/>
      <c r="I150" s="245"/>
      <c r="J150" s="245"/>
      <c r="K150" s="261">
        <f>ProjectedP205_Consumption!K60*Q150</f>
        <v>0</v>
      </c>
      <c r="L150" s="261">
        <f>ProjectedP205_Consumption!L60*S150*T150</f>
        <v>0.13024975516116527</v>
      </c>
      <c r="M150" s="261">
        <f>ProjectedP205_Consumption!M60*V150*W150</f>
        <v>0.51247272594176485</v>
      </c>
      <c r="Q150" s="76">
        <f t="shared" si="44"/>
        <v>0</v>
      </c>
      <c r="R150" s="2" t="str">
        <f t="shared" si="44"/>
        <v>No warehouse</v>
      </c>
      <c r="S150" s="76">
        <f t="shared" si="45"/>
        <v>0.5</v>
      </c>
      <c r="T150" s="76">
        <f t="shared" si="46"/>
        <v>0.25</v>
      </c>
      <c r="V150" s="76">
        <f t="shared" si="47"/>
        <v>1</v>
      </c>
      <c r="W150" s="76">
        <f t="shared" si="47"/>
        <v>0.3</v>
      </c>
    </row>
    <row r="151" spans="2:23" ht="13.5" customHeight="1" x14ac:dyDescent="0.25">
      <c r="D151" s="260" t="s">
        <v>152</v>
      </c>
      <c r="E151" s="245"/>
      <c r="F151" s="245"/>
      <c r="G151" s="245"/>
      <c r="H151" s="245"/>
      <c r="I151" s="245"/>
      <c r="J151" s="245"/>
      <c r="K151" s="261">
        <f>ProjectedP205_Consumption!K61*Q151</f>
        <v>0</v>
      </c>
      <c r="L151" s="261">
        <f>ProjectedP205_Consumption!L61*S151*T151</f>
        <v>2.2757249392624645E-3</v>
      </c>
      <c r="M151" s="261">
        <f>ProjectedP205_Consumption!M61*V151*W151</f>
        <v>1.2356379794415347E-2</v>
      </c>
      <c r="Q151" s="76">
        <f t="shared" si="44"/>
        <v>0</v>
      </c>
      <c r="R151" s="2" t="str">
        <f t="shared" si="44"/>
        <v>No warehouse</v>
      </c>
      <c r="S151" s="76">
        <f t="shared" si="45"/>
        <v>0.5</v>
      </c>
      <c r="T151" s="76">
        <f t="shared" si="46"/>
        <v>0.05</v>
      </c>
      <c r="V151" s="76">
        <f t="shared" si="47"/>
        <v>1</v>
      </c>
      <c r="W151" s="76">
        <f t="shared" si="47"/>
        <v>0.1</v>
      </c>
    </row>
    <row r="152" spans="2:23" ht="13.5" customHeight="1" x14ac:dyDescent="0.25">
      <c r="D152" s="260" t="s">
        <v>250</v>
      </c>
      <c r="E152" s="245"/>
      <c r="F152" s="245"/>
      <c r="G152" s="245"/>
      <c r="H152" s="245"/>
      <c r="I152" s="245"/>
      <c r="J152" s="245"/>
      <c r="K152" s="261">
        <f>ProjectedP205_Consumption!K62*Q152</f>
        <v>0</v>
      </c>
      <c r="L152" s="261">
        <f>ProjectedP205_Consumption!L62*S152*T152</f>
        <v>1.3071464828586381E-2</v>
      </c>
      <c r="M152" s="261">
        <f>ProjectedP205_Consumption!M62*V152*W152</f>
        <v>3.6104741493618933E-2</v>
      </c>
      <c r="Q152" s="76">
        <f t="shared" si="44"/>
        <v>0</v>
      </c>
      <c r="R152" s="2" t="str">
        <f t="shared" si="44"/>
        <v>No warehouse</v>
      </c>
      <c r="S152" s="76">
        <f t="shared" si="45"/>
        <v>0.5</v>
      </c>
      <c r="T152" s="76">
        <f t="shared" si="46"/>
        <v>0.25</v>
      </c>
      <c r="V152" s="76">
        <f t="shared" si="47"/>
        <v>1</v>
      </c>
      <c r="W152" s="76">
        <f t="shared" si="47"/>
        <v>0.3</v>
      </c>
    </row>
    <row r="153" spans="2:23" ht="13.5" customHeight="1" x14ac:dyDescent="0.25">
      <c r="D153" s="260" t="s">
        <v>244</v>
      </c>
      <c r="E153" s="245"/>
      <c r="F153" s="245"/>
      <c r="G153" s="245"/>
      <c r="H153" s="245"/>
      <c r="I153" s="245"/>
      <c r="J153" s="245"/>
      <c r="K153" s="261">
        <f>ProjectedP205_Consumption!K63*Q153</f>
        <v>0</v>
      </c>
      <c r="L153" s="261">
        <f>ProjectedP205_Consumption!L63*S153*T153</f>
        <v>6.9941688742489773E-3</v>
      </c>
      <c r="M153" s="261">
        <f>ProjectedP205_Consumption!M63*V153*W153</f>
        <v>2.0833324502712795E-2</v>
      </c>
      <c r="Q153" s="76">
        <f t="shared" si="44"/>
        <v>0</v>
      </c>
      <c r="R153" s="2" t="str">
        <f t="shared" si="44"/>
        <v>No warehouse</v>
      </c>
      <c r="S153" s="76">
        <f t="shared" si="45"/>
        <v>0.5</v>
      </c>
      <c r="T153" s="76">
        <f t="shared" si="46"/>
        <v>0.25</v>
      </c>
      <c r="V153" s="76">
        <f t="shared" si="47"/>
        <v>1</v>
      </c>
      <c r="W153" s="76">
        <f t="shared" si="47"/>
        <v>0.3</v>
      </c>
    </row>
    <row r="154" spans="2:23" ht="13.5" customHeight="1" x14ac:dyDescent="0.25">
      <c r="D154" s="260" t="s">
        <v>123</v>
      </c>
      <c r="E154" s="245"/>
      <c r="F154" s="245"/>
      <c r="G154" s="245"/>
      <c r="H154" s="245"/>
      <c r="I154" s="245"/>
      <c r="J154" s="245"/>
      <c r="K154" s="261">
        <f>ProjectedP205_Consumption!K64*Q154</f>
        <v>0</v>
      </c>
      <c r="L154" s="261">
        <f>ProjectedP205_Consumption!L64*S154*T154</f>
        <v>4.4916568619612247E-3</v>
      </c>
      <c r="M154" s="261">
        <f>ProjectedP205_Consumption!M64*V154*W154</f>
        <v>1.9296920014678882E-2</v>
      </c>
      <c r="Q154" s="76">
        <f t="shared" si="44"/>
        <v>0</v>
      </c>
      <c r="R154" s="2" t="str">
        <f t="shared" si="44"/>
        <v>No warehouse</v>
      </c>
      <c r="S154" s="76">
        <f t="shared" si="45"/>
        <v>0.5</v>
      </c>
      <c r="T154" s="76">
        <f t="shared" si="46"/>
        <v>0.1</v>
      </c>
      <c r="V154" s="76">
        <f t="shared" si="47"/>
        <v>1</v>
      </c>
      <c r="W154" s="76">
        <f t="shared" si="47"/>
        <v>0.15000000000000002</v>
      </c>
    </row>
    <row r="155" spans="2:23" ht="13.5" customHeight="1" x14ac:dyDescent="0.25">
      <c r="D155" s="260" t="s">
        <v>252</v>
      </c>
      <c r="E155" s="245"/>
      <c r="F155" s="245"/>
      <c r="G155" s="245"/>
      <c r="H155" s="245"/>
      <c r="I155" s="245"/>
      <c r="J155" s="245"/>
      <c r="K155" s="261">
        <f>ProjectedP205_Consumption!K65*Q155</f>
        <v>0</v>
      </c>
      <c r="L155" s="261">
        <f>ProjectedP205_Consumption!L65*S155*T155</f>
        <v>2.505626211419934E-3</v>
      </c>
      <c r="M155" s="261">
        <f>ProjectedP205_Consumption!M65*V155*W155</f>
        <v>1.023459628523124E-2</v>
      </c>
      <c r="Q155" s="76">
        <f t="shared" si="44"/>
        <v>0</v>
      </c>
      <c r="R155" s="2" t="str">
        <f t="shared" si="44"/>
        <v>No warehouse</v>
      </c>
      <c r="S155" s="76">
        <f t="shared" si="45"/>
        <v>0.5</v>
      </c>
      <c r="T155" s="76">
        <f t="shared" si="46"/>
        <v>0.05</v>
      </c>
      <c r="V155" s="76">
        <f t="shared" si="47"/>
        <v>1</v>
      </c>
      <c r="W155" s="76">
        <f t="shared" si="47"/>
        <v>0.1</v>
      </c>
    </row>
    <row r="156" spans="2:23" ht="13.5" customHeight="1" x14ac:dyDescent="0.25">
      <c r="D156" s="260" t="s">
        <v>117</v>
      </c>
      <c r="E156" s="245"/>
      <c r="F156" s="245"/>
      <c r="G156" s="245"/>
      <c r="H156" s="245"/>
      <c r="I156" s="245"/>
      <c r="J156" s="245"/>
      <c r="K156" s="261">
        <f>ProjectedP205_Consumption!K66*Q156</f>
        <v>0</v>
      </c>
      <c r="L156" s="261">
        <f>ProjectedP205_Consumption!L66*S156*T156</f>
        <v>5.6404239333201749E-3</v>
      </c>
      <c r="M156" s="261">
        <f>ProjectedP205_Consumption!M66*V156*W156</f>
        <v>1.7226197769866423E-2</v>
      </c>
      <c r="Q156" s="76">
        <f t="shared" si="44"/>
        <v>0</v>
      </c>
      <c r="R156" s="2" t="str">
        <f t="shared" si="44"/>
        <v>No warehouse</v>
      </c>
      <c r="S156" s="76">
        <f t="shared" si="45"/>
        <v>0.5</v>
      </c>
      <c r="T156" s="76">
        <f t="shared" si="46"/>
        <v>0.25</v>
      </c>
      <c r="V156" s="76">
        <f t="shared" si="47"/>
        <v>1</v>
      </c>
      <c r="W156" s="76">
        <f t="shared" si="47"/>
        <v>0.3</v>
      </c>
    </row>
    <row r="157" spans="2:23" ht="13.5" customHeight="1" thickBot="1" x14ac:dyDescent="0.3">
      <c r="D157" s="258" t="s">
        <v>240</v>
      </c>
      <c r="E157" s="236"/>
      <c r="F157" s="236"/>
      <c r="G157" s="236"/>
      <c r="H157" s="236"/>
      <c r="I157" s="236"/>
      <c r="J157" s="236"/>
      <c r="K157" s="259">
        <f>ProjectedP205_Consumption!K67*Q157</f>
        <v>0</v>
      </c>
      <c r="L157" s="259">
        <f>ProjectedP205_Consumption!L67*S157*T157</f>
        <v>4.1061509612137226E-3</v>
      </c>
      <c r="M157" s="259">
        <f>ProjectedP205_Consumption!M67*V157*W157</f>
        <v>1.2042822313399587E-2</v>
      </c>
      <c r="Q157" s="76">
        <f t="shared" si="44"/>
        <v>0</v>
      </c>
      <c r="R157" s="2" t="str">
        <f t="shared" si="44"/>
        <v>No warehouse</v>
      </c>
      <c r="S157" s="76">
        <f t="shared" si="45"/>
        <v>0.5</v>
      </c>
      <c r="T157" s="76">
        <f t="shared" si="46"/>
        <v>0.25</v>
      </c>
      <c r="V157" s="76">
        <f t="shared" si="47"/>
        <v>1</v>
      </c>
      <c r="W157" s="76">
        <f t="shared" si="47"/>
        <v>0.3</v>
      </c>
    </row>
    <row r="158" spans="2:23" ht="13.5" customHeight="1" thickTop="1" thickBot="1" x14ac:dyDescent="0.3">
      <c r="D158" s="258" t="s">
        <v>185</v>
      </c>
      <c r="E158" s="236"/>
      <c r="F158" s="236"/>
      <c r="G158" s="236"/>
      <c r="H158" s="236"/>
      <c r="I158" s="236"/>
      <c r="J158" s="236"/>
      <c r="K158" s="259">
        <f>SUM(K134:K157)</f>
        <v>0</v>
      </c>
      <c r="L158" s="259">
        <f t="shared" ref="L158:M158" si="48">SUM(L134:L157)</f>
        <v>2.4407854440229975</v>
      </c>
      <c r="M158" s="259">
        <f t="shared" si="48"/>
        <v>8.8553430001741855</v>
      </c>
    </row>
    <row r="159" spans="2:23" ht="13.5" customHeight="1" thickTop="1" x14ac:dyDescent="0.25">
      <c r="D159" s="260"/>
      <c r="E159" s="245"/>
      <c r="F159" s="245"/>
      <c r="G159" s="245"/>
      <c r="H159" s="245"/>
      <c r="I159" s="245"/>
      <c r="J159" s="245"/>
      <c r="K159" s="177"/>
      <c r="L159" s="177"/>
      <c r="M159" s="177"/>
    </row>
    <row r="160" spans="2:23" ht="13.5" customHeight="1" x14ac:dyDescent="0.35">
      <c r="B160" s="29">
        <v>3</v>
      </c>
      <c r="D160" s="28" t="s">
        <v>275</v>
      </c>
    </row>
    <row r="161" spans="4:13" ht="13.5" customHeight="1" x14ac:dyDescent="0.25">
      <c r="D161" s="260"/>
      <c r="E161" s="245"/>
      <c r="F161" s="245"/>
      <c r="G161" s="245"/>
      <c r="H161" s="245"/>
      <c r="I161" s="245"/>
      <c r="J161" s="245"/>
      <c r="K161" s="177"/>
      <c r="L161" s="177"/>
      <c r="M161" s="177"/>
    </row>
    <row r="162" spans="4:13" ht="13.5" customHeight="1" x14ac:dyDescent="0.3">
      <c r="D162" s="32" t="s">
        <v>71</v>
      </c>
    </row>
    <row r="163" spans="4:13" ht="13.5" customHeight="1" x14ac:dyDescent="0.3">
      <c r="D163" s="33" t="s">
        <v>72</v>
      </c>
    </row>
    <row r="165" spans="4:13" ht="13.5" customHeight="1" x14ac:dyDescent="0.3">
      <c r="D165" s="30" t="s">
        <v>15</v>
      </c>
      <c r="E165" s="115">
        <v>2017</v>
      </c>
      <c r="F165" s="115">
        <v>2018</v>
      </c>
      <c r="G165" s="115">
        <v>2019</v>
      </c>
      <c r="H165" s="115">
        <v>2020</v>
      </c>
      <c r="I165" s="115">
        <v>2021</v>
      </c>
      <c r="J165" s="115">
        <v>2022</v>
      </c>
      <c r="K165" s="115">
        <v>2023</v>
      </c>
      <c r="L165" s="115">
        <v>2024</v>
      </c>
      <c r="M165" s="115">
        <v>2025</v>
      </c>
    </row>
    <row r="166" spans="4:13" ht="13.5" customHeight="1" x14ac:dyDescent="0.25">
      <c r="D166" s="2" t="s">
        <v>277</v>
      </c>
    </row>
    <row r="168" spans="4:13" ht="13.5" customHeight="1" x14ac:dyDescent="0.3">
      <c r="D168" s="30" t="s">
        <v>186</v>
      </c>
      <c r="E168" s="115">
        <v>2017</v>
      </c>
      <c r="F168" s="115">
        <v>2018</v>
      </c>
      <c r="G168" s="115">
        <v>2019</v>
      </c>
      <c r="H168" s="115">
        <v>2020</v>
      </c>
      <c r="I168" s="115">
        <v>2021</v>
      </c>
      <c r="J168" s="115">
        <v>2022</v>
      </c>
      <c r="K168" s="115">
        <v>2023</v>
      </c>
      <c r="L168" s="115">
        <v>2024</v>
      </c>
      <c r="M168" s="115">
        <v>2025</v>
      </c>
    </row>
    <row r="169" spans="4:13" ht="13.5" customHeight="1" x14ac:dyDescent="0.25">
      <c r="D169" s="2" t="s">
        <v>277</v>
      </c>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E2FA-26A1-43A3-AA06-4F82C7FD2C38}">
  <dimension ref="A1:BF339"/>
  <sheetViews>
    <sheetView showGridLines="0" topLeftCell="A37" zoomScale="80" zoomScaleNormal="80" workbookViewId="0">
      <selection activeCell="J62" sqref="J62:M62"/>
    </sheetView>
  </sheetViews>
  <sheetFormatPr defaultColWidth="9.26953125" defaultRowHeight="13.5" customHeight="1" x14ac:dyDescent="0.25"/>
  <cols>
    <col min="1" max="1" width="1.7265625" style="2" customWidth="1"/>
    <col min="2" max="2" width="3.54296875" style="2" customWidth="1"/>
    <col min="3" max="3" width="2" style="2" customWidth="1"/>
    <col min="4" max="4" width="53.7265625" style="2" bestFit="1" customWidth="1"/>
    <col min="5" max="19" width="19.7265625" style="2" customWidth="1"/>
    <col min="20" max="20" width="38.7265625" style="2" bestFit="1" customWidth="1"/>
    <col min="21" max="21" width="37.26953125" style="2" bestFit="1" customWidth="1"/>
    <col min="22" max="22" width="35.1796875" style="2" customWidth="1"/>
    <col min="23" max="30" width="19.7265625" style="2" customWidth="1"/>
    <col min="31" max="31" width="23.1796875" style="2" customWidth="1"/>
    <col min="32" max="32" width="20.7265625" style="2" customWidth="1"/>
    <col min="33" max="33" width="23.1796875" style="2" bestFit="1" customWidth="1"/>
    <col min="34" max="34" width="38.7265625" style="2" bestFit="1" customWidth="1"/>
    <col min="35" max="35" width="19.7265625" style="2" customWidth="1"/>
    <col min="36" max="36" width="36.81640625" style="2" customWidth="1"/>
    <col min="37" max="37" width="26.54296875" style="2" customWidth="1"/>
    <col min="38" max="16384" width="9.26953125" style="2"/>
  </cols>
  <sheetData>
    <row r="1" spans="1:15" s="7" customFormat="1" ht="13.5" customHeight="1" x14ac:dyDescent="0.25">
      <c r="A1" s="5"/>
      <c r="B1" s="5"/>
      <c r="C1" s="5"/>
      <c r="D1" s="6" t="s">
        <v>70</v>
      </c>
      <c r="E1" s="25"/>
    </row>
    <row r="2" spans="1:15" s="7" customFormat="1" ht="13.5" customHeight="1" x14ac:dyDescent="0.25">
      <c r="A2" s="5"/>
      <c r="B2" s="5"/>
      <c r="C2" s="5"/>
      <c r="D2" s="6"/>
      <c r="E2" s="26" t="s">
        <v>305</v>
      </c>
    </row>
    <row r="3" spans="1:15" s="7" customFormat="1" ht="13.5" customHeight="1" x14ac:dyDescent="0.25">
      <c r="A3" s="5"/>
      <c r="B3" s="5"/>
      <c r="C3" s="5"/>
      <c r="D3" s="6"/>
      <c r="E3" s="27" t="str">
        <f ca="1">MID(CELL("filename",E3),FIND("]",CELL("filename",E3))+1,256)</f>
        <v>OCP_SalesProduct</v>
      </c>
    </row>
    <row r="4" spans="1:15" s="7" customFormat="1" ht="13.5" customHeight="1" x14ac:dyDescent="0.25">
      <c r="A4" s="5"/>
      <c r="B4" s="5"/>
      <c r="C4" s="5"/>
      <c r="D4" s="6"/>
      <c r="E4" s="25"/>
    </row>
    <row r="5" spans="1:15" s="11" customFormat="1" ht="13.5" customHeight="1" x14ac:dyDescent="0.3">
      <c r="A5" s="8"/>
      <c r="B5" s="8"/>
      <c r="C5" s="8"/>
      <c r="D5" s="9"/>
      <c r="E5" s="10"/>
    </row>
    <row r="6" spans="1:15" s="193" customFormat="1" ht="13.5" customHeight="1" x14ac:dyDescent="0.3">
      <c r="A6" s="190"/>
      <c r="B6" s="190"/>
      <c r="C6" s="190"/>
      <c r="D6" s="191"/>
      <c r="E6" s="192"/>
    </row>
    <row r="7" spans="1:15" ht="13.5" customHeight="1" x14ac:dyDescent="0.25">
      <c r="N7" s="7"/>
      <c r="O7" s="7"/>
    </row>
    <row r="8" spans="1:15" ht="13.5" customHeight="1" x14ac:dyDescent="0.35">
      <c r="B8" s="29">
        <v>0</v>
      </c>
      <c r="C8" s="29" t="s">
        <v>177</v>
      </c>
      <c r="D8" s="28" t="s">
        <v>178</v>
      </c>
      <c r="N8" s="7"/>
      <c r="O8" s="7"/>
    </row>
    <row r="9" spans="1:15" ht="13.5" customHeight="1" x14ac:dyDescent="0.25">
      <c r="N9" s="7"/>
      <c r="O9" s="7"/>
    </row>
    <row r="10" spans="1:15" ht="13.5" customHeight="1" x14ac:dyDescent="0.25">
      <c r="D10" s="1" t="s">
        <v>215</v>
      </c>
      <c r="N10" s="7"/>
      <c r="O10" s="7"/>
    </row>
    <row r="11" spans="1:15" ht="13.5" customHeight="1" x14ac:dyDescent="0.25">
      <c r="D11" s="1" t="s">
        <v>182</v>
      </c>
      <c r="K11" s="76">
        <v>0.46</v>
      </c>
      <c r="N11" s="7"/>
      <c r="O11" s="7"/>
    </row>
    <row r="12" spans="1:15" ht="13.5" customHeight="1" x14ac:dyDescent="0.25">
      <c r="D12" s="1" t="s">
        <v>216</v>
      </c>
      <c r="K12" s="76">
        <v>0.46</v>
      </c>
      <c r="N12" s="7"/>
      <c r="O12" s="7"/>
    </row>
    <row r="13" spans="1:15" ht="13.5" customHeight="1" x14ac:dyDescent="0.25">
      <c r="D13" s="1" t="s">
        <v>184</v>
      </c>
      <c r="K13" s="76">
        <v>0.11</v>
      </c>
      <c r="N13" s="7"/>
      <c r="O13" s="7"/>
    </row>
    <row r="14" spans="1:15" ht="13.5" customHeight="1" x14ac:dyDescent="0.25">
      <c r="D14" s="2" t="s">
        <v>297</v>
      </c>
      <c r="K14" s="272">
        <v>0.377</v>
      </c>
      <c r="N14" s="7"/>
      <c r="O14" s="7"/>
    </row>
    <row r="15" spans="1:15" ht="13.5" customHeight="1" x14ac:dyDescent="0.25">
      <c r="D15" s="1" t="s">
        <v>257</v>
      </c>
      <c r="K15" s="272">
        <v>0.52</v>
      </c>
      <c r="N15" s="7"/>
      <c r="O15" s="7"/>
    </row>
    <row r="16" spans="1:15" ht="13.5" customHeight="1" x14ac:dyDescent="0.25">
      <c r="N16" s="7"/>
      <c r="O16" s="7"/>
    </row>
    <row r="17" spans="4:49" ht="13.5" customHeight="1" x14ac:dyDescent="0.3">
      <c r="D17" s="32" t="s">
        <v>179</v>
      </c>
      <c r="U17" s="32" t="s">
        <v>179</v>
      </c>
      <c r="V17" s="7"/>
      <c r="W17" s="7"/>
      <c r="X17" s="7"/>
      <c r="Y17" s="7"/>
      <c r="Z17" s="35"/>
      <c r="AA17" s="35"/>
      <c r="AB17" s="35"/>
      <c r="AC17" s="35"/>
      <c r="AD17" s="35"/>
      <c r="AE17" s="35"/>
      <c r="AF17" s="35"/>
      <c r="AG17" s="35"/>
      <c r="AH17" s="32" t="s">
        <v>179</v>
      </c>
      <c r="AI17" s="7"/>
      <c r="AJ17" s="7"/>
      <c r="AK17" s="7"/>
      <c r="AL17" s="7"/>
      <c r="AM17" s="7"/>
      <c r="AN17" s="7"/>
      <c r="AO17" s="7"/>
    </row>
    <row r="18" spans="4:49" ht="13.5" customHeight="1" x14ac:dyDescent="0.3">
      <c r="D18" s="33" t="s">
        <v>180</v>
      </c>
      <c r="U18" s="33" t="s">
        <v>181</v>
      </c>
      <c r="V18" s="7"/>
      <c r="W18" s="7"/>
      <c r="X18" s="7"/>
      <c r="Y18" s="7"/>
      <c r="Z18" s="36"/>
      <c r="AA18" s="36"/>
      <c r="AB18" s="36"/>
      <c r="AC18" s="36"/>
      <c r="AD18" s="36"/>
      <c r="AE18" s="36"/>
      <c r="AF18" s="36"/>
      <c r="AG18" s="36"/>
      <c r="AH18" s="33" t="s">
        <v>230</v>
      </c>
      <c r="AI18" s="7"/>
      <c r="AJ18" s="7"/>
      <c r="AK18" s="7"/>
      <c r="AL18" s="7"/>
      <c r="AM18" s="7"/>
      <c r="AN18" s="7"/>
      <c r="AO18" s="7"/>
    </row>
    <row r="19" spans="4:49" ht="13.5" customHeight="1" x14ac:dyDescent="0.3">
      <c r="E19" s="2" t="s">
        <v>185</v>
      </c>
      <c r="H19" s="194" t="s">
        <v>182</v>
      </c>
      <c r="I19" s="195"/>
      <c r="J19" s="195"/>
      <c r="K19" s="194" t="s">
        <v>183</v>
      </c>
      <c r="L19" s="195"/>
      <c r="M19" s="195"/>
      <c r="N19" s="36" t="s">
        <v>321</v>
      </c>
      <c r="O19" s="7"/>
      <c r="P19" s="7"/>
      <c r="Q19" s="7" t="s">
        <v>257</v>
      </c>
      <c r="R19" s="7"/>
      <c r="S19" s="7"/>
      <c r="U19" s="194" t="s">
        <v>182</v>
      </c>
      <c r="V19" s="195"/>
      <c r="W19" s="195"/>
      <c r="X19" s="194" t="s">
        <v>183</v>
      </c>
      <c r="Y19" s="195"/>
      <c r="Z19" s="195"/>
      <c r="AA19" s="36" t="s">
        <v>321</v>
      </c>
      <c r="AB19" s="7"/>
      <c r="AC19" s="7"/>
      <c r="AD19" s="59" t="s">
        <v>257</v>
      </c>
      <c r="AE19" s="7"/>
      <c r="AF19" s="7"/>
      <c r="AG19" s="7"/>
      <c r="AH19" s="196"/>
      <c r="AJ19" s="36" t="s">
        <v>185</v>
      </c>
      <c r="AK19" s="196"/>
      <c r="AL19" s="7"/>
      <c r="AM19" s="59" t="s">
        <v>182</v>
      </c>
      <c r="AN19" s="7"/>
      <c r="AO19" s="7"/>
      <c r="AP19" s="1" t="s">
        <v>213</v>
      </c>
      <c r="AS19" s="1" t="s">
        <v>320</v>
      </c>
      <c r="AU19" s="1" t="s">
        <v>257</v>
      </c>
    </row>
    <row r="20" spans="4:49" ht="13.5" customHeight="1" x14ac:dyDescent="0.3">
      <c r="D20" s="30" t="s">
        <v>15</v>
      </c>
      <c r="E20" s="34">
        <v>2023</v>
      </c>
      <c r="F20" s="34">
        <v>2024</v>
      </c>
      <c r="G20" s="34">
        <v>2025</v>
      </c>
      <c r="H20" s="34">
        <v>2023</v>
      </c>
      <c r="I20" s="34">
        <v>2024</v>
      </c>
      <c r="J20" s="34">
        <v>2025</v>
      </c>
      <c r="K20" s="34">
        <v>2023</v>
      </c>
      <c r="L20" s="34">
        <v>2024</v>
      </c>
      <c r="M20" s="34">
        <v>2025</v>
      </c>
      <c r="N20" s="34">
        <v>2023</v>
      </c>
      <c r="O20" s="34">
        <v>2024</v>
      </c>
      <c r="P20" s="34">
        <v>2025</v>
      </c>
      <c r="Q20" s="34">
        <v>2023</v>
      </c>
      <c r="R20" s="34">
        <v>2024</v>
      </c>
      <c r="S20" s="34">
        <v>2025</v>
      </c>
      <c r="U20" s="34">
        <v>2023</v>
      </c>
      <c r="V20" s="34">
        <v>2024</v>
      </c>
      <c r="W20" s="34">
        <v>2025</v>
      </c>
      <c r="X20" s="34">
        <v>2023</v>
      </c>
      <c r="Y20" s="34">
        <v>2024</v>
      </c>
      <c r="Z20" s="34">
        <v>2025</v>
      </c>
      <c r="AA20" s="34">
        <v>2023</v>
      </c>
      <c r="AB20" s="34">
        <v>2024</v>
      </c>
      <c r="AC20" s="34">
        <v>2025</v>
      </c>
      <c r="AD20" s="34">
        <v>2023</v>
      </c>
      <c r="AE20" s="34">
        <v>2024</v>
      </c>
      <c r="AF20" s="34">
        <v>2025</v>
      </c>
      <c r="AG20" s="197"/>
      <c r="AH20" s="197"/>
      <c r="AI20" s="34">
        <v>2023</v>
      </c>
      <c r="AJ20" s="34">
        <v>2024</v>
      </c>
      <c r="AK20" s="34">
        <v>2025</v>
      </c>
      <c r="AL20" s="34">
        <v>2023</v>
      </c>
      <c r="AM20" s="34">
        <v>2024</v>
      </c>
      <c r="AN20" s="34">
        <v>2025</v>
      </c>
      <c r="AO20" s="34">
        <v>2023</v>
      </c>
      <c r="AP20" s="34">
        <v>2024</v>
      </c>
      <c r="AQ20" s="34">
        <v>2025</v>
      </c>
      <c r="AR20" s="34">
        <v>2023</v>
      </c>
      <c r="AS20" s="34">
        <v>2024</v>
      </c>
      <c r="AT20" s="34">
        <v>2025</v>
      </c>
      <c r="AU20" s="34">
        <v>2023</v>
      </c>
      <c r="AV20" s="34">
        <v>2024</v>
      </c>
      <c r="AW20" s="34">
        <v>2025</v>
      </c>
    </row>
    <row r="21" spans="4:49" ht="13.5" customHeight="1" x14ac:dyDescent="0.35">
      <c r="D21" s="1" t="str">
        <f>OCPMarketShares!D12</f>
        <v>Lever 0 - Address Uganda standards barriers</v>
      </c>
      <c r="E21" s="333">
        <f>H21+K21+N21+Q21</f>
        <v>0</v>
      </c>
      <c r="F21" s="333">
        <f t="shared" ref="F21:F24" si="0">I21+L21+O21+R21</f>
        <v>0</v>
      </c>
      <c r="G21" s="333">
        <f t="shared" ref="G21:G24" si="1">J21+M21+P21+S21</f>
        <v>0</v>
      </c>
      <c r="H21" s="332">
        <v>0</v>
      </c>
      <c r="I21" s="332">
        <v>0</v>
      </c>
      <c r="J21" s="332">
        <v>0</v>
      </c>
      <c r="K21" s="332">
        <v>0</v>
      </c>
      <c r="L21" s="332">
        <v>0</v>
      </c>
      <c r="M21" s="332">
        <v>0</v>
      </c>
      <c r="N21" s="332">
        <v>0</v>
      </c>
      <c r="O21" s="332">
        <v>0</v>
      </c>
      <c r="P21" s="332">
        <v>0</v>
      </c>
      <c r="Q21" s="332">
        <v>0</v>
      </c>
      <c r="R21" s="332">
        <v>0</v>
      </c>
      <c r="S21" s="332">
        <v>0</v>
      </c>
      <c r="U21" s="203">
        <v>0</v>
      </c>
      <c r="V21" s="203">
        <v>0</v>
      </c>
      <c r="W21" s="203">
        <v>0</v>
      </c>
      <c r="X21" s="203">
        <v>0</v>
      </c>
      <c r="Y21" s="203">
        <v>0</v>
      </c>
      <c r="Z21" s="203">
        <v>0</v>
      </c>
      <c r="AA21" s="203">
        <v>0</v>
      </c>
      <c r="AB21" s="203">
        <v>0</v>
      </c>
      <c r="AC21" s="203">
        <v>0</v>
      </c>
      <c r="AD21" s="203">
        <v>0</v>
      </c>
      <c r="AE21" s="203">
        <v>0</v>
      </c>
      <c r="AF21" s="203">
        <v>0</v>
      </c>
      <c r="AG21" s="198"/>
      <c r="AH21" s="180" t="s">
        <v>272</v>
      </c>
      <c r="AI21" s="279">
        <f>AL21+AO21+AR21+AU21</f>
        <v>0</v>
      </c>
      <c r="AJ21" s="279">
        <f t="shared" ref="AJ21:AJ24" si="2">AM21+AP21+AS21+AV21</f>
        <v>0</v>
      </c>
      <c r="AK21" s="279">
        <f t="shared" ref="AK21:AK24" si="3">AN21+AQ21+AT21+AW21</f>
        <v>0</v>
      </c>
      <c r="AL21" s="279">
        <f t="shared" ref="AL21:AN24" si="4">H21*$K$11</f>
        <v>0</v>
      </c>
      <c r="AM21" s="279">
        <f t="shared" si="4"/>
        <v>0</v>
      </c>
      <c r="AN21" s="279">
        <f t="shared" si="4"/>
        <v>0</v>
      </c>
      <c r="AO21" s="279">
        <f>K21*$K$12</f>
        <v>0</v>
      </c>
      <c r="AP21" s="279">
        <f>L21*$K$12</f>
        <v>0</v>
      </c>
      <c r="AQ21" s="279">
        <f>M21*$K$12</f>
        <v>0</v>
      </c>
      <c r="AR21" s="279">
        <f>N21*$K$12</f>
        <v>0</v>
      </c>
      <c r="AS21" s="279">
        <f t="shared" ref="AS21:AS24" si="5">O21*$K$12</f>
        <v>0</v>
      </c>
      <c r="AT21" s="279">
        <f t="shared" ref="AT21:AT24" si="6">P21*$K$12</f>
        <v>0</v>
      </c>
      <c r="AU21" s="279">
        <f t="shared" ref="AU21:AW24" si="7">Q21*$K$15</f>
        <v>0</v>
      </c>
      <c r="AV21" s="279">
        <f t="shared" si="7"/>
        <v>0</v>
      </c>
      <c r="AW21" s="279">
        <f t="shared" si="7"/>
        <v>0</v>
      </c>
    </row>
    <row r="22" spans="4:49" ht="13.5" customHeight="1" x14ac:dyDescent="0.35">
      <c r="D22" s="1" t="str">
        <f>OCPMarketShares!D13</f>
        <v>Lever 1 - Push products to importers opportunistically from Kenya</v>
      </c>
      <c r="E22" s="333">
        <f t="shared" ref="E22:E24" si="8">H22+K22+N22+Q22</f>
        <v>0.46528719595884332</v>
      </c>
      <c r="F22" s="333">
        <f t="shared" si="0"/>
        <v>1.3350657620819184</v>
      </c>
      <c r="G22" s="333">
        <f t="shared" si="1"/>
        <v>0</v>
      </c>
      <c r="H22" s="332">
        <f>X181</f>
        <v>0.40242171078605588</v>
      </c>
      <c r="I22" s="332">
        <f t="shared" ref="I22:J22" si="9">Y181</f>
        <v>0.7841236001136298</v>
      </c>
      <c r="J22" s="332">
        <f t="shared" si="9"/>
        <v>0</v>
      </c>
      <c r="K22" s="332">
        <f t="shared" ref="K22" si="10">AA181</f>
        <v>1.4820891734159458E-2</v>
      </c>
      <c r="L22" s="332">
        <f t="shared" ref="L22" si="11">AB181</f>
        <v>0.21128168171428419</v>
      </c>
      <c r="M22" s="332">
        <f t="shared" ref="M22" si="12">AC181</f>
        <v>0</v>
      </c>
      <c r="N22" s="332">
        <f t="shared" ref="N22" si="13">AD181</f>
        <v>4.8044593438627992E-2</v>
      </c>
      <c r="O22" s="332">
        <f t="shared" ref="O22" si="14">AE181</f>
        <v>0.33966048025400447</v>
      </c>
      <c r="P22" s="332">
        <f t="shared" ref="P22" si="15">AF181</f>
        <v>0</v>
      </c>
      <c r="Q22" s="332">
        <f t="shared" ref="Q22" si="16">AG181</f>
        <v>0</v>
      </c>
      <c r="R22" s="332">
        <f t="shared" ref="R22" si="17">AH181</f>
        <v>0</v>
      </c>
      <c r="S22" s="332">
        <f t="shared" ref="S22" si="18">AI181</f>
        <v>0</v>
      </c>
      <c r="U22" s="203">
        <f>H22/$E$22</f>
        <v>0.86488885634766499</v>
      </c>
      <c r="V22" s="203">
        <f>I22/$F$22</f>
        <v>0.58732957011110642</v>
      </c>
      <c r="W22" s="203">
        <v>0</v>
      </c>
      <c r="X22" s="203">
        <f>K22/$E$22</f>
        <v>3.1853212086821382E-2</v>
      </c>
      <c r="Y22" s="203">
        <f>L22/$F$22</f>
        <v>0.15825563632521658</v>
      </c>
      <c r="Z22" s="203">
        <v>0</v>
      </c>
      <c r="AA22" s="203">
        <f>N22/$E$22</f>
        <v>0.10325793156551366</v>
      </c>
      <c r="AB22" s="203">
        <f>O22/$F$22</f>
        <v>0.25441479356367708</v>
      </c>
      <c r="AC22" s="203">
        <v>0</v>
      </c>
      <c r="AD22" s="203">
        <f>Q22/$E$22</f>
        <v>0</v>
      </c>
      <c r="AE22" s="203">
        <f>R22/$F$22</f>
        <v>0</v>
      </c>
      <c r="AF22" s="203">
        <v>0</v>
      </c>
      <c r="AG22" s="198"/>
      <c r="AH22" s="180" t="s">
        <v>273</v>
      </c>
      <c r="AI22" s="279">
        <f t="shared" ref="AI22:AI24" si="19">AL22+AO22+AR22+AU22</f>
        <v>0.21403211014106793</v>
      </c>
      <c r="AJ22" s="279">
        <f t="shared" si="2"/>
        <v>0.61413025055768244</v>
      </c>
      <c r="AK22" s="279">
        <f t="shared" si="3"/>
        <v>0</v>
      </c>
      <c r="AL22" s="279">
        <f t="shared" si="4"/>
        <v>0.18511398696158571</v>
      </c>
      <c r="AM22" s="279">
        <f t="shared" si="4"/>
        <v>0.3606968560522697</v>
      </c>
      <c r="AN22" s="279">
        <f t="shared" si="4"/>
        <v>0</v>
      </c>
      <c r="AO22" s="279">
        <f t="shared" ref="AO22:AQ24" si="20">K22*$K$12</f>
        <v>6.8176101977133509E-3</v>
      </c>
      <c r="AP22" s="279">
        <f t="shared" si="20"/>
        <v>9.7189573588570735E-2</v>
      </c>
      <c r="AQ22" s="279">
        <f t="shared" si="20"/>
        <v>0</v>
      </c>
      <c r="AR22" s="279">
        <f t="shared" ref="AR22:AR24" si="21">N22*$K$12</f>
        <v>2.2100512981768877E-2</v>
      </c>
      <c r="AS22" s="279">
        <f t="shared" si="5"/>
        <v>0.15624382091684205</v>
      </c>
      <c r="AT22" s="279">
        <f t="shared" si="6"/>
        <v>0</v>
      </c>
      <c r="AU22" s="279">
        <f t="shared" si="7"/>
        <v>0</v>
      </c>
      <c r="AV22" s="279">
        <f t="shared" si="7"/>
        <v>0</v>
      </c>
      <c r="AW22" s="279">
        <f t="shared" si="7"/>
        <v>0</v>
      </c>
    </row>
    <row r="23" spans="4:49" ht="13.5" customHeight="1" x14ac:dyDescent="0.35">
      <c r="D23" s="1" t="str">
        <f>OCPMarketShares!D14</f>
        <v>Lever 2 - Open a warehouse to start the downstream move</v>
      </c>
      <c r="E23" s="333">
        <f t="shared" si="8"/>
        <v>0</v>
      </c>
      <c r="F23" s="333">
        <f t="shared" si="0"/>
        <v>3.2623597676976193</v>
      </c>
      <c r="G23" s="333">
        <f t="shared" si="1"/>
        <v>10.661429355729936</v>
      </c>
      <c r="H23" s="332">
        <f>X242</f>
        <v>0</v>
      </c>
      <c r="I23" s="332">
        <f t="shared" ref="I23:S23" si="22">Y242</f>
        <v>1.7443338553255692</v>
      </c>
      <c r="J23" s="332">
        <f t="shared" si="22"/>
        <v>1.6474356320721781</v>
      </c>
      <c r="K23" s="332">
        <f t="shared" si="22"/>
        <v>0</v>
      </c>
      <c r="L23" s="332">
        <f t="shared" si="22"/>
        <v>0.634573531991247</v>
      </c>
      <c r="M23" s="332">
        <f t="shared" si="22"/>
        <v>3.1707163618915484</v>
      </c>
      <c r="N23" s="332">
        <f t="shared" si="22"/>
        <v>0</v>
      </c>
      <c r="O23" s="332">
        <f t="shared" si="22"/>
        <v>0.88345238038080309</v>
      </c>
      <c r="P23" s="332">
        <f t="shared" si="22"/>
        <v>5.8432773617662086</v>
      </c>
      <c r="Q23" s="332">
        <f t="shared" si="22"/>
        <v>0</v>
      </c>
      <c r="R23" s="332">
        <f t="shared" si="22"/>
        <v>0</v>
      </c>
      <c r="S23" s="332">
        <f t="shared" si="22"/>
        <v>0</v>
      </c>
      <c r="U23" s="203">
        <v>0</v>
      </c>
      <c r="V23" s="203">
        <f>I23/$F$23</f>
        <v>0.53468470050334671</v>
      </c>
      <c r="W23" s="203">
        <f>J23/$G$23</f>
        <v>0.15452296095614718</v>
      </c>
      <c r="X23" s="203">
        <v>0</v>
      </c>
      <c r="Y23" s="203">
        <f>L23/$F$23</f>
        <v>0.19451365795842054</v>
      </c>
      <c r="Z23" s="203">
        <f>M23/$G$23</f>
        <v>0.29740068203776648</v>
      </c>
      <c r="AA23" s="203">
        <v>0</v>
      </c>
      <c r="AB23" s="203">
        <f>O23/$F$23</f>
        <v>0.27080164153823277</v>
      </c>
      <c r="AC23" s="203">
        <f>P23/$G$23</f>
        <v>0.54807635700608626</v>
      </c>
      <c r="AD23" s="203">
        <v>0</v>
      </c>
      <c r="AE23" s="203">
        <f>R23/$F$23</f>
        <v>0</v>
      </c>
      <c r="AF23" s="203">
        <f>S23/$G$23</f>
        <v>0</v>
      </c>
      <c r="AG23" s="198"/>
      <c r="AH23" s="180" t="s">
        <v>274</v>
      </c>
      <c r="AI23" s="279">
        <f t="shared" si="19"/>
        <v>0</v>
      </c>
      <c r="AJ23" s="279">
        <f t="shared" si="2"/>
        <v>1.500685493140905</v>
      </c>
      <c r="AK23" s="279">
        <f t="shared" si="3"/>
        <v>4.9042575036357707</v>
      </c>
      <c r="AL23" s="279">
        <f t="shared" si="4"/>
        <v>0</v>
      </c>
      <c r="AM23" s="279">
        <f t="shared" si="4"/>
        <v>0.80239357344976181</v>
      </c>
      <c r="AN23" s="279">
        <f t="shared" si="4"/>
        <v>0.75782039075320196</v>
      </c>
      <c r="AO23" s="279">
        <f t="shared" si="20"/>
        <v>0</v>
      </c>
      <c r="AP23" s="279">
        <f t="shared" si="20"/>
        <v>0.29190382471597365</v>
      </c>
      <c r="AQ23" s="279">
        <f t="shared" si="20"/>
        <v>1.4585295264701124</v>
      </c>
      <c r="AR23" s="279">
        <f t="shared" si="21"/>
        <v>0</v>
      </c>
      <c r="AS23" s="279">
        <f t="shared" si="5"/>
        <v>0.40638809497516942</v>
      </c>
      <c r="AT23" s="279">
        <f t="shared" si="6"/>
        <v>2.687907586412456</v>
      </c>
      <c r="AU23" s="279">
        <f t="shared" si="7"/>
        <v>0</v>
      </c>
      <c r="AV23" s="279">
        <f t="shared" si="7"/>
        <v>0</v>
      </c>
      <c r="AW23" s="279">
        <f t="shared" si="7"/>
        <v>0</v>
      </c>
    </row>
    <row r="24" spans="4:49" ht="13.5" customHeight="1" thickBot="1" x14ac:dyDescent="0.4">
      <c r="D24" s="1" t="str">
        <f>OCPMarketShares!D15</f>
        <v>Lever 3 - Develop from Kenya specific formulas to meet Ugandan needs</v>
      </c>
      <c r="E24" s="333">
        <f t="shared" si="8"/>
        <v>0</v>
      </c>
      <c r="F24" s="333">
        <f t="shared" si="0"/>
        <v>0</v>
      </c>
      <c r="G24" s="333">
        <f t="shared" si="1"/>
        <v>0</v>
      </c>
      <c r="H24" s="332">
        <v>0</v>
      </c>
      <c r="I24" s="332">
        <v>0</v>
      </c>
      <c r="J24" s="332">
        <v>0</v>
      </c>
      <c r="K24" s="332">
        <v>0</v>
      </c>
      <c r="L24" s="332">
        <v>0</v>
      </c>
      <c r="M24" s="332">
        <v>0</v>
      </c>
      <c r="N24" s="332">
        <v>0</v>
      </c>
      <c r="O24" s="332">
        <v>0</v>
      </c>
      <c r="P24" s="332">
        <v>0</v>
      </c>
      <c r="Q24" s="332">
        <v>0</v>
      </c>
      <c r="R24" s="332">
        <v>0</v>
      </c>
      <c r="S24" s="332">
        <v>0</v>
      </c>
      <c r="U24" s="203">
        <v>0</v>
      </c>
      <c r="V24" s="203">
        <v>0</v>
      </c>
      <c r="W24" s="203">
        <v>0</v>
      </c>
      <c r="X24" s="203">
        <v>0</v>
      </c>
      <c r="Y24" s="203">
        <v>0</v>
      </c>
      <c r="Z24" s="203">
        <v>0</v>
      </c>
      <c r="AA24" s="203">
        <v>0</v>
      </c>
      <c r="AB24" s="203">
        <v>0</v>
      </c>
      <c r="AC24" s="203">
        <v>0</v>
      </c>
      <c r="AD24" s="203">
        <v>0</v>
      </c>
      <c r="AE24" s="203">
        <v>0</v>
      </c>
      <c r="AF24" s="203">
        <v>0</v>
      </c>
      <c r="AG24" s="198"/>
      <c r="AH24" s="180" t="s">
        <v>275</v>
      </c>
      <c r="AI24" s="279">
        <f t="shared" si="19"/>
        <v>0</v>
      </c>
      <c r="AJ24" s="279">
        <f t="shared" si="2"/>
        <v>0</v>
      </c>
      <c r="AK24" s="279">
        <f t="shared" si="3"/>
        <v>0</v>
      </c>
      <c r="AL24" s="279">
        <f t="shared" si="4"/>
        <v>0</v>
      </c>
      <c r="AM24" s="279">
        <f t="shared" si="4"/>
        <v>0</v>
      </c>
      <c r="AN24" s="279">
        <f t="shared" si="4"/>
        <v>0</v>
      </c>
      <c r="AO24" s="279">
        <f t="shared" si="20"/>
        <v>0</v>
      </c>
      <c r="AP24" s="279">
        <f t="shared" si="20"/>
        <v>0</v>
      </c>
      <c r="AQ24" s="279">
        <f t="shared" si="20"/>
        <v>0</v>
      </c>
      <c r="AR24" s="279">
        <f t="shared" si="21"/>
        <v>0</v>
      </c>
      <c r="AS24" s="279">
        <f t="shared" si="5"/>
        <v>0</v>
      </c>
      <c r="AT24" s="279">
        <f t="shared" si="6"/>
        <v>0</v>
      </c>
      <c r="AU24" s="279">
        <f t="shared" si="7"/>
        <v>0</v>
      </c>
      <c r="AV24" s="279">
        <f t="shared" si="7"/>
        <v>0</v>
      </c>
      <c r="AW24" s="279">
        <f t="shared" si="7"/>
        <v>0</v>
      </c>
    </row>
    <row r="25" spans="4:49" ht="13.5" customHeight="1" thickTop="1" thickBot="1" x14ac:dyDescent="0.3">
      <c r="D25" s="99" t="s">
        <v>185</v>
      </c>
      <c r="E25" s="280">
        <f t="shared" ref="E25:M25" si="23">SUM(E21:E24)</f>
        <v>0.46528719595884332</v>
      </c>
      <c r="F25" s="280">
        <f t="shared" si="23"/>
        <v>4.5974255297795379</v>
      </c>
      <c r="G25" s="280">
        <f t="shared" si="23"/>
        <v>10.661429355729936</v>
      </c>
      <c r="H25" s="280">
        <f t="shared" si="23"/>
        <v>0.40242171078605588</v>
      </c>
      <c r="I25" s="280">
        <f t="shared" si="23"/>
        <v>2.5284574554391988</v>
      </c>
      <c r="J25" s="280">
        <f t="shared" si="23"/>
        <v>1.6474356320721781</v>
      </c>
      <c r="K25" s="280">
        <f t="shared" si="23"/>
        <v>1.4820891734159458E-2</v>
      </c>
      <c r="L25" s="280">
        <f t="shared" si="23"/>
        <v>0.84585521370553118</v>
      </c>
      <c r="M25" s="280">
        <f t="shared" si="23"/>
        <v>3.1707163618915484</v>
      </c>
      <c r="N25" s="280">
        <f t="shared" ref="N25:P25" si="24">SUM(N21:N24)</f>
        <v>4.8044593438627992E-2</v>
      </c>
      <c r="O25" s="280">
        <f t="shared" si="24"/>
        <v>1.2231128606348076</v>
      </c>
      <c r="P25" s="280">
        <f t="shared" si="24"/>
        <v>5.8432773617662086</v>
      </c>
      <c r="Q25" s="280">
        <f t="shared" ref="Q25" si="25">SUM(Q21:Q24)</f>
        <v>0</v>
      </c>
      <c r="R25" s="280">
        <f t="shared" ref="R25" si="26">SUM(R21:R24)</f>
        <v>0</v>
      </c>
      <c r="S25" s="280">
        <f t="shared" ref="S25" si="27">SUM(S21:S24)</f>
        <v>0</v>
      </c>
      <c r="U25" s="200"/>
      <c r="V25" s="200"/>
      <c r="W25" s="200"/>
      <c r="X25" s="200"/>
      <c r="Y25" s="200"/>
      <c r="Z25" s="200"/>
      <c r="AA25" s="200"/>
      <c r="AB25" s="200"/>
      <c r="AC25" s="200"/>
      <c r="AD25" s="200"/>
      <c r="AE25" s="200"/>
      <c r="AF25" s="200"/>
      <c r="AG25" s="201"/>
      <c r="AH25" s="247" t="s">
        <v>185</v>
      </c>
      <c r="AI25" s="199">
        <f>SUM(AI21:AI24)</f>
        <v>0.21403211014106793</v>
      </c>
      <c r="AJ25" s="199">
        <f t="shared" ref="AJ25:AT25" si="28">SUM(AJ21:AJ24)</f>
        <v>2.1148157436985873</v>
      </c>
      <c r="AK25" s="199">
        <f t="shared" si="28"/>
        <v>4.9042575036357707</v>
      </c>
      <c r="AL25" s="199">
        <f t="shared" si="28"/>
        <v>0.18511398696158571</v>
      </c>
      <c r="AM25" s="199">
        <f t="shared" si="28"/>
        <v>1.1630904295020315</v>
      </c>
      <c r="AN25" s="199">
        <f t="shared" si="28"/>
        <v>0.75782039075320196</v>
      </c>
      <c r="AO25" s="199">
        <f t="shared" si="28"/>
        <v>6.8176101977133509E-3</v>
      </c>
      <c r="AP25" s="199">
        <f t="shared" si="28"/>
        <v>0.38909339830454437</v>
      </c>
      <c r="AQ25" s="199">
        <f t="shared" si="28"/>
        <v>1.4585295264701124</v>
      </c>
      <c r="AR25" s="199">
        <f t="shared" si="28"/>
        <v>2.2100512981768877E-2</v>
      </c>
      <c r="AS25" s="199">
        <f t="shared" si="28"/>
        <v>0.56263191589201145</v>
      </c>
      <c r="AT25" s="199">
        <f t="shared" si="28"/>
        <v>2.687907586412456</v>
      </c>
      <c r="AU25" s="199">
        <f t="shared" ref="AU25" si="29">SUM(AU21:AU24)</f>
        <v>0</v>
      </c>
      <c r="AV25" s="199">
        <f t="shared" ref="AV25" si="30">SUM(AV21:AV24)</f>
        <v>0</v>
      </c>
      <c r="AW25" s="199">
        <f t="shared" ref="AW25" si="31">SUM(AW21:AW24)</f>
        <v>0</v>
      </c>
    </row>
    <row r="26" spans="4:49" ht="13.5" customHeight="1" thickTop="1" x14ac:dyDescent="0.3">
      <c r="D26" s="202"/>
      <c r="E26" s="170"/>
      <c r="F26" s="170"/>
      <c r="G26" s="170"/>
      <c r="H26" s="203"/>
      <c r="I26" s="203"/>
      <c r="J26" s="204"/>
      <c r="K26" s="203"/>
      <c r="L26" s="203"/>
      <c r="M26" s="204"/>
      <c r="N26" s="204"/>
      <c r="O26" s="204"/>
      <c r="P26" s="204"/>
      <c r="Q26" s="204"/>
      <c r="R26" s="204"/>
      <c r="S26" s="204"/>
      <c r="U26" s="203"/>
      <c r="V26" s="203"/>
      <c r="W26" s="203"/>
      <c r="X26" s="203"/>
      <c r="Y26" s="203"/>
      <c r="Z26" s="203"/>
      <c r="AA26" s="204"/>
      <c r="AB26" s="204"/>
      <c r="AC26" s="204"/>
      <c r="AD26" s="204"/>
      <c r="AE26" s="204"/>
      <c r="AF26" s="204"/>
      <c r="AG26" s="205"/>
      <c r="AH26" s="205"/>
      <c r="AI26" s="205">
        <f>AI25/ProjectedP205_Consumption!K37</f>
        <v>1.5000000000000008E-2</v>
      </c>
      <c r="AJ26" s="205">
        <f>AJ25/ProjectedP205_Consumption!L37</f>
        <v>0.12052581836220483</v>
      </c>
      <c r="AK26" s="205">
        <f>AK25/ProjectedP205_Consumption!M37</f>
        <v>0.22559769729149201</v>
      </c>
      <c r="AL26" s="205"/>
      <c r="AM26" s="205"/>
      <c r="AN26" s="7"/>
      <c r="AO26" s="7"/>
    </row>
    <row r="27" spans="4:49" ht="13.5" customHeight="1" x14ac:dyDescent="0.3">
      <c r="D27" s="202"/>
      <c r="H27" s="203"/>
      <c r="I27" s="203"/>
      <c r="J27" s="203"/>
      <c r="K27" s="203"/>
      <c r="L27" s="203"/>
      <c r="M27" s="203"/>
      <c r="N27" s="204"/>
      <c r="O27" s="204"/>
      <c r="P27" s="204"/>
      <c r="Q27" s="204"/>
      <c r="R27" s="204"/>
      <c r="S27" s="204"/>
      <c r="U27" s="203"/>
      <c r="V27" s="203"/>
      <c r="W27" s="203"/>
      <c r="X27" s="203"/>
      <c r="Y27" s="203"/>
      <c r="Z27" s="203"/>
      <c r="AA27" s="204"/>
      <c r="AB27" s="204"/>
      <c r="AC27" s="204"/>
      <c r="AD27" s="204"/>
      <c r="AE27" s="204"/>
      <c r="AF27" s="204"/>
      <c r="AG27" s="205"/>
      <c r="AH27" s="205"/>
      <c r="AI27" s="205"/>
      <c r="AJ27" s="205"/>
      <c r="AK27" s="205"/>
      <c r="AL27" s="205"/>
      <c r="AM27" s="205"/>
      <c r="AN27" s="7"/>
      <c r="AO27" s="7"/>
    </row>
    <row r="28" spans="4:49" ht="13.5" customHeight="1" x14ac:dyDescent="0.25">
      <c r="H28" s="1"/>
      <c r="I28" s="1"/>
      <c r="J28" s="1"/>
      <c r="K28" s="1"/>
      <c r="L28" s="1"/>
      <c r="M28" s="1"/>
      <c r="N28" s="59"/>
      <c r="O28" s="59"/>
      <c r="P28" s="59"/>
      <c r="Q28" s="59"/>
      <c r="R28" s="59"/>
      <c r="S28" s="59"/>
      <c r="U28" s="1"/>
      <c r="V28" s="1"/>
      <c r="W28" s="1"/>
      <c r="X28" s="1"/>
      <c r="Y28" s="1"/>
      <c r="Z28" s="1"/>
      <c r="AA28" s="59"/>
      <c r="AB28" s="59"/>
      <c r="AC28" s="59"/>
      <c r="AD28" s="59"/>
      <c r="AE28" s="59"/>
      <c r="AF28" s="59"/>
      <c r="AG28" s="7"/>
      <c r="AH28" s="7"/>
      <c r="AI28" s="7"/>
      <c r="AJ28" s="7"/>
      <c r="AK28" s="7"/>
      <c r="AL28" s="7"/>
      <c r="AM28" s="7"/>
      <c r="AN28" s="7"/>
      <c r="AO28" s="7"/>
    </row>
    <row r="29" spans="4:49" ht="13.5" customHeight="1" x14ac:dyDescent="0.3">
      <c r="D29" s="32" t="s">
        <v>179</v>
      </c>
      <c r="N29" s="7"/>
      <c r="O29" s="7"/>
      <c r="P29" s="7"/>
      <c r="Q29" s="7"/>
      <c r="R29" s="7"/>
      <c r="S29" s="7"/>
      <c r="AA29" s="7"/>
      <c r="AB29" s="7"/>
      <c r="AC29" s="7"/>
      <c r="AD29" s="7"/>
      <c r="AE29" s="7"/>
      <c r="AF29" s="7"/>
      <c r="AG29" s="7"/>
      <c r="AH29" s="7"/>
      <c r="AI29" s="7"/>
      <c r="AJ29" s="7"/>
      <c r="AK29" s="7"/>
      <c r="AL29" s="7"/>
      <c r="AM29" s="7"/>
      <c r="AN29" s="7"/>
      <c r="AO29" s="7"/>
    </row>
    <row r="30" spans="4:49" ht="13.5" customHeight="1" x14ac:dyDescent="0.3">
      <c r="D30" s="33" t="s">
        <v>180</v>
      </c>
      <c r="N30" s="7"/>
      <c r="O30" s="7"/>
      <c r="P30" s="7"/>
      <c r="Q30" s="7"/>
      <c r="R30" s="7"/>
      <c r="S30" s="7"/>
      <c r="W30" s="195"/>
      <c r="X30" s="194"/>
      <c r="Z30" s="195"/>
      <c r="AA30" s="7"/>
      <c r="AB30" s="7"/>
      <c r="AC30" s="7"/>
      <c r="AD30" s="7"/>
      <c r="AE30" s="7"/>
      <c r="AF30" s="7"/>
      <c r="AG30" s="7"/>
      <c r="AH30" s="196"/>
      <c r="AI30" s="7"/>
      <c r="AJ30" s="7"/>
      <c r="AK30" s="196"/>
      <c r="AL30" s="7"/>
      <c r="AM30" s="7"/>
      <c r="AN30" s="7"/>
      <c r="AO30" s="7"/>
    </row>
    <row r="31" spans="4:49" ht="13.5" customHeight="1" x14ac:dyDescent="0.3">
      <c r="D31" s="36"/>
      <c r="E31" s="195" t="s">
        <v>185</v>
      </c>
      <c r="H31" s="194" t="s">
        <v>182</v>
      </c>
      <c r="I31" s="195"/>
      <c r="J31" s="195"/>
      <c r="K31" s="194" t="s">
        <v>183</v>
      </c>
      <c r="L31" s="195"/>
      <c r="M31" s="195"/>
      <c r="N31" s="36" t="s">
        <v>321</v>
      </c>
      <c r="O31" s="7"/>
      <c r="P31" s="7"/>
      <c r="Q31" s="7" t="s">
        <v>257</v>
      </c>
      <c r="R31" s="7"/>
      <c r="S31" s="7"/>
      <c r="U31" s="194"/>
      <c r="V31" s="273"/>
      <c r="W31" s="195"/>
      <c r="X31" s="194"/>
      <c r="Y31" s="195"/>
      <c r="Z31" s="195"/>
      <c r="AA31" s="59"/>
      <c r="AB31" s="7"/>
      <c r="AC31" s="7"/>
      <c r="AD31" s="7"/>
      <c r="AE31" s="7"/>
      <c r="AF31" s="7"/>
      <c r="AG31" s="7"/>
      <c r="AH31" s="196"/>
      <c r="AJ31" s="36" t="s">
        <v>185</v>
      </c>
      <c r="AK31" s="196"/>
      <c r="AL31" s="7"/>
      <c r="AM31" s="59" t="s">
        <v>182</v>
      </c>
      <c r="AN31" s="7"/>
      <c r="AO31" s="7"/>
      <c r="AP31" s="1" t="s">
        <v>213</v>
      </c>
      <c r="AS31" s="1" t="s">
        <v>320</v>
      </c>
      <c r="AU31" s="1" t="s">
        <v>257</v>
      </c>
    </row>
    <row r="32" spans="4:49" ht="13.5" customHeight="1" x14ac:dyDescent="0.3">
      <c r="D32" s="30" t="s">
        <v>186</v>
      </c>
      <c r="E32" s="34">
        <v>2023</v>
      </c>
      <c r="F32" s="34">
        <v>2024</v>
      </c>
      <c r="G32" s="34">
        <v>2025</v>
      </c>
      <c r="H32" s="34">
        <v>2023</v>
      </c>
      <c r="I32" s="34">
        <v>2024</v>
      </c>
      <c r="J32" s="34">
        <v>2025</v>
      </c>
      <c r="K32" s="34">
        <v>2023</v>
      </c>
      <c r="L32" s="34">
        <v>2024</v>
      </c>
      <c r="M32" s="34">
        <v>2025</v>
      </c>
      <c r="N32" s="34">
        <v>2023</v>
      </c>
      <c r="O32" s="34">
        <v>2024</v>
      </c>
      <c r="P32" s="34">
        <v>2025</v>
      </c>
      <c r="Q32" s="34">
        <v>2023</v>
      </c>
      <c r="R32" s="34">
        <v>2024</v>
      </c>
      <c r="S32" s="34">
        <v>2025</v>
      </c>
      <c r="U32" s="34">
        <v>2023</v>
      </c>
      <c r="V32" s="34">
        <v>2024</v>
      </c>
      <c r="W32" s="34">
        <v>2025</v>
      </c>
      <c r="X32" s="34">
        <v>2023</v>
      </c>
      <c r="Y32" s="34">
        <v>2024</v>
      </c>
      <c r="Z32" s="34">
        <v>2025</v>
      </c>
      <c r="AA32" s="34">
        <v>2023</v>
      </c>
      <c r="AB32" s="34">
        <v>2024</v>
      </c>
      <c r="AC32" s="34">
        <v>2025</v>
      </c>
      <c r="AD32" s="34">
        <v>2023</v>
      </c>
      <c r="AE32" s="34">
        <v>2024</v>
      </c>
      <c r="AF32" s="34">
        <v>2025</v>
      </c>
      <c r="AG32" s="197"/>
      <c r="AH32" s="197"/>
      <c r="AI32" s="34">
        <v>2023</v>
      </c>
      <c r="AJ32" s="34">
        <v>2024</v>
      </c>
      <c r="AK32" s="34">
        <v>2025</v>
      </c>
      <c r="AL32" s="34">
        <v>2023</v>
      </c>
      <c r="AM32" s="34">
        <v>2024</v>
      </c>
      <c r="AN32" s="34">
        <v>2025</v>
      </c>
      <c r="AO32" s="34">
        <v>2023</v>
      </c>
      <c r="AP32" s="34">
        <v>2024</v>
      </c>
      <c r="AQ32" s="34">
        <v>2025</v>
      </c>
      <c r="AR32" s="34">
        <v>2023</v>
      </c>
      <c r="AS32" s="34">
        <v>2024</v>
      </c>
      <c r="AT32" s="34">
        <v>2025</v>
      </c>
      <c r="AU32" s="34">
        <v>2023</v>
      </c>
      <c r="AV32" s="34">
        <v>2024</v>
      </c>
      <c r="AW32" s="34">
        <v>2025</v>
      </c>
    </row>
    <row r="33" spans="2:49" ht="13.5" customHeight="1" x14ac:dyDescent="0.25">
      <c r="D33" s="1" t="str">
        <f>D21</f>
        <v>Lever 0 - Address Uganda standards barriers</v>
      </c>
      <c r="E33" s="278">
        <f>H33+K33+N33+Q33</f>
        <v>0</v>
      </c>
      <c r="F33" s="278">
        <f t="shared" ref="F33:F36" si="32">I33+L33+O33+R33</f>
        <v>0</v>
      </c>
      <c r="G33" s="278">
        <f t="shared" ref="G33:G36" si="33">J33+M33+P33+S33</f>
        <v>0</v>
      </c>
      <c r="H33" s="279">
        <v>0</v>
      </c>
      <c r="I33" s="279">
        <v>0</v>
      </c>
      <c r="J33" s="279">
        <v>0</v>
      </c>
      <c r="K33" s="279">
        <v>0</v>
      </c>
      <c r="L33" s="279">
        <v>0</v>
      </c>
      <c r="M33" s="279">
        <v>0</v>
      </c>
      <c r="N33" s="279">
        <v>0</v>
      </c>
      <c r="O33" s="279">
        <v>0</v>
      </c>
      <c r="P33" s="279">
        <v>0</v>
      </c>
      <c r="Q33" s="279">
        <v>0</v>
      </c>
      <c r="R33" s="279">
        <v>0</v>
      </c>
      <c r="S33" s="279">
        <v>0</v>
      </c>
      <c r="U33" s="203">
        <v>0</v>
      </c>
      <c r="V33" s="203">
        <v>0</v>
      </c>
      <c r="W33" s="203">
        <v>0</v>
      </c>
      <c r="X33" s="203">
        <v>0</v>
      </c>
      <c r="Y33" s="203">
        <v>0</v>
      </c>
      <c r="Z33" s="203">
        <v>0</v>
      </c>
      <c r="AA33" s="203">
        <v>0</v>
      </c>
      <c r="AB33" s="203">
        <v>0</v>
      </c>
      <c r="AC33" s="203">
        <v>0</v>
      </c>
      <c r="AD33" s="203">
        <v>0</v>
      </c>
      <c r="AE33" s="203">
        <v>0</v>
      </c>
      <c r="AF33" s="203">
        <v>0</v>
      </c>
      <c r="AG33" s="198"/>
      <c r="AH33" s="246" t="s">
        <v>272</v>
      </c>
      <c r="AI33" s="279">
        <f>AL33+AO33+AR33+AU33</f>
        <v>0</v>
      </c>
      <c r="AJ33" s="279">
        <f t="shared" ref="AJ33:AJ36" si="34">AM33+AP33+AS33+AV33</f>
        <v>0</v>
      </c>
      <c r="AK33" s="279">
        <f t="shared" ref="AK33:AK36" si="35">AN33+AQ33+AT33+AW33</f>
        <v>0</v>
      </c>
      <c r="AL33" s="279">
        <f t="shared" ref="AL33:AN36" si="36">H33*$K$11</f>
        <v>0</v>
      </c>
      <c r="AM33" s="279">
        <f t="shared" si="36"/>
        <v>0</v>
      </c>
      <c r="AN33" s="279">
        <f t="shared" si="36"/>
        <v>0</v>
      </c>
      <c r="AO33" s="279">
        <f>K33*$K$12</f>
        <v>0</v>
      </c>
      <c r="AP33" s="279">
        <f>L33*$K$12</f>
        <v>0</v>
      </c>
      <c r="AQ33" s="279">
        <f>M33*$K$12</f>
        <v>0</v>
      </c>
      <c r="AR33" s="279">
        <f>N33*$K$12</f>
        <v>0</v>
      </c>
      <c r="AS33" s="279">
        <f t="shared" ref="AS33:AS36" si="37">O33*$K$12</f>
        <v>0</v>
      </c>
      <c r="AT33" s="279">
        <f t="shared" ref="AT33:AT36" si="38">P33*$K$12</f>
        <v>0</v>
      </c>
      <c r="AU33" s="279">
        <f t="shared" ref="AU33:AW36" si="39">Q33*$K$15</f>
        <v>0</v>
      </c>
      <c r="AV33" s="279">
        <f t="shared" si="39"/>
        <v>0</v>
      </c>
      <c r="AW33" s="279">
        <f t="shared" si="39"/>
        <v>0</v>
      </c>
    </row>
    <row r="34" spans="2:49" ht="13.5" customHeight="1" x14ac:dyDescent="0.25">
      <c r="D34" s="1" t="str">
        <f t="shared" ref="D34:D36" si="40">D22</f>
        <v>Lever 1 - Push products to importers opportunistically from Kenya</v>
      </c>
      <c r="E34" s="278">
        <f t="shared" ref="E34:E36" si="41">H34+K34+N34+Q34</f>
        <v>0.47586465286973489</v>
      </c>
      <c r="F34" s="278">
        <f t="shared" si="32"/>
        <v>2.2255858721195612</v>
      </c>
      <c r="G34" s="278">
        <f t="shared" si="33"/>
        <v>0</v>
      </c>
      <c r="H34" s="279">
        <f t="shared" ref="H34:S34" si="42">X209</f>
        <v>0.40242171078605588</v>
      </c>
      <c r="I34" s="279">
        <f t="shared" si="42"/>
        <v>1.2292427432844244</v>
      </c>
      <c r="J34" s="279">
        <f t="shared" si="42"/>
        <v>0</v>
      </c>
      <c r="K34" s="279">
        <f t="shared" si="42"/>
        <v>1.4820891734159458E-2</v>
      </c>
      <c r="L34" s="279">
        <f t="shared" si="42"/>
        <v>0.50207027635125201</v>
      </c>
      <c r="M34" s="279">
        <f t="shared" si="42"/>
        <v>0</v>
      </c>
      <c r="N34" s="279">
        <f t="shared" si="42"/>
        <v>5.8622050349519568E-2</v>
      </c>
      <c r="O34" s="279">
        <f t="shared" si="42"/>
        <v>0.49427285248388503</v>
      </c>
      <c r="P34" s="279">
        <f t="shared" si="42"/>
        <v>0</v>
      </c>
      <c r="Q34" s="279">
        <f t="shared" si="42"/>
        <v>0</v>
      </c>
      <c r="R34" s="279">
        <f t="shared" si="42"/>
        <v>0</v>
      </c>
      <c r="S34" s="279">
        <f t="shared" si="42"/>
        <v>0</v>
      </c>
      <c r="U34" s="203">
        <f>H34/$E$34</f>
        <v>0.84566422061236057</v>
      </c>
      <c r="V34" s="203">
        <f>I34/$F$34</f>
        <v>0.55232321461213341</v>
      </c>
      <c r="W34" s="203">
        <v>0</v>
      </c>
      <c r="X34" s="203">
        <f>K34/$E$34</f>
        <v>3.114518307838382E-2</v>
      </c>
      <c r="Y34" s="203">
        <f>L34/$F$34</f>
        <v>0.22559016151243802</v>
      </c>
      <c r="Z34" s="203">
        <v>0</v>
      </c>
      <c r="AA34" s="203">
        <f>N34/$E$34</f>
        <v>0.12319059630925562</v>
      </c>
      <c r="AB34" s="203">
        <f>O34/$F$34</f>
        <v>0.22208662387542874</v>
      </c>
      <c r="AC34" s="203">
        <v>0</v>
      </c>
      <c r="AD34" s="203">
        <f>Q34/$E$34</f>
        <v>0</v>
      </c>
      <c r="AE34" s="203">
        <f>R34/$F$34</f>
        <v>0</v>
      </c>
      <c r="AF34" s="203">
        <v>0</v>
      </c>
      <c r="AG34" s="198"/>
      <c r="AH34" s="246" t="s">
        <v>273</v>
      </c>
      <c r="AI34" s="279">
        <f t="shared" ref="AI34:AI36" si="43">AL34+AO34+AR34+AU34</f>
        <v>0.21889774032007805</v>
      </c>
      <c r="AJ34" s="279">
        <f t="shared" si="34"/>
        <v>1.0237695011749983</v>
      </c>
      <c r="AK34" s="279">
        <f t="shared" si="35"/>
        <v>0</v>
      </c>
      <c r="AL34" s="279">
        <f t="shared" si="36"/>
        <v>0.18511398696158571</v>
      </c>
      <c r="AM34" s="279">
        <f t="shared" si="36"/>
        <v>0.56545166191083529</v>
      </c>
      <c r="AN34" s="279">
        <f t="shared" si="36"/>
        <v>0</v>
      </c>
      <c r="AO34" s="279">
        <f t="shared" ref="AO34:AQ36" si="44">K34*$K$12</f>
        <v>6.8176101977133509E-3</v>
      </c>
      <c r="AP34" s="279">
        <f t="shared" si="44"/>
        <v>0.23095232712157593</v>
      </c>
      <c r="AQ34" s="279">
        <f t="shared" si="44"/>
        <v>0</v>
      </c>
      <c r="AR34" s="279">
        <f t="shared" ref="AR34:AR36" si="45">N34*$K$12</f>
        <v>2.6966143160779003E-2</v>
      </c>
      <c r="AS34" s="279">
        <f t="shared" si="37"/>
        <v>0.22736551214258713</v>
      </c>
      <c r="AT34" s="279">
        <f t="shared" si="38"/>
        <v>0</v>
      </c>
      <c r="AU34" s="279">
        <f t="shared" si="39"/>
        <v>0</v>
      </c>
      <c r="AV34" s="279">
        <f t="shared" si="39"/>
        <v>0</v>
      </c>
      <c r="AW34" s="279">
        <f t="shared" si="39"/>
        <v>0</v>
      </c>
    </row>
    <row r="35" spans="2:49" ht="13.5" customHeight="1" x14ac:dyDescent="0.25">
      <c r="D35" s="1" t="str">
        <f t="shared" si="40"/>
        <v>Lever 2 - Open a warehouse to start the downstream move</v>
      </c>
      <c r="E35" s="278">
        <f t="shared" si="41"/>
        <v>0</v>
      </c>
      <c r="F35" s="278">
        <f t="shared" si="32"/>
        <v>5.3060553130934727</v>
      </c>
      <c r="G35" s="278">
        <f t="shared" si="33"/>
        <v>19.250745652552585</v>
      </c>
      <c r="H35" s="279">
        <f t="shared" ref="H35:S35" si="46">X270</f>
        <v>0</v>
      </c>
      <c r="I35" s="279">
        <f t="shared" si="46"/>
        <v>2.8182170023647388</v>
      </c>
      <c r="J35" s="279">
        <f t="shared" si="46"/>
        <v>3.6584812266996525</v>
      </c>
      <c r="K35" s="279">
        <f t="shared" si="46"/>
        <v>0</v>
      </c>
      <c r="L35" s="279">
        <f t="shared" si="46"/>
        <v>1.4721898540100473</v>
      </c>
      <c r="M35" s="279">
        <f t="shared" si="46"/>
        <v>8.8920552991984483</v>
      </c>
      <c r="N35" s="279">
        <f t="shared" si="46"/>
        <v>0</v>
      </c>
      <c r="O35" s="279">
        <f t="shared" si="46"/>
        <v>1.0156484567186863</v>
      </c>
      <c r="P35" s="279">
        <f t="shared" si="46"/>
        <v>6.7002091266544834</v>
      </c>
      <c r="Q35" s="279">
        <f t="shared" si="46"/>
        <v>0</v>
      </c>
      <c r="R35" s="279">
        <f t="shared" si="46"/>
        <v>0</v>
      </c>
      <c r="S35" s="279">
        <f t="shared" si="46"/>
        <v>0</v>
      </c>
      <c r="U35" s="203">
        <v>0</v>
      </c>
      <c r="V35" s="203">
        <f>I35/$F$35</f>
        <v>0.53113223215189131</v>
      </c>
      <c r="W35" s="203">
        <f>J35/$G$35</f>
        <v>0.19004361143873666</v>
      </c>
      <c r="X35" s="203">
        <v>0</v>
      </c>
      <c r="Y35" s="203">
        <f>L35/$F$35</f>
        <v>0.27745467529846551</v>
      </c>
      <c r="Z35" s="203">
        <f>M35/$G$35</f>
        <v>0.46190705854655512</v>
      </c>
      <c r="AA35" s="203">
        <v>0</v>
      </c>
      <c r="AB35" s="203">
        <f>O35/$F$35</f>
        <v>0.19141309254964309</v>
      </c>
      <c r="AC35" s="203">
        <f>P35/$G$35</f>
        <v>0.34804933001470817</v>
      </c>
      <c r="AD35" s="203">
        <v>0</v>
      </c>
      <c r="AE35" s="203">
        <f>R35/$F$35</f>
        <v>0</v>
      </c>
      <c r="AF35" s="203">
        <f>S35/$G$35</f>
        <v>0</v>
      </c>
      <c r="AG35" s="198"/>
      <c r="AH35" s="246" t="s">
        <v>274</v>
      </c>
      <c r="AI35" s="279">
        <f t="shared" si="43"/>
        <v>0</v>
      </c>
      <c r="AJ35" s="279">
        <f t="shared" si="34"/>
        <v>2.4407854440229975</v>
      </c>
      <c r="AK35" s="279">
        <f t="shared" si="35"/>
        <v>8.8553430001741891</v>
      </c>
      <c r="AL35" s="279">
        <f t="shared" si="36"/>
        <v>0</v>
      </c>
      <c r="AM35" s="279">
        <f t="shared" si="36"/>
        <v>1.2963798210877799</v>
      </c>
      <c r="AN35" s="279">
        <f t="shared" si="36"/>
        <v>1.6829013642818402</v>
      </c>
      <c r="AO35" s="279">
        <f t="shared" si="44"/>
        <v>0</v>
      </c>
      <c r="AP35" s="279">
        <f t="shared" si="44"/>
        <v>0.67720733284462176</v>
      </c>
      <c r="AQ35" s="279">
        <f t="shared" si="44"/>
        <v>4.090345437631286</v>
      </c>
      <c r="AR35" s="279">
        <f t="shared" si="45"/>
        <v>0</v>
      </c>
      <c r="AS35" s="279">
        <f t="shared" si="37"/>
        <v>0.46719829009059571</v>
      </c>
      <c r="AT35" s="279">
        <f t="shared" si="38"/>
        <v>3.0820961982610626</v>
      </c>
      <c r="AU35" s="279">
        <f t="shared" si="39"/>
        <v>0</v>
      </c>
      <c r="AV35" s="279">
        <f t="shared" si="39"/>
        <v>0</v>
      </c>
      <c r="AW35" s="279">
        <f t="shared" si="39"/>
        <v>0</v>
      </c>
    </row>
    <row r="36" spans="2:49" ht="13.5" customHeight="1" thickBot="1" x14ac:dyDescent="0.3">
      <c r="D36" s="1" t="str">
        <f t="shared" si="40"/>
        <v>Lever 3 - Develop from Kenya specific formulas to meet Ugandan needs</v>
      </c>
      <c r="E36" s="278">
        <f t="shared" si="41"/>
        <v>0</v>
      </c>
      <c r="F36" s="278">
        <f t="shared" si="32"/>
        <v>0</v>
      </c>
      <c r="G36" s="278">
        <f t="shared" si="33"/>
        <v>0</v>
      </c>
      <c r="H36" s="279">
        <v>0</v>
      </c>
      <c r="I36" s="279">
        <v>0</v>
      </c>
      <c r="J36" s="279">
        <v>0</v>
      </c>
      <c r="K36" s="279">
        <v>0</v>
      </c>
      <c r="L36" s="279">
        <v>0</v>
      </c>
      <c r="M36" s="279">
        <v>0</v>
      </c>
      <c r="N36" s="279">
        <v>0</v>
      </c>
      <c r="O36" s="279">
        <v>0</v>
      </c>
      <c r="P36" s="279">
        <v>0</v>
      </c>
      <c r="Q36" s="279">
        <v>0</v>
      </c>
      <c r="R36" s="279">
        <v>0</v>
      </c>
      <c r="S36" s="279">
        <v>0</v>
      </c>
      <c r="U36" s="203">
        <v>0</v>
      </c>
      <c r="V36" s="203">
        <v>0</v>
      </c>
      <c r="W36" s="203">
        <v>0</v>
      </c>
      <c r="X36" s="203">
        <v>0</v>
      </c>
      <c r="Y36" s="203">
        <v>0</v>
      </c>
      <c r="Z36" s="203">
        <v>0</v>
      </c>
      <c r="AA36" s="203">
        <v>0</v>
      </c>
      <c r="AB36" s="203">
        <v>0</v>
      </c>
      <c r="AC36" s="203">
        <v>0</v>
      </c>
      <c r="AD36" s="203">
        <v>0</v>
      </c>
      <c r="AE36" s="203">
        <v>0</v>
      </c>
      <c r="AF36" s="203">
        <v>0</v>
      </c>
      <c r="AG36" s="198"/>
      <c r="AH36" s="246" t="s">
        <v>275</v>
      </c>
      <c r="AI36" s="279">
        <f t="shared" si="43"/>
        <v>0</v>
      </c>
      <c r="AJ36" s="279">
        <f t="shared" si="34"/>
        <v>0</v>
      </c>
      <c r="AK36" s="279">
        <f t="shared" si="35"/>
        <v>0</v>
      </c>
      <c r="AL36" s="279">
        <f t="shared" si="36"/>
        <v>0</v>
      </c>
      <c r="AM36" s="279">
        <f t="shared" si="36"/>
        <v>0</v>
      </c>
      <c r="AN36" s="279">
        <f t="shared" si="36"/>
        <v>0</v>
      </c>
      <c r="AO36" s="279">
        <f t="shared" si="44"/>
        <v>0</v>
      </c>
      <c r="AP36" s="279">
        <f t="shared" si="44"/>
        <v>0</v>
      </c>
      <c r="AQ36" s="279">
        <f t="shared" si="44"/>
        <v>0</v>
      </c>
      <c r="AR36" s="279">
        <f t="shared" si="45"/>
        <v>0</v>
      </c>
      <c r="AS36" s="279">
        <f t="shared" si="37"/>
        <v>0</v>
      </c>
      <c r="AT36" s="279">
        <f t="shared" si="38"/>
        <v>0</v>
      </c>
      <c r="AU36" s="279">
        <f t="shared" si="39"/>
        <v>0</v>
      </c>
      <c r="AV36" s="279">
        <f t="shared" si="39"/>
        <v>0</v>
      </c>
      <c r="AW36" s="279">
        <f t="shared" si="39"/>
        <v>0</v>
      </c>
    </row>
    <row r="37" spans="2:49" ht="13.5" customHeight="1" thickTop="1" thickBot="1" x14ac:dyDescent="0.3">
      <c r="D37" s="99" t="s">
        <v>185</v>
      </c>
      <c r="E37" s="280">
        <f t="shared" ref="E37:G37" si="47">SUM(E33:E36)</f>
        <v>0.47586465286973489</v>
      </c>
      <c r="F37" s="280">
        <f t="shared" si="47"/>
        <v>7.5316411852130338</v>
      </c>
      <c r="G37" s="280">
        <f t="shared" si="47"/>
        <v>19.250745652552585</v>
      </c>
      <c r="H37" s="280">
        <f>SUM(H33:H36)</f>
        <v>0.40242171078605588</v>
      </c>
      <c r="I37" s="280">
        <f t="shared" ref="I37:S37" si="48">SUM(I33:I36)</f>
        <v>4.0474597456491637</v>
      </c>
      <c r="J37" s="280">
        <f t="shared" si="48"/>
        <v>3.6584812266996525</v>
      </c>
      <c r="K37" s="280">
        <f t="shared" si="48"/>
        <v>1.4820891734159458E-2</v>
      </c>
      <c r="L37" s="280">
        <f t="shared" si="48"/>
        <v>1.9742601303612992</v>
      </c>
      <c r="M37" s="280">
        <f t="shared" si="48"/>
        <v>8.8920552991984483</v>
      </c>
      <c r="N37" s="280">
        <f t="shared" si="48"/>
        <v>5.8622050349519568E-2</v>
      </c>
      <c r="O37" s="280">
        <f t="shared" si="48"/>
        <v>1.5099213092025714</v>
      </c>
      <c r="P37" s="280">
        <f t="shared" si="48"/>
        <v>6.7002091266544834</v>
      </c>
      <c r="Q37" s="280">
        <f t="shared" si="48"/>
        <v>0</v>
      </c>
      <c r="R37" s="280">
        <f t="shared" si="48"/>
        <v>0</v>
      </c>
      <c r="S37" s="280">
        <f t="shared" si="48"/>
        <v>0</v>
      </c>
      <c r="U37" s="200"/>
      <c r="V37" s="200"/>
      <c r="W37" s="200"/>
      <c r="X37" s="200"/>
      <c r="Y37" s="200"/>
      <c r="Z37" s="200"/>
      <c r="AA37" s="200"/>
      <c r="AB37" s="200"/>
      <c r="AC37" s="200"/>
      <c r="AD37" s="200"/>
      <c r="AE37" s="200"/>
      <c r="AF37" s="200"/>
      <c r="AG37" s="201"/>
      <c r="AH37" s="247" t="s">
        <v>185</v>
      </c>
      <c r="AI37" s="199">
        <f>SUM(AI33:AI36)</f>
        <v>0.21889774032007805</v>
      </c>
      <c r="AJ37" s="199">
        <f t="shared" ref="AJ37:AT37" si="49">SUM(AJ33:AJ36)</f>
        <v>3.464554945197996</v>
      </c>
      <c r="AK37" s="199">
        <f t="shared" si="49"/>
        <v>8.8553430001741891</v>
      </c>
      <c r="AL37" s="199">
        <f t="shared" si="49"/>
        <v>0.18511398696158571</v>
      </c>
      <c r="AM37" s="199">
        <f t="shared" si="49"/>
        <v>1.8618314829986153</v>
      </c>
      <c r="AN37" s="199">
        <f t="shared" si="49"/>
        <v>1.6829013642818402</v>
      </c>
      <c r="AO37" s="199">
        <f t="shared" si="49"/>
        <v>6.8176101977133509E-3</v>
      </c>
      <c r="AP37" s="199">
        <f t="shared" si="49"/>
        <v>0.90815965996619763</v>
      </c>
      <c r="AQ37" s="199">
        <f t="shared" si="49"/>
        <v>4.090345437631286</v>
      </c>
      <c r="AR37" s="199">
        <f t="shared" si="49"/>
        <v>2.6966143160779003E-2</v>
      </c>
      <c r="AS37" s="199">
        <f t="shared" si="49"/>
        <v>0.69456380223318281</v>
      </c>
      <c r="AT37" s="199">
        <f t="shared" si="49"/>
        <v>3.0820961982610626</v>
      </c>
      <c r="AU37" s="199">
        <f t="shared" ref="AU37" si="50">SUM(AU33:AU36)</f>
        <v>0</v>
      </c>
      <c r="AV37" s="199">
        <f t="shared" ref="AV37" si="51">SUM(AV33:AV36)</f>
        <v>0</v>
      </c>
      <c r="AW37" s="199">
        <f t="shared" ref="AW37" si="52">SUM(AW33:AW36)</f>
        <v>0</v>
      </c>
    </row>
    <row r="38" spans="2:49" ht="13.5" customHeight="1" thickTop="1" x14ac:dyDescent="0.3">
      <c r="D38" s="202"/>
      <c r="E38" s="170"/>
      <c r="F38" s="170"/>
      <c r="G38" s="170"/>
      <c r="H38" s="203"/>
      <c r="I38" s="203"/>
      <c r="J38" s="203"/>
      <c r="K38" s="203"/>
      <c r="L38" s="203"/>
      <c r="M38" s="203"/>
      <c r="N38" s="203"/>
      <c r="O38" s="203"/>
      <c r="P38" s="203"/>
      <c r="Q38" s="203"/>
      <c r="R38" s="203"/>
      <c r="S38" s="203"/>
      <c r="T38" s="203"/>
      <c r="V38" s="1"/>
      <c r="W38" s="205"/>
      <c r="X38" s="205"/>
      <c r="Y38" s="205"/>
      <c r="Z38" s="205"/>
      <c r="AA38" s="198"/>
      <c r="AB38" s="198">
        <f>AJ37/ProjectedP205_Consumption!L68</f>
        <v>0.12338850978124825</v>
      </c>
      <c r="AC38" s="198">
        <f>AK37/ProjectedP205_Consumption!M68</f>
        <v>0.22649732111805704</v>
      </c>
      <c r="AD38" s="198"/>
      <c r="AE38" s="198"/>
      <c r="AF38" s="198"/>
      <c r="AG38" s="205"/>
      <c r="AH38" s="205"/>
      <c r="AI38" s="7"/>
      <c r="AJ38" s="7"/>
    </row>
    <row r="39" spans="2:49" ht="13.5" customHeight="1" x14ac:dyDescent="0.3">
      <c r="D39" s="202"/>
      <c r="K39" s="203"/>
      <c r="L39" s="203"/>
      <c r="M39" s="203"/>
      <c r="N39" s="203"/>
      <c r="O39" s="203"/>
      <c r="P39" s="203"/>
      <c r="Q39" s="203"/>
      <c r="R39" s="203"/>
      <c r="S39" s="203"/>
      <c r="T39" s="203"/>
      <c r="U39" s="203"/>
      <c r="V39" s="203"/>
      <c r="W39" s="203"/>
      <c r="Y39" s="1"/>
      <c r="Z39" s="205"/>
      <c r="AA39" s="205"/>
      <c r="AB39" s="205"/>
      <c r="AC39" s="205"/>
      <c r="AD39" s="205"/>
      <c r="AE39" s="205"/>
      <c r="AF39" s="205"/>
      <c r="AG39" s="205"/>
      <c r="AH39" s="205"/>
      <c r="AI39" s="205"/>
      <c r="AJ39" s="205"/>
      <c r="AK39" s="205"/>
      <c r="AL39" s="7"/>
      <c r="AM39" s="7"/>
    </row>
    <row r="40" spans="2:49" ht="13.5" customHeight="1" x14ac:dyDescent="0.3">
      <c r="D40" s="202"/>
      <c r="K40" s="203"/>
      <c r="L40" s="203"/>
      <c r="M40" s="203"/>
      <c r="N40" s="203"/>
      <c r="O40" s="203"/>
      <c r="P40" s="203"/>
      <c r="Q40" s="203"/>
      <c r="R40" s="203"/>
      <c r="S40" s="203"/>
      <c r="T40" s="203"/>
      <c r="U40" s="203"/>
      <c r="V40" s="203"/>
      <c r="X40" s="1"/>
      <c r="Y40" s="205"/>
      <c r="Z40" s="205"/>
      <c r="AA40" s="205"/>
      <c r="AB40" s="205"/>
      <c r="AC40" s="205"/>
      <c r="AD40" s="205"/>
      <c r="AE40" s="205"/>
      <c r="AF40" s="205"/>
      <c r="AG40" s="205"/>
      <c r="AH40" s="205"/>
      <c r="AI40" s="205"/>
      <c r="AJ40" s="205"/>
      <c r="AK40" s="7"/>
      <c r="AL40" s="7"/>
    </row>
    <row r="41" spans="2:49" ht="13.5" customHeight="1" x14ac:dyDescent="0.35">
      <c r="B41" s="29">
        <v>0</v>
      </c>
      <c r="C41" s="29" t="s">
        <v>42</v>
      </c>
      <c r="D41" s="28" t="s">
        <v>187</v>
      </c>
      <c r="K41" s="203"/>
      <c r="L41" s="203"/>
      <c r="M41" s="203"/>
      <c r="N41" s="203"/>
      <c r="O41" s="203"/>
      <c r="P41" s="203"/>
      <c r="Q41" s="203"/>
      <c r="R41" s="203"/>
      <c r="S41" s="203"/>
      <c r="T41" s="203"/>
      <c r="U41" s="203"/>
      <c r="V41" s="203"/>
      <c r="X41" s="1"/>
      <c r="Y41" s="205"/>
      <c r="Z41" s="205"/>
      <c r="AA41" s="205"/>
      <c r="AB41" s="205"/>
      <c r="AC41" s="205"/>
      <c r="AD41" s="205"/>
      <c r="AE41" s="205"/>
      <c r="AF41" s="205"/>
      <c r="AG41" s="205"/>
      <c r="AH41" s="205"/>
      <c r="AI41" s="205"/>
      <c r="AJ41" s="205"/>
      <c r="AK41" s="7"/>
      <c r="AL41" s="7"/>
    </row>
    <row r="42" spans="2:49" ht="13.5" customHeight="1" x14ac:dyDescent="0.3">
      <c r="D42" s="202"/>
      <c r="K42" s="203"/>
      <c r="L42" s="203"/>
      <c r="M42" s="203"/>
      <c r="N42" s="203"/>
      <c r="O42" s="203"/>
      <c r="P42" s="203"/>
      <c r="Q42" s="203"/>
      <c r="R42" s="203"/>
      <c r="S42" s="203"/>
      <c r="T42" s="203"/>
      <c r="U42" s="203"/>
      <c r="V42" s="203"/>
      <c r="X42" s="1"/>
      <c r="Y42" s="206"/>
      <c r="Z42" s="204"/>
      <c r="AA42" s="204"/>
      <c r="AB42" s="206"/>
      <c r="AC42" s="204"/>
      <c r="AD42" s="204"/>
      <c r="AE42" s="204"/>
      <c r="AF42" s="59"/>
      <c r="AG42" s="59"/>
      <c r="AH42" s="59"/>
      <c r="AI42" s="59"/>
      <c r="AJ42" s="59"/>
      <c r="AK42" s="7"/>
      <c r="AL42" s="7"/>
    </row>
    <row r="43" spans="2:49" ht="13.5" customHeight="1" x14ac:dyDescent="0.3">
      <c r="D43" s="32" t="s">
        <v>188</v>
      </c>
      <c r="E43" s="35"/>
      <c r="F43" s="35"/>
      <c r="G43" s="35"/>
      <c r="H43" s="203"/>
      <c r="I43" s="32" t="s">
        <v>188</v>
      </c>
      <c r="J43" s="203"/>
      <c r="K43" s="203"/>
      <c r="L43" s="203"/>
      <c r="M43" s="203"/>
      <c r="N43" s="203"/>
      <c r="O43" s="203"/>
      <c r="P43" s="203"/>
      <c r="R43" s="1"/>
      <c r="S43" s="202"/>
      <c r="T43" s="203"/>
      <c r="U43" s="203"/>
      <c r="V43" s="202"/>
      <c r="W43" s="203"/>
      <c r="X43" s="203"/>
      <c r="Y43" s="203"/>
      <c r="Z43" s="1"/>
      <c r="AA43" s="1"/>
      <c r="AB43" s="1"/>
      <c r="AC43" s="1"/>
      <c r="AD43" s="1"/>
    </row>
    <row r="44" spans="2:49" ht="13.5" customHeight="1" x14ac:dyDescent="0.3">
      <c r="D44" s="33" t="s">
        <v>180</v>
      </c>
      <c r="E44" s="36"/>
      <c r="F44" s="36"/>
      <c r="G44" s="36"/>
      <c r="H44" s="203"/>
      <c r="I44" s="33" t="s">
        <v>217</v>
      </c>
      <c r="J44" s="203"/>
      <c r="K44" s="203"/>
      <c r="L44" s="203"/>
      <c r="M44" s="203"/>
      <c r="N44" s="203"/>
      <c r="O44" s="203"/>
      <c r="P44" s="203"/>
      <c r="R44" s="1"/>
      <c r="S44" s="202"/>
      <c r="T44" s="203"/>
      <c r="U44" s="203"/>
      <c r="V44" s="202"/>
      <c r="W44" s="203"/>
      <c r="X44" s="203"/>
      <c r="Y44" s="203"/>
      <c r="Z44" s="1"/>
      <c r="AA44" s="1"/>
      <c r="AB44" s="1"/>
      <c r="AC44" s="1"/>
      <c r="AD44" s="1"/>
    </row>
    <row r="45" spans="2:49" s="7" customFormat="1" ht="13.5" customHeight="1" x14ac:dyDescent="0.3">
      <c r="D45" s="36"/>
      <c r="E45" s="36"/>
      <c r="F45" s="36"/>
      <c r="G45" s="36"/>
      <c r="H45" s="207"/>
      <c r="I45" s="207"/>
      <c r="J45" s="207"/>
      <c r="K45" s="207"/>
      <c r="L45" s="207"/>
      <c r="M45" s="207"/>
      <c r="N45" s="207"/>
      <c r="O45" s="207"/>
      <c r="P45" s="207"/>
      <c r="R45" s="59"/>
      <c r="S45" s="206"/>
      <c r="T45" s="207"/>
      <c r="U45" s="207"/>
      <c r="V45" s="206"/>
      <c r="W45" s="207"/>
      <c r="X45" s="207"/>
      <c r="Y45" s="207"/>
      <c r="Z45" s="59"/>
      <c r="AA45" s="59"/>
      <c r="AB45" s="59"/>
      <c r="AC45" s="59"/>
      <c r="AD45" s="59"/>
    </row>
    <row r="46" spans="2:49" ht="13.5" customHeight="1" x14ac:dyDescent="0.3">
      <c r="D46" s="30" t="s">
        <v>15</v>
      </c>
      <c r="E46" s="34">
        <v>2023</v>
      </c>
      <c r="F46" s="34">
        <v>2024</v>
      </c>
      <c r="G46" s="34">
        <v>2025</v>
      </c>
      <c r="H46" s="203"/>
      <c r="I46" s="30" t="s">
        <v>15</v>
      </c>
      <c r="J46" s="34">
        <v>2023</v>
      </c>
      <c r="K46" s="34">
        <v>2024</v>
      </c>
      <c r="L46" s="34">
        <v>2025</v>
      </c>
      <c r="M46" s="203"/>
      <c r="N46" s="203"/>
      <c r="O46" s="203"/>
      <c r="P46" s="203"/>
      <c r="R46" s="1"/>
      <c r="S46" s="202"/>
      <c r="T46" s="203"/>
      <c r="U46" s="203"/>
      <c r="V46" s="202"/>
      <c r="W46" s="203"/>
      <c r="X46" s="203"/>
      <c r="Y46" s="203"/>
      <c r="Z46" s="1"/>
      <c r="AA46" s="1"/>
      <c r="AB46" s="1"/>
      <c r="AC46" s="1"/>
      <c r="AD46" s="1"/>
    </row>
    <row r="47" spans="2:49" ht="13.5" customHeight="1" x14ac:dyDescent="0.35">
      <c r="D47" s="180" t="s">
        <v>272</v>
      </c>
      <c r="E47" s="1">
        <f>E21</f>
        <v>0</v>
      </c>
      <c r="F47" s="1">
        <f>F21</f>
        <v>0</v>
      </c>
      <c r="G47" s="1">
        <f>G21</f>
        <v>0</v>
      </c>
      <c r="H47" s="208"/>
      <c r="I47" s="180" t="s">
        <v>272</v>
      </c>
      <c r="J47" s="1">
        <f>OCPMarketShares!K12</f>
        <v>0</v>
      </c>
      <c r="K47" s="1">
        <f>OCPMarketShares!L12</f>
        <v>0</v>
      </c>
      <c r="L47" s="1">
        <f>OCPMarketShares!M12</f>
        <v>0</v>
      </c>
      <c r="M47" s="208"/>
      <c r="N47" s="208"/>
      <c r="O47" s="208"/>
      <c r="P47" s="208"/>
      <c r="R47" s="208"/>
      <c r="S47" s="208"/>
      <c r="T47" s="208"/>
      <c r="U47" s="208"/>
      <c r="V47" s="208"/>
      <c r="W47" s="208"/>
      <c r="X47" s="208"/>
      <c r="Y47" s="208"/>
      <c r="Z47" s="208"/>
      <c r="AA47" s="208"/>
      <c r="AB47" s="208"/>
      <c r="AC47" s="208"/>
      <c r="AD47" s="208"/>
    </row>
    <row r="48" spans="2:49" ht="13.5" customHeight="1" x14ac:dyDescent="0.35">
      <c r="D48" s="180" t="s">
        <v>273</v>
      </c>
      <c r="E48" s="1">
        <f t="shared" ref="E48:G50" si="53">E22</f>
        <v>0.46528719595884332</v>
      </c>
      <c r="F48" s="1">
        <f t="shared" si="53"/>
        <v>1.3350657620819184</v>
      </c>
      <c r="G48" s="1">
        <f t="shared" si="53"/>
        <v>0</v>
      </c>
      <c r="H48" s="208"/>
      <c r="I48" s="180" t="s">
        <v>273</v>
      </c>
      <c r="J48" s="1">
        <f>OCPMarketShares!K13</f>
        <v>0.2140321101410679</v>
      </c>
      <c r="K48" s="1">
        <f>OCPMarketShares!L13</f>
        <v>0.61413025055768256</v>
      </c>
      <c r="L48" s="1">
        <f>OCPMarketShares!M13</f>
        <v>0</v>
      </c>
      <c r="M48" s="208"/>
      <c r="N48" s="208"/>
      <c r="O48" s="208"/>
      <c r="P48" s="208"/>
      <c r="R48" s="208"/>
      <c r="S48" s="208"/>
      <c r="T48" s="208"/>
      <c r="U48" s="208"/>
      <c r="V48" s="208"/>
      <c r="W48" s="208"/>
      <c r="X48" s="208"/>
      <c r="Y48" s="208"/>
      <c r="Z48" s="208"/>
      <c r="AA48" s="208"/>
      <c r="AB48" s="208"/>
      <c r="AC48" s="208"/>
      <c r="AD48" s="208"/>
    </row>
    <row r="49" spans="4:36" ht="13.5" customHeight="1" x14ac:dyDescent="0.35">
      <c r="D49" s="180" t="s">
        <v>274</v>
      </c>
      <c r="E49" s="1">
        <f t="shared" si="53"/>
        <v>0</v>
      </c>
      <c r="F49" s="1">
        <f t="shared" si="53"/>
        <v>3.2623597676976193</v>
      </c>
      <c r="G49" s="1">
        <f t="shared" si="53"/>
        <v>10.661429355729936</v>
      </c>
      <c r="H49" s="203"/>
      <c r="I49" s="180" t="s">
        <v>274</v>
      </c>
      <c r="J49" s="1">
        <f>OCPMarketShares!K14</f>
        <v>0</v>
      </c>
      <c r="K49" s="1">
        <f>OCPMarketShares!L14</f>
        <v>1.5006854931409055</v>
      </c>
      <c r="L49" s="1">
        <f>OCPMarketShares!M14</f>
        <v>4.904257503635769</v>
      </c>
      <c r="M49" s="203"/>
      <c r="N49" s="203"/>
      <c r="O49" s="203"/>
      <c r="P49" s="203"/>
      <c r="R49" s="1"/>
      <c r="S49" s="202"/>
      <c r="T49" s="203"/>
      <c r="U49" s="203"/>
      <c r="V49" s="202"/>
      <c r="W49" s="203"/>
      <c r="X49" s="203"/>
      <c r="Y49" s="203"/>
      <c r="Z49" s="1"/>
      <c r="AA49" s="1"/>
      <c r="AB49" s="1"/>
      <c r="AC49" s="1"/>
      <c r="AD49" s="1"/>
    </row>
    <row r="50" spans="4:36" ht="13.5" customHeight="1" thickBot="1" x14ac:dyDescent="0.4">
      <c r="D50" s="180" t="s">
        <v>275</v>
      </c>
      <c r="E50" s="1">
        <f t="shared" si="53"/>
        <v>0</v>
      </c>
      <c r="F50" s="1">
        <f t="shared" si="53"/>
        <v>0</v>
      </c>
      <c r="G50" s="1">
        <f t="shared" si="53"/>
        <v>0</v>
      </c>
      <c r="H50" s="203"/>
      <c r="I50" s="180" t="s">
        <v>275</v>
      </c>
      <c r="J50" s="1">
        <f>OCPMarketShares!K15</f>
        <v>0</v>
      </c>
      <c r="K50" s="1">
        <f>OCPMarketShares!L15</f>
        <v>0</v>
      </c>
      <c r="L50" s="1">
        <f>OCPMarketShares!M15</f>
        <v>0</v>
      </c>
      <c r="M50" s="203"/>
      <c r="N50" s="203"/>
      <c r="O50" s="203"/>
      <c r="P50" s="203"/>
      <c r="R50" s="1"/>
      <c r="S50" s="202"/>
      <c r="T50" s="203"/>
      <c r="U50" s="203"/>
      <c r="V50" s="202"/>
      <c r="W50" s="203"/>
      <c r="X50" s="203"/>
      <c r="Y50" s="203"/>
      <c r="Z50" s="1"/>
      <c r="AA50" s="1"/>
      <c r="AB50" s="1"/>
      <c r="AC50" s="1"/>
      <c r="AD50" s="1"/>
    </row>
    <row r="51" spans="4:36" ht="13.5" customHeight="1" thickTop="1" thickBot="1" x14ac:dyDescent="0.35">
      <c r="D51" s="99" t="s">
        <v>185</v>
      </c>
      <c r="E51" s="199">
        <f>SUM(E47:E50)</f>
        <v>0.46528719595884332</v>
      </c>
      <c r="F51" s="199">
        <f t="shared" ref="F51:G51" si="54">SUM(F47:F50)</f>
        <v>4.5974255297795379</v>
      </c>
      <c r="G51" s="199">
        <f t="shared" si="54"/>
        <v>10.661429355729936</v>
      </c>
      <c r="H51" s="203"/>
      <c r="I51" s="99" t="s">
        <v>185</v>
      </c>
      <c r="J51" s="199">
        <f>SUM(J47:J50)</f>
        <v>0.2140321101410679</v>
      </c>
      <c r="K51" s="199">
        <f t="shared" ref="K51:L51" si="55">SUM(K47:K50)</f>
        <v>2.1148157436985882</v>
      </c>
      <c r="L51" s="199">
        <f t="shared" si="55"/>
        <v>4.904257503635769</v>
      </c>
      <c r="M51" s="203"/>
      <c r="N51" s="203"/>
      <c r="O51" s="203"/>
      <c r="P51" s="203"/>
      <c r="R51" s="1"/>
      <c r="S51" s="202"/>
      <c r="T51" s="203"/>
      <c r="U51" s="203"/>
      <c r="V51" s="202"/>
      <c r="W51" s="203"/>
      <c r="X51" s="203"/>
      <c r="Y51" s="203"/>
      <c r="Z51" s="1"/>
      <c r="AA51" s="1"/>
      <c r="AB51" s="1"/>
      <c r="AC51" s="1"/>
      <c r="AD51" s="1"/>
    </row>
    <row r="52" spans="4:36" ht="13.5" customHeight="1" thickTop="1" x14ac:dyDescent="0.25">
      <c r="D52" s="1"/>
      <c r="E52" s="1"/>
      <c r="F52" s="1"/>
      <c r="G52" s="1"/>
      <c r="H52" s="208"/>
      <c r="I52" s="208"/>
      <c r="J52" s="208"/>
      <c r="K52" s="208"/>
      <c r="L52" s="208"/>
      <c r="M52" s="208"/>
      <c r="N52" s="208"/>
      <c r="O52" s="208"/>
      <c r="P52" s="208"/>
      <c r="R52" s="208"/>
      <c r="S52" s="208"/>
      <c r="T52" s="208"/>
      <c r="U52" s="208"/>
      <c r="V52" s="208"/>
      <c r="W52" s="208"/>
      <c r="X52" s="208"/>
      <c r="Y52" s="208"/>
      <c r="Z52" s="208"/>
      <c r="AA52" s="208"/>
      <c r="AB52" s="208"/>
      <c r="AC52" s="208"/>
      <c r="AD52" s="208"/>
    </row>
    <row r="53" spans="4:36" ht="13.5" customHeight="1" x14ac:dyDescent="0.3">
      <c r="D53" s="32" t="s">
        <v>188</v>
      </c>
      <c r="E53" s="35"/>
      <c r="F53" s="35"/>
      <c r="G53" s="35"/>
      <c r="H53" s="203"/>
      <c r="I53" s="203"/>
      <c r="J53" s="203"/>
      <c r="K53" s="203"/>
      <c r="L53" s="203"/>
      <c r="M53" s="203"/>
      <c r="N53" s="203"/>
      <c r="O53" s="203"/>
      <c r="P53" s="203"/>
      <c r="R53" s="1"/>
      <c r="S53" s="202"/>
      <c r="T53" s="203"/>
      <c r="U53" s="203"/>
      <c r="V53" s="202"/>
      <c r="W53" s="203"/>
      <c r="X53" s="203"/>
      <c r="Y53" s="203"/>
      <c r="Z53" s="1"/>
      <c r="AA53" s="1"/>
      <c r="AB53" s="1"/>
      <c r="AC53" s="1"/>
      <c r="AD53" s="1"/>
    </row>
    <row r="54" spans="4:36" ht="13.5" customHeight="1" x14ac:dyDescent="0.3">
      <c r="D54" s="33" t="s">
        <v>180</v>
      </c>
      <c r="E54" s="36"/>
      <c r="F54" s="36"/>
      <c r="G54" s="36"/>
      <c r="H54" s="203"/>
      <c r="I54" s="203"/>
      <c r="J54" s="203"/>
      <c r="K54" s="203"/>
      <c r="L54" s="203"/>
      <c r="M54" s="203"/>
      <c r="N54" s="203"/>
      <c r="O54" s="203"/>
      <c r="P54" s="203"/>
      <c r="R54" s="1"/>
      <c r="S54" s="202"/>
      <c r="T54" s="203"/>
      <c r="U54" s="203"/>
      <c r="V54" s="202"/>
      <c r="W54" s="203"/>
      <c r="X54" s="203"/>
      <c r="Y54" s="203"/>
      <c r="Z54" s="1"/>
      <c r="AA54" s="1"/>
      <c r="AB54" s="1"/>
      <c r="AC54" s="1"/>
      <c r="AD54" s="1"/>
    </row>
    <row r="55" spans="4:36" ht="13.5" customHeight="1" x14ac:dyDescent="0.3">
      <c r="D55" s="36"/>
      <c r="E55" s="36"/>
      <c r="F55" s="36"/>
      <c r="G55" s="36"/>
      <c r="H55" s="203"/>
      <c r="I55" s="203"/>
      <c r="J55" s="203"/>
      <c r="K55" s="203"/>
      <c r="L55" s="203"/>
      <c r="M55" s="203"/>
      <c r="N55" s="203"/>
      <c r="O55" s="203"/>
      <c r="P55" s="203"/>
      <c r="R55" s="1"/>
      <c r="S55" s="202"/>
      <c r="T55" s="203"/>
      <c r="U55" s="203"/>
      <c r="V55" s="202"/>
      <c r="W55" s="203"/>
      <c r="X55" s="203"/>
      <c r="Y55" s="203"/>
      <c r="Z55" s="1"/>
      <c r="AA55" s="1"/>
      <c r="AB55" s="1"/>
      <c r="AC55" s="1"/>
      <c r="AD55" s="1"/>
    </row>
    <row r="56" spans="4:36" ht="13.5" customHeight="1" x14ac:dyDescent="0.3">
      <c r="D56" s="30" t="s">
        <v>189</v>
      </c>
      <c r="E56" s="34">
        <v>2023</v>
      </c>
      <c r="F56" s="34">
        <v>2024</v>
      </c>
      <c r="G56" s="34">
        <v>2025</v>
      </c>
      <c r="H56" s="203"/>
      <c r="I56" s="30" t="s">
        <v>15</v>
      </c>
      <c r="J56" s="34">
        <v>2023</v>
      </c>
      <c r="K56" s="34">
        <v>2024</v>
      </c>
      <c r="L56" s="34">
        <v>2025</v>
      </c>
      <c r="M56" s="203"/>
      <c r="N56" s="203"/>
      <c r="O56" s="203"/>
      <c r="P56" s="203"/>
      <c r="R56" s="1"/>
      <c r="S56" s="202"/>
      <c r="T56" s="203"/>
      <c r="U56" s="203"/>
      <c r="V56" s="202"/>
      <c r="W56" s="203"/>
      <c r="X56" s="203"/>
      <c r="Y56" s="203"/>
      <c r="Z56" s="1"/>
      <c r="AA56" s="1"/>
      <c r="AB56" s="1"/>
      <c r="AC56" s="1"/>
      <c r="AD56" s="1"/>
    </row>
    <row r="57" spans="4:36" ht="13.5" customHeight="1" x14ac:dyDescent="0.35">
      <c r="D57" s="180" t="s">
        <v>272</v>
      </c>
      <c r="E57" s="1">
        <f>E33</f>
        <v>0</v>
      </c>
      <c r="F57" s="1">
        <f>F33</f>
        <v>0</v>
      </c>
      <c r="G57" s="1">
        <f>G33</f>
        <v>0</v>
      </c>
      <c r="H57" s="208"/>
      <c r="I57" s="180" t="s">
        <v>272</v>
      </c>
      <c r="J57" s="1">
        <f>OCPMarketShares!K23</f>
        <v>0</v>
      </c>
      <c r="K57" s="1">
        <f>OCPMarketShares!L23</f>
        <v>0</v>
      </c>
      <c r="L57" s="1">
        <f>OCPMarketShares!M23</f>
        <v>0</v>
      </c>
      <c r="M57" s="208"/>
      <c r="N57" s="208"/>
      <c r="O57" s="208"/>
      <c r="P57" s="208"/>
      <c r="R57" s="208"/>
      <c r="S57" s="208"/>
      <c r="T57" s="208"/>
      <c r="U57" s="208"/>
      <c r="V57" s="208"/>
      <c r="W57" s="208"/>
      <c r="X57" s="208"/>
      <c r="Y57" s="208"/>
      <c r="Z57" s="208"/>
      <c r="AA57" s="208"/>
      <c r="AB57" s="208"/>
      <c r="AC57" s="208"/>
      <c r="AD57" s="208"/>
    </row>
    <row r="58" spans="4:36" ht="13.5" customHeight="1" x14ac:dyDescent="0.35">
      <c r="D58" s="180" t="s">
        <v>273</v>
      </c>
      <c r="E58" s="1">
        <f t="shared" ref="E58:G60" si="56">E34</f>
        <v>0.47586465286973489</v>
      </c>
      <c r="F58" s="1">
        <f t="shared" si="56"/>
        <v>2.2255858721195612</v>
      </c>
      <c r="G58" s="1">
        <f t="shared" si="56"/>
        <v>0</v>
      </c>
      <c r="H58" s="208"/>
      <c r="I58" s="180" t="s">
        <v>273</v>
      </c>
      <c r="J58" s="1">
        <f>OCPMarketShares!K24</f>
        <v>0.2140321101410679</v>
      </c>
      <c r="K58" s="1">
        <f>OCPMarketShares!L24</f>
        <v>0.98274485441883586</v>
      </c>
      <c r="L58" s="1">
        <f>OCPMarketShares!M24</f>
        <v>0</v>
      </c>
      <c r="M58" s="208"/>
      <c r="N58" s="208"/>
      <c r="O58" s="208"/>
      <c r="P58" s="208"/>
      <c r="R58" s="208"/>
      <c r="S58" s="208"/>
      <c r="T58" s="208"/>
      <c r="U58" s="208"/>
      <c r="V58" s="208"/>
      <c r="W58" s="208"/>
      <c r="X58" s="208"/>
      <c r="Y58" s="208"/>
      <c r="Z58" s="208"/>
      <c r="AA58" s="208"/>
      <c r="AB58" s="208"/>
      <c r="AC58" s="208"/>
      <c r="AD58" s="208"/>
    </row>
    <row r="59" spans="4:36" ht="13.5" customHeight="1" x14ac:dyDescent="0.35">
      <c r="D59" s="180" t="s">
        <v>274</v>
      </c>
      <c r="E59" s="1">
        <f t="shared" si="56"/>
        <v>0</v>
      </c>
      <c r="F59" s="1">
        <f t="shared" si="56"/>
        <v>5.3060553130934727</v>
      </c>
      <c r="G59" s="1">
        <f t="shared" si="56"/>
        <v>19.250745652552585</v>
      </c>
      <c r="H59" s="203"/>
      <c r="I59" s="180" t="s">
        <v>274</v>
      </c>
      <c r="J59" s="1">
        <f>OCPMarketShares!K25</f>
        <v>0</v>
      </c>
      <c r="K59" s="1">
        <f>OCPMarketShares!L25</f>
        <v>2.4407854440229975</v>
      </c>
      <c r="L59" s="1">
        <f>OCPMarketShares!M25</f>
        <v>8.8553430001741855</v>
      </c>
      <c r="M59" s="203"/>
      <c r="N59" s="203"/>
      <c r="O59" s="203"/>
      <c r="P59" s="203"/>
      <c r="R59" s="1"/>
      <c r="S59" s="202"/>
      <c r="T59" s="203"/>
      <c r="U59" s="203"/>
      <c r="V59" s="202"/>
      <c r="W59" s="203"/>
      <c r="X59" s="203"/>
      <c r="Y59" s="203"/>
      <c r="Z59" s="1"/>
      <c r="AA59" s="1"/>
      <c r="AB59" s="1"/>
      <c r="AC59" s="1"/>
      <c r="AD59" s="1"/>
    </row>
    <row r="60" spans="4:36" ht="13.5" customHeight="1" thickBot="1" x14ac:dyDescent="0.4">
      <c r="D60" s="180" t="s">
        <v>275</v>
      </c>
      <c r="E60" s="1">
        <f t="shared" si="56"/>
        <v>0</v>
      </c>
      <c r="F60" s="1">
        <f t="shared" si="56"/>
        <v>0</v>
      </c>
      <c r="G60" s="1">
        <f t="shared" si="56"/>
        <v>0</v>
      </c>
      <c r="H60" s="203"/>
      <c r="I60" s="180" t="s">
        <v>275</v>
      </c>
      <c r="J60" s="1">
        <f>OCPMarketShares!K26</f>
        <v>0</v>
      </c>
      <c r="K60" s="1">
        <f>OCPMarketShares!L26</f>
        <v>0</v>
      </c>
      <c r="L60" s="1">
        <f>OCPMarketShares!M26</f>
        <v>0</v>
      </c>
      <c r="M60" s="203"/>
      <c r="N60" s="203"/>
      <c r="O60" s="203"/>
      <c r="P60" s="203"/>
      <c r="R60" s="1"/>
      <c r="S60" s="202"/>
      <c r="T60" s="203"/>
      <c r="U60" s="203"/>
      <c r="V60" s="202"/>
      <c r="W60" s="203"/>
      <c r="X60" s="203"/>
      <c r="Y60" s="203"/>
      <c r="Z60" s="1"/>
      <c r="AA60" s="1"/>
      <c r="AB60" s="1"/>
      <c r="AC60" s="1"/>
      <c r="AD60" s="1"/>
    </row>
    <row r="61" spans="4:36" ht="13.5" customHeight="1" thickTop="1" thickBot="1" x14ac:dyDescent="0.35">
      <c r="D61" s="99" t="s">
        <v>185</v>
      </c>
      <c r="E61" s="199">
        <f>SUM(E57:E60)</f>
        <v>0.47586465286973489</v>
      </c>
      <c r="F61" s="199">
        <f t="shared" ref="F61:G61" si="57">SUM(F57:F60)</f>
        <v>7.5316411852130338</v>
      </c>
      <c r="G61" s="199">
        <f t="shared" si="57"/>
        <v>19.250745652552585</v>
      </c>
      <c r="H61" s="203"/>
      <c r="I61" s="99" t="s">
        <v>185</v>
      </c>
      <c r="J61" s="199">
        <f>SUM(J57:J60)</f>
        <v>0.2140321101410679</v>
      </c>
      <c r="K61" s="199">
        <f t="shared" ref="K61:L61" si="58">SUM(K57:K60)</f>
        <v>3.4235302984418334</v>
      </c>
      <c r="L61" s="199">
        <f t="shared" si="58"/>
        <v>8.8553430001741855</v>
      </c>
      <c r="M61" s="203"/>
      <c r="N61" s="203"/>
      <c r="O61" s="203"/>
      <c r="P61" s="203"/>
      <c r="R61" s="1"/>
      <c r="S61" s="202"/>
      <c r="T61" s="203"/>
      <c r="U61" s="203"/>
      <c r="V61" s="202"/>
      <c r="W61" s="203"/>
      <c r="X61" s="203"/>
      <c r="Y61" s="203"/>
      <c r="Z61" s="1"/>
      <c r="AA61" s="1"/>
      <c r="AB61" s="1"/>
      <c r="AC61" s="1"/>
      <c r="AD61" s="1"/>
    </row>
    <row r="62" spans="4:36" ht="13.5" customHeight="1" thickTop="1" x14ac:dyDescent="0.3">
      <c r="D62" s="7"/>
      <c r="E62" s="7"/>
      <c r="F62" s="7"/>
      <c r="G62" s="7"/>
      <c r="H62" s="7"/>
      <c r="I62" s="7"/>
      <c r="J62" s="7"/>
      <c r="K62" s="7"/>
      <c r="L62" s="7"/>
      <c r="M62" s="209"/>
      <c r="N62" s="203"/>
      <c r="O62" s="203"/>
      <c r="P62" s="203"/>
      <c r="Q62" s="203"/>
      <c r="R62" s="203"/>
      <c r="S62" s="203"/>
      <c r="T62" s="203"/>
      <c r="U62" s="203"/>
      <c r="V62" s="203"/>
      <c r="X62" s="1"/>
      <c r="Y62" s="202"/>
      <c r="Z62" s="203"/>
      <c r="AA62" s="203"/>
      <c r="AB62" s="202"/>
      <c r="AC62" s="203"/>
      <c r="AD62" s="203"/>
      <c r="AE62" s="203"/>
      <c r="AF62" s="1"/>
      <c r="AG62" s="1"/>
      <c r="AH62" s="1"/>
      <c r="AI62" s="1"/>
      <c r="AJ62" s="1"/>
    </row>
    <row r="63" spans="4:36" ht="13.5" customHeight="1" x14ac:dyDescent="0.3">
      <c r="D63" s="7"/>
      <c r="E63" s="7"/>
      <c r="F63" s="7"/>
      <c r="G63" s="7"/>
      <c r="H63" s="7"/>
      <c r="I63" s="7"/>
      <c r="J63" s="7"/>
      <c r="K63" s="209"/>
      <c r="L63" s="209"/>
      <c r="M63" s="209"/>
      <c r="N63" s="203"/>
      <c r="O63" s="203"/>
      <c r="P63" s="203"/>
      <c r="Q63" s="203"/>
      <c r="R63" s="203"/>
      <c r="S63" s="203"/>
      <c r="T63" s="203"/>
      <c r="U63" s="203"/>
      <c r="V63" s="203"/>
      <c r="X63" s="1"/>
      <c r="Y63" s="202"/>
      <c r="Z63" s="203"/>
      <c r="AA63" s="203"/>
      <c r="AB63" s="202"/>
      <c r="AC63" s="203"/>
      <c r="AD63" s="203"/>
      <c r="AE63" s="203"/>
      <c r="AF63" s="1"/>
      <c r="AG63" s="1"/>
      <c r="AH63" s="1"/>
      <c r="AI63" s="1"/>
      <c r="AJ63" s="1"/>
    </row>
    <row r="64" spans="4:36" ht="13.5" customHeight="1" x14ac:dyDescent="0.3">
      <c r="D64" s="7"/>
      <c r="E64" s="7"/>
      <c r="F64" s="7"/>
      <c r="G64" s="7"/>
      <c r="H64" s="7"/>
      <c r="I64" s="7"/>
      <c r="J64" s="7"/>
      <c r="K64" s="209"/>
      <c r="L64" s="209"/>
      <c r="M64" s="209"/>
      <c r="N64" s="203"/>
      <c r="O64" s="203"/>
      <c r="P64" s="203"/>
      <c r="Q64" s="203"/>
      <c r="R64" s="203"/>
      <c r="S64" s="203"/>
      <c r="T64" s="203"/>
      <c r="U64" s="203"/>
      <c r="V64" s="203"/>
      <c r="X64" s="1"/>
      <c r="Y64" s="202"/>
      <c r="Z64" s="203"/>
      <c r="AA64" s="203"/>
      <c r="AB64" s="202"/>
      <c r="AC64" s="203"/>
      <c r="AD64" s="203"/>
      <c r="AE64" s="203"/>
      <c r="AF64" s="1"/>
      <c r="AG64" s="1"/>
      <c r="AH64" s="1"/>
      <c r="AI64" s="1"/>
      <c r="AJ64" s="1"/>
    </row>
    <row r="65" spans="2:36" ht="13.5" customHeight="1" x14ac:dyDescent="0.35">
      <c r="B65" s="29">
        <v>0</v>
      </c>
      <c r="C65" s="29" t="s">
        <v>190</v>
      </c>
      <c r="D65" s="28" t="s">
        <v>191</v>
      </c>
      <c r="E65" s="7"/>
      <c r="F65" s="7"/>
      <c r="G65" s="7"/>
      <c r="H65" s="7"/>
      <c r="I65" s="7"/>
      <c r="J65" s="7"/>
      <c r="K65" s="209"/>
      <c r="L65" s="209"/>
      <c r="M65" s="209"/>
      <c r="N65" s="203"/>
      <c r="O65" s="203"/>
      <c r="P65" s="203"/>
      <c r="Q65" s="203"/>
      <c r="R65" s="203"/>
      <c r="S65" s="203"/>
      <c r="T65" s="203"/>
      <c r="U65" s="203"/>
      <c r="V65" s="203"/>
      <c r="X65" s="1"/>
      <c r="Y65" s="202"/>
      <c r="Z65" s="203"/>
      <c r="AA65" s="203"/>
      <c r="AB65" s="202"/>
      <c r="AC65" s="203"/>
      <c r="AD65" s="203"/>
      <c r="AE65" s="203"/>
      <c r="AF65" s="1"/>
      <c r="AG65" s="1"/>
      <c r="AH65" s="1"/>
      <c r="AI65" s="1"/>
      <c r="AJ65" s="1"/>
    </row>
    <row r="66" spans="2:36" ht="13.5" customHeight="1" x14ac:dyDescent="0.3">
      <c r="D66" s="202"/>
      <c r="K66" s="203"/>
      <c r="L66" s="203"/>
      <c r="M66" s="203"/>
      <c r="N66" s="203"/>
      <c r="O66" s="203"/>
      <c r="P66" s="203"/>
      <c r="Q66" s="203"/>
      <c r="R66" s="203"/>
      <c r="S66" s="203"/>
      <c r="T66" s="203"/>
      <c r="U66" s="203"/>
      <c r="V66" s="203"/>
      <c r="X66" s="1"/>
      <c r="Y66" s="202"/>
      <c r="Z66" s="203"/>
      <c r="AA66" s="203"/>
      <c r="AB66" s="202"/>
      <c r="AC66" s="203"/>
      <c r="AD66" s="203"/>
      <c r="AE66" s="203"/>
      <c r="AF66" s="1"/>
      <c r="AG66" s="1"/>
      <c r="AH66" s="1"/>
      <c r="AI66" s="1"/>
      <c r="AJ66" s="1"/>
    </row>
    <row r="67" spans="2:36" ht="13.5" customHeight="1" x14ac:dyDescent="0.3">
      <c r="D67" s="32" t="s">
        <v>192</v>
      </c>
      <c r="E67" s="35"/>
      <c r="F67" s="35"/>
      <c r="G67" s="35"/>
      <c r="H67" s="203"/>
      <c r="I67" s="32" t="s">
        <v>192</v>
      </c>
      <c r="J67" s="203"/>
      <c r="K67" s="203"/>
      <c r="L67" s="203"/>
      <c r="M67" s="203"/>
      <c r="N67" s="203"/>
      <c r="O67" s="203"/>
      <c r="P67" s="203"/>
      <c r="R67" s="1"/>
      <c r="S67" s="202"/>
      <c r="T67" s="203"/>
      <c r="U67" s="203"/>
      <c r="V67" s="202"/>
      <c r="W67" s="203"/>
      <c r="X67" s="203"/>
      <c r="Y67" s="203"/>
      <c r="Z67" s="1"/>
      <c r="AA67" s="1"/>
      <c r="AB67" s="1"/>
      <c r="AC67" s="1"/>
      <c r="AD67" s="1"/>
    </row>
    <row r="68" spans="2:36" ht="13.5" customHeight="1" x14ac:dyDescent="0.3">
      <c r="D68" s="33" t="s">
        <v>180</v>
      </c>
      <c r="E68" s="36"/>
      <c r="F68" s="36"/>
      <c r="G68" s="36"/>
      <c r="H68" s="203"/>
      <c r="I68" s="33" t="s">
        <v>217</v>
      </c>
      <c r="J68" s="203"/>
      <c r="K68" s="203"/>
      <c r="L68" s="203"/>
      <c r="M68" s="203"/>
      <c r="N68" s="203"/>
      <c r="O68" s="203"/>
      <c r="P68" s="203"/>
      <c r="R68" s="1"/>
      <c r="S68" s="202"/>
      <c r="T68" s="203"/>
      <c r="U68" s="203"/>
      <c r="V68" s="202"/>
      <c r="W68" s="203"/>
      <c r="X68" s="203"/>
      <c r="Y68" s="203"/>
      <c r="Z68" s="1"/>
      <c r="AA68" s="1"/>
      <c r="AB68" s="1"/>
      <c r="AC68" s="1"/>
      <c r="AD68" s="1"/>
    </row>
    <row r="69" spans="2:36" s="7" customFormat="1" ht="13.5" customHeight="1" x14ac:dyDescent="0.3">
      <c r="D69" s="36"/>
      <c r="E69" s="36"/>
      <c r="F69" s="36"/>
      <c r="G69" s="36"/>
      <c r="H69" s="207"/>
      <c r="I69" s="36"/>
      <c r="J69" s="207"/>
      <c r="K69" s="207"/>
      <c r="L69" s="207"/>
      <c r="M69" s="207"/>
      <c r="N69" s="207"/>
      <c r="O69" s="207"/>
      <c r="P69" s="207"/>
      <c r="R69" s="59"/>
      <c r="S69" s="206"/>
      <c r="T69" s="207"/>
      <c r="U69" s="207"/>
      <c r="V69" s="206"/>
      <c r="W69" s="207"/>
      <c r="X69" s="207"/>
      <c r="Y69" s="207"/>
      <c r="Z69" s="59"/>
      <c r="AA69" s="59"/>
      <c r="AB69" s="59"/>
      <c r="AC69" s="59"/>
      <c r="AD69" s="59"/>
    </row>
    <row r="70" spans="2:36" ht="13.5" customHeight="1" x14ac:dyDescent="0.3">
      <c r="D70" s="30" t="s">
        <v>15</v>
      </c>
      <c r="E70" s="34">
        <v>2023</v>
      </c>
      <c r="F70" s="34">
        <v>2024</v>
      </c>
      <c r="G70" s="34">
        <v>2025</v>
      </c>
      <c r="H70" s="203"/>
      <c r="I70" s="30" t="s">
        <v>15</v>
      </c>
      <c r="J70" s="34">
        <v>2023</v>
      </c>
      <c r="K70" s="34">
        <v>2024</v>
      </c>
      <c r="L70" s="34">
        <v>2025</v>
      </c>
      <c r="M70" s="203"/>
      <c r="N70" s="203"/>
      <c r="O70" s="203"/>
      <c r="P70" s="203"/>
      <c r="R70" s="1"/>
      <c r="S70" s="202"/>
      <c r="T70" s="203"/>
      <c r="U70" s="203"/>
      <c r="V70" s="202"/>
      <c r="W70" s="203"/>
      <c r="X70" s="203"/>
      <c r="Y70" s="203"/>
      <c r="Z70" s="1"/>
      <c r="AA70" s="1"/>
      <c r="AB70" s="1"/>
      <c r="AC70" s="1"/>
      <c r="AD70" s="1"/>
    </row>
    <row r="71" spans="2:36" ht="13.5" customHeight="1" x14ac:dyDescent="0.25">
      <c r="D71" s="1" t="s">
        <v>182</v>
      </c>
      <c r="E71" s="1">
        <f>X181+X242</f>
        <v>0.40242171078605588</v>
      </c>
      <c r="F71" s="1">
        <f t="shared" ref="F71:G71" si="59">Y181+Y242</f>
        <v>2.5284574554391988</v>
      </c>
      <c r="G71" s="1">
        <f t="shared" si="59"/>
        <v>1.6474356320721781</v>
      </c>
      <c r="H71" s="208"/>
      <c r="I71" s="1" t="s">
        <v>182</v>
      </c>
      <c r="J71" s="1">
        <f>E71*$K$11</f>
        <v>0.18511398696158571</v>
      </c>
      <c r="K71" s="1">
        <f t="shared" ref="K71:L72" si="60">F71*$K$11</f>
        <v>1.1630904295020315</v>
      </c>
      <c r="L71" s="1">
        <f t="shared" si="60"/>
        <v>0.75782039075320196</v>
      </c>
      <c r="M71" s="208"/>
      <c r="N71" s="208"/>
      <c r="O71" s="208"/>
      <c r="P71" s="208"/>
      <c r="R71" s="208"/>
      <c r="S71" s="208"/>
      <c r="T71" s="208"/>
      <c r="U71" s="208"/>
      <c r="V71" s="208"/>
      <c r="W71" s="208"/>
      <c r="X71" s="208"/>
      <c r="Y71" s="208"/>
      <c r="Z71" s="208"/>
      <c r="AA71" s="208"/>
      <c r="AB71" s="208"/>
      <c r="AC71" s="208"/>
      <c r="AD71" s="208"/>
    </row>
    <row r="72" spans="2:36" ht="13.5" customHeight="1" x14ac:dyDescent="0.3">
      <c r="D72" s="1" t="s">
        <v>183</v>
      </c>
      <c r="E72" s="1">
        <f>AA181+AA242</f>
        <v>1.4820891734159458E-2</v>
      </c>
      <c r="F72" s="1">
        <f t="shared" ref="F72:G72" si="61">AB181+AB242</f>
        <v>0.84585521370553118</v>
      </c>
      <c r="G72" s="1">
        <f t="shared" si="61"/>
        <v>3.1707163618915484</v>
      </c>
      <c r="H72" s="203"/>
      <c r="I72" s="1" t="s">
        <v>183</v>
      </c>
      <c r="J72" s="1">
        <f>E72*$K$11</f>
        <v>6.8176101977133509E-3</v>
      </c>
      <c r="K72" s="1">
        <f t="shared" si="60"/>
        <v>0.38909339830454437</v>
      </c>
      <c r="L72" s="1">
        <f t="shared" si="60"/>
        <v>1.4585295264701124</v>
      </c>
      <c r="M72" s="203"/>
      <c r="N72" s="203"/>
      <c r="O72" s="203"/>
      <c r="P72" s="203"/>
      <c r="R72" s="1"/>
      <c r="S72" s="202"/>
      <c r="T72" s="203"/>
      <c r="U72" s="203"/>
      <c r="V72" s="202"/>
      <c r="W72" s="203"/>
      <c r="X72" s="203"/>
      <c r="Y72" s="203"/>
      <c r="Z72" s="1"/>
      <c r="AA72" s="1"/>
      <c r="AB72" s="1"/>
      <c r="AC72" s="1"/>
      <c r="AD72" s="1"/>
    </row>
    <row r="73" spans="2:36" ht="13.5" customHeight="1" x14ac:dyDescent="0.3">
      <c r="D73" s="1" t="s">
        <v>321</v>
      </c>
      <c r="E73" s="1">
        <f>AD181+AD242</f>
        <v>4.8044593438627992E-2</v>
      </c>
      <c r="F73" s="1">
        <f t="shared" ref="F73:G73" si="62">AE181+AE242</f>
        <v>1.2231128606348076</v>
      </c>
      <c r="G73" s="1">
        <f t="shared" si="62"/>
        <v>5.8432773617662086</v>
      </c>
      <c r="H73" s="203"/>
      <c r="I73" s="1" t="s">
        <v>321</v>
      </c>
      <c r="J73" s="1">
        <f>E73*$K$12</f>
        <v>2.2100512981768877E-2</v>
      </c>
      <c r="K73" s="1">
        <f t="shared" ref="K73:L73" si="63">F73*$K$12</f>
        <v>0.56263191589201156</v>
      </c>
      <c r="L73" s="1">
        <f t="shared" si="63"/>
        <v>2.687907586412456</v>
      </c>
      <c r="M73" s="203"/>
      <c r="N73" s="203"/>
      <c r="O73" s="203"/>
      <c r="P73" s="203"/>
      <c r="R73" s="1"/>
      <c r="S73" s="202"/>
      <c r="T73" s="203"/>
      <c r="U73" s="203"/>
      <c r="V73" s="202"/>
      <c r="W73" s="203"/>
      <c r="X73" s="203"/>
      <c r="Y73" s="203"/>
      <c r="Z73" s="1"/>
      <c r="AA73" s="1"/>
      <c r="AB73" s="1"/>
      <c r="AC73" s="1"/>
      <c r="AD73" s="1"/>
    </row>
    <row r="74" spans="2:36" ht="13.5" customHeight="1" thickBot="1" x14ac:dyDescent="0.35">
      <c r="D74" s="1" t="s">
        <v>257</v>
      </c>
      <c r="E74" s="1">
        <f>AG181+AG242</f>
        <v>0</v>
      </c>
      <c r="F74" s="1">
        <f t="shared" ref="F74:G74" si="64">AH181+AH242</f>
        <v>0</v>
      </c>
      <c r="G74" s="1">
        <f t="shared" si="64"/>
        <v>0</v>
      </c>
      <c r="H74" s="203"/>
      <c r="I74" s="1" t="s">
        <v>257</v>
      </c>
      <c r="J74" s="1">
        <f>E74*$K$15</f>
        <v>0</v>
      </c>
      <c r="K74" s="1">
        <f t="shared" ref="K74:L74" si="65">F74*$K$15</f>
        <v>0</v>
      </c>
      <c r="L74" s="1">
        <f t="shared" si="65"/>
        <v>0</v>
      </c>
      <c r="M74" s="203"/>
      <c r="N74" s="203"/>
      <c r="O74" s="203"/>
      <c r="P74" s="203"/>
      <c r="R74" s="1"/>
      <c r="S74" s="202"/>
      <c r="T74" s="203"/>
      <c r="U74" s="203"/>
      <c r="V74" s="202"/>
      <c r="W74" s="203"/>
      <c r="X74" s="203"/>
      <c r="Y74" s="203"/>
      <c r="Z74" s="1"/>
      <c r="AA74" s="1"/>
      <c r="AB74" s="1"/>
      <c r="AC74" s="1"/>
      <c r="AD74" s="1"/>
    </row>
    <row r="75" spans="2:36" ht="13.5" customHeight="1" thickTop="1" thickBot="1" x14ac:dyDescent="0.35">
      <c r="D75" s="99" t="s">
        <v>185</v>
      </c>
      <c r="E75" s="199">
        <f>SUM(E71:E74)</f>
        <v>0.46528719595884332</v>
      </c>
      <c r="F75" s="199">
        <f>SUM(F71:F74)</f>
        <v>4.5974255297795379</v>
      </c>
      <c r="G75" s="199">
        <f>SUM(G71:G74)</f>
        <v>10.661429355729936</v>
      </c>
      <c r="H75" s="203"/>
      <c r="I75" s="99" t="s">
        <v>185</v>
      </c>
      <c r="J75" s="199">
        <f>SUM(J71:J74)</f>
        <v>0.21403211014106793</v>
      </c>
      <c r="K75" s="199">
        <f t="shared" ref="K75:L75" si="66">SUM(K71:K74)</f>
        <v>2.1148157436985873</v>
      </c>
      <c r="L75" s="199">
        <f t="shared" si="66"/>
        <v>4.9042575036357707</v>
      </c>
      <c r="M75" s="203"/>
      <c r="N75" s="203"/>
      <c r="O75" s="203"/>
      <c r="P75" s="203"/>
      <c r="R75" s="1"/>
      <c r="S75" s="202"/>
      <c r="T75" s="203"/>
      <c r="U75" s="203"/>
      <c r="V75" s="202"/>
      <c r="W75" s="203"/>
      <c r="X75" s="203"/>
      <c r="Y75" s="203"/>
      <c r="Z75" s="1"/>
      <c r="AA75" s="1"/>
      <c r="AB75" s="1"/>
      <c r="AC75" s="1"/>
      <c r="AD75" s="1"/>
    </row>
    <row r="76" spans="2:36" ht="13.5" customHeight="1" thickTop="1" x14ac:dyDescent="0.25">
      <c r="D76" s="1" t="s">
        <v>176</v>
      </c>
      <c r="E76" s="203">
        <f>E75/F102</f>
        <v>5.8890667302643196E-3</v>
      </c>
      <c r="F76" s="203">
        <f>F75/G102</f>
        <v>5.0612423728050568E-2</v>
      </c>
      <c r="G76" s="203">
        <f>G75/H102</f>
        <v>0.10178945156852558</v>
      </c>
      <c r="H76" s="208"/>
      <c r="I76" s="1" t="s">
        <v>176</v>
      </c>
      <c r="J76" s="334">
        <f>J75/L102</f>
        <v>1.5049412236844315E-2</v>
      </c>
      <c r="K76" s="334">
        <f t="shared" ref="K76:L76" si="67">K75/M102</f>
        <v>0.12088018837803813</v>
      </c>
      <c r="L76" s="334">
        <f t="shared" si="67"/>
        <v>0.22618154899940979</v>
      </c>
      <c r="M76" s="208"/>
      <c r="N76" s="208"/>
      <c r="O76" s="208"/>
      <c r="P76" s="208"/>
      <c r="R76" s="208"/>
      <c r="S76" s="208"/>
      <c r="T76" s="208"/>
      <c r="U76" s="208"/>
      <c r="V76" s="208"/>
      <c r="W76" s="208"/>
      <c r="X76" s="208"/>
      <c r="Y76" s="208"/>
      <c r="Z76" s="208"/>
      <c r="AA76" s="208"/>
      <c r="AB76" s="208"/>
      <c r="AC76" s="208"/>
      <c r="AD76" s="208"/>
    </row>
    <row r="77" spans="2:36" ht="13.5" customHeight="1" x14ac:dyDescent="0.3">
      <c r="H77" s="203"/>
      <c r="J77" s="203"/>
      <c r="K77" s="203"/>
      <c r="L77" s="203"/>
      <c r="M77" s="203"/>
      <c r="N77" s="203"/>
      <c r="O77" s="203"/>
      <c r="P77" s="203"/>
      <c r="R77" s="1"/>
      <c r="S77" s="202"/>
      <c r="T77" s="203"/>
      <c r="U77" s="203"/>
      <c r="V77" s="202"/>
      <c r="W77" s="203"/>
      <c r="X77" s="203"/>
      <c r="Y77" s="203"/>
      <c r="Z77" s="1"/>
      <c r="AA77" s="1"/>
      <c r="AB77" s="1"/>
      <c r="AC77" s="1"/>
      <c r="AD77" s="1"/>
    </row>
    <row r="78" spans="2:36" ht="13.5" customHeight="1" x14ac:dyDescent="0.3">
      <c r="D78" s="32" t="s">
        <v>192</v>
      </c>
      <c r="E78" s="35"/>
      <c r="F78" s="35"/>
      <c r="G78" s="35"/>
      <c r="H78" s="203"/>
      <c r="I78" s="32" t="s">
        <v>192</v>
      </c>
      <c r="J78" s="203"/>
      <c r="K78" s="203"/>
      <c r="L78" s="203"/>
      <c r="M78" s="203"/>
      <c r="N78" s="203"/>
      <c r="O78" s="203"/>
      <c r="P78" s="203"/>
      <c r="R78" s="1"/>
      <c r="S78" s="202"/>
      <c r="T78" s="203"/>
      <c r="U78" s="203"/>
      <c r="V78" s="202"/>
      <c r="W78" s="203"/>
      <c r="X78" s="203"/>
      <c r="Y78" s="203"/>
      <c r="Z78" s="1"/>
      <c r="AA78" s="1"/>
      <c r="AB78" s="1"/>
      <c r="AC78" s="1"/>
      <c r="AD78" s="1"/>
    </row>
    <row r="79" spans="2:36" ht="13.5" customHeight="1" x14ac:dyDescent="0.3">
      <c r="D79" s="33" t="s">
        <v>180</v>
      </c>
      <c r="E79" s="36"/>
      <c r="F79" s="36"/>
      <c r="G79" s="36"/>
      <c r="H79" s="203"/>
      <c r="I79" s="33" t="s">
        <v>180</v>
      </c>
      <c r="J79" s="203"/>
      <c r="K79" s="203"/>
      <c r="L79" s="203"/>
      <c r="M79" s="203"/>
      <c r="N79" s="203"/>
      <c r="O79" s="203"/>
      <c r="P79" s="203"/>
      <c r="R79" s="1"/>
      <c r="S79" s="202"/>
      <c r="T79" s="203"/>
      <c r="U79" s="203"/>
      <c r="V79" s="202"/>
      <c r="W79" s="203"/>
      <c r="X79" s="203"/>
      <c r="Y79" s="203"/>
      <c r="Z79" s="1"/>
      <c r="AA79" s="1"/>
      <c r="AB79" s="1"/>
      <c r="AC79" s="1"/>
      <c r="AD79" s="1"/>
    </row>
    <row r="80" spans="2:36" s="7" customFormat="1" ht="13.5" customHeight="1" x14ac:dyDescent="0.3">
      <c r="D80" s="36"/>
      <c r="E80" s="36"/>
      <c r="F80" s="36"/>
      <c r="G80" s="36"/>
      <c r="H80" s="207"/>
      <c r="I80" s="36"/>
      <c r="J80" s="207"/>
      <c r="K80" s="207"/>
      <c r="L80" s="207"/>
      <c r="M80" s="207"/>
      <c r="N80" s="207"/>
      <c r="O80" s="207"/>
      <c r="P80" s="207"/>
      <c r="R80" s="59"/>
      <c r="S80" s="206"/>
      <c r="T80" s="207"/>
      <c r="U80" s="207"/>
      <c r="V80" s="206"/>
      <c r="W80" s="207"/>
      <c r="X80" s="207"/>
      <c r="Y80" s="207"/>
      <c r="Z80" s="59"/>
      <c r="AA80" s="59"/>
      <c r="AB80" s="59"/>
      <c r="AC80" s="59"/>
      <c r="AD80" s="59"/>
    </row>
    <row r="81" spans="2:36" ht="13.5" customHeight="1" x14ac:dyDescent="0.3">
      <c r="D81" s="30" t="s">
        <v>186</v>
      </c>
      <c r="E81" s="34">
        <v>2023</v>
      </c>
      <c r="F81" s="34">
        <v>2024</v>
      </c>
      <c r="G81" s="34">
        <v>2025</v>
      </c>
      <c r="H81" s="203"/>
      <c r="I81" s="30" t="s">
        <v>186</v>
      </c>
      <c r="J81" s="34">
        <v>2023</v>
      </c>
      <c r="K81" s="34">
        <v>2024</v>
      </c>
      <c r="L81" s="34">
        <v>2025</v>
      </c>
      <c r="M81" s="203"/>
      <c r="N81" s="203"/>
      <c r="O81" s="203"/>
      <c r="P81" s="203"/>
      <c r="R81" s="1"/>
      <c r="S81" s="202"/>
      <c r="T81" s="203"/>
      <c r="U81" s="203"/>
      <c r="V81" s="202"/>
      <c r="W81" s="203"/>
      <c r="X81" s="203"/>
      <c r="Y81" s="203"/>
      <c r="Z81" s="1"/>
      <c r="AA81" s="1"/>
      <c r="AB81" s="1"/>
      <c r="AC81" s="1"/>
      <c r="AD81" s="1"/>
    </row>
    <row r="82" spans="2:36" ht="13.5" customHeight="1" x14ac:dyDescent="0.25">
      <c r="D82" s="1" t="s">
        <v>182</v>
      </c>
      <c r="E82" s="1">
        <f>X209+X270</f>
        <v>0.40242171078605588</v>
      </c>
      <c r="F82" s="1">
        <f t="shared" ref="F82:G82" si="68">Y209+Y270</f>
        <v>4.0474597456491637</v>
      </c>
      <c r="G82" s="1">
        <f t="shared" si="68"/>
        <v>3.6584812266996525</v>
      </c>
      <c r="H82" s="208"/>
      <c r="I82" s="1" t="s">
        <v>182</v>
      </c>
      <c r="J82" s="1">
        <f>E82*$K$11</f>
        <v>0.18511398696158571</v>
      </c>
      <c r="K82" s="1">
        <f t="shared" ref="K82:K83" si="69">F82*$K$11</f>
        <v>1.8618314829986153</v>
      </c>
      <c r="L82" s="1">
        <f t="shared" ref="L82:L83" si="70">G82*$K$11</f>
        <v>1.6829013642818402</v>
      </c>
      <c r="M82" s="208"/>
      <c r="N82" s="208"/>
      <c r="O82" s="208"/>
      <c r="P82" s="208"/>
      <c r="R82" s="208"/>
      <c r="S82" s="208"/>
      <c r="T82" s="208"/>
      <c r="U82" s="208"/>
      <c r="V82" s="208"/>
      <c r="W82" s="208"/>
      <c r="X82" s="208"/>
      <c r="Y82" s="208"/>
      <c r="Z82" s="208"/>
      <c r="AA82" s="208"/>
      <c r="AB82" s="208"/>
      <c r="AC82" s="208"/>
      <c r="AD82" s="208"/>
    </row>
    <row r="83" spans="2:36" ht="13.5" customHeight="1" x14ac:dyDescent="0.3">
      <c r="D83" s="1" t="s">
        <v>183</v>
      </c>
      <c r="E83" s="1">
        <f>AA209+AA270</f>
        <v>1.4820891734159458E-2</v>
      </c>
      <c r="F83" s="1">
        <f t="shared" ref="F83:G83" si="71">AB209+AB270</f>
        <v>1.9742601303612992</v>
      </c>
      <c r="G83" s="1">
        <f t="shared" si="71"/>
        <v>8.8920552991984483</v>
      </c>
      <c r="H83" s="203"/>
      <c r="I83" s="1" t="s">
        <v>183</v>
      </c>
      <c r="J83" s="1">
        <f>E83*$K$11</f>
        <v>6.8176101977133509E-3</v>
      </c>
      <c r="K83" s="1">
        <f t="shared" si="69"/>
        <v>0.90815965996619763</v>
      </c>
      <c r="L83" s="1">
        <f t="shared" si="70"/>
        <v>4.090345437631286</v>
      </c>
      <c r="M83" s="203"/>
      <c r="N83" s="203"/>
      <c r="O83" s="203"/>
      <c r="P83" s="203"/>
      <c r="R83" s="1"/>
      <c r="S83" s="202"/>
      <c r="T83" s="203"/>
      <c r="U83" s="203"/>
      <c r="V83" s="202"/>
      <c r="Z83" s="1"/>
      <c r="AA83" s="1"/>
      <c r="AB83" s="1"/>
      <c r="AC83" s="1"/>
      <c r="AD83" s="1"/>
    </row>
    <row r="84" spans="2:36" ht="13.5" customHeight="1" x14ac:dyDescent="0.3">
      <c r="D84" s="1" t="s">
        <v>321</v>
      </c>
      <c r="E84" s="1">
        <f>AD209+AD270</f>
        <v>5.8622050349519568E-2</v>
      </c>
      <c r="F84" s="1">
        <f t="shared" ref="F84:G84" si="72">AE209+AE270</f>
        <v>1.5099213092025714</v>
      </c>
      <c r="G84" s="1">
        <f t="shared" si="72"/>
        <v>6.7002091266544834</v>
      </c>
      <c r="H84" s="203"/>
      <c r="I84" s="1" t="s">
        <v>321</v>
      </c>
      <c r="J84" s="1">
        <f>E84*$K$12</f>
        <v>2.6966143160779003E-2</v>
      </c>
      <c r="K84" s="1">
        <f t="shared" ref="K84" si="73">F84*$K$12</f>
        <v>0.69456380223318293</v>
      </c>
      <c r="L84" s="1">
        <f t="shared" ref="L84" si="74">G84*$K$12</f>
        <v>3.0820961982610626</v>
      </c>
      <c r="M84" s="203"/>
      <c r="N84" s="203"/>
      <c r="O84" s="203"/>
      <c r="P84" s="203"/>
      <c r="R84" s="1"/>
      <c r="S84" s="202"/>
      <c r="T84" s="203"/>
      <c r="U84" s="203"/>
      <c r="V84" s="202"/>
      <c r="Z84" s="1"/>
      <c r="AA84" s="1"/>
      <c r="AB84" s="1"/>
      <c r="AC84" s="1"/>
      <c r="AD84" s="1"/>
    </row>
    <row r="85" spans="2:36" ht="13.5" customHeight="1" thickBot="1" x14ac:dyDescent="0.35">
      <c r="D85" s="1" t="s">
        <v>257</v>
      </c>
      <c r="E85" s="1">
        <f>AG209+AG270</f>
        <v>0</v>
      </c>
      <c r="F85" s="1">
        <f t="shared" ref="F85:G85" si="75">AH209+AH270</f>
        <v>0</v>
      </c>
      <c r="G85" s="1">
        <f t="shared" si="75"/>
        <v>0</v>
      </c>
      <c r="H85" s="203"/>
      <c r="I85" s="1" t="s">
        <v>257</v>
      </c>
      <c r="J85" s="1">
        <f>E85*$K$15</f>
        <v>0</v>
      </c>
      <c r="K85" s="1">
        <f t="shared" ref="K85" si="76">F85*$K$15</f>
        <v>0</v>
      </c>
      <c r="L85" s="1">
        <f t="shared" ref="L85" si="77">G85*$K$15</f>
        <v>0</v>
      </c>
      <c r="M85" s="203"/>
      <c r="N85" s="203"/>
      <c r="O85" s="203"/>
      <c r="P85" s="203"/>
      <c r="R85" s="1"/>
      <c r="S85" s="202"/>
      <c r="T85" s="203"/>
      <c r="U85" s="203"/>
      <c r="V85" s="202"/>
      <c r="Z85" s="1"/>
      <c r="AA85" s="1"/>
      <c r="AB85" s="1"/>
      <c r="AC85" s="1"/>
      <c r="AD85" s="1"/>
    </row>
    <row r="86" spans="2:36" ht="13.5" customHeight="1" thickTop="1" thickBot="1" x14ac:dyDescent="0.35">
      <c r="D86" s="99" t="s">
        <v>185</v>
      </c>
      <c r="E86" s="199">
        <f>SUM(E82:E85)</f>
        <v>0.47586465286973489</v>
      </c>
      <c r="F86" s="199">
        <f>SUM(F82:F85)</f>
        <v>7.5316411852130347</v>
      </c>
      <c r="G86" s="199">
        <f>SUM(G82:G85)</f>
        <v>19.250745652552585</v>
      </c>
      <c r="H86" s="203"/>
      <c r="I86" s="99" t="s">
        <v>185</v>
      </c>
      <c r="J86" s="199">
        <f>SUM(J82:J85)</f>
        <v>0.21889774032007805</v>
      </c>
      <c r="K86" s="199">
        <f t="shared" ref="K86:L86" si="78">SUM(K82:K85)</f>
        <v>3.464554945197996</v>
      </c>
      <c r="L86" s="199">
        <f t="shared" si="78"/>
        <v>8.8553430001741891</v>
      </c>
      <c r="M86" s="203"/>
      <c r="N86" s="203"/>
      <c r="O86" s="203"/>
      <c r="P86" s="203"/>
      <c r="R86" s="1"/>
      <c r="S86" s="202"/>
      <c r="T86" s="203"/>
      <c r="U86" s="203"/>
      <c r="V86" s="202"/>
      <c r="Z86" s="1"/>
      <c r="AA86" s="1"/>
      <c r="AB86" s="1"/>
      <c r="AC86" s="1"/>
      <c r="AD86" s="1"/>
    </row>
    <row r="87" spans="2:36" ht="13.5" customHeight="1" thickTop="1" x14ac:dyDescent="0.3">
      <c r="D87" s="249" t="s">
        <v>176</v>
      </c>
      <c r="E87" s="335">
        <f>E86/F114</f>
        <v>6.0221377088711366E-3</v>
      </c>
      <c r="F87" s="335">
        <f>F86/G114</f>
        <v>5.1830668719956015E-2</v>
      </c>
      <c r="G87" s="335">
        <f>G86/H114</f>
        <v>0.10226055638686565</v>
      </c>
      <c r="H87" s="203"/>
      <c r="I87" s="203"/>
      <c r="J87" s="203">
        <f>J86/L114</f>
        <v>1.5386269247112574E-2</v>
      </c>
      <c r="K87" s="203">
        <f t="shared" ref="K87:L87" si="79">K86/M114</f>
        <v>0.12356964247216536</v>
      </c>
      <c r="L87" s="203">
        <f t="shared" si="79"/>
        <v>0.22708281834578545</v>
      </c>
      <c r="M87" s="203"/>
      <c r="N87" s="203"/>
      <c r="O87" s="203"/>
      <c r="P87" s="203"/>
      <c r="R87" s="1"/>
      <c r="S87" s="202"/>
      <c r="T87" s="203"/>
      <c r="U87" s="203"/>
      <c r="V87" s="202"/>
      <c r="Z87" s="1"/>
      <c r="AA87" s="1"/>
      <c r="AB87" s="1"/>
      <c r="AC87" s="1"/>
      <c r="AD87" s="1"/>
    </row>
    <row r="88" spans="2:36" ht="13.5" customHeight="1" x14ac:dyDescent="0.3">
      <c r="D88" s="249"/>
      <c r="E88" s="274"/>
      <c r="F88" s="274"/>
      <c r="G88" s="274"/>
      <c r="H88" s="203"/>
      <c r="I88" s="203"/>
      <c r="J88" s="203"/>
      <c r="K88" s="203"/>
      <c r="L88" s="203"/>
      <c r="M88" s="203"/>
      <c r="N88" s="203"/>
      <c r="O88" s="203"/>
      <c r="P88" s="203"/>
      <c r="R88" s="1"/>
      <c r="S88" s="202"/>
      <c r="T88" s="203"/>
      <c r="U88" s="203"/>
      <c r="V88" s="202"/>
      <c r="Z88" s="1"/>
      <c r="AA88" s="1"/>
      <c r="AB88" s="1"/>
      <c r="AC88" s="1"/>
      <c r="AD88" s="1"/>
    </row>
    <row r="89" spans="2:36" ht="13.5" customHeight="1" x14ac:dyDescent="0.3">
      <c r="D89" s="7"/>
      <c r="E89" s="7"/>
      <c r="F89" s="7"/>
      <c r="G89" s="7"/>
      <c r="H89" s="7"/>
      <c r="I89" s="7"/>
      <c r="J89" s="7"/>
      <c r="K89" s="209"/>
      <c r="L89" s="209"/>
      <c r="M89" s="209"/>
      <c r="N89" s="203"/>
      <c r="O89" s="203"/>
      <c r="P89" s="203"/>
      <c r="Q89" s="203"/>
      <c r="R89" s="203"/>
      <c r="S89" s="203"/>
      <c r="T89" s="203"/>
      <c r="U89" s="203"/>
      <c r="V89" s="203"/>
      <c r="X89" s="1"/>
      <c r="Y89" s="202"/>
      <c r="Z89" s="203"/>
      <c r="AA89" s="203"/>
      <c r="AB89" s="202"/>
      <c r="AF89" s="1"/>
      <c r="AG89" s="1"/>
      <c r="AH89" s="1"/>
      <c r="AI89" s="1"/>
      <c r="AJ89" s="1"/>
    </row>
    <row r="90" spans="2:36" ht="13.5" customHeight="1" x14ac:dyDescent="0.3">
      <c r="D90" s="7"/>
      <c r="E90" s="7"/>
      <c r="F90" s="7"/>
      <c r="G90" s="7"/>
      <c r="H90" s="7"/>
      <c r="I90" s="7"/>
      <c r="J90" s="7"/>
      <c r="K90" s="209"/>
      <c r="L90" s="209"/>
      <c r="M90" s="209"/>
      <c r="N90" s="203"/>
      <c r="O90" s="203"/>
      <c r="P90" s="203"/>
      <c r="Q90" s="203"/>
      <c r="R90" s="203"/>
      <c r="S90" s="203"/>
      <c r="T90" s="203"/>
      <c r="U90" s="203"/>
      <c r="V90" s="203"/>
      <c r="X90" s="1"/>
      <c r="Y90" s="202"/>
      <c r="Z90" s="203"/>
      <c r="AA90" s="203"/>
      <c r="AB90" s="202"/>
      <c r="AF90" s="1"/>
      <c r="AG90" s="1"/>
      <c r="AH90" s="1"/>
      <c r="AI90" s="1"/>
      <c r="AJ90" s="1"/>
    </row>
    <row r="91" spans="2:36" ht="13.5" customHeight="1" x14ac:dyDescent="0.35">
      <c r="B91" s="210">
        <v>0</v>
      </c>
      <c r="C91" s="210" t="s">
        <v>193</v>
      </c>
      <c r="D91" s="211" t="s">
        <v>322</v>
      </c>
      <c r="E91" s="7"/>
      <c r="F91" s="7"/>
      <c r="G91" s="7"/>
      <c r="H91" s="7"/>
      <c r="I91" s="7"/>
      <c r="J91" s="7"/>
      <c r="K91" s="209"/>
      <c r="L91" s="209"/>
      <c r="M91" s="209"/>
      <c r="N91" s="203"/>
      <c r="O91" s="203"/>
      <c r="P91" s="203"/>
      <c r="Q91" s="203"/>
      <c r="R91" s="203"/>
      <c r="S91" s="203"/>
      <c r="T91" s="203"/>
      <c r="U91" s="203"/>
      <c r="V91" s="203"/>
      <c r="X91" s="1"/>
      <c r="Y91" s="202"/>
      <c r="Z91" s="203"/>
      <c r="AA91" s="203"/>
      <c r="AB91" s="202"/>
      <c r="AC91" s="203"/>
      <c r="AD91" s="203"/>
      <c r="AE91" s="203"/>
      <c r="AF91" s="1"/>
      <c r="AG91" s="1"/>
      <c r="AH91" s="1"/>
      <c r="AI91" s="1"/>
      <c r="AJ91" s="1"/>
    </row>
    <row r="92" spans="2:36" ht="13.5" customHeight="1" x14ac:dyDescent="0.3">
      <c r="D92" s="7"/>
      <c r="E92" s="7"/>
      <c r="F92" s="7"/>
      <c r="G92" s="7"/>
      <c r="H92" s="7"/>
      <c r="I92" s="7"/>
      <c r="J92" s="7"/>
      <c r="K92" s="209"/>
      <c r="L92" s="209"/>
      <c r="M92" s="209"/>
      <c r="N92" s="203"/>
      <c r="O92" s="203"/>
      <c r="P92" s="203"/>
      <c r="Q92" s="203"/>
      <c r="R92" s="203"/>
      <c r="S92" s="203"/>
      <c r="T92" s="203"/>
      <c r="U92" s="203"/>
      <c r="V92" s="203"/>
      <c r="X92" s="1"/>
      <c r="Y92" s="202"/>
      <c r="Z92" s="203"/>
      <c r="AA92" s="203"/>
      <c r="AB92" s="202"/>
      <c r="AC92" s="203"/>
      <c r="AD92" s="203"/>
      <c r="AE92" s="203"/>
      <c r="AF92" s="1"/>
      <c r="AG92" s="1"/>
      <c r="AH92" s="1"/>
      <c r="AI92" s="1"/>
      <c r="AJ92" s="1"/>
    </row>
    <row r="93" spans="2:36" ht="13.5" customHeight="1" x14ac:dyDescent="0.3">
      <c r="D93" s="212" t="s">
        <v>194</v>
      </c>
      <c r="E93" s="256"/>
      <c r="F93" s="35"/>
      <c r="G93" s="35"/>
      <c r="H93" s="35"/>
      <c r="I93" s="203"/>
      <c r="J93" s="212" t="s">
        <v>194</v>
      </c>
      <c r="K93" s="213"/>
      <c r="L93" s="203"/>
      <c r="M93" s="203"/>
      <c r="N93" s="203"/>
      <c r="O93" s="203"/>
      <c r="P93" s="203"/>
      <c r="Q93" s="203"/>
      <c r="S93" s="1"/>
      <c r="T93" s="202"/>
      <c r="U93" s="203"/>
      <c r="V93" s="203"/>
      <c r="W93" s="202"/>
      <c r="X93" s="203"/>
      <c r="Y93" s="203"/>
      <c r="Z93" s="203"/>
      <c r="AA93" s="1"/>
      <c r="AB93" s="1"/>
      <c r="AC93" s="1"/>
      <c r="AD93" s="1"/>
      <c r="AE93" s="1"/>
    </row>
    <row r="94" spans="2:36" ht="13.5" customHeight="1" x14ac:dyDescent="0.3">
      <c r="D94" s="214" t="s">
        <v>180</v>
      </c>
      <c r="E94" s="282"/>
      <c r="F94" s="36"/>
      <c r="G94" s="36"/>
      <c r="H94" s="36"/>
      <c r="I94" s="203"/>
      <c r="J94" s="214" t="s">
        <v>217</v>
      </c>
      <c r="K94" s="213"/>
      <c r="L94" s="203"/>
      <c r="M94" s="203"/>
      <c r="N94" s="203"/>
      <c r="O94" s="203"/>
      <c r="P94" s="203"/>
      <c r="Q94" s="203"/>
      <c r="S94" s="1"/>
      <c r="T94" s="202"/>
      <c r="U94" s="203"/>
      <c r="V94" s="203"/>
      <c r="W94" s="202"/>
      <c r="X94" s="203"/>
      <c r="Y94" s="203"/>
      <c r="Z94" s="203"/>
      <c r="AA94" s="1"/>
      <c r="AB94" s="1"/>
      <c r="AC94" s="1"/>
      <c r="AD94" s="1"/>
      <c r="AE94" s="1"/>
    </row>
    <row r="95" spans="2:36" s="7" customFormat="1" ht="13.5" customHeight="1" x14ac:dyDescent="0.3">
      <c r="D95" s="36"/>
      <c r="E95" s="36"/>
      <c r="F95" s="36"/>
      <c r="G95" s="36"/>
      <c r="H95" s="36"/>
      <c r="I95" s="207"/>
      <c r="J95" s="36"/>
      <c r="K95" s="213"/>
      <c r="L95" s="207"/>
      <c r="M95" s="207"/>
      <c r="N95" s="207"/>
      <c r="O95" s="207"/>
      <c r="P95" s="207"/>
      <c r="Q95" s="207"/>
      <c r="S95" s="59"/>
      <c r="T95" s="206"/>
      <c r="U95" s="207"/>
      <c r="V95" s="207"/>
      <c r="W95" s="206"/>
      <c r="X95" s="207"/>
      <c r="Y95" s="207"/>
      <c r="Z95" s="207"/>
      <c r="AA95" s="59"/>
      <c r="AB95" s="59"/>
      <c r="AC95" s="59"/>
      <c r="AD95" s="59"/>
      <c r="AE95" s="59"/>
    </row>
    <row r="96" spans="2:36" ht="13.5" customHeight="1" x14ac:dyDescent="0.3">
      <c r="D96" s="215" t="s">
        <v>15</v>
      </c>
      <c r="E96" s="216">
        <v>2022</v>
      </c>
      <c r="F96" s="216">
        <v>2023</v>
      </c>
      <c r="G96" s="216">
        <v>2024</v>
      </c>
      <c r="H96" s="216">
        <v>2025</v>
      </c>
      <c r="I96" s="203"/>
      <c r="J96" s="215" t="s">
        <v>15</v>
      </c>
      <c r="K96" s="216">
        <v>2022</v>
      </c>
      <c r="L96" s="216">
        <v>2023</v>
      </c>
      <c r="M96" s="216">
        <v>2024</v>
      </c>
      <c r="N96" s="216">
        <v>2025</v>
      </c>
      <c r="O96" s="203"/>
      <c r="P96" s="203"/>
      <c r="Q96" s="203"/>
      <c r="R96" s="203"/>
      <c r="T96" s="1"/>
      <c r="U96" s="202"/>
      <c r="V96" s="203"/>
      <c r="W96" s="203"/>
      <c r="X96" s="202"/>
      <c r="Y96" s="203"/>
      <c r="Z96" s="203"/>
      <c r="AA96" s="203"/>
      <c r="AB96" s="1"/>
      <c r="AC96" s="1"/>
      <c r="AD96" s="1"/>
      <c r="AE96" s="1"/>
      <c r="AF96" s="1"/>
    </row>
    <row r="97" spans="4:32" ht="13.5" customHeight="1" x14ac:dyDescent="0.25">
      <c r="D97" s="1" t="s">
        <v>182</v>
      </c>
      <c r="E97" s="1">
        <f>AF306</f>
        <v>8.8988450757087811</v>
      </c>
      <c r="F97" s="1">
        <f>E71+AG306</f>
        <v>11.096272431240129</v>
      </c>
      <c r="G97" s="1">
        <f>F71+AH306</f>
        <v>14.270016140835541</v>
      </c>
      <c r="H97" s="1">
        <f>G71+AI306</f>
        <v>14.456442283415553</v>
      </c>
      <c r="I97" s="208"/>
      <c r="J97" s="1" t="s">
        <v>182</v>
      </c>
      <c r="K97" s="1">
        <f>E97*$K$11</f>
        <v>4.0934687348260397</v>
      </c>
      <c r="L97" s="1">
        <f t="shared" ref="L97:N97" si="80">F97*$K$11</f>
        <v>5.1042853183704597</v>
      </c>
      <c r="M97" s="1">
        <f t="shared" si="80"/>
        <v>6.5642074247843487</v>
      </c>
      <c r="N97" s="1">
        <f t="shared" si="80"/>
        <v>6.6499634503711551</v>
      </c>
      <c r="O97" s="208"/>
      <c r="P97" s="208"/>
      <c r="Q97" s="208"/>
      <c r="R97" s="208"/>
      <c r="T97" s="208"/>
      <c r="U97" s="208"/>
      <c r="V97" s="208"/>
      <c r="W97" s="208"/>
      <c r="X97" s="208"/>
      <c r="Y97" s="208"/>
      <c r="Z97" s="208"/>
      <c r="AA97" s="208"/>
      <c r="AB97" s="208"/>
      <c r="AC97" s="208"/>
      <c r="AD97" s="208"/>
      <c r="AE97" s="208"/>
      <c r="AF97" s="208"/>
    </row>
    <row r="98" spans="4:32" ht="13.5" customHeight="1" x14ac:dyDescent="0.3">
      <c r="D98" s="1" t="s">
        <v>183</v>
      </c>
      <c r="E98" s="1">
        <f>AJ306</f>
        <v>0</v>
      </c>
      <c r="F98" s="1">
        <f>E72+AK306</f>
        <v>1.4820891734159458E-2</v>
      </c>
      <c r="G98" s="1">
        <f>F72+AL306</f>
        <v>0.84585521370553118</v>
      </c>
      <c r="H98" s="1">
        <f>G72+AM306</f>
        <v>3.1707163618915484</v>
      </c>
      <c r="I98" s="203"/>
      <c r="J98" s="1" t="s">
        <v>183</v>
      </c>
      <c r="K98" s="1">
        <f>E98*$K$12</f>
        <v>0</v>
      </c>
      <c r="L98" s="1">
        <f t="shared" ref="L98:N99" si="81">F98*$K$12</f>
        <v>6.8176101977133509E-3</v>
      </c>
      <c r="M98" s="1">
        <f t="shared" si="81"/>
        <v>0.38909339830454437</v>
      </c>
      <c r="N98" s="1">
        <f t="shared" si="81"/>
        <v>1.4585295264701124</v>
      </c>
      <c r="O98" s="203"/>
      <c r="P98" s="203"/>
      <c r="Q98" s="203"/>
      <c r="R98" s="203"/>
      <c r="T98" s="1"/>
      <c r="U98" s="202"/>
      <c r="V98" s="203"/>
      <c r="W98" s="203"/>
      <c r="X98" s="202"/>
      <c r="Y98" s="203"/>
      <c r="Z98" s="203"/>
      <c r="AA98" s="203"/>
      <c r="AB98" s="1"/>
      <c r="AC98" s="1"/>
      <c r="AD98" s="1"/>
      <c r="AE98" s="1"/>
      <c r="AF98" s="1"/>
    </row>
    <row r="99" spans="4:32" ht="13.5" customHeight="1" x14ac:dyDescent="0.3">
      <c r="D99" s="1" t="s">
        <v>321</v>
      </c>
      <c r="E99" s="1">
        <f>AR306</f>
        <v>0</v>
      </c>
      <c r="F99" s="1">
        <f>E73+AS306</f>
        <v>4.8044593438627992E-2</v>
      </c>
      <c r="G99" s="1">
        <f>F73+AT306</f>
        <v>1.2231128606348076</v>
      </c>
      <c r="H99" s="1">
        <f>G73+AU306</f>
        <v>5.8432773617662086</v>
      </c>
      <c r="I99" s="203"/>
      <c r="J99" s="1" t="s">
        <v>321</v>
      </c>
      <c r="K99" s="1">
        <f>E99*$K$12</f>
        <v>0</v>
      </c>
      <c r="L99" s="1">
        <f t="shared" si="81"/>
        <v>2.2100512981768877E-2</v>
      </c>
      <c r="M99" s="1">
        <f t="shared" si="81"/>
        <v>0.56263191589201156</v>
      </c>
      <c r="N99" s="1">
        <f t="shared" si="81"/>
        <v>2.687907586412456</v>
      </c>
      <c r="O99" s="203"/>
      <c r="P99" s="203"/>
      <c r="Q99" s="203"/>
      <c r="R99" s="203"/>
      <c r="T99" s="1"/>
      <c r="U99" s="202"/>
      <c r="V99" s="203"/>
      <c r="W99" s="203"/>
      <c r="X99" s="202"/>
      <c r="Y99" s="203"/>
      <c r="Z99" s="203"/>
      <c r="AA99" s="203"/>
      <c r="AB99" s="1"/>
      <c r="AC99" s="1"/>
      <c r="AD99" s="1"/>
      <c r="AE99" s="1"/>
      <c r="AF99" s="1"/>
    </row>
    <row r="100" spans="4:32" ht="13.5" customHeight="1" x14ac:dyDescent="0.3">
      <c r="D100" s="1" t="s">
        <v>184</v>
      </c>
      <c r="E100" s="1">
        <f>AN306</f>
        <v>53.161931621117411</v>
      </c>
      <c r="F100" s="1">
        <f t="shared" ref="F100:H100" si="82">AO306</f>
        <v>63.885341966349039</v>
      </c>
      <c r="G100" s="1">
        <f t="shared" si="82"/>
        <v>70.144376562108022</v>
      </c>
      <c r="H100" s="1">
        <f t="shared" si="82"/>
        <v>76.521338436596793</v>
      </c>
      <c r="I100" s="203"/>
      <c r="J100" s="1" t="s">
        <v>184</v>
      </c>
      <c r="K100" s="1">
        <f>E100*$K$13</f>
        <v>5.8478124783229148</v>
      </c>
      <c r="L100" s="1">
        <f t="shared" ref="L100:N100" si="83">F100*$K$13</f>
        <v>7.0273876162983946</v>
      </c>
      <c r="M100" s="1">
        <f t="shared" si="83"/>
        <v>7.7158814218318827</v>
      </c>
      <c r="N100" s="1">
        <f t="shared" si="83"/>
        <v>8.4173472280256476</v>
      </c>
      <c r="O100" s="203"/>
      <c r="P100" s="203"/>
      <c r="Q100" s="203"/>
      <c r="R100" s="203"/>
      <c r="T100" s="1"/>
      <c r="U100" s="202"/>
      <c r="V100" s="203"/>
      <c r="W100" s="203"/>
      <c r="X100" s="202"/>
      <c r="Y100" s="203"/>
      <c r="Z100" s="203"/>
      <c r="AA100" s="203"/>
      <c r="AB100" s="1"/>
      <c r="AC100" s="1"/>
      <c r="AD100" s="1"/>
      <c r="AE100" s="1"/>
      <c r="AF100" s="1"/>
    </row>
    <row r="101" spans="4:32" ht="13.5" customHeight="1" thickBot="1" x14ac:dyDescent="0.35">
      <c r="D101" s="1" t="s">
        <v>257</v>
      </c>
      <c r="E101" s="1">
        <f>AV306</f>
        <v>3.2987660134129255</v>
      </c>
      <c r="F101" s="1">
        <f>E85+AW306</f>
        <v>3.9641673732965295</v>
      </c>
      <c r="G101" s="1">
        <f>F85+AX306</f>
        <v>4.3525484943667028</v>
      </c>
      <c r="H101" s="1">
        <f>G85+AY306</f>
        <v>4.7482471542708788</v>
      </c>
      <c r="I101" s="203"/>
      <c r="J101" s="1" t="s">
        <v>257</v>
      </c>
      <c r="K101" s="1">
        <f>E101*$K$15</f>
        <v>1.7153583269747212</v>
      </c>
      <c r="L101" s="1">
        <f t="shared" ref="L101:N101" si="84">F101*$K$15</f>
        <v>2.0613670341141952</v>
      </c>
      <c r="M101" s="1">
        <f t="shared" si="84"/>
        <v>2.2633252170706855</v>
      </c>
      <c r="N101" s="1">
        <f t="shared" si="84"/>
        <v>2.4690885202208572</v>
      </c>
      <c r="O101" s="203"/>
      <c r="P101" s="203"/>
      <c r="Q101" s="203"/>
      <c r="R101" s="203"/>
      <c r="T101" s="1"/>
      <c r="U101" s="202"/>
      <c r="V101" s="203"/>
      <c r="W101" s="203"/>
      <c r="X101" s="202"/>
      <c r="Y101" s="203"/>
      <c r="Z101" s="203"/>
      <c r="AA101" s="203"/>
      <c r="AB101" s="1"/>
      <c r="AC101" s="1"/>
      <c r="AD101" s="1"/>
      <c r="AE101" s="1"/>
      <c r="AF101" s="1"/>
    </row>
    <row r="102" spans="4:32" ht="13.5" customHeight="1" thickTop="1" thickBot="1" x14ac:dyDescent="0.35">
      <c r="D102" s="99" t="s">
        <v>185</v>
      </c>
      <c r="E102" s="217">
        <f>SUM(E97:E101)</f>
        <v>65.359542710239126</v>
      </c>
      <c r="F102" s="217">
        <f>SUM(F97:F101)</f>
        <v>79.008647256058481</v>
      </c>
      <c r="G102" s="217">
        <f>SUM(G97:G101)</f>
        <v>90.835909271650607</v>
      </c>
      <c r="H102" s="217">
        <f>SUM(H97:H101)</f>
        <v>104.74002159794098</v>
      </c>
      <c r="I102" s="203"/>
      <c r="J102" s="99" t="s">
        <v>185</v>
      </c>
      <c r="K102" s="276">
        <f>SUM(K97:K101)</f>
        <v>11.656639540123676</v>
      </c>
      <c r="L102" s="276">
        <f>SUM(L97:L101)</f>
        <v>14.221958091962531</v>
      </c>
      <c r="M102" s="276">
        <f>SUM(M97:M101)</f>
        <v>17.495139377883476</v>
      </c>
      <c r="N102" s="276">
        <f>SUM(N97:N101)</f>
        <v>21.682836311500228</v>
      </c>
      <c r="O102" s="203"/>
      <c r="P102" s="203"/>
      <c r="Q102" s="203"/>
      <c r="R102" s="203"/>
      <c r="T102" s="1"/>
      <c r="U102" s="202"/>
      <c r="V102" s="203"/>
      <c r="W102" s="203"/>
      <c r="X102" s="202"/>
      <c r="Y102" s="203"/>
      <c r="Z102" s="203"/>
      <c r="AA102" s="203"/>
      <c r="AB102" s="1"/>
      <c r="AC102" s="1"/>
      <c r="AD102" s="1"/>
      <c r="AE102" s="1"/>
      <c r="AF102" s="1"/>
    </row>
    <row r="103" spans="4:32" ht="13.5" customHeight="1" thickTop="1" x14ac:dyDescent="0.3">
      <c r="D103" s="202" t="s">
        <v>195</v>
      </c>
      <c r="E103" s="202"/>
      <c r="F103" s="203">
        <f>E75/F102</f>
        <v>5.8890667302643196E-3</v>
      </c>
      <c r="G103" s="203">
        <f>F75/G102</f>
        <v>5.0612423728050568E-2</v>
      </c>
      <c r="H103" s="203">
        <f>G75/H102</f>
        <v>0.10178945156852558</v>
      </c>
      <c r="I103" s="208"/>
      <c r="J103" s="202" t="s">
        <v>323</v>
      </c>
      <c r="K103" s="202"/>
      <c r="L103" s="208">
        <f>L102-ProjectedP205_Consumption!K37</f>
        <v>-4.6849250775323981E-2</v>
      </c>
      <c r="M103" s="208">
        <f>M102-ProjectedP205_Consumption!L37</f>
        <v>-5.143920947887537E-2</v>
      </c>
      <c r="N103" s="208">
        <f>N102-ProjectedP205_Consumption!M37</f>
        <v>-5.6115648186843003E-2</v>
      </c>
      <c r="O103" s="208"/>
      <c r="P103" s="208"/>
      <c r="Q103" s="208"/>
      <c r="R103" s="208"/>
      <c r="T103" s="208"/>
      <c r="U103" s="208"/>
      <c r="V103" s="208"/>
      <c r="W103" s="208"/>
      <c r="X103" s="208"/>
      <c r="Y103" s="208"/>
      <c r="Z103" s="208"/>
      <c r="AA103" s="208"/>
      <c r="AB103" s="208"/>
      <c r="AC103" s="208"/>
      <c r="AD103" s="208"/>
      <c r="AE103" s="208"/>
      <c r="AF103" s="208"/>
    </row>
    <row r="104" spans="4:32" ht="13.5" customHeight="1" x14ac:dyDescent="0.3">
      <c r="I104" s="203"/>
      <c r="J104" s="213"/>
      <c r="K104" s="213"/>
      <c r="L104" s="203"/>
      <c r="M104" s="203"/>
      <c r="N104" s="203"/>
      <c r="O104" s="203"/>
      <c r="P104" s="203"/>
      <c r="Q104" s="203"/>
      <c r="S104" s="1"/>
      <c r="T104" s="202"/>
      <c r="U104" s="203"/>
      <c r="V104" s="203"/>
      <c r="W104" s="202"/>
      <c r="X104" s="203"/>
      <c r="Y104" s="203"/>
      <c r="Z104" s="203"/>
      <c r="AA104" s="1"/>
      <c r="AB104" s="1"/>
      <c r="AC104" s="1"/>
      <c r="AD104" s="1"/>
      <c r="AE104" s="1"/>
    </row>
    <row r="105" spans="4:32" ht="13.5" customHeight="1" x14ac:dyDescent="0.3">
      <c r="D105" s="212" t="s">
        <v>194</v>
      </c>
      <c r="E105" s="212"/>
      <c r="F105" s="35"/>
      <c r="G105" s="35"/>
      <c r="H105" s="35"/>
      <c r="I105" s="203"/>
      <c r="J105" s="212" t="s">
        <v>194</v>
      </c>
      <c r="K105" s="213"/>
      <c r="L105" s="203"/>
      <c r="M105" s="203"/>
      <c r="N105" s="203"/>
      <c r="O105" s="203"/>
      <c r="P105" s="203"/>
      <c r="Q105" s="203"/>
      <c r="S105" s="1"/>
      <c r="T105" s="202"/>
      <c r="U105" s="203"/>
      <c r="V105" s="203"/>
      <c r="W105" s="202"/>
      <c r="X105" s="203"/>
      <c r="Y105" s="203"/>
      <c r="Z105" s="203"/>
      <c r="AA105" s="1"/>
      <c r="AB105" s="1"/>
      <c r="AC105" s="1"/>
      <c r="AD105" s="1"/>
      <c r="AE105" s="1"/>
    </row>
    <row r="106" spans="4:32" ht="13.5" customHeight="1" x14ac:dyDescent="0.3">
      <c r="D106" s="214" t="s">
        <v>180</v>
      </c>
      <c r="E106" s="214"/>
      <c r="F106" s="36"/>
      <c r="G106" s="36"/>
      <c r="H106" s="36"/>
      <c r="I106" s="203"/>
      <c r="J106" s="214" t="s">
        <v>217</v>
      </c>
      <c r="K106" s="213"/>
      <c r="L106" s="203"/>
      <c r="M106" s="203"/>
      <c r="N106" s="203"/>
      <c r="O106" s="203"/>
      <c r="P106" s="203"/>
      <c r="Q106" s="203"/>
      <c r="S106" s="1"/>
      <c r="T106" s="202"/>
      <c r="U106" s="203"/>
      <c r="V106" s="203"/>
      <c r="W106" s="202"/>
      <c r="X106" s="203"/>
      <c r="Y106" s="203"/>
      <c r="Z106" s="203"/>
      <c r="AA106" s="1"/>
      <c r="AB106" s="1"/>
      <c r="AC106" s="1"/>
      <c r="AD106" s="1"/>
      <c r="AE106" s="1"/>
    </row>
    <row r="107" spans="4:32" s="7" customFormat="1" ht="13.5" customHeight="1" x14ac:dyDescent="0.3">
      <c r="D107" s="36"/>
      <c r="E107" s="36"/>
      <c r="F107" s="36"/>
      <c r="G107" s="36"/>
      <c r="H107" s="36"/>
      <c r="I107" s="207"/>
      <c r="J107" s="213"/>
      <c r="K107" s="213"/>
      <c r="L107" s="213"/>
      <c r="M107" s="207"/>
      <c r="N107" s="207"/>
      <c r="O107" s="207"/>
      <c r="P107" s="207"/>
      <c r="Q107" s="207"/>
      <c r="R107" s="207"/>
      <c r="T107" s="59"/>
      <c r="U107" s="206"/>
      <c r="V107" s="207"/>
      <c r="W107" s="207"/>
      <c r="X107" s="206"/>
      <c r="Y107" s="207"/>
      <c r="Z107" s="207"/>
      <c r="AA107" s="207"/>
      <c r="AB107" s="59"/>
      <c r="AC107" s="59"/>
      <c r="AD107" s="59"/>
      <c r="AE107" s="59"/>
      <c r="AF107" s="59"/>
    </row>
    <row r="108" spans="4:32" ht="13.5" customHeight="1" x14ac:dyDescent="0.3">
      <c r="D108" s="215" t="s">
        <v>186</v>
      </c>
      <c r="E108" s="216">
        <v>2022</v>
      </c>
      <c r="F108" s="216">
        <v>2023</v>
      </c>
      <c r="G108" s="216">
        <v>2024</v>
      </c>
      <c r="H108" s="216">
        <v>2025</v>
      </c>
      <c r="I108" s="203"/>
      <c r="J108" s="215" t="s">
        <v>186</v>
      </c>
      <c r="K108" s="216">
        <v>2022</v>
      </c>
      <c r="L108" s="216">
        <v>2023</v>
      </c>
      <c r="M108" s="216">
        <v>2024</v>
      </c>
      <c r="N108" s="216">
        <v>2025</v>
      </c>
      <c r="O108" s="203"/>
      <c r="P108" s="203"/>
      <c r="Q108" s="203"/>
      <c r="R108" s="203"/>
      <c r="T108" s="1"/>
      <c r="U108" s="202"/>
      <c r="V108" s="203"/>
      <c r="W108" s="203"/>
      <c r="X108" s="202"/>
      <c r="Y108" s="203"/>
      <c r="Z108" s="203"/>
      <c r="AA108" s="203"/>
      <c r="AB108" s="1"/>
      <c r="AC108" s="1"/>
      <c r="AD108" s="1"/>
      <c r="AE108" s="1"/>
      <c r="AF108" s="1"/>
    </row>
    <row r="109" spans="4:32" ht="13.5" customHeight="1" x14ac:dyDescent="0.25">
      <c r="D109" s="1" t="s">
        <v>182</v>
      </c>
      <c r="E109" s="1">
        <f>AF338</f>
        <v>8.8988450757087811</v>
      </c>
      <c r="F109" s="1">
        <f>E82+AG338</f>
        <v>11.096272431240129</v>
      </c>
      <c r="G109" s="1">
        <f>F82+AH338</f>
        <v>22.806618310287668</v>
      </c>
      <c r="H109" s="1">
        <f>G82+AI338</f>
        <v>26.668361170211394</v>
      </c>
      <c r="I109" s="208"/>
      <c r="J109" s="1" t="s">
        <v>182</v>
      </c>
      <c r="K109" s="1">
        <f>E109*$K$11</f>
        <v>4.0934687348260397</v>
      </c>
      <c r="L109" s="1">
        <f t="shared" ref="L109:N109" si="85">F109*$K$11</f>
        <v>5.1042853183704597</v>
      </c>
      <c r="M109" s="1">
        <f t="shared" si="85"/>
        <v>10.491044422732328</v>
      </c>
      <c r="N109" s="1">
        <f t="shared" si="85"/>
        <v>12.267446138297242</v>
      </c>
      <c r="O109" s="208"/>
      <c r="P109" s="208"/>
      <c r="Q109" s="208"/>
      <c r="R109" s="208"/>
      <c r="T109" s="208"/>
      <c r="U109" s="208"/>
      <c r="V109" s="208"/>
      <c r="W109" s="208"/>
      <c r="X109" s="208"/>
      <c r="Y109" s="208"/>
      <c r="Z109" s="208"/>
      <c r="AA109" s="208"/>
      <c r="AB109" s="208"/>
      <c r="AC109" s="208"/>
      <c r="AD109" s="208"/>
      <c r="AE109" s="208"/>
      <c r="AF109" s="208"/>
    </row>
    <row r="110" spans="4:32" ht="13.5" customHeight="1" x14ac:dyDescent="0.3">
      <c r="D110" s="1" t="s">
        <v>183</v>
      </c>
      <c r="E110" s="1">
        <f>AJ338</f>
        <v>0</v>
      </c>
      <c r="F110" s="1">
        <f>E83+AK338</f>
        <v>1.4820891734159458E-2</v>
      </c>
      <c r="G110" s="1">
        <f>F83+AL338</f>
        <v>1.9742601303612992</v>
      </c>
      <c r="H110" s="1">
        <f>G83+AM338</f>
        <v>8.8920552991984483</v>
      </c>
      <c r="I110" s="203"/>
      <c r="J110" s="1" t="s">
        <v>183</v>
      </c>
      <c r="K110" s="1">
        <f>E110*$K$12</f>
        <v>0</v>
      </c>
      <c r="L110" s="1">
        <f t="shared" ref="L110:N111" si="86">F110*$K$12</f>
        <v>6.8176101977133509E-3</v>
      </c>
      <c r="M110" s="1">
        <f t="shared" si="86"/>
        <v>0.90815965996619763</v>
      </c>
      <c r="N110" s="1">
        <f t="shared" si="86"/>
        <v>4.090345437631286</v>
      </c>
      <c r="O110" s="203"/>
      <c r="P110" s="203"/>
      <c r="Q110" s="203"/>
      <c r="R110" s="203"/>
      <c r="T110" s="1"/>
      <c r="U110" s="202"/>
      <c r="V110" s="203"/>
      <c r="W110" s="203"/>
      <c r="X110" s="202"/>
      <c r="Y110" s="203"/>
      <c r="Z110" s="203"/>
      <c r="AA110" s="203"/>
      <c r="AB110" s="1"/>
      <c r="AC110" s="1"/>
      <c r="AD110" s="1"/>
      <c r="AE110" s="1"/>
      <c r="AF110" s="1"/>
    </row>
    <row r="111" spans="4:32" ht="13.5" customHeight="1" x14ac:dyDescent="0.3">
      <c r="D111" s="1" t="s">
        <v>321</v>
      </c>
      <c r="E111" s="1">
        <f>AR338</f>
        <v>0</v>
      </c>
      <c r="F111" s="1">
        <f>E84+AS338</f>
        <v>5.8622050349519568E-2</v>
      </c>
      <c r="G111" s="1">
        <f>F84+AT338</f>
        <v>1.5099213092025714</v>
      </c>
      <c r="H111" s="1">
        <f>G84+AU338</f>
        <v>6.7002091266544834</v>
      </c>
      <c r="I111" s="203"/>
      <c r="J111" s="1" t="s">
        <v>321</v>
      </c>
      <c r="K111" s="1">
        <f>E111*$K$12</f>
        <v>0</v>
      </c>
      <c r="L111" s="1">
        <f t="shared" si="86"/>
        <v>2.6966143160779003E-2</v>
      </c>
      <c r="M111" s="1">
        <f t="shared" si="86"/>
        <v>0.69456380223318293</v>
      </c>
      <c r="N111" s="1">
        <f t="shared" si="86"/>
        <v>3.0820961982610626</v>
      </c>
      <c r="O111" s="203"/>
      <c r="P111" s="203"/>
      <c r="Q111" s="203"/>
      <c r="R111" s="203"/>
      <c r="T111" s="1"/>
      <c r="U111" s="202"/>
      <c r="V111" s="203"/>
      <c r="W111" s="203"/>
      <c r="X111" s="202"/>
      <c r="Y111" s="203"/>
      <c r="Z111" s="203"/>
      <c r="AA111" s="203"/>
      <c r="AB111" s="1"/>
      <c r="AC111" s="1"/>
      <c r="AD111" s="1"/>
      <c r="AE111" s="1"/>
      <c r="AF111" s="1"/>
    </row>
    <row r="112" spans="4:32" ht="13.5" customHeight="1" x14ac:dyDescent="0.3">
      <c r="D112" s="1" t="s">
        <v>184</v>
      </c>
      <c r="E112" s="1">
        <f>AN338</f>
        <v>53.161931621117411</v>
      </c>
      <c r="F112" s="1">
        <f t="shared" ref="F112:H112" si="87">AO338</f>
        <v>63.885341966349039</v>
      </c>
      <c r="G112" s="1">
        <f t="shared" si="87"/>
        <v>112.06770051602226</v>
      </c>
      <c r="H112" s="1">
        <f t="shared" si="87"/>
        <v>137.4616204417585</v>
      </c>
      <c r="I112" s="203"/>
      <c r="J112" s="1" t="s">
        <v>184</v>
      </c>
      <c r="K112" s="1">
        <f>E112*$K$13</f>
        <v>5.8478124783229148</v>
      </c>
      <c r="L112" s="1">
        <f t="shared" ref="L112:N112" si="88">F112*$K$13</f>
        <v>7.0273876162983946</v>
      </c>
      <c r="M112" s="1">
        <f t="shared" si="88"/>
        <v>12.327447056762448</v>
      </c>
      <c r="N112" s="1">
        <f t="shared" si="88"/>
        <v>15.120778248593435</v>
      </c>
      <c r="O112" s="203"/>
      <c r="P112" s="203"/>
      <c r="Q112" s="203"/>
      <c r="R112" s="203"/>
      <c r="T112" s="1"/>
      <c r="U112" s="202"/>
      <c r="V112" s="203"/>
      <c r="W112" s="203"/>
      <c r="X112" s="202"/>
      <c r="Y112" s="203"/>
      <c r="Z112" s="203"/>
      <c r="AA112" s="203"/>
      <c r="AB112" s="1"/>
      <c r="AC112" s="1"/>
      <c r="AD112" s="1"/>
      <c r="AE112" s="1"/>
      <c r="AF112" s="1"/>
    </row>
    <row r="113" spans="2:58" ht="13.5" customHeight="1" thickBot="1" x14ac:dyDescent="0.35">
      <c r="D113" s="1" t="s">
        <v>257</v>
      </c>
      <c r="E113" s="1">
        <f>AV338</f>
        <v>3.2987660134129255</v>
      </c>
      <c r="F113" s="1">
        <f>E85+AW338</f>
        <v>3.9641673732965295</v>
      </c>
      <c r="G113" s="1">
        <f>F85+AX338</f>
        <v>6.9539444935583026</v>
      </c>
      <c r="H113" s="1">
        <f>G85+AY338</f>
        <v>8.5296697812578373</v>
      </c>
      <c r="I113" s="203"/>
      <c r="J113" s="1" t="s">
        <v>257</v>
      </c>
      <c r="K113" s="1">
        <f>E113*$K$15</f>
        <v>1.7153583269747212</v>
      </c>
      <c r="L113" s="1">
        <f t="shared" ref="L113:N113" si="89">F113*$K$15</f>
        <v>2.0613670341141952</v>
      </c>
      <c r="M113" s="1">
        <f t="shared" si="89"/>
        <v>3.6160511366503174</v>
      </c>
      <c r="N113" s="1">
        <f t="shared" si="89"/>
        <v>4.4354282862540755</v>
      </c>
      <c r="O113" s="203"/>
      <c r="P113" s="203"/>
      <c r="Q113" s="203"/>
      <c r="R113" s="203"/>
      <c r="T113" s="1"/>
      <c r="U113" s="202"/>
      <c r="V113" s="203"/>
      <c r="W113" s="203"/>
      <c r="X113" s="202"/>
      <c r="Y113" s="203"/>
      <c r="Z113" s="203"/>
      <c r="AA113" s="203"/>
      <c r="AB113" s="1"/>
      <c r="AC113" s="1"/>
      <c r="AD113" s="1"/>
      <c r="AE113" s="1"/>
      <c r="AF113" s="1"/>
    </row>
    <row r="114" spans="2:58" ht="13.5" customHeight="1" thickTop="1" thickBot="1" x14ac:dyDescent="0.35">
      <c r="D114" s="99" t="s">
        <v>185</v>
      </c>
      <c r="E114" s="217">
        <f>SUM(E109:E113)</f>
        <v>65.359542710239126</v>
      </c>
      <c r="F114" s="217">
        <f>SUM(F109:F113)</f>
        <v>79.019224712969375</v>
      </c>
      <c r="G114" s="217">
        <f>SUM(G109:G113)</f>
        <v>145.31244475943211</v>
      </c>
      <c r="H114" s="217">
        <f>SUM(H109:H113)</f>
        <v>188.25191581908066</v>
      </c>
      <c r="I114" s="203"/>
      <c r="J114" s="99" t="s">
        <v>185</v>
      </c>
      <c r="K114" s="217">
        <f>SUM(K109:K113)</f>
        <v>11.656639540123676</v>
      </c>
      <c r="L114" s="217">
        <f>SUM(L109:L113)</f>
        <v>14.226823722141543</v>
      </c>
      <c r="M114" s="217">
        <f>SUM(M109:M113)</f>
        <v>28.037266078344473</v>
      </c>
      <c r="N114" s="217">
        <f>SUM(N109:N113)</f>
        <v>38.996094309037098</v>
      </c>
      <c r="O114" s="203"/>
      <c r="P114" s="203"/>
      <c r="Q114" s="203"/>
      <c r="R114" s="203"/>
      <c r="T114" s="1"/>
      <c r="U114" s="202"/>
      <c r="V114" s="203"/>
      <c r="W114" s="203"/>
      <c r="X114" s="202"/>
      <c r="Y114" s="203"/>
      <c r="Z114" s="203"/>
      <c r="AA114" s="203"/>
      <c r="AB114" s="1"/>
      <c r="AC114" s="1"/>
      <c r="AD114" s="1"/>
      <c r="AE114" s="1"/>
      <c r="AF114" s="1"/>
    </row>
    <row r="115" spans="2:58" ht="12.75" customHeight="1" thickTop="1" x14ac:dyDescent="0.3">
      <c r="D115" s="202" t="s">
        <v>195</v>
      </c>
      <c r="E115" s="202"/>
      <c r="F115" s="203">
        <f>E86/F114</f>
        <v>6.0221377088711366E-3</v>
      </c>
      <c r="G115" s="203">
        <f>F86/G114</f>
        <v>5.1830668719956015E-2</v>
      </c>
      <c r="H115" s="203">
        <f>G86/H114</f>
        <v>0.10226055638686565</v>
      </c>
      <c r="I115" s="208"/>
      <c r="J115" s="208" t="s">
        <v>324</v>
      </c>
      <c r="K115" s="208"/>
      <c r="L115" s="208">
        <f>L114-ProjectedP205_Consumption!K68</f>
        <v>-4.1983620596312221E-2</v>
      </c>
      <c r="M115" s="208">
        <f>M114-ProjectedP205_Consumption!L68</f>
        <v>-4.1158333622252741E-2</v>
      </c>
      <c r="N115" s="208">
        <f>N114-ProjectedP205_Consumption!M68</f>
        <v>-0.10080518832395313</v>
      </c>
      <c r="O115" s="208"/>
      <c r="P115" s="208"/>
      <c r="Q115" s="208"/>
      <c r="R115" s="208"/>
      <c r="T115" s="208"/>
      <c r="U115" s="208"/>
      <c r="V115" s="208"/>
      <c r="W115" s="208"/>
      <c r="X115" s="208"/>
      <c r="Y115" s="208"/>
      <c r="Z115" s="208"/>
      <c r="AA115" s="208"/>
      <c r="AB115" s="208"/>
      <c r="AC115" s="208"/>
      <c r="AD115" s="208"/>
      <c r="AE115" s="208"/>
      <c r="AF115" s="208"/>
    </row>
    <row r="116" spans="2:58" ht="13.5" customHeight="1" x14ac:dyDescent="0.25">
      <c r="N116" s="7"/>
    </row>
    <row r="117" spans="2:58" ht="13.5" customHeight="1" x14ac:dyDescent="0.25">
      <c r="N117" s="7"/>
    </row>
    <row r="118" spans="2:58" ht="13.5" customHeight="1" x14ac:dyDescent="0.35">
      <c r="B118" s="29">
        <v>0</v>
      </c>
      <c r="C118" s="29" t="s">
        <v>177</v>
      </c>
      <c r="D118" s="28" t="s">
        <v>196</v>
      </c>
      <c r="N118" s="7"/>
      <c r="O118" s="7"/>
    </row>
    <row r="119" spans="2:58" ht="13.5" customHeight="1" x14ac:dyDescent="0.3">
      <c r="N119" s="7"/>
      <c r="O119" s="7"/>
      <c r="AB119" s="32" t="s">
        <v>197</v>
      </c>
    </row>
    <row r="120" spans="2:58" ht="13.5" customHeight="1" x14ac:dyDescent="0.3">
      <c r="D120" s="32" t="s">
        <v>198</v>
      </c>
      <c r="H120" s="59"/>
      <c r="I120" s="218" t="s">
        <v>213</v>
      </c>
      <c r="J120" s="1"/>
    </row>
    <row r="121" spans="2:58" ht="13.5" customHeight="1" x14ac:dyDescent="0.25">
      <c r="E121" s="218" t="s">
        <v>182</v>
      </c>
      <c r="F121" s="1"/>
      <c r="G121" s="218"/>
      <c r="H121" s="277">
        <v>0.05</v>
      </c>
      <c r="I121" s="170">
        <v>0.3</v>
      </c>
      <c r="J121" s="277">
        <v>0.6</v>
      </c>
      <c r="K121" s="1" t="s">
        <v>320</v>
      </c>
      <c r="L121" s="218"/>
      <c r="M121" s="218"/>
      <c r="N121" s="218" t="s">
        <v>257</v>
      </c>
      <c r="O121" s="218"/>
      <c r="P121" s="218"/>
      <c r="Q121" s="218" t="s">
        <v>212</v>
      </c>
      <c r="R121" s="218"/>
      <c r="S121" s="218"/>
      <c r="U121" s="1"/>
      <c r="Y121" s="218" t="s">
        <v>182</v>
      </c>
      <c r="Z121" s="218"/>
      <c r="AA121" s="218"/>
      <c r="AB121" s="218" t="s">
        <v>199</v>
      </c>
      <c r="AC121" s="218"/>
      <c r="AD121" s="218"/>
      <c r="AE121" s="218" t="s">
        <v>184</v>
      </c>
      <c r="AF121" s="218"/>
      <c r="AG121" s="218"/>
      <c r="AH121" s="218" t="s">
        <v>297</v>
      </c>
      <c r="AI121" s="218"/>
      <c r="AJ121" s="218"/>
      <c r="AK121" s="218" t="s">
        <v>257</v>
      </c>
      <c r="AL121" s="218"/>
      <c r="AM121" s="218"/>
      <c r="AN121" s="218" t="s">
        <v>298</v>
      </c>
      <c r="AO121" s="218"/>
      <c r="AP121" s="218"/>
      <c r="BD121" s="59"/>
    </row>
    <row r="122" spans="2:58" ht="13.5" customHeight="1" x14ac:dyDescent="0.3">
      <c r="E122" s="219">
        <v>2023</v>
      </c>
      <c r="F122" s="219">
        <v>2024</v>
      </c>
      <c r="G122" s="219">
        <v>2025</v>
      </c>
      <c r="H122" s="219">
        <v>2023</v>
      </c>
      <c r="I122" s="219">
        <v>2024</v>
      </c>
      <c r="J122" s="219">
        <v>2025</v>
      </c>
      <c r="K122" s="219">
        <v>2023</v>
      </c>
      <c r="L122" s="219">
        <v>2024</v>
      </c>
      <c r="M122" s="219">
        <v>2025</v>
      </c>
      <c r="N122" s="219">
        <v>2023</v>
      </c>
      <c r="O122" s="219">
        <v>2024</v>
      </c>
      <c r="P122" s="219">
        <v>2025</v>
      </c>
      <c r="Q122" s="219">
        <v>2023</v>
      </c>
      <c r="R122" s="219">
        <v>2024</v>
      </c>
      <c r="S122" s="219">
        <v>2025</v>
      </c>
      <c r="T122" s="39" t="s">
        <v>200</v>
      </c>
      <c r="U122" s="176"/>
      <c r="V122" s="176"/>
      <c r="W122" s="176"/>
      <c r="Y122" s="220">
        <v>2023</v>
      </c>
      <c r="Z122" s="220">
        <v>2024</v>
      </c>
      <c r="AA122" s="220">
        <v>2025</v>
      </c>
      <c r="AB122" s="220">
        <v>2023</v>
      </c>
      <c r="AC122" s="220">
        <v>2024</v>
      </c>
      <c r="AD122" s="220">
        <v>2025</v>
      </c>
      <c r="AE122" s="220">
        <v>2023</v>
      </c>
      <c r="AF122" s="220">
        <v>2024</v>
      </c>
      <c r="AG122" s="220">
        <v>2025</v>
      </c>
      <c r="AH122" s="220">
        <v>2023</v>
      </c>
      <c r="AI122" s="220">
        <v>2024</v>
      </c>
      <c r="AJ122" s="220">
        <v>2025</v>
      </c>
      <c r="AK122" s="220">
        <v>2023</v>
      </c>
      <c r="AL122" s="220">
        <v>2024</v>
      </c>
      <c r="AM122" s="220">
        <v>2025</v>
      </c>
      <c r="AN122" s="220">
        <v>2023</v>
      </c>
      <c r="AO122" s="220">
        <v>2024</v>
      </c>
      <c r="AP122" s="220">
        <v>2025</v>
      </c>
      <c r="AQ122" s="39" t="s">
        <v>200</v>
      </c>
      <c r="AT122" s="2" t="s">
        <v>299</v>
      </c>
      <c r="BD122" s="221"/>
    </row>
    <row r="123" spans="2:58" ht="13.5" customHeight="1" x14ac:dyDescent="0.25">
      <c r="D123" s="2" t="str">
        <f>ProjectedP205_Consumption!D13</f>
        <v>Plantains and cooking bananas</v>
      </c>
      <c r="E123" s="237">
        <v>1</v>
      </c>
      <c r="F123" s="237">
        <v>1</v>
      </c>
      <c r="G123" s="237">
        <v>1</v>
      </c>
      <c r="H123" s="237">
        <v>0</v>
      </c>
      <c r="I123" s="237">
        <v>0</v>
      </c>
      <c r="J123" s="237">
        <v>0</v>
      </c>
      <c r="K123" s="237">
        <v>0</v>
      </c>
      <c r="L123" s="237">
        <v>0</v>
      </c>
      <c r="M123" s="237">
        <v>0</v>
      </c>
      <c r="N123" s="237">
        <v>0</v>
      </c>
      <c r="O123" s="237">
        <v>0</v>
      </c>
      <c r="P123" s="237">
        <v>0</v>
      </c>
      <c r="Q123" s="237">
        <f>E123+H123+K123+N123</f>
        <v>1</v>
      </c>
      <c r="R123" s="237">
        <f t="shared" ref="R123:R146" si="90">F123+I123+L123+O123</f>
        <v>1</v>
      </c>
      <c r="S123" s="237">
        <f t="shared" ref="S123:S146" si="91">G123+J123+M123+P123</f>
        <v>1</v>
      </c>
      <c r="T123" s="222" t="s">
        <v>300</v>
      </c>
      <c r="U123" s="222"/>
      <c r="V123" s="222"/>
      <c r="W123" s="222"/>
      <c r="Y123" s="237">
        <v>0.35</v>
      </c>
      <c r="Z123" s="237">
        <v>0.35</v>
      </c>
      <c r="AA123" s="237">
        <v>0.35</v>
      </c>
      <c r="AB123" s="237">
        <v>0</v>
      </c>
      <c r="AC123" s="237">
        <v>0</v>
      </c>
      <c r="AD123" s="237">
        <v>0</v>
      </c>
      <c r="AE123" s="237">
        <v>0.5</v>
      </c>
      <c r="AF123" s="237">
        <v>0.5</v>
      </c>
      <c r="AG123" s="237">
        <v>0.5</v>
      </c>
      <c r="AH123" s="237">
        <v>0</v>
      </c>
      <c r="AI123" s="237">
        <v>0</v>
      </c>
      <c r="AJ123" s="237">
        <v>0</v>
      </c>
      <c r="AK123" s="237">
        <f>$AU$125</f>
        <v>0.14666666666666667</v>
      </c>
      <c r="AL123" s="237">
        <f t="shared" ref="AL123:AM146" si="92">$AU$125</f>
        <v>0.14666666666666667</v>
      </c>
      <c r="AM123" s="237">
        <f t="shared" si="92"/>
        <v>0.14666666666666667</v>
      </c>
      <c r="AN123" s="237">
        <f>Y123+AB123+AE123+AH123+AK123</f>
        <v>0.99666666666666659</v>
      </c>
      <c r="AO123" s="237">
        <f t="shared" ref="AO123:AO146" si="93">Z123+AC123+AF123+AI123+AL123</f>
        <v>0.99666666666666659</v>
      </c>
      <c r="AP123" s="237">
        <f t="shared" ref="AP123:AP146" si="94">AA123+AD123+AG123+AJ123+AM123</f>
        <v>0.99666666666666659</v>
      </c>
      <c r="AQ123" s="222"/>
      <c r="AT123" s="2" t="s">
        <v>184</v>
      </c>
      <c r="AU123" s="76">
        <f>56%+5%/3</f>
        <v>0.57666666666666677</v>
      </c>
      <c r="BD123" s="59"/>
      <c r="BF123" s="1"/>
    </row>
    <row r="124" spans="2:58" ht="13.5" customHeight="1" x14ac:dyDescent="0.25">
      <c r="D124" s="2" t="str">
        <f>ProjectedP205_Consumption!D14</f>
        <v>Maize (corn)</v>
      </c>
      <c r="E124" s="237">
        <v>0.75</v>
      </c>
      <c r="F124" s="237">
        <v>0.5</v>
      </c>
      <c r="G124" s="237">
        <v>0</v>
      </c>
      <c r="H124" s="237">
        <v>0</v>
      </c>
      <c r="I124" s="237">
        <v>0</v>
      </c>
      <c r="J124" s="237">
        <v>0</v>
      </c>
      <c r="K124" s="237">
        <v>0.25</v>
      </c>
      <c r="L124" s="237">
        <v>0.5</v>
      </c>
      <c r="M124" s="237">
        <v>1</v>
      </c>
      <c r="N124" s="237">
        <v>0</v>
      </c>
      <c r="O124" s="237">
        <v>0</v>
      </c>
      <c r="P124" s="237">
        <v>0</v>
      </c>
      <c r="Q124" s="237">
        <f t="shared" ref="Q124:Q146" si="95">E124+H124+K124+N124</f>
        <v>1</v>
      </c>
      <c r="R124" s="237">
        <f t="shared" si="90"/>
        <v>1</v>
      </c>
      <c r="S124" s="237">
        <f t="shared" si="91"/>
        <v>1</v>
      </c>
      <c r="T124" s="222"/>
      <c r="U124" s="222"/>
      <c r="V124" s="222"/>
      <c r="W124" s="222"/>
      <c r="Y124" s="237">
        <v>0.35</v>
      </c>
      <c r="Z124" s="237">
        <v>0.35</v>
      </c>
      <c r="AA124" s="237">
        <v>0.35</v>
      </c>
      <c r="AB124" s="237">
        <v>0</v>
      </c>
      <c r="AC124" s="237">
        <v>0</v>
      </c>
      <c r="AD124" s="237">
        <v>0</v>
      </c>
      <c r="AE124" s="237">
        <v>0.5</v>
      </c>
      <c r="AF124" s="237">
        <v>0.5</v>
      </c>
      <c r="AG124" s="237">
        <v>0.5</v>
      </c>
      <c r="AH124" s="237">
        <v>0</v>
      </c>
      <c r="AI124" s="237">
        <v>0</v>
      </c>
      <c r="AJ124" s="237">
        <v>0</v>
      </c>
      <c r="AK124" s="237">
        <f t="shared" ref="AK124:AK146" si="96">$AU$125</f>
        <v>0.14666666666666667</v>
      </c>
      <c r="AL124" s="237">
        <f t="shared" si="92"/>
        <v>0.14666666666666667</v>
      </c>
      <c r="AM124" s="237">
        <f t="shared" si="92"/>
        <v>0.14666666666666667</v>
      </c>
      <c r="AN124" s="237">
        <f t="shared" ref="AN124:AN146" si="97">Y124+AB124+AE124+AH124+AK124</f>
        <v>0.99666666666666659</v>
      </c>
      <c r="AO124" s="237">
        <f t="shared" si="93"/>
        <v>0.99666666666666659</v>
      </c>
      <c r="AP124" s="237">
        <f t="shared" si="94"/>
        <v>0.99666666666666659</v>
      </c>
      <c r="AQ124" s="222"/>
      <c r="AT124" s="2" t="s">
        <v>182</v>
      </c>
      <c r="AU124" s="76">
        <f>26%+5%/3</f>
        <v>0.27666666666666667</v>
      </c>
      <c r="BD124" s="59"/>
    </row>
    <row r="125" spans="2:58" ht="13.5" customHeight="1" x14ac:dyDescent="0.25">
      <c r="D125" s="2" t="str">
        <f>ProjectedP205_Consumption!D15</f>
        <v>Cassava, fresh</v>
      </c>
      <c r="E125" s="237">
        <v>1</v>
      </c>
      <c r="F125" s="237">
        <v>0.75</v>
      </c>
      <c r="G125" s="237">
        <v>0.5</v>
      </c>
      <c r="H125" s="237">
        <v>0</v>
      </c>
      <c r="I125" s="237">
        <v>0</v>
      </c>
      <c r="J125" s="237">
        <v>0</v>
      </c>
      <c r="K125" s="237">
        <v>0</v>
      </c>
      <c r="L125" s="237">
        <v>0.25</v>
      </c>
      <c r="M125" s="237">
        <v>0.5</v>
      </c>
      <c r="N125" s="237">
        <v>0</v>
      </c>
      <c r="O125" s="237">
        <v>0</v>
      </c>
      <c r="P125" s="237">
        <v>0</v>
      </c>
      <c r="Q125" s="237">
        <f t="shared" si="95"/>
        <v>1</v>
      </c>
      <c r="R125" s="237">
        <f t="shared" si="90"/>
        <v>1</v>
      </c>
      <c r="S125" s="237">
        <f t="shared" si="91"/>
        <v>1</v>
      </c>
      <c r="T125" s="222"/>
      <c r="U125" s="222"/>
      <c r="V125" s="222"/>
      <c r="W125" s="222"/>
      <c r="Y125" s="237">
        <v>0.35</v>
      </c>
      <c r="Z125" s="237">
        <v>0.35</v>
      </c>
      <c r="AA125" s="237">
        <v>0.35</v>
      </c>
      <c r="AB125" s="237">
        <v>0</v>
      </c>
      <c r="AC125" s="237">
        <v>0</v>
      </c>
      <c r="AD125" s="237">
        <v>0</v>
      </c>
      <c r="AE125" s="237">
        <v>0.5</v>
      </c>
      <c r="AF125" s="237">
        <v>0.5</v>
      </c>
      <c r="AG125" s="237">
        <v>0.5</v>
      </c>
      <c r="AH125" s="237">
        <v>0</v>
      </c>
      <c r="AI125" s="237">
        <v>0</v>
      </c>
      <c r="AJ125" s="237">
        <v>0</v>
      </c>
      <c r="AK125" s="237">
        <f t="shared" si="96"/>
        <v>0.14666666666666667</v>
      </c>
      <c r="AL125" s="237">
        <f t="shared" si="92"/>
        <v>0.14666666666666667</v>
      </c>
      <c r="AM125" s="237">
        <f t="shared" si="92"/>
        <v>0.14666666666666667</v>
      </c>
      <c r="AN125" s="237">
        <f t="shared" si="97"/>
        <v>0.99666666666666659</v>
      </c>
      <c r="AO125" s="237">
        <f t="shared" si="93"/>
        <v>0.99666666666666659</v>
      </c>
      <c r="AP125" s="237">
        <f t="shared" si="94"/>
        <v>0.99666666666666659</v>
      </c>
      <c r="AQ125" s="222"/>
      <c r="AT125" s="2" t="s">
        <v>257</v>
      </c>
      <c r="AU125" s="76">
        <f>13%+5%/3</f>
        <v>0.14666666666666667</v>
      </c>
    </row>
    <row r="126" spans="2:58" ht="13.5" customHeight="1" x14ac:dyDescent="0.25">
      <c r="D126" s="2" t="str">
        <f>ProjectedP205_Consumption!D16</f>
        <v>Coffee, green</v>
      </c>
      <c r="E126" s="237">
        <v>0.9</v>
      </c>
      <c r="F126" s="237">
        <v>0.5</v>
      </c>
      <c r="G126" s="237">
        <v>0.2</v>
      </c>
      <c r="H126" s="237">
        <v>0.1</v>
      </c>
      <c r="I126" s="237">
        <v>0.5</v>
      </c>
      <c r="J126" s="237">
        <v>0.8</v>
      </c>
      <c r="K126" s="237">
        <v>0</v>
      </c>
      <c r="L126" s="237">
        <v>0</v>
      </c>
      <c r="M126" s="237">
        <v>0</v>
      </c>
      <c r="N126" s="237">
        <v>0</v>
      </c>
      <c r="O126" s="237">
        <v>0</v>
      </c>
      <c r="P126" s="237">
        <v>0</v>
      </c>
      <c r="Q126" s="237">
        <f t="shared" si="95"/>
        <v>1</v>
      </c>
      <c r="R126" s="237">
        <f t="shared" si="90"/>
        <v>1</v>
      </c>
      <c r="S126" s="237">
        <f t="shared" si="91"/>
        <v>1</v>
      </c>
      <c r="T126" s="222"/>
      <c r="U126" s="222"/>
      <c r="V126" s="222"/>
      <c r="W126" s="222"/>
      <c r="Y126" s="237">
        <v>0.35</v>
      </c>
      <c r="Z126" s="237">
        <v>0.35</v>
      </c>
      <c r="AA126" s="237">
        <v>0.35</v>
      </c>
      <c r="AB126" s="237">
        <v>0</v>
      </c>
      <c r="AC126" s="237">
        <v>0</v>
      </c>
      <c r="AD126" s="237">
        <v>0</v>
      </c>
      <c r="AE126" s="237">
        <v>0.5</v>
      </c>
      <c r="AF126" s="237">
        <v>0.5</v>
      </c>
      <c r="AG126" s="237">
        <v>0.5</v>
      </c>
      <c r="AH126" s="237">
        <v>0</v>
      </c>
      <c r="AI126" s="237">
        <v>0</v>
      </c>
      <c r="AJ126" s="237">
        <v>0</v>
      </c>
      <c r="AK126" s="237">
        <f t="shared" si="96"/>
        <v>0.14666666666666667</v>
      </c>
      <c r="AL126" s="237">
        <f t="shared" si="92"/>
        <v>0.14666666666666667</v>
      </c>
      <c r="AM126" s="237">
        <f t="shared" si="92"/>
        <v>0.14666666666666667</v>
      </c>
      <c r="AN126" s="237">
        <f t="shared" si="97"/>
        <v>0.99666666666666659</v>
      </c>
      <c r="AO126" s="237">
        <f t="shared" si="93"/>
        <v>0.99666666666666659</v>
      </c>
      <c r="AP126" s="237">
        <f t="shared" si="94"/>
        <v>0.99666666666666659</v>
      </c>
      <c r="AQ126" s="222"/>
      <c r="AT126" s="2" t="s">
        <v>59</v>
      </c>
      <c r="AU126" s="76">
        <v>0.05</v>
      </c>
    </row>
    <row r="127" spans="2:58" ht="13.5" customHeight="1" x14ac:dyDescent="0.25">
      <c r="D127" s="2" t="str">
        <f>ProjectedP205_Consumption!D17</f>
        <v>Beans, dry</v>
      </c>
      <c r="E127" s="237">
        <v>0.9</v>
      </c>
      <c r="F127" s="237">
        <v>0.5</v>
      </c>
      <c r="G127" s="237">
        <v>0.2</v>
      </c>
      <c r="H127" s="237">
        <v>0.1</v>
      </c>
      <c r="I127" s="237">
        <v>0.5</v>
      </c>
      <c r="J127" s="237">
        <v>0.8</v>
      </c>
      <c r="K127" s="237">
        <v>0</v>
      </c>
      <c r="L127" s="237">
        <v>0</v>
      </c>
      <c r="M127" s="237">
        <v>0</v>
      </c>
      <c r="N127" s="237">
        <v>0</v>
      </c>
      <c r="O127" s="237">
        <v>0</v>
      </c>
      <c r="P127" s="237">
        <v>0</v>
      </c>
      <c r="Q127" s="237">
        <f t="shared" si="95"/>
        <v>1</v>
      </c>
      <c r="R127" s="237">
        <f t="shared" si="90"/>
        <v>1</v>
      </c>
      <c r="S127" s="237">
        <f t="shared" si="91"/>
        <v>1</v>
      </c>
      <c r="T127" s="222"/>
      <c r="U127" s="222"/>
      <c r="V127" s="222"/>
      <c r="W127" s="222"/>
      <c r="Y127" s="237">
        <v>0.35</v>
      </c>
      <c r="Z127" s="237">
        <v>0.35</v>
      </c>
      <c r="AA127" s="237">
        <v>0.35</v>
      </c>
      <c r="AB127" s="237">
        <v>0</v>
      </c>
      <c r="AC127" s="237">
        <v>0</v>
      </c>
      <c r="AD127" s="237">
        <v>0</v>
      </c>
      <c r="AE127" s="237">
        <v>0.5</v>
      </c>
      <c r="AF127" s="237">
        <v>0.5</v>
      </c>
      <c r="AG127" s="237">
        <v>0.5</v>
      </c>
      <c r="AH127" s="237">
        <v>0</v>
      </c>
      <c r="AI127" s="237">
        <v>0</v>
      </c>
      <c r="AJ127" s="237">
        <v>0</v>
      </c>
      <c r="AK127" s="237">
        <f t="shared" si="96"/>
        <v>0.14666666666666667</v>
      </c>
      <c r="AL127" s="237">
        <f t="shared" si="92"/>
        <v>0.14666666666666667</v>
      </c>
      <c r="AM127" s="237">
        <f t="shared" si="92"/>
        <v>0.14666666666666667</v>
      </c>
      <c r="AN127" s="237">
        <f t="shared" si="97"/>
        <v>0.99666666666666659</v>
      </c>
      <c r="AO127" s="237">
        <f t="shared" si="93"/>
        <v>0.99666666666666659</v>
      </c>
      <c r="AP127" s="237">
        <f t="shared" si="94"/>
        <v>0.99666666666666659</v>
      </c>
      <c r="AQ127" s="222"/>
    </row>
    <row r="128" spans="2:58" ht="13.5" customHeight="1" x14ac:dyDescent="0.25">
      <c r="D128" s="2" t="str">
        <f>ProjectedP205_Consumption!D18</f>
        <v>Groundnuts, excluding shelled</v>
      </c>
      <c r="E128" s="237">
        <v>0.9</v>
      </c>
      <c r="F128" s="237">
        <v>0.5</v>
      </c>
      <c r="G128" s="237">
        <v>0.2</v>
      </c>
      <c r="H128" s="237">
        <v>0.1</v>
      </c>
      <c r="I128" s="237">
        <v>0.5</v>
      </c>
      <c r="J128" s="237">
        <v>0.8</v>
      </c>
      <c r="K128" s="237">
        <v>0</v>
      </c>
      <c r="L128" s="237">
        <v>0</v>
      </c>
      <c r="M128" s="237">
        <v>0</v>
      </c>
      <c r="N128" s="237">
        <v>0</v>
      </c>
      <c r="O128" s="237">
        <v>0</v>
      </c>
      <c r="P128" s="237">
        <v>0</v>
      </c>
      <c r="Q128" s="237">
        <f t="shared" si="95"/>
        <v>1</v>
      </c>
      <c r="R128" s="237">
        <f t="shared" si="90"/>
        <v>1</v>
      </c>
      <c r="S128" s="237">
        <f t="shared" si="91"/>
        <v>1</v>
      </c>
      <c r="T128" s="222"/>
      <c r="U128" s="222"/>
      <c r="V128" s="222"/>
      <c r="W128" s="222"/>
      <c r="Y128" s="237">
        <v>0.35</v>
      </c>
      <c r="Z128" s="237">
        <v>0.35</v>
      </c>
      <c r="AA128" s="237">
        <v>0.35</v>
      </c>
      <c r="AB128" s="237">
        <v>0</v>
      </c>
      <c r="AC128" s="237">
        <v>0</v>
      </c>
      <c r="AD128" s="237">
        <v>0</v>
      </c>
      <c r="AE128" s="237">
        <v>0.5</v>
      </c>
      <c r="AF128" s="237">
        <v>0.5</v>
      </c>
      <c r="AG128" s="237">
        <v>0.5</v>
      </c>
      <c r="AH128" s="237">
        <v>0</v>
      </c>
      <c r="AI128" s="237">
        <v>0</v>
      </c>
      <c r="AJ128" s="237">
        <v>0</v>
      </c>
      <c r="AK128" s="237">
        <f t="shared" si="96"/>
        <v>0.14666666666666667</v>
      </c>
      <c r="AL128" s="237">
        <f t="shared" si="92"/>
        <v>0.14666666666666667</v>
      </c>
      <c r="AM128" s="237">
        <f t="shared" si="92"/>
        <v>0.14666666666666667</v>
      </c>
      <c r="AN128" s="237">
        <f t="shared" si="97"/>
        <v>0.99666666666666659</v>
      </c>
      <c r="AO128" s="237">
        <f t="shared" si="93"/>
        <v>0.99666666666666659</v>
      </c>
      <c r="AP128" s="237">
        <f t="shared" si="94"/>
        <v>0.99666666666666659</v>
      </c>
      <c r="AQ128" s="222"/>
    </row>
    <row r="129" spans="4:43" ht="13.5" customHeight="1" x14ac:dyDescent="0.25">
      <c r="D129" s="2" t="str">
        <f>ProjectedP205_Consumption!D19</f>
        <v>Sweet potatoes</v>
      </c>
      <c r="E129" s="237">
        <v>1</v>
      </c>
      <c r="F129" s="237">
        <v>0.75</v>
      </c>
      <c r="G129" s="237">
        <v>0.5</v>
      </c>
      <c r="H129" s="237">
        <v>0</v>
      </c>
      <c r="I129" s="237">
        <v>0</v>
      </c>
      <c r="J129" s="237">
        <v>0</v>
      </c>
      <c r="K129" s="237">
        <v>0</v>
      </c>
      <c r="L129" s="237">
        <v>0.25</v>
      </c>
      <c r="M129" s="237">
        <v>0.5</v>
      </c>
      <c r="N129" s="237">
        <v>0</v>
      </c>
      <c r="O129" s="237">
        <v>0</v>
      </c>
      <c r="P129" s="237">
        <v>0</v>
      </c>
      <c r="Q129" s="237">
        <f t="shared" si="95"/>
        <v>1</v>
      </c>
      <c r="R129" s="237">
        <f t="shared" si="90"/>
        <v>1</v>
      </c>
      <c r="S129" s="237">
        <f t="shared" si="91"/>
        <v>1</v>
      </c>
      <c r="T129" s="222"/>
      <c r="U129" s="222"/>
      <c r="V129" s="222"/>
      <c r="W129" s="222"/>
      <c r="Y129" s="237">
        <v>0.35</v>
      </c>
      <c r="Z129" s="237">
        <v>0.35</v>
      </c>
      <c r="AA129" s="237">
        <v>0.35</v>
      </c>
      <c r="AB129" s="237">
        <v>0</v>
      </c>
      <c r="AC129" s="237">
        <v>0</v>
      </c>
      <c r="AD129" s="237">
        <v>0</v>
      </c>
      <c r="AE129" s="237">
        <v>0.5</v>
      </c>
      <c r="AF129" s="237">
        <v>0.5</v>
      </c>
      <c r="AG129" s="237">
        <v>0.5</v>
      </c>
      <c r="AH129" s="237">
        <v>0</v>
      </c>
      <c r="AI129" s="237">
        <v>0</v>
      </c>
      <c r="AJ129" s="237">
        <v>0</v>
      </c>
      <c r="AK129" s="237">
        <f t="shared" si="96"/>
        <v>0.14666666666666667</v>
      </c>
      <c r="AL129" s="237">
        <f t="shared" si="92"/>
        <v>0.14666666666666667</v>
      </c>
      <c r="AM129" s="237">
        <f t="shared" si="92"/>
        <v>0.14666666666666667</v>
      </c>
      <c r="AN129" s="237">
        <f t="shared" si="97"/>
        <v>0.99666666666666659</v>
      </c>
      <c r="AO129" s="237">
        <f t="shared" si="93"/>
        <v>0.99666666666666659</v>
      </c>
      <c r="AP129" s="237">
        <f t="shared" si="94"/>
        <v>0.99666666666666659</v>
      </c>
      <c r="AQ129" s="222"/>
    </row>
    <row r="130" spans="4:43" ht="13.5" customHeight="1" x14ac:dyDescent="0.25">
      <c r="D130" s="2" t="str">
        <f>ProjectedP205_Consumption!D20</f>
        <v>Sunflower seed</v>
      </c>
      <c r="E130" s="237">
        <v>0.9</v>
      </c>
      <c r="F130" s="237">
        <v>0.5</v>
      </c>
      <c r="G130" s="237">
        <v>0.2</v>
      </c>
      <c r="H130" s="237">
        <v>0.1</v>
      </c>
      <c r="I130" s="237">
        <v>0.3</v>
      </c>
      <c r="J130" s="237">
        <v>0.6</v>
      </c>
      <c r="K130" s="237">
        <v>0</v>
      </c>
      <c r="L130" s="237">
        <v>0.2</v>
      </c>
      <c r="M130" s="237">
        <v>0.2</v>
      </c>
      <c r="N130" s="237">
        <v>0</v>
      </c>
      <c r="O130" s="237">
        <v>0</v>
      </c>
      <c r="P130" s="237">
        <v>0</v>
      </c>
      <c r="Q130" s="237">
        <f t="shared" si="95"/>
        <v>1</v>
      </c>
      <c r="R130" s="237">
        <f t="shared" si="90"/>
        <v>1</v>
      </c>
      <c r="S130" s="237">
        <f t="shared" si="91"/>
        <v>1</v>
      </c>
      <c r="T130" s="222"/>
      <c r="U130" s="222"/>
      <c r="V130" s="222"/>
      <c r="W130" s="222"/>
      <c r="Y130" s="237">
        <v>0.35</v>
      </c>
      <c r="Z130" s="237">
        <v>0.35</v>
      </c>
      <c r="AA130" s="237">
        <v>0.35</v>
      </c>
      <c r="AB130" s="237">
        <v>0</v>
      </c>
      <c r="AC130" s="237">
        <v>0</v>
      </c>
      <c r="AD130" s="237">
        <v>0</v>
      </c>
      <c r="AE130" s="237">
        <v>0.5</v>
      </c>
      <c r="AF130" s="237">
        <v>0.5</v>
      </c>
      <c r="AG130" s="237">
        <v>0.5</v>
      </c>
      <c r="AH130" s="237">
        <v>0</v>
      </c>
      <c r="AI130" s="237">
        <v>0</v>
      </c>
      <c r="AJ130" s="237">
        <v>0</v>
      </c>
      <c r="AK130" s="237">
        <f t="shared" si="96"/>
        <v>0.14666666666666667</v>
      </c>
      <c r="AL130" s="237">
        <f t="shared" si="92"/>
        <v>0.14666666666666667</v>
      </c>
      <c r="AM130" s="237">
        <f t="shared" si="92"/>
        <v>0.14666666666666667</v>
      </c>
      <c r="AN130" s="237">
        <f t="shared" si="97"/>
        <v>0.99666666666666659</v>
      </c>
      <c r="AO130" s="237">
        <f t="shared" si="93"/>
        <v>0.99666666666666659</v>
      </c>
      <c r="AP130" s="237">
        <f t="shared" si="94"/>
        <v>0.99666666666666659</v>
      </c>
      <c r="AQ130" s="222"/>
    </row>
    <row r="131" spans="4:43" ht="13.5" customHeight="1" x14ac:dyDescent="0.25">
      <c r="D131" s="2" t="str">
        <f>ProjectedP205_Consumption!D21</f>
        <v>Sesame seed</v>
      </c>
      <c r="E131" s="237">
        <v>0.9</v>
      </c>
      <c r="F131" s="237">
        <v>0.5</v>
      </c>
      <c r="G131" s="237">
        <v>0.2</v>
      </c>
      <c r="H131" s="237">
        <v>0.1</v>
      </c>
      <c r="I131" s="237">
        <v>0.5</v>
      </c>
      <c r="J131" s="237">
        <v>0.8</v>
      </c>
      <c r="K131" s="237">
        <v>0</v>
      </c>
      <c r="L131" s="237">
        <v>0</v>
      </c>
      <c r="M131" s="237">
        <v>0</v>
      </c>
      <c r="N131" s="237">
        <v>0</v>
      </c>
      <c r="O131" s="237">
        <v>0</v>
      </c>
      <c r="P131" s="237">
        <v>0</v>
      </c>
      <c r="Q131" s="237">
        <f t="shared" si="95"/>
        <v>1</v>
      </c>
      <c r="R131" s="237">
        <f t="shared" si="90"/>
        <v>1</v>
      </c>
      <c r="S131" s="237">
        <f t="shared" si="91"/>
        <v>1</v>
      </c>
      <c r="T131" s="222"/>
      <c r="U131" s="222"/>
      <c r="V131" s="222"/>
      <c r="W131" s="222"/>
      <c r="Y131" s="237">
        <v>0.35</v>
      </c>
      <c r="Z131" s="237">
        <v>0.35</v>
      </c>
      <c r="AA131" s="237">
        <v>0.35</v>
      </c>
      <c r="AB131" s="237">
        <v>0</v>
      </c>
      <c r="AC131" s="237">
        <v>0</v>
      </c>
      <c r="AD131" s="237">
        <v>0</v>
      </c>
      <c r="AE131" s="237">
        <v>0.5</v>
      </c>
      <c r="AF131" s="237">
        <v>0.5</v>
      </c>
      <c r="AG131" s="237">
        <v>0.5</v>
      </c>
      <c r="AH131" s="237">
        <v>0</v>
      </c>
      <c r="AI131" s="237">
        <v>0</v>
      </c>
      <c r="AJ131" s="237">
        <v>0</v>
      </c>
      <c r="AK131" s="237">
        <f t="shared" si="96"/>
        <v>0.14666666666666667</v>
      </c>
      <c r="AL131" s="237">
        <f t="shared" si="92"/>
        <v>0.14666666666666667</v>
      </c>
      <c r="AM131" s="237">
        <f t="shared" si="92"/>
        <v>0.14666666666666667</v>
      </c>
      <c r="AN131" s="237">
        <f t="shared" si="97"/>
        <v>0.99666666666666659</v>
      </c>
      <c r="AO131" s="237">
        <f t="shared" si="93"/>
        <v>0.99666666666666659</v>
      </c>
      <c r="AP131" s="237">
        <f t="shared" si="94"/>
        <v>0.99666666666666659</v>
      </c>
      <c r="AQ131" s="222"/>
    </row>
    <row r="132" spans="4:43" ht="13.5" customHeight="1" x14ac:dyDescent="0.25">
      <c r="D132" s="2" t="str">
        <f>ProjectedP205_Consumption!D22</f>
        <v>Sorghum</v>
      </c>
      <c r="E132" s="237">
        <v>0.75</v>
      </c>
      <c r="F132" s="237">
        <v>0.5</v>
      </c>
      <c r="G132" s="237">
        <v>0</v>
      </c>
      <c r="H132" s="237">
        <v>0</v>
      </c>
      <c r="I132" s="237">
        <v>0</v>
      </c>
      <c r="J132" s="237">
        <v>0</v>
      </c>
      <c r="K132" s="237">
        <v>0.25</v>
      </c>
      <c r="L132" s="237">
        <v>0.5</v>
      </c>
      <c r="M132" s="237">
        <v>1</v>
      </c>
      <c r="N132" s="237">
        <v>0</v>
      </c>
      <c r="O132" s="237">
        <v>0</v>
      </c>
      <c r="P132" s="237">
        <v>0</v>
      </c>
      <c r="Q132" s="237">
        <f t="shared" si="95"/>
        <v>1</v>
      </c>
      <c r="R132" s="237">
        <f t="shared" si="90"/>
        <v>1</v>
      </c>
      <c r="S132" s="237">
        <f t="shared" si="91"/>
        <v>1</v>
      </c>
      <c r="T132" s="222"/>
      <c r="U132" s="222"/>
      <c r="V132" s="222"/>
      <c r="W132" s="222"/>
      <c r="Y132" s="237">
        <v>0.35</v>
      </c>
      <c r="Z132" s="237">
        <v>0.35</v>
      </c>
      <c r="AA132" s="237">
        <v>0.35</v>
      </c>
      <c r="AB132" s="237">
        <v>0</v>
      </c>
      <c r="AC132" s="237">
        <v>0</v>
      </c>
      <c r="AD132" s="237">
        <v>0</v>
      </c>
      <c r="AE132" s="237">
        <v>0.5</v>
      </c>
      <c r="AF132" s="237">
        <v>0.5</v>
      </c>
      <c r="AG132" s="237">
        <v>0.5</v>
      </c>
      <c r="AH132" s="237">
        <v>0</v>
      </c>
      <c r="AI132" s="237">
        <v>0</v>
      </c>
      <c r="AJ132" s="237">
        <v>0</v>
      </c>
      <c r="AK132" s="237">
        <f t="shared" si="96"/>
        <v>0.14666666666666667</v>
      </c>
      <c r="AL132" s="237">
        <f t="shared" si="92"/>
        <v>0.14666666666666667</v>
      </c>
      <c r="AM132" s="237">
        <f t="shared" si="92"/>
        <v>0.14666666666666667</v>
      </c>
      <c r="AN132" s="237">
        <f t="shared" si="97"/>
        <v>0.99666666666666659</v>
      </c>
      <c r="AO132" s="237">
        <f t="shared" si="93"/>
        <v>0.99666666666666659</v>
      </c>
      <c r="AP132" s="237">
        <f t="shared" si="94"/>
        <v>0.99666666666666659</v>
      </c>
      <c r="AQ132" s="222"/>
    </row>
    <row r="133" spans="4:43" ht="13.5" customHeight="1" x14ac:dyDescent="0.25">
      <c r="D133" s="2" t="str">
        <f>ProjectedP205_Consumption!D23</f>
        <v>Other vegetables, fresh n.e.c.</v>
      </c>
      <c r="E133" s="237">
        <v>1</v>
      </c>
      <c r="F133" s="237">
        <v>1</v>
      </c>
      <c r="G133" s="237">
        <v>1</v>
      </c>
      <c r="H133" s="237">
        <v>0</v>
      </c>
      <c r="I133" s="237">
        <v>0</v>
      </c>
      <c r="J133" s="237">
        <v>0</v>
      </c>
      <c r="K133" s="237">
        <v>0</v>
      </c>
      <c r="L133" s="237">
        <v>0</v>
      </c>
      <c r="M133" s="237">
        <v>0</v>
      </c>
      <c r="N133" s="237">
        <v>0</v>
      </c>
      <c r="O133" s="237">
        <v>0</v>
      </c>
      <c r="P133" s="237">
        <v>0</v>
      </c>
      <c r="Q133" s="237">
        <f t="shared" si="95"/>
        <v>1</v>
      </c>
      <c r="R133" s="237">
        <f t="shared" si="90"/>
        <v>1</v>
      </c>
      <c r="S133" s="237">
        <f t="shared" si="91"/>
        <v>1</v>
      </c>
      <c r="T133" s="222"/>
      <c r="U133" s="222"/>
      <c r="V133" s="222"/>
      <c r="W133" s="222"/>
      <c r="Y133" s="237">
        <v>0.35</v>
      </c>
      <c r="Z133" s="237">
        <v>0.35</v>
      </c>
      <c r="AA133" s="237">
        <v>0.35</v>
      </c>
      <c r="AB133" s="237">
        <v>0</v>
      </c>
      <c r="AC133" s="237">
        <v>0</v>
      </c>
      <c r="AD133" s="237">
        <v>0</v>
      </c>
      <c r="AE133" s="237">
        <v>0.5</v>
      </c>
      <c r="AF133" s="237">
        <v>0.5</v>
      </c>
      <c r="AG133" s="237">
        <v>0.5</v>
      </c>
      <c r="AH133" s="237">
        <v>0</v>
      </c>
      <c r="AI133" s="237">
        <v>0</v>
      </c>
      <c r="AJ133" s="237">
        <v>0</v>
      </c>
      <c r="AK133" s="237">
        <f t="shared" si="96"/>
        <v>0.14666666666666667</v>
      </c>
      <c r="AL133" s="237">
        <f t="shared" si="92"/>
        <v>0.14666666666666667</v>
      </c>
      <c r="AM133" s="237">
        <f t="shared" si="92"/>
        <v>0.14666666666666667</v>
      </c>
      <c r="AN133" s="237">
        <f t="shared" si="97"/>
        <v>0.99666666666666659</v>
      </c>
      <c r="AO133" s="237">
        <f t="shared" si="93"/>
        <v>0.99666666666666659</v>
      </c>
      <c r="AP133" s="237">
        <f t="shared" si="94"/>
        <v>0.99666666666666659</v>
      </c>
      <c r="AQ133" s="222"/>
    </row>
    <row r="134" spans="4:43" ht="13.5" customHeight="1" x14ac:dyDescent="0.25">
      <c r="D134" s="2" t="str">
        <f>ProjectedP205_Consumption!D24</f>
        <v>Seed cotton, unginned</v>
      </c>
      <c r="E134" s="237">
        <v>1</v>
      </c>
      <c r="F134" s="237">
        <v>1</v>
      </c>
      <c r="G134" s="237">
        <v>1</v>
      </c>
      <c r="H134" s="237">
        <v>0</v>
      </c>
      <c r="I134" s="237">
        <v>0</v>
      </c>
      <c r="J134" s="237">
        <v>0</v>
      </c>
      <c r="K134" s="237">
        <v>0</v>
      </c>
      <c r="L134" s="237">
        <v>0</v>
      </c>
      <c r="M134" s="237">
        <v>0</v>
      </c>
      <c r="N134" s="237">
        <v>0</v>
      </c>
      <c r="O134" s="237">
        <v>0</v>
      </c>
      <c r="P134" s="237">
        <v>0</v>
      </c>
      <c r="Q134" s="237">
        <f t="shared" si="95"/>
        <v>1</v>
      </c>
      <c r="R134" s="237">
        <f t="shared" si="90"/>
        <v>1</v>
      </c>
      <c r="S134" s="237">
        <f t="shared" si="91"/>
        <v>1</v>
      </c>
      <c r="T134" s="222"/>
      <c r="U134" s="222"/>
      <c r="V134" s="222"/>
      <c r="W134" s="222"/>
      <c r="Y134" s="237">
        <v>0.35</v>
      </c>
      <c r="Z134" s="237">
        <v>0.35</v>
      </c>
      <c r="AA134" s="237">
        <v>0.35</v>
      </c>
      <c r="AB134" s="237">
        <v>0</v>
      </c>
      <c r="AC134" s="237">
        <v>0</v>
      </c>
      <c r="AD134" s="237">
        <v>0</v>
      </c>
      <c r="AE134" s="237">
        <v>0.5</v>
      </c>
      <c r="AF134" s="237">
        <v>0.5</v>
      </c>
      <c r="AG134" s="237">
        <v>0.5</v>
      </c>
      <c r="AH134" s="237">
        <v>0</v>
      </c>
      <c r="AI134" s="237">
        <v>0</v>
      </c>
      <c r="AJ134" s="237">
        <v>0</v>
      </c>
      <c r="AK134" s="237">
        <f t="shared" si="96"/>
        <v>0.14666666666666667</v>
      </c>
      <c r="AL134" s="237">
        <f t="shared" si="92"/>
        <v>0.14666666666666667</v>
      </c>
      <c r="AM134" s="237">
        <f t="shared" si="92"/>
        <v>0.14666666666666667</v>
      </c>
      <c r="AN134" s="237">
        <f t="shared" si="97"/>
        <v>0.99666666666666659</v>
      </c>
      <c r="AO134" s="237">
        <f t="shared" si="93"/>
        <v>0.99666666666666659</v>
      </c>
      <c r="AP134" s="237">
        <f t="shared" si="94"/>
        <v>0.99666666666666659</v>
      </c>
      <c r="AQ134" s="222"/>
    </row>
    <row r="135" spans="4:43" ht="13.5" customHeight="1" x14ac:dyDescent="0.25">
      <c r="D135" s="2" t="str">
        <f>ProjectedP205_Consumption!D25</f>
        <v>Rice</v>
      </c>
      <c r="E135" s="237">
        <v>0.9</v>
      </c>
      <c r="F135" s="237">
        <v>0.5</v>
      </c>
      <c r="G135" s="237">
        <v>0.2</v>
      </c>
      <c r="H135" s="237">
        <v>0.1</v>
      </c>
      <c r="I135" s="237">
        <v>0.5</v>
      </c>
      <c r="J135" s="237">
        <v>0.8</v>
      </c>
      <c r="K135" s="237">
        <v>0</v>
      </c>
      <c r="L135" s="237">
        <v>0</v>
      </c>
      <c r="M135" s="237">
        <v>0</v>
      </c>
      <c r="N135" s="237">
        <v>0</v>
      </c>
      <c r="O135" s="237">
        <v>0</v>
      </c>
      <c r="P135" s="237">
        <v>0</v>
      </c>
      <c r="Q135" s="237">
        <f t="shared" si="95"/>
        <v>1</v>
      </c>
      <c r="R135" s="237">
        <f t="shared" si="90"/>
        <v>1</v>
      </c>
      <c r="S135" s="237">
        <f t="shared" si="91"/>
        <v>1</v>
      </c>
      <c r="T135" s="222"/>
      <c r="U135" s="222"/>
      <c r="V135" s="222"/>
      <c r="W135" s="222"/>
      <c r="Y135" s="237">
        <v>0.35</v>
      </c>
      <c r="Z135" s="237">
        <v>0.35</v>
      </c>
      <c r="AA135" s="237">
        <v>0.35</v>
      </c>
      <c r="AB135" s="237">
        <v>0</v>
      </c>
      <c r="AC135" s="237">
        <v>0</v>
      </c>
      <c r="AD135" s="237">
        <v>0</v>
      </c>
      <c r="AE135" s="237">
        <v>0.5</v>
      </c>
      <c r="AF135" s="237">
        <v>0.5</v>
      </c>
      <c r="AG135" s="237">
        <v>0.5</v>
      </c>
      <c r="AH135" s="237">
        <v>0</v>
      </c>
      <c r="AI135" s="237">
        <v>0</v>
      </c>
      <c r="AJ135" s="237">
        <v>0</v>
      </c>
      <c r="AK135" s="237">
        <f t="shared" si="96"/>
        <v>0.14666666666666667</v>
      </c>
      <c r="AL135" s="237">
        <f t="shared" si="92"/>
        <v>0.14666666666666667</v>
      </c>
      <c r="AM135" s="237">
        <f t="shared" si="92"/>
        <v>0.14666666666666667</v>
      </c>
      <c r="AN135" s="237">
        <f t="shared" si="97"/>
        <v>0.99666666666666659</v>
      </c>
      <c r="AO135" s="237">
        <f t="shared" si="93"/>
        <v>0.99666666666666659</v>
      </c>
      <c r="AP135" s="237">
        <f t="shared" si="94"/>
        <v>0.99666666666666659</v>
      </c>
      <c r="AQ135" s="222"/>
    </row>
    <row r="136" spans="4:43" ht="13.5" customHeight="1" x14ac:dyDescent="0.25">
      <c r="D136" s="2" t="str">
        <f>ProjectedP205_Consumption!D26</f>
        <v>Onions and shallots, dry (excluding dehydrated)</v>
      </c>
      <c r="E136" s="237">
        <v>1</v>
      </c>
      <c r="F136" s="237">
        <v>1</v>
      </c>
      <c r="G136" s="237">
        <v>1</v>
      </c>
      <c r="H136" s="237">
        <v>0</v>
      </c>
      <c r="I136" s="237">
        <v>0</v>
      </c>
      <c r="J136" s="237">
        <v>0</v>
      </c>
      <c r="K136" s="237">
        <v>0</v>
      </c>
      <c r="L136" s="237">
        <v>0</v>
      </c>
      <c r="M136" s="237">
        <v>0</v>
      </c>
      <c r="N136" s="237">
        <v>0</v>
      </c>
      <c r="O136" s="237">
        <v>0</v>
      </c>
      <c r="P136" s="237">
        <v>0</v>
      </c>
      <c r="Q136" s="237">
        <f t="shared" si="95"/>
        <v>1</v>
      </c>
      <c r="R136" s="237">
        <f t="shared" si="90"/>
        <v>1</v>
      </c>
      <c r="S136" s="237">
        <f t="shared" si="91"/>
        <v>1</v>
      </c>
      <c r="T136" s="222"/>
      <c r="U136" s="222"/>
      <c r="V136" s="222"/>
      <c r="W136" s="222"/>
      <c r="Y136" s="237">
        <v>0.35</v>
      </c>
      <c r="Z136" s="237">
        <v>0.35</v>
      </c>
      <c r="AA136" s="237">
        <v>0.35</v>
      </c>
      <c r="AB136" s="237">
        <v>0</v>
      </c>
      <c r="AC136" s="237">
        <v>0</v>
      </c>
      <c r="AD136" s="237">
        <v>0</v>
      </c>
      <c r="AE136" s="237">
        <v>0.5</v>
      </c>
      <c r="AF136" s="237">
        <v>0.5</v>
      </c>
      <c r="AG136" s="237">
        <v>0.5</v>
      </c>
      <c r="AH136" s="237">
        <v>0</v>
      </c>
      <c r="AI136" s="237">
        <v>0</v>
      </c>
      <c r="AJ136" s="237">
        <v>0</v>
      </c>
      <c r="AK136" s="237">
        <f t="shared" si="96"/>
        <v>0.14666666666666667</v>
      </c>
      <c r="AL136" s="237">
        <f t="shared" si="92"/>
        <v>0.14666666666666667</v>
      </c>
      <c r="AM136" s="237">
        <f t="shared" si="92"/>
        <v>0.14666666666666667</v>
      </c>
      <c r="AN136" s="237">
        <f t="shared" si="97"/>
        <v>0.99666666666666659</v>
      </c>
      <c r="AO136" s="237">
        <f t="shared" si="93"/>
        <v>0.99666666666666659</v>
      </c>
      <c r="AP136" s="237">
        <f t="shared" si="94"/>
        <v>0.99666666666666659</v>
      </c>
      <c r="AQ136" s="222"/>
    </row>
    <row r="137" spans="4:43" ht="13.5" customHeight="1" x14ac:dyDescent="0.25">
      <c r="D137" s="2" t="str">
        <f>ProjectedP205_Consumption!D27</f>
        <v>Sugar cane</v>
      </c>
      <c r="E137" s="237">
        <v>0.9</v>
      </c>
      <c r="F137" s="237">
        <v>0.5</v>
      </c>
      <c r="G137" s="237">
        <v>0.2</v>
      </c>
      <c r="H137" s="237">
        <v>0.1</v>
      </c>
      <c r="I137" s="237">
        <v>0.5</v>
      </c>
      <c r="J137" s="237">
        <v>0.8</v>
      </c>
      <c r="K137" s="237">
        <v>0</v>
      </c>
      <c r="L137" s="237">
        <v>0</v>
      </c>
      <c r="M137" s="237">
        <v>0</v>
      </c>
      <c r="N137" s="237">
        <v>0</v>
      </c>
      <c r="O137" s="237">
        <v>0</v>
      </c>
      <c r="P137" s="237">
        <v>0</v>
      </c>
      <c r="Q137" s="237">
        <f t="shared" si="95"/>
        <v>1</v>
      </c>
      <c r="R137" s="237">
        <f t="shared" si="90"/>
        <v>1</v>
      </c>
      <c r="S137" s="237">
        <f t="shared" si="91"/>
        <v>1</v>
      </c>
      <c r="T137" s="222"/>
      <c r="U137" s="222"/>
      <c r="V137" s="222"/>
      <c r="W137" s="222"/>
      <c r="Y137" s="237">
        <v>0.35</v>
      </c>
      <c r="Z137" s="237">
        <v>0.35</v>
      </c>
      <c r="AA137" s="237">
        <v>0.35</v>
      </c>
      <c r="AB137" s="237">
        <v>0</v>
      </c>
      <c r="AC137" s="237">
        <v>0</v>
      </c>
      <c r="AD137" s="237">
        <v>0</v>
      </c>
      <c r="AE137" s="237">
        <v>0.5</v>
      </c>
      <c r="AF137" s="237">
        <v>0.5</v>
      </c>
      <c r="AG137" s="237">
        <v>0.5</v>
      </c>
      <c r="AH137" s="237">
        <v>0</v>
      </c>
      <c r="AI137" s="237">
        <v>0</v>
      </c>
      <c r="AJ137" s="237">
        <v>0</v>
      </c>
      <c r="AK137" s="237">
        <f t="shared" si="96"/>
        <v>0.14666666666666667</v>
      </c>
      <c r="AL137" s="237">
        <f t="shared" si="92"/>
        <v>0.14666666666666667</v>
      </c>
      <c r="AM137" s="237">
        <f t="shared" si="92"/>
        <v>0.14666666666666667</v>
      </c>
      <c r="AN137" s="237">
        <f t="shared" si="97"/>
        <v>0.99666666666666659</v>
      </c>
      <c r="AO137" s="237">
        <f t="shared" si="93"/>
        <v>0.99666666666666659</v>
      </c>
      <c r="AP137" s="237">
        <f t="shared" si="94"/>
        <v>0.99666666666666659</v>
      </c>
      <c r="AQ137" s="222"/>
    </row>
    <row r="138" spans="4:43" ht="13.5" customHeight="1" x14ac:dyDescent="0.25">
      <c r="D138" s="2" t="str">
        <f>ProjectedP205_Consumption!D28</f>
        <v>Millet</v>
      </c>
      <c r="E138" s="237">
        <v>0.75</v>
      </c>
      <c r="F138" s="237">
        <v>0.5</v>
      </c>
      <c r="G138" s="237">
        <v>0</v>
      </c>
      <c r="H138" s="237">
        <v>0</v>
      </c>
      <c r="I138" s="237">
        <v>0</v>
      </c>
      <c r="J138" s="237">
        <v>0</v>
      </c>
      <c r="K138" s="237">
        <v>0.25</v>
      </c>
      <c r="L138" s="237">
        <v>0.5</v>
      </c>
      <c r="M138" s="237">
        <v>1</v>
      </c>
      <c r="N138" s="237">
        <v>0</v>
      </c>
      <c r="O138" s="237">
        <v>0</v>
      </c>
      <c r="P138" s="237">
        <v>0</v>
      </c>
      <c r="Q138" s="237">
        <f t="shared" si="95"/>
        <v>1</v>
      </c>
      <c r="R138" s="237">
        <f t="shared" si="90"/>
        <v>1</v>
      </c>
      <c r="S138" s="237">
        <f t="shared" si="91"/>
        <v>1</v>
      </c>
      <c r="T138" s="222"/>
      <c r="U138" s="222"/>
      <c r="V138" s="222"/>
      <c r="W138" s="222"/>
      <c r="Y138" s="237">
        <v>0.35</v>
      </c>
      <c r="Z138" s="237">
        <v>0.35</v>
      </c>
      <c r="AA138" s="237">
        <v>0.35</v>
      </c>
      <c r="AB138" s="237">
        <v>0</v>
      </c>
      <c r="AC138" s="237">
        <v>0</v>
      </c>
      <c r="AD138" s="237">
        <v>0</v>
      </c>
      <c r="AE138" s="237">
        <v>0.5</v>
      </c>
      <c r="AF138" s="237">
        <v>0.5</v>
      </c>
      <c r="AG138" s="237">
        <v>0.5</v>
      </c>
      <c r="AH138" s="237">
        <v>0</v>
      </c>
      <c r="AI138" s="237">
        <v>0</v>
      </c>
      <c r="AJ138" s="237">
        <v>0</v>
      </c>
      <c r="AK138" s="237">
        <f t="shared" si="96"/>
        <v>0.14666666666666667</v>
      </c>
      <c r="AL138" s="237">
        <f t="shared" si="92"/>
        <v>0.14666666666666667</v>
      </c>
      <c r="AM138" s="237">
        <f t="shared" si="92"/>
        <v>0.14666666666666667</v>
      </c>
      <c r="AN138" s="237">
        <f t="shared" si="97"/>
        <v>0.99666666666666659</v>
      </c>
      <c r="AO138" s="237">
        <f t="shared" si="93"/>
        <v>0.99666666666666659</v>
      </c>
      <c r="AP138" s="237">
        <f t="shared" si="94"/>
        <v>0.99666666666666659</v>
      </c>
      <c r="AQ138" s="222"/>
    </row>
    <row r="139" spans="4:43" ht="13.5" customHeight="1" x14ac:dyDescent="0.25">
      <c r="D139" s="2" t="str">
        <f>ProjectedP205_Consumption!D29</f>
        <v>Cocoa beans</v>
      </c>
      <c r="E139" s="237">
        <v>0.9</v>
      </c>
      <c r="F139" s="237">
        <v>0.5</v>
      </c>
      <c r="G139" s="237">
        <v>0.2</v>
      </c>
      <c r="H139" s="237">
        <v>0.1</v>
      </c>
      <c r="I139" s="237">
        <v>0.5</v>
      </c>
      <c r="J139" s="237">
        <v>0.8</v>
      </c>
      <c r="K139" s="237">
        <v>0</v>
      </c>
      <c r="L139" s="237">
        <v>0</v>
      </c>
      <c r="M139" s="237">
        <v>0</v>
      </c>
      <c r="N139" s="237">
        <v>0</v>
      </c>
      <c r="O139" s="237">
        <v>0</v>
      </c>
      <c r="P139" s="237">
        <v>0</v>
      </c>
      <c r="Q139" s="237">
        <f t="shared" si="95"/>
        <v>1</v>
      </c>
      <c r="R139" s="237">
        <f t="shared" si="90"/>
        <v>1</v>
      </c>
      <c r="S139" s="237">
        <f t="shared" si="91"/>
        <v>1</v>
      </c>
      <c r="T139" s="222"/>
      <c r="U139" s="222"/>
      <c r="V139" s="222"/>
      <c r="W139" s="222"/>
      <c r="Y139" s="237">
        <v>0.35</v>
      </c>
      <c r="Z139" s="237">
        <v>0.35</v>
      </c>
      <c r="AA139" s="237">
        <v>0.35</v>
      </c>
      <c r="AB139" s="237">
        <v>0</v>
      </c>
      <c r="AC139" s="237">
        <v>0</v>
      </c>
      <c r="AD139" s="237">
        <v>0</v>
      </c>
      <c r="AE139" s="237">
        <v>0.5</v>
      </c>
      <c r="AF139" s="237">
        <v>0.5</v>
      </c>
      <c r="AG139" s="237">
        <v>0.5</v>
      </c>
      <c r="AH139" s="237">
        <v>0</v>
      </c>
      <c r="AI139" s="237">
        <v>0</v>
      </c>
      <c r="AJ139" s="237">
        <v>0</v>
      </c>
      <c r="AK139" s="237">
        <f t="shared" si="96"/>
        <v>0.14666666666666667</v>
      </c>
      <c r="AL139" s="237">
        <f t="shared" si="92"/>
        <v>0.14666666666666667</v>
      </c>
      <c r="AM139" s="237">
        <f t="shared" si="92"/>
        <v>0.14666666666666667</v>
      </c>
      <c r="AN139" s="237">
        <f t="shared" si="97"/>
        <v>0.99666666666666659</v>
      </c>
      <c r="AO139" s="237">
        <f t="shared" si="93"/>
        <v>0.99666666666666659</v>
      </c>
      <c r="AP139" s="237">
        <f t="shared" si="94"/>
        <v>0.99666666666666659</v>
      </c>
      <c r="AQ139" s="222"/>
    </row>
    <row r="140" spans="4:43" ht="13.5" customHeight="1" x14ac:dyDescent="0.25">
      <c r="D140" s="2" t="str">
        <f>ProjectedP205_Consumption!D30</f>
        <v>Other oil seeds, n.e.c.</v>
      </c>
      <c r="E140" s="237">
        <v>0.9</v>
      </c>
      <c r="F140" s="237">
        <v>0.5</v>
      </c>
      <c r="G140" s="237">
        <v>0.2</v>
      </c>
      <c r="H140" s="237">
        <v>0.1</v>
      </c>
      <c r="I140" s="237">
        <v>0.5</v>
      </c>
      <c r="J140" s="237">
        <v>0.8</v>
      </c>
      <c r="K140" s="237">
        <v>0</v>
      </c>
      <c r="L140" s="237">
        <v>0</v>
      </c>
      <c r="M140" s="237">
        <v>0</v>
      </c>
      <c r="N140" s="237">
        <v>0</v>
      </c>
      <c r="O140" s="237">
        <v>0</v>
      </c>
      <c r="P140" s="237">
        <v>0</v>
      </c>
      <c r="Q140" s="237">
        <f t="shared" si="95"/>
        <v>1</v>
      </c>
      <c r="R140" s="237">
        <f t="shared" si="90"/>
        <v>1</v>
      </c>
      <c r="S140" s="237">
        <f t="shared" si="91"/>
        <v>1</v>
      </c>
      <c r="T140" s="222"/>
      <c r="U140" s="222"/>
      <c r="V140" s="222"/>
      <c r="W140" s="222"/>
      <c r="Y140" s="237">
        <v>0.35</v>
      </c>
      <c r="Z140" s="237">
        <v>0.35</v>
      </c>
      <c r="AA140" s="237">
        <v>0.35</v>
      </c>
      <c r="AB140" s="237">
        <v>0</v>
      </c>
      <c r="AC140" s="237">
        <v>0</v>
      </c>
      <c r="AD140" s="237">
        <v>0</v>
      </c>
      <c r="AE140" s="237">
        <v>0.5</v>
      </c>
      <c r="AF140" s="237">
        <v>0.5</v>
      </c>
      <c r="AG140" s="237">
        <v>0.5</v>
      </c>
      <c r="AH140" s="237">
        <v>0</v>
      </c>
      <c r="AI140" s="237">
        <v>0</v>
      </c>
      <c r="AJ140" s="237">
        <v>0</v>
      </c>
      <c r="AK140" s="237">
        <f t="shared" si="96"/>
        <v>0.14666666666666667</v>
      </c>
      <c r="AL140" s="237">
        <f t="shared" si="92"/>
        <v>0.14666666666666667</v>
      </c>
      <c r="AM140" s="237">
        <f t="shared" si="92"/>
        <v>0.14666666666666667</v>
      </c>
      <c r="AN140" s="237">
        <f t="shared" si="97"/>
        <v>0.99666666666666659</v>
      </c>
      <c r="AO140" s="237">
        <f t="shared" si="93"/>
        <v>0.99666666666666659</v>
      </c>
      <c r="AP140" s="237">
        <f t="shared" si="94"/>
        <v>0.99666666666666659</v>
      </c>
      <c r="AQ140" s="222"/>
    </row>
    <row r="141" spans="4:43" ht="13.5" customHeight="1" x14ac:dyDescent="0.25">
      <c r="D141" s="2" t="str">
        <f>ProjectedP205_Consumption!D31</f>
        <v>Soya beans</v>
      </c>
      <c r="E141" s="237">
        <v>0.9</v>
      </c>
      <c r="F141" s="237">
        <v>0.5</v>
      </c>
      <c r="G141" s="237">
        <v>0.2</v>
      </c>
      <c r="H141" s="237">
        <v>0.1</v>
      </c>
      <c r="I141" s="237">
        <v>0.5</v>
      </c>
      <c r="J141" s="237">
        <v>0.8</v>
      </c>
      <c r="K141" s="237">
        <v>0</v>
      </c>
      <c r="L141" s="237">
        <v>0</v>
      </c>
      <c r="M141" s="237">
        <v>0</v>
      </c>
      <c r="N141" s="237">
        <v>0</v>
      </c>
      <c r="O141" s="237">
        <v>0</v>
      </c>
      <c r="P141" s="237">
        <v>0</v>
      </c>
      <c r="Q141" s="237">
        <f t="shared" si="95"/>
        <v>1</v>
      </c>
      <c r="R141" s="237">
        <f t="shared" si="90"/>
        <v>1</v>
      </c>
      <c r="S141" s="237">
        <f t="shared" si="91"/>
        <v>1</v>
      </c>
      <c r="T141" s="222"/>
      <c r="U141" s="222"/>
      <c r="V141" s="222"/>
      <c r="W141" s="222"/>
      <c r="Y141" s="237">
        <v>0.35</v>
      </c>
      <c r="Z141" s="237">
        <v>0.35</v>
      </c>
      <c r="AA141" s="237">
        <v>0.35</v>
      </c>
      <c r="AB141" s="237">
        <v>0</v>
      </c>
      <c r="AC141" s="237">
        <v>0</v>
      </c>
      <c r="AD141" s="237">
        <v>0</v>
      </c>
      <c r="AE141" s="237">
        <v>0.5</v>
      </c>
      <c r="AF141" s="237">
        <v>0.5</v>
      </c>
      <c r="AG141" s="237">
        <v>0.5</v>
      </c>
      <c r="AH141" s="237">
        <v>0</v>
      </c>
      <c r="AI141" s="237">
        <v>0</v>
      </c>
      <c r="AJ141" s="237">
        <v>0</v>
      </c>
      <c r="AK141" s="237">
        <f t="shared" si="96"/>
        <v>0.14666666666666667</v>
      </c>
      <c r="AL141" s="237">
        <f t="shared" si="92"/>
        <v>0.14666666666666667</v>
      </c>
      <c r="AM141" s="237">
        <f t="shared" si="92"/>
        <v>0.14666666666666667</v>
      </c>
      <c r="AN141" s="237">
        <f t="shared" si="97"/>
        <v>0.99666666666666659</v>
      </c>
      <c r="AO141" s="237">
        <f t="shared" si="93"/>
        <v>0.99666666666666659</v>
      </c>
      <c r="AP141" s="237">
        <f t="shared" si="94"/>
        <v>0.99666666666666659</v>
      </c>
      <c r="AQ141" s="222"/>
    </row>
    <row r="142" spans="4:43" ht="13.5" customHeight="1" x14ac:dyDescent="0.25">
      <c r="D142" s="2" t="str">
        <f>ProjectedP205_Consumption!D32</f>
        <v>Pigeon peas, dry</v>
      </c>
      <c r="E142" s="237">
        <v>0.9</v>
      </c>
      <c r="F142" s="237">
        <v>0.5</v>
      </c>
      <c r="G142" s="237">
        <v>0.2</v>
      </c>
      <c r="H142" s="237">
        <v>0.1</v>
      </c>
      <c r="I142" s="237">
        <v>0.5</v>
      </c>
      <c r="J142" s="237">
        <v>0.8</v>
      </c>
      <c r="K142" s="237">
        <v>0</v>
      </c>
      <c r="L142" s="237">
        <v>0</v>
      </c>
      <c r="M142" s="237">
        <v>0</v>
      </c>
      <c r="N142" s="237">
        <v>0</v>
      </c>
      <c r="O142" s="237">
        <v>0</v>
      </c>
      <c r="P142" s="237">
        <v>0</v>
      </c>
      <c r="Q142" s="237">
        <f t="shared" si="95"/>
        <v>1</v>
      </c>
      <c r="R142" s="237">
        <f t="shared" si="90"/>
        <v>1</v>
      </c>
      <c r="S142" s="237">
        <f t="shared" si="91"/>
        <v>1</v>
      </c>
      <c r="T142" s="222"/>
      <c r="U142" s="222"/>
      <c r="V142" s="222"/>
      <c r="W142" s="222"/>
      <c r="Y142" s="237">
        <v>0.35</v>
      </c>
      <c r="Z142" s="237">
        <v>0.35</v>
      </c>
      <c r="AA142" s="237">
        <v>0.35</v>
      </c>
      <c r="AB142" s="237">
        <v>0</v>
      </c>
      <c r="AC142" s="237">
        <v>0</v>
      </c>
      <c r="AD142" s="237">
        <v>0</v>
      </c>
      <c r="AE142" s="237">
        <v>0.5</v>
      </c>
      <c r="AF142" s="237">
        <v>0.5</v>
      </c>
      <c r="AG142" s="237">
        <v>0.5</v>
      </c>
      <c r="AH142" s="237">
        <v>0</v>
      </c>
      <c r="AI142" s="237">
        <v>0</v>
      </c>
      <c r="AJ142" s="237">
        <v>0</v>
      </c>
      <c r="AK142" s="237">
        <f t="shared" si="96"/>
        <v>0.14666666666666667</v>
      </c>
      <c r="AL142" s="237">
        <f t="shared" si="92"/>
        <v>0.14666666666666667</v>
      </c>
      <c r="AM142" s="237">
        <f t="shared" si="92"/>
        <v>0.14666666666666667</v>
      </c>
      <c r="AN142" s="237">
        <f t="shared" si="97"/>
        <v>0.99666666666666659</v>
      </c>
      <c r="AO142" s="237">
        <f t="shared" si="93"/>
        <v>0.99666666666666659</v>
      </c>
      <c r="AP142" s="237">
        <f t="shared" si="94"/>
        <v>0.99666666666666659</v>
      </c>
      <c r="AQ142" s="222"/>
    </row>
    <row r="143" spans="4:43" ht="13.5" customHeight="1" x14ac:dyDescent="0.25">
      <c r="D143" s="2" t="str">
        <f>ProjectedP205_Consumption!D33</f>
        <v>Potatoes</v>
      </c>
      <c r="E143" s="237">
        <v>1</v>
      </c>
      <c r="F143" s="237">
        <v>0.75</v>
      </c>
      <c r="G143" s="237">
        <v>0.5</v>
      </c>
      <c r="H143" s="237">
        <v>0</v>
      </c>
      <c r="I143" s="237">
        <v>0</v>
      </c>
      <c r="J143" s="237">
        <v>0</v>
      </c>
      <c r="K143" s="237">
        <v>0</v>
      </c>
      <c r="L143" s="237">
        <v>0.25</v>
      </c>
      <c r="M143" s="237">
        <v>0.5</v>
      </c>
      <c r="N143" s="237">
        <v>0</v>
      </c>
      <c r="O143" s="237">
        <v>0</v>
      </c>
      <c r="P143" s="237">
        <v>0</v>
      </c>
      <c r="Q143" s="237">
        <f t="shared" si="95"/>
        <v>1</v>
      </c>
      <c r="R143" s="237">
        <f t="shared" si="90"/>
        <v>1</v>
      </c>
      <c r="S143" s="237">
        <f t="shared" si="91"/>
        <v>1</v>
      </c>
      <c r="T143" s="222"/>
      <c r="U143" s="222"/>
      <c r="V143" s="222"/>
      <c r="W143" s="222"/>
      <c r="Y143" s="237">
        <v>0.35</v>
      </c>
      <c r="Z143" s="237">
        <v>0.35</v>
      </c>
      <c r="AA143" s="237">
        <v>0.35</v>
      </c>
      <c r="AB143" s="237">
        <v>0</v>
      </c>
      <c r="AC143" s="237">
        <v>0</v>
      </c>
      <c r="AD143" s="237">
        <v>0</v>
      </c>
      <c r="AE143" s="237">
        <v>0.5</v>
      </c>
      <c r="AF143" s="237">
        <v>0.5</v>
      </c>
      <c r="AG143" s="237">
        <v>0.5</v>
      </c>
      <c r="AH143" s="237">
        <v>0</v>
      </c>
      <c r="AI143" s="237">
        <v>0</v>
      </c>
      <c r="AJ143" s="237">
        <v>0</v>
      </c>
      <c r="AK143" s="237">
        <f t="shared" si="96"/>
        <v>0.14666666666666667</v>
      </c>
      <c r="AL143" s="237">
        <f t="shared" si="92"/>
        <v>0.14666666666666667</v>
      </c>
      <c r="AM143" s="237">
        <f t="shared" si="92"/>
        <v>0.14666666666666667</v>
      </c>
      <c r="AN143" s="237">
        <f t="shared" si="97"/>
        <v>0.99666666666666659</v>
      </c>
      <c r="AO143" s="237">
        <f t="shared" si="93"/>
        <v>0.99666666666666659</v>
      </c>
      <c r="AP143" s="237">
        <f t="shared" si="94"/>
        <v>0.99666666666666659</v>
      </c>
      <c r="AQ143" s="222"/>
    </row>
    <row r="144" spans="4:43" ht="13.5" customHeight="1" x14ac:dyDescent="0.25">
      <c r="D144" s="2" t="str">
        <f>ProjectedP205_Consumption!D34</f>
        <v>Tea leaves</v>
      </c>
      <c r="E144" s="237">
        <v>1</v>
      </c>
      <c r="F144" s="237">
        <v>1</v>
      </c>
      <c r="G144" s="237">
        <v>1</v>
      </c>
      <c r="H144" s="237">
        <v>0</v>
      </c>
      <c r="I144" s="237">
        <v>0</v>
      </c>
      <c r="J144" s="237">
        <v>0</v>
      </c>
      <c r="K144" s="237">
        <v>0</v>
      </c>
      <c r="L144" s="237">
        <v>0</v>
      </c>
      <c r="M144" s="237">
        <v>0</v>
      </c>
      <c r="N144" s="237">
        <v>0</v>
      </c>
      <c r="O144" s="237">
        <v>0</v>
      </c>
      <c r="P144" s="237">
        <v>0</v>
      </c>
      <c r="Q144" s="237">
        <f t="shared" si="95"/>
        <v>1</v>
      </c>
      <c r="R144" s="237">
        <f t="shared" si="90"/>
        <v>1</v>
      </c>
      <c r="S144" s="237">
        <f t="shared" si="91"/>
        <v>1</v>
      </c>
      <c r="T144" s="222"/>
      <c r="U144" s="222"/>
      <c r="V144" s="222"/>
      <c r="W144" s="222"/>
      <c r="Y144" s="237">
        <v>0.35</v>
      </c>
      <c r="Z144" s="237">
        <v>0.35</v>
      </c>
      <c r="AA144" s="237">
        <v>0.35</v>
      </c>
      <c r="AB144" s="237">
        <v>0</v>
      </c>
      <c r="AC144" s="237">
        <v>0</v>
      </c>
      <c r="AD144" s="237">
        <v>0</v>
      </c>
      <c r="AE144" s="237">
        <v>0.5</v>
      </c>
      <c r="AF144" s="237">
        <v>0.5</v>
      </c>
      <c r="AG144" s="237">
        <v>0.5</v>
      </c>
      <c r="AH144" s="237">
        <v>0</v>
      </c>
      <c r="AI144" s="237">
        <v>0</v>
      </c>
      <c r="AJ144" s="237">
        <v>0</v>
      </c>
      <c r="AK144" s="237">
        <f t="shared" si="96"/>
        <v>0.14666666666666667</v>
      </c>
      <c r="AL144" s="237">
        <f t="shared" si="92"/>
        <v>0.14666666666666667</v>
      </c>
      <c r="AM144" s="237">
        <f t="shared" si="92"/>
        <v>0.14666666666666667</v>
      </c>
      <c r="AN144" s="237">
        <f t="shared" si="97"/>
        <v>0.99666666666666659</v>
      </c>
      <c r="AO144" s="237">
        <f t="shared" si="93"/>
        <v>0.99666666666666659</v>
      </c>
      <c r="AP144" s="237">
        <f t="shared" si="94"/>
        <v>0.99666666666666659</v>
      </c>
      <c r="AQ144" s="222"/>
    </row>
    <row r="145" spans="2:43" ht="13.5" customHeight="1" x14ac:dyDescent="0.25">
      <c r="D145" s="2" t="str">
        <f>ProjectedP205_Consumption!D35</f>
        <v>Cow peas, dry</v>
      </c>
      <c r="E145" s="237">
        <v>0.9</v>
      </c>
      <c r="F145" s="237">
        <v>0.5</v>
      </c>
      <c r="G145" s="237">
        <v>0.2</v>
      </c>
      <c r="H145" s="237">
        <v>0.1</v>
      </c>
      <c r="I145" s="237">
        <v>0.5</v>
      </c>
      <c r="J145" s="237">
        <v>0.8</v>
      </c>
      <c r="K145" s="237">
        <v>0</v>
      </c>
      <c r="L145" s="237">
        <v>0</v>
      </c>
      <c r="M145" s="237">
        <v>0</v>
      </c>
      <c r="N145" s="237">
        <v>0</v>
      </c>
      <c r="O145" s="237">
        <v>0</v>
      </c>
      <c r="P145" s="237">
        <v>0</v>
      </c>
      <c r="Q145" s="237">
        <f t="shared" si="95"/>
        <v>1</v>
      </c>
      <c r="R145" s="237">
        <f t="shared" si="90"/>
        <v>1</v>
      </c>
      <c r="S145" s="237">
        <f t="shared" si="91"/>
        <v>1</v>
      </c>
      <c r="T145" s="222"/>
      <c r="U145" s="222"/>
      <c r="V145" s="222"/>
      <c r="W145" s="222"/>
      <c r="Y145" s="237">
        <v>0.35</v>
      </c>
      <c r="Z145" s="237">
        <v>0.35</v>
      </c>
      <c r="AA145" s="237">
        <v>0.35</v>
      </c>
      <c r="AB145" s="237">
        <v>0</v>
      </c>
      <c r="AC145" s="237">
        <v>0</v>
      </c>
      <c r="AD145" s="237">
        <v>0</v>
      </c>
      <c r="AE145" s="237">
        <v>0.5</v>
      </c>
      <c r="AF145" s="237">
        <v>0.5</v>
      </c>
      <c r="AG145" s="237">
        <v>0.5</v>
      </c>
      <c r="AH145" s="237">
        <v>0</v>
      </c>
      <c r="AI145" s="237">
        <v>0</v>
      </c>
      <c r="AJ145" s="237">
        <v>0</v>
      </c>
      <c r="AK145" s="237">
        <f t="shared" si="96"/>
        <v>0.14666666666666667</v>
      </c>
      <c r="AL145" s="237">
        <f t="shared" si="92"/>
        <v>0.14666666666666667</v>
      </c>
      <c r="AM145" s="237">
        <f t="shared" si="92"/>
        <v>0.14666666666666667</v>
      </c>
      <c r="AN145" s="237">
        <f t="shared" si="97"/>
        <v>0.99666666666666659</v>
      </c>
      <c r="AO145" s="237">
        <f t="shared" si="93"/>
        <v>0.99666666666666659</v>
      </c>
      <c r="AP145" s="237">
        <f t="shared" si="94"/>
        <v>0.99666666666666659</v>
      </c>
      <c r="AQ145" s="222"/>
    </row>
    <row r="146" spans="2:43" ht="13.5" customHeight="1" x14ac:dyDescent="0.25">
      <c r="D146" s="2" t="str">
        <f>ProjectedP205_Consumption!D36</f>
        <v>Peas, dry</v>
      </c>
      <c r="E146" s="237">
        <v>0.9</v>
      </c>
      <c r="F146" s="237">
        <v>0.5</v>
      </c>
      <c r="G146" s="237">
        <v>0.2</v>
      </c>
      <c r="H146" s="237">
        <v>0.1</v>
      </c>
      <c r="I146" s="237">
        <v>0.5</v>
      </c>
      <c r="J146" s="237">
        <v>0.8</v>
      </c>
      <c r="K146" s="237">
        <v>0</v>
      </c>
      <c r="L146" s="237">
        <v>0</v>
      </c>
      <c r="M146" s="237">
        <v>0</v>
      </c>
      <c r="N146" s="237">
        <v>0</v>
      </c>
      <c r="O146" s="237">
        <v>0</v>
      </c>
      <c r="P146" s="237">
        <v>0</v>
      </c>
      <c r="Q146" s="237">
        <f t="shared" si="95"/>
        <v>1</v>
      </c>
      <c r="R146" s="237">
        <f t="shared" si="90"/>
        <v>1</v>
      </c>
      <c r="S146" s="237">
        <f t="shared" si="91"/>
        <v>1</v>
      </c>
      <c r="T146" s="222"/>
      <c r="U146" s="222"/>
      <c r="V146" s="222"/>
      <c r="W146" s="222"/>
      <c r="Y146" s="237">
        <v>0.35</v>
      </c>
      <c r="Z146" s="237">
        <v>0.35</v>
      </c>
      <c r="AA146" s="237">
        <v>0.35</v>
      </c>
      <c r="AB146" s="237">
        <v>0</v>
      </c>
      <c r="AC146" s="237">
        <v>0</v>
      </c>
      <c r="AD146" s="237">
        <v>0</v>
      </c>
      <c r="AE146" s="237">
        <v>0.5</v>
      </c>
      <c r="AF146" s="237">
        <v>0.5</v>
      </c>
      <c r="AG146" s="237">
        <v>0.5</v>
      </c>
      <c r="AH146" s="237">
        <v>0</v>
      </c>
      <c r="AI146" s="237">
        <v>0</v>
      </c>
      <c r="AJ146" s="237">
        <v>0</v>
      </c>
      <c r="AK146" s="237">
        <f t="shared" si="96"/>
        <v>0.14666666666666667</v>
      </c>
      <c r="AL146" s="237">
        <f t="shared" si="92"/>
        <v>0.14666666666666667</v>
      </c>
      <c r="AM146" s="237">
        <f t="shared" si="92"/>
        <v>0.14666666666666667</v>
      </c>
      <c r="AN146" s="237">
        <f t="shared" si="97"/>
        <v>0.99666666666666659</v>
      </c>
      <c r="AO146" s="237">
        <f t="shared" si="93"/>
        <v>0.99666666666666659</v>
      </c>
      <c r="AP146" s="237">
        <f t="shared" si="94"/>
        <v>0.99666666666666659</v>
      </c>
      <c r="AQ146" s="222"/>
    </row>
    <row r="147" spans="2:43" ht="13.5" customHeight="1" x14ac:dyDescent="0.25">
      <c r="E147" s="203"/>
      <c r="F147" s="203"/>
      <c r="G147" s="203"/>
      <c r="H147" s="203"/>
      <c r="I147" s="7"/>
      <c r="J147" s="223"/>
    </row>
    <row r="148" spans="2:43" ht="13.5" customHeight="1" x14ac:dyDescent="0.35">
      <c r="B148" s="29">
        <v>0</v>
      </c>
      <c r="D148" s="28" t="s">
        <v>272</v>
      </c>
      <c r="I148" s="7"/>
      <c r="J148" s="223"/>
      <c r="K148" s="223"/>
      <c r="L148" s="223"/>
      <c r="M148" s="223"/>
    </row>
    <row r="149" spans="2:43" ht="13.5" customHeight="1" x14ac:dyDescent="0.35">
      <c r="B149" s="275"/>
      <c r="D149" s="28"/>
      <c r="I149" s="7"/>
      <c r="J149" s="223"/>
      <c r="K149" s="223"/>
      <c r="L149" s="223"/>
      <c r="M149" s="223"/>
    </row>
    <row r="150" spans="2:43" ht="13.5" customHeight="1" x14ac:dyDescent="0.35">
      <c r="B150" s="29">
        <v>1</v>
      </c>
      <c r="D150" s="28" t="s">
        <v>273</v>
      </c>
      <c r="I150" s="7"/>
      <c r="J150" s="223"/>
      <c r="K150" s="223"/>
      <c r="L150" s="223"/>
      <c r="M150" s="223"/>
    </row>
    <row r="151" spans="2:43" ht="13.5" customHeight="1" x14ac:dyDescent="0.25">
      <c r="I151" s="7"/>
      <c r="J151" s="223"/>
      <c r="K151" s="223"/>
      <c r="L151" s="223"/>
      <c r="M151" s="223"/>
    </row>
    <row r="152" spans="2:43" ht="13.5" customHeight="1" x14ac:dyDescent="0.3">
      <c r="D152" s="32" t="s">
        <v>71</v>
      </c>
      <c r="E152" s="223"/>
      <c r="F152" s="223"/>
      <c r="G152" s="223"/>
      <c r="I152" s="35"/>
      <c r="J152" s="224" t="s">
        <v>201</v>
      </c>
      <c r="K152" s="225"/>
      <c r="L152" s="7"/>
      <c r="M152" s="7"/>
      <c r="N152" s="7"/>
      <c r="O152" s="7"/>
      <c r="P152" s="7"/>
      <c r="Q152" s="7"/>
      <c r="R152" s="7"/>
      <c r="S152" s="7"/>
      <c r="T152" s="7"/>
      <c r="U152" s="7"/>
      <c r="V152" s="7"/>
      <c r="W152" s="7"/>
      <c r="X152" s="224" t="s">
        <v>202</v>
      </c>
      <c r="Y152" s="226"/>
      <c r="Z152" s="7"/>
      <c r="AA152" s="7"/>
      <c r="AB152" s="7"/>
      <c r="AC152" s="7"/>
      <c r="AD152" s="7"/>
    </row>
    <row r="153" spans="2:43" ht="13.5" customHeight="1" x14ac:dyDescent="0.3">
      <c r="D153" s="33" t="s">
        <v>72</v>
      </c>
      <c r="E153" s="223"/>
      <c r="F153" s="223"/>
      <c r="G153" s="223"/>
      <c r="I153" s="36"/>
      <c r="J153" s="33" t="s">
        <v>203</v>
      </c>
      <c r="K153" s="7"/>
      <c r="L153" s="7"/>
      <c r="M153" s="7"/>
      <c r="N153" s="7"/>
      <c r="O153" s="7"/>
      <c r="P153" s="7"/>
      <c r="Q153" s="7"/>
      <c r="R153" s="7"/>
      <c r="S153" s="7"/>
      <c r="T153" s="7"/>
      <c r="U153" s="7"/>
      <c r="V153" s="7"/>
      <c r="W153" s="7"/>
      <c r="X153" s="33" t="s">
        <v>204</v>
      </c>
      <c r="Y153" s="7"/>
      <c r="Z153" s="7"/>
      <c r="AA153" s="7"/>
      <c r="AB153" s="7"/>
      <c r="AC153" s="7"/>
      <c r="AD153" s="7"/>
    </row>
    <row r="154" spans="2:43" ht="13.5" customHeight="1" x14ac:dyDescent="0.25">
      <c r="E154" s="223"/>
      <c r="F154" s="223"/>
      <c r="G154" s="223"/>
      <c r="I154" s="7"/>
      <c r="J154" s="218" t="s">
        <v>182</v>
      </c>
      <c r="K154" s="218"/>
      <c r="L154" s="218"/>
      <c r="M154" s="218" t="s">
        <v>199</v>
      </c>
      <c r="N154" s="218"/>
      <c r="O154" s="218"/>
      <c r="P154" s="218" t="s">
        <v>321</v>
      </c>
      <c r="Q154" s="218"/>
      <c r="R154" s="218"/>
      <c r="S154" s="218" t="s">
        <v>257</v>
      </c>
      <c r="T154" s="218"/>
      <c r="U154" s="218"/>
      <c r="V154" s="218"/>
      <c r="W154" s="59"/>
      <c r="X154" s="218" t="s">
        <v>182</v>
      </c>
      <c r="Y154" s="218"/>
      <c r="Z154" s="218"/>
      <c r="AA154" s="218" t="s">
        <v>199</v>
      </c>
      <c r="AB154" s="218"/>
      <c r="AC154" s="218"/>
      <c r="AD154" s="218" t="s">
        <v>321</v>
      </c>
      <c r="AE154" s="218"/>
      <c r="AF154" s="218"/>
      <c r="AG154" s="218" t="s">
        <v>257</v>
      </c>
      <c r="AH154" s="218"/>
      <c r="AI154" s="218"/>
      <c r="AK154" s="1"/>
    </row>
    <row r="155" spans="2:43" ht="13.5" customHeight="1" x14ac:dyDescent="0.3">
      <c r="D155" s="30" t="s">
        <v>15</v>
      </c>
      <c r="E155" s="115">
        <v>2023</v>
      </c>
      <c r="F155" s="115">
        <v>2024</v>
      </c>
      <c r="G155" s="115">
        <v>2025</v>
      </c>
      <c r="I155" s="227"/>
      <c r="J155" s="219">
        <v>2023</v>
      </c>
      <c r="K155" s="219">
        <v>2024</v>
      </c>
      <c r="L155" s="219">
        <v>2025</v>
      </c>
      <c r="M155" s="219">
        <v>2023</v>
      </c>
      <c r="N155" s="219">
        <v>2024</v>
      </c>
      <c r="O155" s="219">
        <v>2025</v>
      </c>
      <c r="P155" s="219">
        <v>2023</v>
      </c>
      <c r="Q155" s="219">
        <v>2024</v>
      </c>
      <c r="R155" s="219">
        <v>2025</v>
      </c>
      <c r="S155" s="219">
        <v>2023</v>
      </c>
      <c r="T155" s="219">
        <v>2024</v>
      </c>
      <c r="U155" s="219">
        <v>2025</v>
      </c>
      <c r="V155" s="228"/>
      <c r="W155" s="229"/>
      <c r="X155" s="230">
        <v>2023</v>
      </c>
      <c r="Y155" s="230">
        <v>2024</v>
      </c>
      <c r="Z155" s="230">
        <v>2025</v>
      </c>
      <c r="AA155" s="230">
        <v>2023</v>
      </c>
      <c r="AB155" s="230">
        <v>2024</v>
      </c>
      <c r="AC155" s="230">
        <v>2025</v>
      </c>
      <c r="AD155" s="230">
        <v>2023</v>
      </c>
      <c r="AE155" s="230">
        <v>2024</v>
      </c>
      <c r="AF155" s="230">
        <v>2025</v>
      </c>
      <c r="AG155" s="230">
        <v>2023</v>
      </c>
      <c r="AH155" s="230">
        <v>2024</v>
      </c>
      <c r="AI155" s="230">
        <v>2025</v>
      </c>
      <c r="AK155" s="331"/>
      <c r="AL155" s="331"/>
      <c r="AM155" s="331"/>
    </row>
    <row r="156" spans="2:43" ht="13.5" customHeight="1" x14ac:dyDescent="0.25">
      <c r="D156" s="98" t="str">
        <f t="shared" ref="D156:D179" si="98">D123</f>
        <v>Plantains and cooking bananas</v>
      </c>
      <c r="E156" s="239">
        <f>OCPMarketShares!K48</f>
        <v>2.2490629028589684E-2</v>
      </c>
      <c r="F156" s="239">
        <f>OCPMarketShares!L48</f>
        <v>5.5102041120044715E-2</v>
      </c>
      <c r="G156" s="239">
        <f>OCPMarketShares!M48</f>
        <v>0</v>
      </c>
      <c r="I156" s="150"/>
      <c r="J156" s="238">
        <f>E123</f>
        <v>1</v>
      </c>
      <c r="K156" s="238">
        <f t="shared" ref="K156:U156" si="99">F123</f>
        <v>1</v>
      </c>
      <c r="L156" s="238">
        <f t="shared" si="99"/>
        <v>1</v>
      </c>
      <c r="M156" s="238">
        <f t="shared" si="99"/>
        <v>0</v>
      </c>
      <c r="N156" s="238">
        <f t="shared" si="99"/>
        <v>0</v>
      </c>
      <c r="O156" s="238">
        <f t="shared" si="99"/>
        <v>0</v>
      </c>
      <c r="P156" s="238">
        <f t="shared" si="99"/>
        <v>0</v>
      </c>
      <c r="Q156" s="238">
        <f t="shared" si="99"/>
        <v>0</v>
      </c>
      <c r="R156" s="238">
        <f t="shared" si="99"/>
        <v>0</v>
      </c>
      <c r="S156" s="238">
        <f t="shared" si="99"/>
        <v>0</v>
      </c>
      <c r="T156" s="238">
        <f t="shared" si="99"/>
        <v>0</v>
      </c>
      <c r="U156" s="238">
        <f t="shared" si="99"/>
        <v>0</v>
      </c>
      <c r="V156" s="231"/>
      <c r="W156" s="207"/>
      <c r="X156" s="240">
        <f t="shared" ref="X156:X179" si="100">(E156*J156)/$K$11</f>
        <v>4.8892671801281921E-2</v>
      </c>
      <c r="Y156" s="240">
        <f t="shared" ref="Y156:Y179" si="101">(F156*K156)/$K$11</f>
        <v>0.11978704591314068</v>
      </c>
      <c r="Z156" s="240">
        <f t="shared" ref="Z156:Z179" si="102">(G156*L156)/$K$11</f>
        <v>0</v>
      </c>
      <c r="AA156" s="240">
        <f t="shared" ref="AA156:AA179" si="103">(E156*M156)/$K$12</f>
        <v>0</v>
      </c>
      <c r="AB156" s="240">
        <f t="shared" ref="AB156:AB179" si="104">(F156*N156)/$K$12</f>
        <v>0</v>
      </c>
      <c r="AC156" s="240">
        <f t="shared" ref="AC156:AC179" si="105">(G156*O156)/$K$12</f>
        <v>0</v>
      </c>
      <c r="AD156" s="240">
        <f>(E156*P156)/$K$12</f>
        <v>0</v>
      </c>
      <c r="AE156" s="240">
        <f t="shared" ref="AE156:AE180" si="106">(F156*Q156)/$K$12</f>
        <v>0</v>
      </c>
      <c r="AF156" s="240">
        <f t="shared" ref="AF156:AF180" si="107">(G156*R156)/$K$12</f>
        <v>0</v>
      </c>
      <c r="AG156" s="240">
        <f t="shared" ref="AG156:AG179" si="108">(E156*S156)/$K$15</f>
        <v>0</v>
      </c>
      <c r="AH156" s="240">
        <f t="shared" ref="AH156:AH179" si="109">(F156*T156)/$K$15</f>
        <v>0</v>
      </c>
      <c r="AI156" s="240">
        <f t="shared" ref="AI156:AI179" si="110">(G156*U156)/$K$15</f>
        <v>0</v>
      </c>
      <c r="AK156" s="163"/>
      <c r="AL156" s="163"/>
      <c r="AM156" s="163"/>
    </row>
    <row r="157" spans="2:43" ht="13.5" customHeight="1" x14ac:dyDescent="0.25">
      <c r="D157" s="98" t="str">
        <f t="shared" si="98"/>
        <v>Maize (corn)</v>
      </c>
      <c r="E157" s="239">
        <f>OCPMarketShares!K49</f>
        <v>8.497822909266968E-2</v>
      </c>
      <c r="F157" s="239">
        <f>OCPMarketShares!L49</f>
        <v>0.2617329456054226</v>
      </c>
      <c r="G157" s="239">
        <f>OCPMarketShares!M49</f>
        <v>0</v>
      </c>
      <c r="I157" s="150"/>
      <c r="J157" s="238">
        <f t="shared" ref="J157:U157" si="111">E124</f>
        <v>0.75</v>
      </c>
      <c r="K157" s="238">
        <f t="shared" si="111"/>
        <v>0.5</v>
      </c>
      <c r="L157" s="238">
        <f t="shared" si="111"/>
        <v>0</v>
      </c>
      <c r="M157" s="238">
        <f t="shared" si="111"/>
        <v>0</v>
      </c>
      <c r="N157" s="238">
        <f t="shared" si="111"/>
        <v>0</v>
      </c>
      <c r="O157" s="238">
        <f t="shared" si="111"/>
        <v>0</v>
      </c>
      <c r="P157" s="238">
        <f t="shared" si="111"/>
        <v>0.25</v>
      </c>
      <c r="Q157" s="238">
        <f t="shared" si="111"/>
        <v>0.5</v>
      </c>
      <c r="R157" s="238">
        <f t="shared" si="111"/>
        <v>1</v>
      </c>
      <c r="S157" s="238">
        <f t="shared" si="111"/>
        <v>0</v>
      </c>
      <c r="T157" s="238">
        <f t="shared" si="111"/>
        <v>0</v>
      </c>
      <c r="U157" s="238">
        <f t="shared" si="111"/>
        <v>0</v>
      </c>
      <c r="V157" s="231"/>
      <c r="W157" s="207"/>
      <c r="X157" s="240">
        <f t="shared" si="100"/>
        <v>0.13855146047717884</v>
      </c>
      <c r="Y157" s="240">
        <f t="shared" si="101"/>
        <v>0.28449233217980718</v>
      </c>
      <c r="Z157" s="240">
        <f t="shared" si="102"/>
        <v>0</v>
      </c>
      <c r="AA157" s="240">
        <f t="shared" si="103"/>
        <v>0</v>
      </c>
      <c r="AB157" s="240">
        <f t="shared" si="104"/>
        <v>0</v>
      </c>
      <c r="AC157" s="240">
        <f t="shared" si="105"/>
        <v>0</v>
      </c>
      <c r="AD157" s="240">
        <f t="shared" ref="AD157:AD180" si="112">(E157*P157)/$K$12</f>
        <v>4.6183820159059606E-2</v>
      </c>
      <c r="AE157" s="240">
        <f t="shared" si="106"/>
        <v>0.28449233217980718</v>
      </c>
      <c r="AF157" s="240">
        <f t="shared" si="107"/>
        <v>0</v>
      </c>
      <c r="AG157" s="240">
        <f t="shared" si="108"/>
        <v>0</v>
      </c>
      <c r="AH157" s="240">
        <f t="shared" si="109"/>
        <v>0</v>
      </c>
      <c r="AI157" s="240">
        <f t="shared" si="110"/>
        <v>0</v>
      </c>
      <c r="AK157" s="163"/>
      <c r="AL157" s="163"/>
      <c r="AM157" s="163"/>
    </row>
    <row r="158" spans="2:43" ht="13.5" customHeight="1" x14ac:dyDescent="0.25">
      <c r="D158" s="98" t="str">
        <f t="shared" si="98"/>
        <v>Cassava, fresh</v>
      </c>
      <c r="E158" s="239">
        <f>OCPMarketShares!K50</f>
        <v>2.1143864887694538E-2</v>
      </c>
      <c r="F158" s="239">
        <f>OCPMarketShares!L50</f>
        <v>5.4392592423594177E-2</v>
      </c>
      <c r="G158" s="239">
        <f>OCPMarketShares!M50</f>
        <v>0</v>
      </c>
      <c r="I158" s="150"/>
      <c r="J158" s="238">
        <f t="shared" ref="J158:U158" si="113">E125</f>
        <v>1</v>
      </c>
      <c r="K158" s="238">
        <f t="shared" si="113"/>
        <v>0.75</v>
      </c>
      <c r="L158" s="238">
        <f t="shared" si="113"/>
        <v>0.5</v>
      </c>
      <c r="M158" s="238">
        <f t="shared" si="113"/>
        <v>0</v>
      </c>
      <c r="N158" s="238">
        <f t="shared" si="113"/>
        <v>0</v>
      </c>
      <c r="O158" s="238">
        <f t="shared" si="113"/>
        <v>0</v>
      </c>
      <c r="P158" s="238">
        <f t="shared" si="113"/>
        <v>0</v>
      </c>
      <c r="Q158" s="238">
        <f t="shared" si="113"/>
        <v>0.25</v>
      </c>
      <c r="R158" s="238">
        <f t="shared" si="113"/>
        <v>0.5</v>
      </c>
      <c r="S158" s="238">
        <f t="shared" si="113"/>
        <v>0</v>
      </c>
      <c r="T158" s="238">
        <f t="shared" si="113"/>
        <v>0</v>
      </c>
      <c r="U158" s="238">
        <f t="shared" si="113"/>
        <v>0</v>
      </c>
      <c r="V158" s="231"/>
      <c r="W158" s="207"/>
      <c r="X158" s="240">
        <f t="shared" si="100"/>
        <v>4.5964923668901168E-2</v>
      </c>
      <c r="Y158" s="240">
        <f t="shared" si="101"/>
        <v>8.8683574603686158E-2</v>
      </c>
      <c r="Z158" s="240">
        <f t="shared" si="102"/>
        <v>0</v>
      </c>
      <c r="AA158" s="240">
        <f t="shared" si="103"/>
        <v>0</v>
      </c>
      <c r="AB158" s="240">
        <f t="shared" si="104"/>
        <v>0</v>
      </c>
      <c r="AC158" s="240">
        <f t="shared" si="105"/>
        <v>0</v>
      </c>
      <c r="AD158" s="240">
        <f t="shared" si="112"/>
        <v>0</v>
      </c>
      <c r="AE158" s="240">
        <f t="shared" si="106"/>
        <v>2.9561191534562051E-2</v>
      </c>
      <c r="AF158" s="240">
        <f t="shared" si="107"/>
        <v>0</v>
      </c>
      <c r="AG158" s="240">
        <f t="shared" si="108"/>
        <v>0</v>
      </c>
      <c r="AH158" s="240">
        <f t="shared" si="109"/>
        <v>0</v>
      </c>
      <c r="AI158" s="240">
        <f t="shared" si="110"/>
        <v>0</v>
      </c>
      <c r="AK158" s="163"/>
      <c r="AL158" s="163"/>
      <c r="AM158" s="163"/>
    </row>
    <row r="159" spans="2:43" ht="13.5" customHeight="1" x14ac:dyDescent="0.25">
      <c r="D159" s="98" t="str">
        <f t="shared" si="98"/>
        <v>Coffee, green</v>
      </c>
      <c r="E159" s="239">
        <f>OCPMarketShares!K51</f>
        <v>3.2861160090948922E-2</v>
      </c>
      <c r="F159" s="239">
        <f>OCPMarketShares!L51</f>
        <v>9.6902748523416349E-2</v>
      </c>
      <c r="G159" s="239">
        <f>OCPMarketShares!M51</f>
        <v>0</v>
      </c>
      <c r="I159" s="150"/>
      <c r="J159" s="238">
        <f t="shared" ref="J159:U159" si="114">E126</f>
        <v>0.9</v>
      </c>
      <c r="K159" s="238">
        <f t="shared" si="114"/>
        <v>0.5</v>
      </c>
      <c r="L159" s="238">
        <f t="shared" si="114"/>
        <v>0.2</v>
      </c>
      <c r="M159" s="238">
        <f t="shared" si="114"/>
        <v>0.1</v>
      </c>
      <c r="N159" s="238">
        <f t="shared" si="114"/>
        <v>0.5</v>
      </c>
      <c r="O159" s="238">
        <f t="shared" si="114"/>
        <v>0.8</v>
      </c>
      <c r="P159" s="238">
        <f t="shared" si="114"/>
        <v>0</v>
      </c>
      <c r="Q159" s="238">
        <f t="shared" si="114"/>
        <v>0</v>
      </c>
      <c r="R159" s="238">
        <f t="shared" si="114"/>
        <v>0</v>
      </c>
      <c r="S159" s="238">
        <f t="shared" si="114"/>
        <v>0</v>
      </c>
      <c r="T159" s="238">
        <f t="shared" si="114"/>
        <v>0</v>
      </c>
      <c r="U159" s="238">
        <f t="shared" si="114"/>
        <v>0</v>
      </c>
      <c r="V159" s="231"/>
      <c r="W159" s="207"/>
      <c r="X159" s="240">
        <f t="shared" si="100"/>
        <v>6.429357409098703E-2</v>
      </c>
      <c r="Y159" s="240">
        <f t="shared" si="101"/>
        <v>0.10532907448197429</v>
      </c>
      <c r="Z159" s="240">
        <f t="shared" si="102"/>
        <v>0</v>
      </c>
      <c r="AA159" s="240">
        <f t="shared" si="103"/>
        <v>7.1437304545541131E-3</v>
      </c>
      <c r="AB159" s="240">
        <f t="shared" si="104"/>
        <v>0.10532907448197429</v>
      </c>
      <c r="AC159" s="240">
        <f t="shared" si="105"/>
        <v>0</v>
      </c>
      <c r="AD159" s="240">
        <f t="shared" si="112"/>
        <v>0</v>
      </c>
      <c r="AE159" s="240">
        <f t="shared" si="106"/>
        <v>0</v>
      </c>
      <c r="AF159" s="240">
        <f t="shared" si="107"/>
        <v>0</v>
      </c>
      <c r="AG159" s="240">
        <f t="shared" si="108"/>
        <v>0</v>
      </c>
      <c r="AH159" s="240">
        <f t="shared" si="109"/>
        <v>0</v>
      </c>
      <c r="AI159" s="240">
        <f t="shared" si="110"/>
        <v>0</v>
      </c>
      <c r="AK159" s="163"/>
      <c r="AL159" s="163"/>
      <c r="AM159" s="163"/>
    </row>
    <row r="160" spans="2:43" ht="13.5" customHeight="1" x14ac:dyDescent="0.25">
      <c r="D160" s="98" t="str">
        <f t="shared" si="98"/>
        <v>Beans, dry</v>
      </c>
      <c r="E160" s="239">
        <f>OCPMarketShares!K52</f>
        <v>6.263692263169399E-3</v>
      </c>
      <c r="F160" s="239">
        <f>OCPMarketShares!L52</f>
        <v>1.7102004902982023E-2</v>
      </c>
      <c r="G160" s="239">
        <f>OCPMarketShares!M52</f>
        <v>0</v>
      </c>
      <c r="I160" s="150"/>
      <c r="J160" s="238">
        <f t="shared" ref="J160:U160" si="115">E127</f>
        <v>0.9</v>
      </c>
      <c r="K160" s="238">
        <f t="shared" si="115"/>
        <v>0.5</v>
      </c>
      <c r="L160" s="238">
        <f t="shared" si="115"/>
        <v>0.2</v>
      </c>
      <c r="M160" s="238">
        <f t="shared" si="115"/>
        <v>0.1</v>
      </c>
      <c r="N160" s="238">
        <f t="shared" si="115"/>
        <v>0.5</v>
      </c>
      <c r="O160" s="238">
        <f t="shared" si="115"/>
        <v>0.8</v>
      </c>
      <c r="P160" s="238">
        <f t="shared" si="115"/>
        <v>0</v>
      </c>
      <c r="Q160" s="238">
        <f t="shared" si="115"/>
        <v>0</v>
      </c>
      <c r="R160" s="238">
        <f t="shared" si="115"/>
        <v>0</v>
      </c>
      <c r="S160" s="238">
        <f t="shared" si="115"/>
        <v>0</v>
      </c>
      <c r="T160" s="238">
        <f t="shared" si="115"/>
        <v>0</v>
      </c>
      <c r="U160" s="238">
        <f t="shared" si="115"/>
        <v>0</v>
      </c>
      <c r="V160" s="231"/>
      <c r="W160" s="207"/>
      <c r="X160" s="240">
        <f t="shared" si="100"/>
        <v>1.225505008011404E-2</v>
      </c>
      <c r="Y160" s="240">
        <f t="shared" si="101"/>
        <v>1.8589135764110892E-2</v>
      </c>
      <c r="Z160" s="240">
        <f t="shared" si="102"/>
        <v>0</v>
      </c>
      <c r="AA160" s="240">
        <f t="shared" si="103"/>
        <v>1.3616722311237824E-3</v>
      </c>
      <c r="AB160" s="240">
        <f t="shared" si="104"/>
        <v>1.8589135764110892E-2</v>
      </c>
      <c r="AC160" s="240">
        <f t="shared" si="105"/>
        <v>0</v>
      </c>
      <c r="AD160" s="240">
        <f t="shared" si="112"/>
        <v>0</v>
      </c>
      <c r="AE160" s="240">
        <f t="shared" si="106"/>
        <v>0</v>
      </c>
      <c r="AF160" s="240">
        <f t="shared" si="107"/>
        <v>0</v>
      </c>
      <c r="AG160" s="240">
        <f t="shared" si="108"/>
        <v>0</v>
      </c>
      <c r="AH160" s="240">
        <f t="shared" si="109"/>
        <v>0</v>
      </c>
      <c r="AI160" s="240">
        <f t="shared" si="110"/>
        <v>0</v>
      </c>
      <c r="AK160" s="163"/>
      <c r="AL160" s="163"/>
      <c r="AM160" s="163"/>
    </row>
    <row r="161" spans="4:39" ht="13.5" customHeight="1" x14ac:dyDescent="0.25">
      <c r="D161" s="98" t="str">
        <f t="shared" si="98"/>
        <v>Groundnuts, excluding shelled</v>
      </c>
      <c r="E161" s="239">
        <f>OCPMarketShares!K53</f>
        <v>3.9541677877356681E-3</v>
      </c>
      <c r="F161" s="239">
        <f>OCPMarketShares!L53</f>
        <v>1.0149030655188214E-2</v>
      </c>
      <c r="G161" s="239">
        <f>OCPMarketShares!M53</f>
        <v>0</v>
      </c>
      <c r="I161" s="150"/>
      <c r="J161" s="238">
        <f t="shared" ref="J161:U161" si="116">E128</f>
        <v>0.9</v>
      </c>
      <c r="K161" s="238">
        <f t="shared" si="116"/>
        <v>0.5</v>
      </c>
      <c r="L161" s="238">
        <f t="shared" si="116"/>
        <v>0.2</v>
      </c>
      <c r="M161" s="238">
        <f t="shared" si="116"/>
        <v>0.1</v>
      </c>
      <c r="N161" s="238">
        <f t="shared" si="116"/>
        <v>0.5</v>
      </c>
      <c r="O161" s="238">
        <f t="shared" si="116"/>
        <v>0.8</v>
      </c>
      <c r="P161" s="238">
        <f t="shared" si="116"/>
        <v>0</v>
      </c>
      <c r="Q161" s="238">
        <f t="shared" si="116"/>
        <v>0</v>
      </c>
      <c r="R161" s="238">
        <f t="shared" si="116"/>
        <v>0</v>
      </c>
      <c r="S161" s="238">
        <f t="shared" si="116"/>
        <v>0</v>
      </c>
      <c r="T161" s="238">
        <f t="shared" si="116"/>
        <v>0</v>
      </c>
      <c r="U161" s="238">
        <f t="shared" si="116"/>
        <v>0</v>
      </c>
      <c r="V161" s="231"/>
      <c r="W161" s="207"/>
      <c r="X161" s="240">
        <f t="shared" si="100"/>
        <v>7.7364152368741331E-3</v>
      </c>
      <c r="Y161" s="240">
        <f t="shared" si="101"/>
        <v>1.1031555059987189E-2</v>
      </c>
      <c r="Z161" s="240">
        <f t="shared" si="102"/>
        <v>0</v>
      </c>
      <c r="AA161" s="240">
        <f t="shared" si="103"/>
        <v>8.596016929860148E-4</v>
      </c>
      <c r="AB161" s="240">
        <f t="shared" si="104"/>
        <v>1.1031555059987189E-2</v>
      </c>
      <c r="AC161" s="240">
        <f t="shared" si="105"/>
        <v>0</v>
      </c>
      <c r="AD161" s="240">
        <f t="shared" si="112"/>
        <v>0</v>
      </c>
      <c r="AE161" s="240">
        <f t="shared" si="106"/>
        <v>0</v>
      </c>
      <c r="AF161" s="240">
        <f t="shared" si="107"/>
        <v>0</v>
      </c>
      <c r="AG161" s="240">
        <f t="shared" si="108"/>
        <v>0</v>
      </c>
      <c r="AH161" s="240">
        <f t="shared" si="109"/>
        <v>0</v>
      </c>
      <c r="AI161" s="240">
        <f t="shared" si="110"/>
        <v>0</v>
      </c>
      <c r="AK161" s="163"/>
      <c r="AL161" s="163"/>
      <c r="AM161" s="163"/>
    </row>
    <row r="162" spans="4:39" ht="13.5" customHeight="1" x14ac:dyDescent="0.25">
      <c r="D162" s="98" t="str">
        <f t="shared" si="98"/>
        <v>Sweet potatoes</v>
      </c>
      <c r="E162" s="239">
        <f>OCPMarketShares!K54</f>
        <v>7.9028471905819592E-3</v>
      </c>
      <c r="F162" s="239">
        <f>OCPMarketShares!L54</f>
        <v>2.1298173178618384E-2</v>
      </c>
      <c r="G162" s="239">
        <f>OCPMarketShares!M54</f>
        <v>0</v>
      </c>
      <c r="I162" s="150"/>
      <c r="J162" s="238">
        <f t="shared" ref="J162:U162" si="117">E129</f>
        <v>1</v>
      </c>
      <c r="K162" s="238">
        <f t="shared" si="117"/>
        <v>0.75</v>
      </c>
      <c r="L162" s="238">
        <f t="shared" si="117"/>
        <v>0.5</v>
      </c>
      <c r="M162" s="238">
        <f t="shared" si="117"/>
        <v>0</v>
      </c>
      <c r="N162" s="238">
        <f t="shared" si="117"/>
        <v>0</v>
      </c>
      <c r="O162" s="238">
        <f t="shared" si="117"/>
        <v>0</v>
      </c>
      <c r="P162" s="238">
        <f t="shared" si="117"/>
        <v>0</v>
      </c>
      <c r="Q162" s="238">
        <f t="shared" si="117"/>
        <v>0.25</v>
      </c>
      <c r="R162" s="238">
        <f t="shared" si="117"/>
        <v>0.5</v>
      </c>
      <c r="S162" s="238">
        <f t="shared" si="117"/>
        <v>0</v>
      </c>
      <c r="T162" s="238">
        <f t="shared" si="117"/>
        <v>0</v>
      </c>
      <c r="U162" s="238">
        <f t="shared" si="117"/>
        <v>0</v>
      </c>
      <c r="V162" s="231"/>
      <c r="W162" s="207"/>
      <c r="X162" s="240">
        <f t="shared" si="100"/>
        <v>1.7180102588221651E-2</v>
      </c>
      <c r="Y162" s="240">
        <f t="shared" si="101"/>
        <v>3.4725282356443017E-2</v>
      </c>
      <c r="Z162" s="240">
        <f t="shared" si="102"/>
        <v>0</v>
      </c>
      <c r="AA162" s="240">
        <f t="shared" si="103"/>
        <v>0</v>
      </c>
      <c r="AB162" s="240">
        <f t="shared" si="104"/>
        <v>0</v>
      </c>
      <c r="AC162" s="240">
        <f t="shared" si="105"/>
        <v>0</v>
      </c>
      <c r="AD162" s="240">
        <f t="shared" si="112"/>
        <v>0</v>
      </c>
      <c r="AE162" s="240">
        <f t="shared" si="106"/>
        <v>1.1575094118814338E-2</v>
      </c>
      <c r="AF162" s="240">
        <f t="shared" si="107"/>
        <v>0</v>
      </c>
      <c r="AG162" s="240">
        <f t="shared" si="108"/>
        <v>0</v>
      </c>
      <c r="AH162" s="240">
        <f t="shared" si="109"/>
        <v>0</v>
      </c>
      <c r="AI162" s="240">
        <f t="shared" si="110"/>
        <v>0</v>
      </c>
      <c r="AK162" s="163"/>
      <c r="AL162" s="163"/>
      <c r="AM162" s="163"/>
    </row>
    <row r="163" spans="4:39" ht="13.5" customHeight="1" x14ac:dyDescent="0.25">
      <c r="D163" s="98" t="str">
        <f t="shared" si="98"/>
        <v>Sunflower seed</v>
      </c>
      <c r="E163" s="239">
        <f>OCPMarketShares!K55</f>
        <v>3.3703190199639017E-3</v>
      </c>
      <c r="F163" s="239">
        <f>OCPMarketShares!L55</f>
        <v>8.6701456788571361E-3</v>
      </c>
      <c r="G163" s="239">
        <f>OCPMarketShares!M55</f>
        <v>0</v>
      </c>
      <c r="I163" s="150"/>
      <c r="J163" s="238">
        <f t="shared" ref="J163:U163" si="118">E130</f>
        <v>0.9</v>
      </c>
      <c r="K163" s="238">
        <f t="shared" si="118"/>
        <v>0.5</v>
      </c>
      <c r="L163" s="238">
        <f t="shared" si="118"/>
        <v>0.2</v>
      </c>
      <c r="M163" s="238">
        <f t="shared" si="118"/>
        <v>0.1</v>
      </c>
      <c r="N163" s="238">
        <f t="shared" si="118"/>
        <v>0.3</v>
      </c>
      <c r="O163" s="238">
        <f t="shared" si="118"/>
        <v>0.6</v>
      </c>
      <c r="P163" s="238">
        <f t="shared" si="118"/>
        <v>0</v>
      </c>
      <c r="Q163" s="238">
        <f t="shared" si="118"/>
        <v>0.2</v>
      </c>
      <c r="R163" s="238">
        <f t="shared" si="118"/>
        <v>0.2</v>
      </c>
      <c r="S163" s="238">
        <f t="shared" si="118"/>
        <v>0</v>
      </c>
      <c r="T163" s="238">
        <f t="shared" si="118"/>
        <v>0</v>
      </c>
      <c r="U163" s="238">
        <f t="shared" si="118"/>
        <v>0</v>
      </c>
      <c r="V163" s="231"/>
      <c r="W163" s="207"/>
      <c r="X163" s="240">
        <f t="shared" si="100"/>
        <v>6.594102430364155E-3</v>
      </c>
      <c r="Y163" s="240">
        <f t="shared" si="101"/>
        <v>9.4240713900621033E-3</v>
      </c>
      <c r="Z163" s="240">
        <f t="shared" si="102"/>
        <v>0</v>
      </c>
      <c r="AA163" s="240">
        <f t="shared" si="103"/>
        <v>7.3267804781823945E-4</v>
      </c>
      <c r="AB163" s="240">
        <f t="shared" si="104"/>
        <v>5.654442834037262E-3</v>
      </c>
      <c r="AC163" s="240">
        <f t="shared" si="105"/>
        <v>0</v>
      </c>
      <c r="AD163" s="240">
        <f t="shared" si="112"/>
        <v>0</v>
      </c>
      <c r="AE163" s="240">
        <f t="shared" si="106"/>
        <v>3.7696285560248417E-3</v>
      </c>
      <c r="AF163" s="240">
        <f t="shared" si="107"/>
        <v>0</v>
      </c>
      <c r="AG163" s="240">
        <f t="shared" si="108"/>
        <v>0</v>
      </c>
      <c r="AH163" s="240">
        <f t="shared" si="109"/>
        <v>0</v>
      </c>
      <c r="AI163" s="240">
        <f t="shared" si="110"/>
        <v>0</v>
      </c>
      <c r="AK163" s="163"/>
      <c r="AL163" s="163"/>
      <c r="AM163" s="163"/>
    </row>
    <row r="164" spans="4:39" ht="13.5" customHeight="1" x14ac:dyDescent="0.25">
      <c r="D164" s="98" t="str">
        <f t="shared" si="98"/>
        <v>Sesame seed</v>
      </c>
      <c r="E164" s="239">
        <f>OCPMarketShares!K56</f>
        <v>2.8402607484405862E-3</v>
      </c>
      <c r="F164" s="239">
        <f>OCPMarketShares!L56</f>
        <v>7.6545027170473795E-3</v>
      </c>
      <c r="G164" s="239">
        <f>OCPMarketShares!M56</f>
        <v>0</v>
      </c>
      <c r="I164" s="150"/>
      <c r="J164" s="238">
        <f t="shared" ref="J164:U164" si="119">E131</f>
        <v>0.9</v>
      </c>
      <c r="K164" s="238">
        <f t="shared" si="119"/>
        <v>0.5</v>
      </c>
      <c r="L164" s="238">
        <f t="shared" si="119"/>
        <v>0.2</v>
      </c>
      <c r="M164" s="238">
        <f t="shared" si="119"/>
        <v>0.1</v>
      </c>
      <c r="N164" s="238">
        <f t="shared" si="119"/>
        <v>0.5</v>
      </c>
      <c r="O164" s="238">
        <f t="shared" si="119"/>
        <v>0.8</v>
      </c>
      <c r="P164" s="238">
        <f t="shared" si="119"/>
        <v>0</v>
      </c>
      <c r="Q164" s="238">
        <f t="shared" si="119"/>
        <v>0</v>
      </c>
      <c r="R164" s="238">
        <f t="shared" si="119"/>
        <v>0</v>
      </c>
      <c r="S164" s="238">
        <f t="shared" si="119"/>
        <v>0</v>
      </c>
      <c r="T164" s="238">
        <f t="shared" si="119"/>
        <v>0</v>
      </c>
      <c r="U164" s="238">
        <f t="shared" si="119"/>
        <v>0</v>
      </c>
      <c r="V164" s="231"/>
      <c r="W164" s="207"/>
      <c r="X164" s="240">
        <f t="shared" si="100"/>
        <v>5.557031899122886E-3</v>
      </c>
      <c r="Y164" s="240">
        <f t="shared" si="101"/>
        <v>8.3201116489645434E-3</v>
      </c>
      <c r="Z164" s="240">
        <f t="shared" si="102"/>
        <v>0</v>
      </c>
      <c r="AA164" s="240">
        <f t="shared" si="103"/>
        <v>6.1744798879143179E-4</v>
      </c>
      <c r="AB164" s="240">
        <f t="shared" si="104"/>
        <v>8.3201116489645434E-3</v>
      </c>
      <c r="AC164" s="240">
        <f t="shared" si="105"/>
        <v>0</v>
      </c>
      <c r="AD164" s="240">
        <f t="shared" si="112"/>
        <v>0</v>
      </c>
      <c r="AE164" s="240">
        <f t="shared" si="106"/>
        <v>0</v>
      </c>
      <c r="AF164" s="240">
        <f t="shared" si="107"/>
        <v>0</v>
      </c>
      <c r="AG164" s="240">
        <f t="shared" si="108"/>
        <v>0</v>
      </c>
      <c r="AH164" s="240">
        <f t="shared" si="109"/>
        <v>0</v>
      </c>
      <c r="AI164" s="240">
        <f t="shared" si="110"/>
        <v>0</v>
      </c>
      <c r="AK164" s="163"/>
      <c r="AL164" s="163"/>
      <c r="AM164" s="163"/>
    </row>
    <row r="165" spans="4:39" ht="13.5" customHeight="1" x14ac:dyDescent="0.25">
      <c r="D165" s="98" t="str">
        <f t="shared" si="98"/>
        <v>Sorghum</v>
      </c>
      <c r="E165" s="239">
        <f>OCPMarketShares!K57</f>
        <v>2.7546941404065668E-3</v>
      </c>
      <c r="F165" s="239">
        <f>OCPMarketShares!L57</f>
        <v>7.086450676195892E-3</v>
      </c>
      <c r="G165" s="239">
        <f>OCPMarketShares!M57</f>
        <v>0</v>
      </c>
      <c r="I165" s="150"/>
      <c r="J165" s="238">
        <f t="shared" ref="J165:U165" si="120">E132</f>
        <v>0.75</v>
      </c>
      <c r="K165" s="238">
        <f t="shared" si="120"/>
        <v>0.5</v>
      </c>
      <c r="L165" s="238">
        <f t="shared" si="120"/>
        <v>0</v>
      </c>
      <c r="M165" s="238">
        <f t="shared" si="120"/>
        <v>0</v>
      </c>
      <c r="N165" s="238">
        <f t="shared" si="120"/>
        <v>0</v>
      </c>
      <c r="O165" s="238">
        <f t="shared" si="120"/>
        <v>0</v>
      </c>
      <c r="P165" s="238">
        <f t="shared" si="120"/>
        <v>0.25</v>
      </c>
      <c r="Q165" s="238">
        <f t="shared" si="120"/>
        <v>0.5</v>
      </c>
      <c r="R165" s="238">
        <f t="shared" si="120"/>
        <v>1</v>
      </c>
      <c r="S165" s="238">
        <f t="shared" si="120"/>
        <v>0</v>
      </c>
      <c r="T165" s="238">
        <f t="shared" si="120"/>
        <v>0</v>
      </c>
      <c r="U165" s="238">
        <f t="shared" si="120"/>
        <v>0</v>
      </c>
      <c r="V165" s="231"/>
      <c r="W165" s="207"/>
      <c r="X165" s="240">
        <f t="shared" si="100"/>
        <v>4.4913491419672283E-3</v>
      </c>
      <c r="Y165" s="240">
        <f t="shared" si="101"/>
        <v>7.7026637784737952E-3</v>
      </c>
      <c r="Z165" s="240">
        <f t="shared" si="102"/>
        <v>0</v>
      </c>
      <c r="AA165" s="240">
        <f t="shared" si="103"/>
        <v>0</v>
      </c>
      <c r="AB165" s="240">
        <f t="shared" si="104"/>
        <v>0</v>
      </c>
      <c r="AC165" s="240">
        <f t="shared" si="105"/>
        <v>0</v>
      </c>
      <c r="AD165" s="240">
        <f t="shared" si="112"/>
        <v>1.4971163806557428E-3</v>
      </c>
      <c r="AE165" s="240">
        <f t="shared" si="106"/>
        <v>7.7026637784737952E-3</v>
      </c>
      <c r="AF165" s="240">
        <f t="shared" si="107"/>
        <v>0</v>
      </c>
      <c r="AG165" s="240">
        <f t="shared" si="108"/>
        <v>0</v>
      </c>
      <c r="AH165" s="240">
        <f t="shared" si="109"/>
        <v>0</v>
      </c>
      <c r="AI165" s="240">
        <f t="shared" si="110"/>
        <v>0</v>
      </c>
      <c r="AK165" s="163"/>
      <c r="AL165" s="163"/>
      <c r="AM165" s="163"/>
    </row>
    <row r="166" spans="4:39" ht="13.5" customHeight="1" x14ac:dyDescent="0.25">
      <c r="D166" s="98" t="str">
        <f t="shared" si="98"/>
        <v>Other vegetables, fresh n.e.c.</v>
      </c>
      <c r="E166" s="239">
        <f>OCPMarketShares!K58</f>
        <v>1.8330924412510805E-3</v>
      </c>
      <c r="F166" s="239">
        <f>OCPMarketShares!L58</f>
        <v>4.7156303051184047E-3</v>
      </c>
      <c r="G166" s="239">
        <f>OCPMarketShares!M58</f>
        <v>0</v>
      </c>
      <c r="I166" s="150"/>
      <c r="J166" s="238">
        <f t="shared" ref="J166:U166" si="121">E133</f>
        <v>1</v>
      </c>
      <c r="K166" s="238">
        <f t="shared" si="121"/>
        <v>1</v>
      </c>
      <c r="L166" s="238">
        <f t="shared" si="121"/>
        <v>1</v>
      </c>
      <c r="M166" s="238">
        <f t="shared" si="121"/>
        <v>0</v>
      </c>
      <c r="N166" s="238">
        <f t="shared" si="121"/>
        <v>0</v>
      </c>
      <c r="O166" s="238">
        <f t="shared" si="121"/>
        <v>0</v>
      </c>
      <c r="P166" s="238">
        <f t="shared" si="121"/>
        <v>0</v>
      </c>
      <c r="Q166" s="238">
        <f t="shared" si="121"/>
        <v>0</v>
      </c>
      <c r="R166" s="238">
        <f t="shared" si="121"/>
        <v>0</v>
      </c>
      <c r="S166" s="238">
        <f t="shared" si="121"/>
        <v>0</v>
      </c>
      <c r="T166" s="238">
        <f t="shared" si="121"/>
        <v>0</v>
      </c>
      <c r="U166" s="238">
        <f t="shared" si="121"/>
        <v>0</v>
      </c>
      <c r="V166" s="231"/>
      <c r="W166" s="207"/>
      <c r="X166" s="240">
        <f t="shared" si="100"/>
        <v>3.9849835679371315E-3</v>
      </c>
      <c r="Y166" s="240">
        <f t="shared" si="101"/>
        <v>1.0251370228518271E-2</v>
      </c>
      <c r="Z166" s="240">
        <f t="shared" si="102"/>
        <v>0</v>
      </c>
      <c r="AA166" s="240">
        <f t="shared" si="103"/>
        <v>0</v>
      </c>
      <c r="AB166" s="240">
        <f t="shared" si="104"/>
        <v>0</v>
      </c>
      <c r="AC166" s="240">
        <f t="shared" si="105"/>
        <v>0</v>
      </c>
      <c r="AD166" s="240">
        <f t="shared" si="112"/>
        <v>0</v>
      </c>
      <c r="AE166" s="240">
        <f t="shared" si="106"/>
        <v>0</v>
      </c>
      <c r="AF166" s="240">
        <f t="shared" si="107"/>
        <v>0</v>
      </c>
      <c r="AG166" s="240">
        <f t="shared" si="108"/>
        <v>0</v>
      </c>
      <c r="AH166" s="240">
        <f t="shared" si="109"/>
        <v>0</v>
      </c>
      <c r="AI166" s="240">
        <f t="shared" si="110"/>
        <v>0</v>
      </c>
      <c r="AK166" s="163"/>
      <c r="AL166" s="163"/>
      <c r="AM166" s="163"/>
    </row>
    <row r="167" spans="4:39" ht="13.5" customHeight="1" x14ac:dyDescent="0.25">
      <c r="D167" s="98" t="str">
        <f t="shared" si="98"/>
        <v>Seed cotton, unginned</v>
      </c>
      <c r="E167" s="239">
        <f>OCPMarketShares!K59</f>
        <v>1.1916485106300936E-3</v>
      </c>
      <c r="F167" s="239">
        <f>OCPMarketShares!L59</f>
        <v>3.065515793595916E-3</v>
      </c>
      <c r="G167" s="239">
        <f>OCPMarketShares!M59</f>
        <v>0</v>
      </c>
      <c r="I167" s="150"/>
      <c r="J167" s="238">
        <f t="shared" ref="J167:U167" si="122">E134</f>
        <v>1</v>
      </c>
      <c r="K167" s="238">
        <f t="shared" si="122"/>
        <v>1</v>
      </c>
      <c r="L167" s="238">
        <f t="shared" si="122"/>
        <v>1</v>
      </c>
      <c r="M167" s="238">
        <f t="shared" si="122"/>
        <v>0</v>
      </c>
      <c r="N167" s="238">
        <f t="shared" si="122"/>
        <v>0</v>
      </c>
      <c r="O167" s="238">
        <f t="shared" si="122"/>
        <v>0</v>
      </c>
      <c r="P167" s="238">
        <f t="shared" si="122"/>
        <v>0</v>
      </c>
      <c r="Q167" s="238">
        <f t="shared" si="122"/>
        <v>0</v>
      </c>
      <c r="R167" s="238">
        <f t="shared" si="122"/>
        <v>0</v>
      </c>
      <c r="S167" s="238">
        <f t="shared" si="122"/>
        <v>0</v>
      </c>
      <c r="T167" s="238">
        <f t="shared" si="122"/>
        <v>0</v>
      </c>
      <c r="U167" s="238">
        <f t="shared" si="122"/>
        <v>0</v>
      </c>
      <c r="V167" s="231"/>
      <c r="W167" s="207"/>
      <c r="X167" s="240">
        <f t="shared" si="100"/>
        <v>2.5905402405002032E-3</v>
      </c>
      <c r="Y167" s="240">
        <f t="shared" si="101"/>
        <v>6.6641647686867733E-3</v>
      </c>
      <c r="Z167" s="240">
        <f t="shared" si="102"/>
        <v>0</v>
      </c>
      <c r="AA167" s="240">
        <f t="shared" si="103"/>
        <v>0</v>
      </c>
      <c r="AB167" s="240">
        <f t="shared" si="104"/>
        <v>0</v>
      </c>
      <c r="AC167" s="240">
        <f t="shared" si="105"/>
        <v>0</v>
      </c>
      <c r="AD167" s="240">
        <f t="shared" si="112"/>
        <v>0</v>
      </c>
      <c r="AE167" s="240">
        <f t="shared" si="106"/>
        <v>0</v>
      </c>
      <c r="AF167" s="240">
        <f t="shared" si="107"/>
        <v>0</v>
      </c>
      <c r="AG167" s="240">
        <f t="shared" si="108"/>
        <v>0</v>
      </c>
      <c r="AH167" s="240">
        <f t="shared" si="109"/>
        <v>0</v>
      </c>
      <c r="AI167" s="240">
        <f t="shared" si="110"/>
        <v>0</v>
      </c>
      <c r="AK167" s="163"/>
      <c r="AL167" s="163"/>
      <c r="AM167" s="163"/>
    </row>
    <row r="168" spans="4:39" ht="13.5" customHeight="1" x14ac:dyDescent="0.25">
      <c r="D168" s="98" t="str">
        <f t="shared" si="98"/>
        <v>Rice</v>
      </c>
      <c r="E168" s="239">
        <f>OCPMarketShares!K60</f>
        <v>5.1601032445864978E-3</v>
      </c>
      <c r="F168" s="239">
        <f>OCPMarketShares!L60</f>
        <v>1.5764040671283657E-2</v>
      </c>
      <c r="G168" s="239">
        <f>OCPMarketShares!M60</f>
        <v>0</v>
      </c>
      <c r="I168" s="150"/>
      <c r="J168" s="238">
        <f t="shared" ref="J168:U168" si="123">E135</f>
        <v>0.9</v>
      </c>
      <c r="K168" s="238">
        <f t="shared" si="123"/>
        <v>0.5</v>
      </c>
      <c r="L168" s="238">
        <f t="shared" si="123"/>
        <v>0.2</v>
      </c>
      <c r="M168" s="238">
        <f t="shared" si="123"/>
        <v>0.1</v>
      </c>
      <c r="N168" s="238">
        <f t="shared" si="123"/>
        <v>0.5</v>
      </c>
      <c r="O168" s="238">
        <f t="shared" si="123"/>
        <v>0.8</v>
      </c>
      <c r="P168" s="238">
        <f t="shared" si="123"/>
        <v>0</v>
      </c>
      <c r="Q168" s="238">
        <f t="shared" si="123"/>
        <v>0</v>
      </c>
      <c r="R168" s="238">
        <f t="shared" si="123"/>
        <v>0</v>
      </c>
      <c r="S168" s="238">
        <f t="shared" si="123"/>
        <v>0</v>
      </c>
      <c r="T168" s="238">
        <f t="shared" si="123"/>
        <v>0</v>
      </c>
      <c r="U168" s="238">
        <f t="shared" si="123"/>
        <v>0</v>
      </c>
      <c r="V168" s="231"/>
      <c r="W168" s="207"/>
      <c r="X168" s="240">
        <f t="shared" si="100"/>
        <v>1.0095854174190974E-2</v>
      </c>
      <c r="Y168" s="240">
        <f t="shared" si="101"/>
        <v>1.7134826816612669E-2</v>
      </c>
      <c r="Z168" s="240">
        <f t="shared" si="102"/>
        <v>0</v>
      </c>
      <c r="AA168" s="240">
        <f t="shared" si="103"/>
        <v>1.1217615749101082E-3</v>
      </c>
      <c r="AB168" s="240">
        <f t="shared" si="104"/>
        <v>1.7134826816612669E-2</v>
      </c>
      <c r="AC168" s="240">
        <f t="shared" si="105"/>
        <v>0</v>
      </c>
      <c r="AD168" s="240">
        <f t="shared" si="112"/>
        <v>0</v>
      </c>
      <c r="AE168" s="240">
        <f t="shared" si="106"/>
        <v>0</v>
      </c>
      <c r="AF168" s="240">
        <f t="shared" si="107"/>
        <v>0</v>
      </c>
      <c r="AG168" s="240">
        <f t="shared" si="108"/>
        <v>0</v>
      </c>
      <c r="AH168" s="240">
        <f t="shared" si="109"/>
        <v>0</v>
      </c>
      <c r="AI168" s="240">
        <f t="shared" si="110"/>
        <v>0</v>
      </c>
      <c r="AK168" s="163"/>
      <c r="AL168" s="163"/>
      <c r="AM168" s="163"/>
    </row>
    <row r="169" spans="4:39" ht="13.5" customHeight="1" x14ac:dyDescent="0.25">
      <c r="D169" s="98" t="str">
        <f t="shared" si="98"/>
        <v>Onions and shallots, dry (excluding dehydrated)</v>
      </c>
      <c r="E169" s="239">
        <f>OCPMarketShares!K61</f>
        <v>9.7332405925828938E-4</v>
      </c>
      <c r="F169" s="239">
        <f>OCPMarketShares!L61</f>
        <v>2.5038761424419492E-3</v>
      </c>
      <c r="G169" s="239">
        <f>OCPMarketShares!M61</f>
        <v>0</v>
      </c>
      <c r="I169" s="150"/>
      <c r="J169" s="238">
        <f t="shared" ref="J169:U169" si="124">E136</f>
        <v>1</v>
      </c>
      <c r="K169" s="238">
        <f t="shared" si="124"/>
        <v>1</v>
      </c>
      <c r="L169" s="238">
        <f t="shared" si="124"/>
        <v>1</v>
      </c>
      <c r="M169" s="238">
        <f t="shared" si="124"/>
        <v>0</v>
      </c>
      <c r="N169" s="238">
        <f t="shared" si="124"/>
        <v>0</v>
      </c>
      <c r="O169" s="238">
        <f t="shared" si="124"/>
        <v>0</v>
      </c>
      <c r="P169" s="238">
        <f t="shared" si="124"/>
        <v>0</v>
      </c>
      <c r="Q169" s="238">
        <f t="shared" si="124"/>
        <v>0</v>
      </c>
      <c r="R169" s="238">
        <f t="shared" si="124"/>
        <v>0</v>
      </c>
      <c r="S169" s="238">
        <f t="shared" si="124"/>
        <v>0</v>
      </c>
      <c r="T169" s="238">
        <f t="shared" si="124"/>
        <v>0</v>
      </c>
      <c r="U169" s="238">
        <f t="shared" si="124"/>
        <v>0</v>
      </c>
      <c r="V169" s="231"/>
      <c r="W169" s="207"/>
      <c r="X169" s="240">
        <f t="shared" si="100"/>
        <v>2.1159218679528027E-3</v>
      </c>
      <c r="Y169" s="240">
        <f t="shared" si="101"/>
        <v>5.4432090053085852E-3</v>
      </c>
      <c r="Z169" s="240">
        <f t="shared" si="102"/>
        <v>0</v>
      </c>
      <c r="AA169" s="240">
        <f t="shared" si="103"/>
        <v>0</v>
      </c>
      <c r="AB169" s="240">
        <f t="shared" si="104"/>
        <v>0</v>
      </c>
      <c r="AC169" s="240">
        <f t="shared" si="105"/>
        <v>0</v>
      </c>
      <c r="AD169" s="240">
        <f t="shared" si="112"/>
        <v>0</v>
      </c>
      <c r="AE169" s="240">
        <f t="shared" si="106"/>
        <v>0</v>
      </c>
      <c r="AF169" s="240">
        <f t="shared" si="107"/>
        <v>0</v>
      </c>
      <c r="AG169" s="240">
        <f t="shared" si="108"/>
        <v>0</v>
      </c>
      <c r="AH169" s="240">
        <f t="shared" si="109"/>
        <v>0</v>
      </c>
      <c r="AI169" s="240">
        <f t="shared" si="110"/>
        <v>0</v>
      </c>
      <c r="AK169" s="163"/>
      <c r="AL169" s="163"/>
      <c r="AM169" s="163"/>
    </row>
    <row r="170" spans="4:39" ht="13.5" customHeight="1" x14ac:dyDescent="0.25">
      <c r="D170" s="98" t="str">
        <f t="shared" si="98"/>
        <v>Sugar cane</v>
      </c>
      <c r="E170" s="239">
        <f>OCPMarketShares!K62</f>
        <v>6.2292410896698609E-3</v>
      </c>
      <c r="F170" s="239">
        <f>OCPMarketShares!L62</f>
        <v>1.9733948944782947E-2</v>
      </c>
      <c r="G170" s="239">
        <f>OCPMarketShares!M62</f>
        <v>0</v>
      </c>
      <c r="I170" s="150"/>
      <c r="J170" s="238">
        <f t="shared" ref="J170:U170" si="125">E137</f>
        <v>0.9</v>
      </c>
      <c r="K170" s="238">
        <f t="shared" si="125"/>
        <v>0.5</v>
      </c>
      <c r="L170" s="238">
        <f t="shared" si="125"/>
        <v>0.2</v>
      </c>
      <c r="M170" s="238">
        <f t="shared" si="125"/>
        <v>0.1</v>
      </c>
      <c r="N170" s="238">
        <f t="shared" si="125"/>
        <v>0.5</v>
      </c>
      <c r="O170" s="238">
        <f t="shared" si="125"/>
        <v>0.8</v>
      </c>
      <c r="P170" s="238">
        <f t="shared" si="125"/>
        <v>0</v>
      </c>
      <c r="Q170" s="238">
        <f t="shared" si="125"/>
        <v>0</v>
      </c>
      <c r="R170" s="238">
        <f t="shared" si="125"/>
        <v>0</v>
      </c>
      <c r="S170" s="238">
        <f t="shared" si="125"/>
        <v>0</v>
      </c>
      <c r="T170" s="238">
        <f t="shared" si="125"/>
        <v>0</v>
      </c>
      <c r="U170" s="238">
        <f t="shared" si="125"/>
        <v>0</v>
      </c>
      <c r="V170" s="231"/>
      <c r="W170" s="207"/>
      <c r="X170" s="240">
        <f t="shared" si="100"/>
        <v>1.2187645610223641E-2</v>
      </c>
      <c r="Y170" s="240">
        <f t="shared" si="101"/>
        <v>2.1449944505198854E-2</v>
      </c>
      <c r="Z170" s="240">
        <f t="shared" si="102"/>
        <v>0</v>
      </c>
      <c r="AA170" s="240">
        <f t="shared" si="103"/>
        <v>1.3541828455804045E-3</v>
      </c>
      <c r="AB170" s="240">
        <f t="shared" si="104"/>
        <v>2.1449944505198854E-2</v>
      </c>
      <c r="AC170" s="240">
        <f t="shared" si="105"/>
        <v>0</v>
      </c>
      <c r="AD170" s="240">
        <f t="shared" si="112"/>
        <v>0</v>
      </c>
      <c r="AE170" s="240">
        <f t="shared" si="106"/>
        <v>0</v>
      </c>
      <c r="AF170" s="240">
        <f t="shared" si="107"/>
        <v>0</v>
      </c>
      <c r="AG170" s="240">
        <f t="shared" si="108"/>
        <v>0</v>
      </c>
      <c r="AH170" s="240">
        <f t="shared" si="109"/>
        <v>0</v>
      </c>
      <c r="AI170" s="240">
        <f t="shared" si="110"/>
        <v>0</v>
      </c>
      <c r="AK170" s="163"/>
      <c r="AL170" s="163"/>
      <c r="AM170" s="163"/>
    </row>
    <row r="171" spans="4:39" ht="13.5" customHeight="1" x14ac:dyDescent="0.25">
      <c r="D171" s="98" t="str">
        <f t="shared" si="98"/>
        <v>Millet</v>
      </c>
      <c r="E171" s="239">
        <f>OCPMarketShares!K63</f>
        <v>6.6912869399926177E-4</v>
      </c>
      <c r="F171" s="239">
        <f>OCPMarketShares!L63</f>
        <v>1.7213335653131008E-3</v>
      </c>
      <c r="G171" s="239">
        <f>OCPMarketShares!M63</f>
        <v>0</v>
      </c>
      <c r="I171" s="150"/>
      <c r="J171" s="238">
        <f t="shared" ref="J171:U171" si="126">E138</f>
        <v>0.75</v>
      </c>
      <c r="K171" s="238">
        <f t="shared" si="126"/>
        <v>0.5</v>
      </c>
      <c r="L171" s="238">
        <f t="shared" si="126"/>
        <v>0</v>
      </c>
      <c r="M171" s="238">
        <f t="shared" si="126"/>
        <v>0</v>
      </c>
      <c r="N171" s="238">
        <f t="shared" si="126"/>
        <v>0</v>
      </c>
      <c r="O171" s="238">
        <f t="shared" si="126"/>
        <v>0</v>
      </c>
      <c r="P171" s="238">
        <f t="shared" si="126"/>
        <v>0.25</v>
      </c>
      <c r="Q171" s="238">
        <f t="shared" si="126"/>
        <v>0.5</v>
      </c>
      <c r="R171" s="238">
        <f t="shared" si="126"/>
        <v>1</v>
      </c>
      <c r="S171" s="238">
        <f t="shared" si="126"/>
        <v>0</v>
      </c>
      <c r="T171" s="238">
        <f t="shared" si="126"/>
        <v>0</v>
      </c>
      <c r="U171" s="238">
        <f t="shared" si="126"/>
        <v>0</v>
      </c>
      <c r="V171" s="231"/>
      <c r="W171" s="207"/>
      <c r="X171" s="240">
        <f t="shared" si="100"/>
        <v>1.0909706967379266E-3</v>
      </c>
      <c r="Y171" s="240">
        <f t="shared" si="101"/>
        <v>1.8710147449055442E-3</v>
      </c>
      <c r="Z171" s="240">
        <f t="shared" si="102"/>
        <v>0</v>
      </c>
      <c r="AA171" s="240">
        <f t="shared" si="103"/>
        <v>0</v>
      </c>
      <c r="AB171" s="240">
        <f t="shared" si="104"/>
        <v>0</v>
      </c>
      <c r="AC171" s="240">
        <f t="shared" si="105"/>
        <v>0</v>
      </c>
      <c r="AD171" s="240">
        <f t="shared" si="112"/>
        <v>3.6365689891264225E-4</v>
      </c>
      <c r="AE171" s="240">
        <f t="shared" si="106"/>
        <v>1.8710147449055442E-3</v>
      </c>
      <c r="AF171" s="240">
        <f t="shared" si="107"/>
        <v>0</v>
      </c>
      <c r="AG171" s="240">
        <f t="shared" si="108"/>
        <v>0</v>
      </c>
      <c r="AH171" s="240">
        <f t="shared" si="109"/>
        <v>0</v>
      </c>
      <c r="AI171" s="240">
        <f t="shared" si="110"/>
        <v>0</v>
      </c>
      <c r="AK171" s="163"/>
      <c r="AL171" s="163"/>
      <c r="AM171" s="163"/>
    </row>
    <row r="172" spans="4:39" ht="13.5" customHeight="1" x14ac:dyDescent="0.25">
      <c r="D172" s="98" t="str">
        <f t="shared" si="98"/>
        <v>Cocoa beans</v>
      </c>
      <c r="E172" s="239">
        <f>OCPMarketShares!K64</f>
        <v>4.2905256370957155E-3</v>
      </c>
      <c r="F172" s="239">
        <f>OCPMarketShares!L64</f>
        <v>1.347693722330485E-2</v>
      </c>
      <c r="G172" s="239">
        <f>OCPMarketShares!M64</f>
        <v>0</v>
      </c>
      <c r="I172" s="150"/>
      <c r="J172" s="238">
        <f t="shared" ref="J172:U172" si="127">E139</f>
        <v>0.9</v>
      </c>
      <c r="K172" s="238">
        <f t="shared" si="127"/>
        <v>0.5</v>
      </c>
      <c r="L172" s="238">
        <f t="shared" si="127"/>
        <v>0.2</v>
      </c>
      <c r="M172" s="238">
        <f t="shared" si="127"/>
        <v>0.1</v>
      </c>
      <c r="N172" s="238">
        <f t="shared" si="127"/>
        <v>0.5</v>
      </c>
      <c r="O172" s="238">
        <f t="shared" si="127"/>
        <v>0.8</v>
      </c>
      <c r="P172" s="238">
        <f t="shared" si="127"/>
        <v>0</v>
      </c>
      <c r="Q172" s="238">
        <f t="shared" si="127"/>
        <v>0</v>
      </c>
      <c r="R172" s="238">
        <f t="shared" si="127"/>
        <v>0</v>
      </c>
      <c r="S172" s="238">
        <f t="shared" si="127"/>
        <v>0</v>
      </c>
      <c r="T172" s="238">
        <f t="shared" si="127"/>
        <v>0</v>
      </c>
      <c r="U172" s="238">
        <f t="shared" si="127"/>
        <v>0</v>
      </c>
      <c r="V172" s="231"/>
      <c r="W172" s="207"/>
      <c r="X172" s="240">
        <f t="shared" si="100"/>
        <v>8.3945066812742258E-3</v>
      </c>
      <c r="Y172" s="240">
        <f t="shared" si="101"/>
        <v>1.4648844807940053E-2</v>
      </c>
      <c r="Z172" s="240">
        <f t="shared" si="102"/>
        <v>0</v>
      </c>
      <c r="AA172" s="240">
        <f t="shared" si="103"/>
        <v>9.3272296458602507E-4</v>
      </c>
      <c r="AB172" s="240">
        <f t="shared" si="104"/>
        <v>1.4648844807940053E-2</v>
      </c>
      <c r="AC172" s="240">
        <f t="shared" si="105"/>
        <v>0</v>
      </c>
      <c r="AD172" s="240">
        <f t="shared" si="112"/>
        <v>0</v>
      </c>
      <c r="AE172" s="240">
        <f t="shared" si="106"/>
        <v>0</v>
      </c>
      <c r="AF172" s="240">
        <f t="shared" si="107"/>
        <v>0</v>
      </c>
      <c r="AG172" s="240">
        <f t="shared" si="108"/>
        <v>0</v>
      </c>
      <c r="AH172" s="240">
        <f t="shared" si="109"/>
        <v>0</v>
      </c>
      <c r="AI172" s="240">
        <f t="shared" si="110"/>
        <v>0</v>
      </c>
      <c r="AK172" s="163"/>
      <c r="AL172" s="163"/>
      <c r="AM172" s="163"/>
    </row>
    <row r="173" spans="4:39" ht="13.5" customHeight="1" x14ac:dyDescent="0.25">
      <c r="D173" s="98" t="str">
        <f t="shared" si="98"/>
        <v>Other oil seeds, n.e.c.</v>
      </c>
      <c r="E173" s="239">
        <f>OCPMarketShares!K65</f>
        <v>6.2614334768665585E-4</v>
      </c>
      <c r="F173" s="239">
        <f>OCPMarketShares!L65</f>
        <v>1.601709140685766E-3</v>
      </c>
      <c r="G173" s="239">
        <f>OCPMarketShares!M65</f>
        <v>0</v>
      </c>
      <c r="I173" s="150"/>
      <c r="J173" s="238">
        <f t="shared" ref="J173:U173" si="128">E140</f>
        <v>0.9</v>
      </c>
      <c r="K173" s="238">
        <f t="shared" si="128"/>
        <v>0.5</v>
      </c>
      <c r="L173" s="238">
        <f t="shared" si="128"/>
        <v>0.2</v>
      </c>
      <c r="M173" s="238">
        <f t="shared" si="128"/>
        <v>0.1</v>
      </c>
      <c r="N173" s="238">
        <f t="shared" si="128"/>
        <v>0.5</v>
      </c>
      <c r="O173" s="238">
        <f t="shared" si="128"/>
        <v>0.8</v>
      </c>
      <c r="P173" s="238">
        <f t="shared" si="128"/>
        <v>0</v>
      </c>
      <c r="Q173" s="238">
        <f t="shared" si="128"/>
        <v>0</v>
      </c>
      <c r="R173" s="238">
        <f t="shared" si="128"/>
        <v>0</v>
      </c>
      <c r="S173" s="238">
        <f t="shared" si="128"/>
        <v>0</v>
      </c>
      <c r="T173" s="238">
        <f t="shared" si="128"/>
        <v>0</v>
      </c>
      <c r="U173" s="238">
        <f t="shared" si="128"/>
        <v>0</v>
      </c>
      <c r="V173" s="231"/>
      <c r="W173" s="207"/>
      <c r="X173" s="240">
        <f t="shared" si="100"/>
        <v>1.2250630715608484E-3</v>
      </c>
      <c r="Y173" s="240">
        <f t="shared" si="101"/>
        <v>1.7409881963975716E-3</v>
      </c>
      <c r="Z173" s="240">
        <f t="shared" si="102"/>
        <v>0</v>
      </c>
      <c r="AA173" s="240">
        <f t="shared" si="103"/>
        <v>1.3611811906231647E-4</v>
      </c>
      <c r="AB173" s="240">
        <f t="shared" si="104"/>
        <v>1.7409881963975716E-3</v>
      </c>
      <c r="AC173" s="240">
        <f t="shared" si="105"/>
        <v>0</v>
      </c>
      <c r="AD173" s="240">
        <f t="shared" si="112"/>
        <v>0</v>
      </c>
      <c r="AE173" s="240">
        <f t="shared" si="106"/>
        <v>0</v>
      </c>
      <c r="AF173" s="240">
        <f t="shared" si="107"/>
        <v>0</v>
      </c>
      <c r="AG173" s="240">
        <f t="shared" si="108"/>
        <v>0</v>
      </c>
      <c r="AH173" s="240">
        <f t="shared" si="109"/>
        <v>0</v>
      </c>
      <c r="AI173" s="240">
        <f t="shared" si="110"/>
        <v>0</v>
      </c>
      <c r="AK173" s="163"/>
      <c r="AL173" s="163"/>
      <c r="AM173" s="163"/>
    </row>
    <row r="174" spans="4:39" ht="13.5" customHeight="1" x14ac:dyDescent="0.25">
      <c r="D174" s="98" t="str">
        <f t="shared" si="98"/>
        <v>Soya beans</v>
      </c>
      <c r="E174" s="239">
        <f>OCPMarketShares!K66</f>
        <v>1.2358826265280905E-3</v>
      </c>
      <c r="F174" s="239">
        <f>OCPMarketShares!L66</f>
        <v>3.2215489468598504E-3</v>
      </c>
      <c r="G174" s="239">
        <f>OCPMarketShares!M66</f>
        <v>0</v>
      </c>
      <c r="I174" s="150"/>
      <c r="J174" s="238">
        <f t="shared" ref="J174:U174" si="129">E141</f>
        <v>0.9</v>
      </c>
      <c r="K174" s="238">
        <f t="shared" si="129"/>
        <v>0.5</v>
      </c>
      <c r="L174" s="238">
        <f t="shared" si="129"/>
        <v>0.2</v>
      </c>
      <c r="M174" s="238">
        <f t="shared" si="129"/>
        <v>0.1</v>
      </c>
      <c r="N174" s="238">
        <f t="shared" si="129"/>
        <v>0.5</v>
      </c>
      <c r="O174" s="238">
        <f t="shared" si="129"/>
        <v>0.8</v>
      </c>
      <c r="P174" s="238">
        <f t="shared" si="129"/>
        <v>0</v>
      </c>
      <c r="Q174" s="238">
        <f t="shared" si="129"/>
        <v>0</v>
      </c>
      <c r="R174" s="238">
        <f t="shared" si="129"/>
        <v>0</v>
      </c>
      <c r="S174" s="238">
        <f t="shared" si="129"/>
        <v>0</v>
      </c>
      <c r="T174" s="238">
        <f t="shared" si="129"/>
        <v>0</v>
      </c>
      <c r="U174" s="238">
        <f t="shared" si="129"/>
        <v>0</v>
      </c>
      <c r="V174" s="231"/>
      <c r="W174" s="204"/>
      <c r="X174" s="240">
        <f t="shared" si="100"/>
        <v>2.4180312258158293E-3</v>
      </c>
      <c r="Y174" s="240">
        <f t="shared" si="101"/>
        <v>3.5016836378911416E-3</v>
      </c>
      <c r="Z174" s="240">
        <f t="shared" si="102"/>
        <v>0</v>
      </c>
      <c r="AA174" s="240">
        <f t="shared" si="103"/>
        <v>2.6867013620175879E-4</v>
      </c>
      <c r="AB174" s="240">
        <f t="shared" si="104"/>
        <v>3.5016836378911416E-3</v>
      </c>
      <c r="AC174" s="240">
        <f t="shared" si="105"/>
        <v>0</v>
      </c>
      <c r="AD174" s="240">
        <f t="shared" si="112"/>
        <v>0</v>
      </c>
      <c r="AE174" s="240">
        <f t="shared" si="106"/>
        <v>0</v>
      </c>
      <c r="AF174" s="240">
        <f t="shared" si="107"/>
        <v>0</v>
      </c>
      <c r="AG174" s="240">
        <f t="shared" si="108"/>
        <v>0</v>
      </c>
      <c r="AH174" s="240">
        <f t="shared" si="109"/>
        <v>0</v>
      </c>
      <c r="AI174" s="240">
        <f t="shared" si="110"/>
        <v>0</v>
      </c>
      <c r="AK174" s="163"/>
      <c r="AL174" s="163"/>
      <c r="AM174" s="163"/>
    </row>
    <row r="175" spans="4:39" ht="13.5" customHeight="1" x14ac:dyDescent="0.25">
      <c r="D175" s="98" t="str">
        <f t="shared" si="98"/>
        <v>Pigeon peas, dry</v>
      </c>
      <c r="E175" s="239">
        <f>OCPMarketShares!K67</f>
        <v>5.642993775060107E-4</v>
      </c>
      <c r="F175" s="239">
        <f>OCPMarketShares!L67</f>
        <v>1.4917673973727913E-3</v>
      </c>
      <c r="G175" s="239">
        <f>OCPMarketShares!M67</f>
        <v>0</v>
      </c>
      <c r="I175" s="150"/>
      <c r="J175" s="238">
        <f t="shared" ref="J175:U175" si="130">E142</f>
        <v>0.9</v>
      </c>
      <c r="K175" s="238">
        <f t="shared" si="130"/>
        <v>0.5</v>
      </c>
      <c r="L175" s="238">
        <f t="shared" si="130"/>
        <v>0.2</v>
      </c>
      <c r="M175" s="238">
        <f t="shared" si="130"/>
        <v>0.1</v>
      </c>
      <c r="N175" s="238">
        <f t="shared" si="130"/>
        <v>0.5</v>
      </c>
      <c r="O175" s="238">
        <f t="shared" si="130"/>
        <v>0.8</v>
      </c>
      <c r="P175" s="238">
        <f t="shared" si="130"/>
        <v>0</v>
      </c>
      <c r="Q175" s="238">
        <f t="shared" si="130"/>
        <v>0</v>
      </c>
      <c r="R175" s="238">
        <f t="shared" si="130"/>
        <v>0</v>
      </c>
      <c r="S175" s="238">
        <f t="shared" si="130"/>
        <v>0</v>
      </c>
      <c r="T175" s="238">
        <f t="shared" si="130"/>
        <v>0</v>
      </c>
      <c r="U175" s="238">
        <f t="shared" si="130"/>
        <v>0</v>
      </c>
      <c r="V175" s="231"/>
      <c r="W175" s="204"/>
      <c r="X175" s="240">
        <f t="shared" si="100"/>
        <v>1.104063999468282E-3</v>
      </c>
      <c r="Y175" s="240">
        <f t="shared" si="101"/>
        <v>1.6214863014921645E-3</v>
      </c>
      <c r="Z175" s="240">
        <f t="shared" si="102"/>
        <v>0</v>
      </c>
      <c r="AA175" s="240">
        <f t="shared" si="103"/>
        <v>1.2267377771869799E-4</v>
      </c>
      <c r="AB175" s="240">
        <f t="shared" si="104"/>
        <v>1.6214863014921645E-3</v>
      </c>
      <c r="AC175" s="240">
        <f t="shared" si="105"/>
        <v>0</v>
      </c>
      <c r="AD175" s="240">
        <f t="shared" si="112"/>
        <v>0</v>
      </c>
      <c r="AE175" s="240">
        <f t="shared" si="106"/>
        <v>0</v>
      </c>
      <c r="AF175" s="240">
        <f t="shared" si="107"/>
        <v>0</v>
      </c>
      <c r="AG175" s="240">
        <f t="shared" si="108"/>
        <v>0</v>
      </c>
      <c r="AH175" s="240">
        <f t="shared" si="109"/>
        <v>0</v>
      </c>
      <c r="AI175" s="240">
        <f t="shared" si="110"/>
        <v>0</v>
      </c>
      <c r="AK175" s="163"/>
      <c r="AL175" s="163"/>
      <c r="AM175" s="163"/>
    </row>
    <row r="176" spans="4:39" ht="13.5" customHeight="1" x14ac:dyDescent="0.25">
      <c r="D176" s="98" t="str">
        <f t="shared" si="98"/>
        <v>Potatoes</v>
      </c>
      <c r="E176" s="239">
        <f>OCPMarketShares!K68</f>
        <v>4.9030381860634849E-4</v>
      </c>
      <c r="F176" s="239">
        <f>OCPMarketShares!L68</f>
        <v>1.26694182820678E-3</v>
      </c>
      <c r="G176" s="239">
        <f>OCPMarketShares!M68</f>
        <v>0</v>
      </c>
      <c r="I176" s="150"/>
      <c r="J176" s="238">
        <f t="shared" ref="J176:U176" si="131">E143</f>
        <v>1</v>
      </c>
      <c r="K176" s="238">
        <f t="shared" si="131"/>
        <v>0.75</v>
      </c>
      <c r="L176" s="238">
        <f t="shared" si="131"/>
        <v>0.5</v>
      </c>
      <c r="M176" s="238">
        <f t="shared" si="131"/>
        <v>0</v>
      </c>
      <c r="N176" s="238">
        <f t="shared" si="131"/>
        <v>0</v>
      </c>
      <c r="O176" s="238">
        <f t="shared" si="131"/>
        <v>0</v>
      </c>
      <c r="P176" s="238">
        <f t="shared" si="131"/>
        <v>0</v>
      </c>
      <c r="Q176" s="238">
        <f t="shared" si="131"/>
        <v>0.25</v>
      </c>
      <c r="R176" s="238">
        <f t="shared" si="131"/>
        <v>0.5</v>
      </c>
      <c r="S176" s="238">
        <f t="shared" si="131"/>
        <v>0</v>
      </c>
      <c r="T176" s="238">
        <f t="shared" si="131"/>
        <v>0</v>
      </c>
      <c r="U176" s="238">
        <f t="shared" si="131"/>
        <v>0</v>
      </c>
      <c r="V176" s="231"/>
      <c r="W176" s="204"/>
      <c r="X176" s="240">
        <f t="shared" si="100"/>
        <v>1.0658778665355402E-3</v>
      </c>
      <c r="Y176" s="240">
        <f t="shared" si="101"/>
        <v>2.0656660242501846E-3</v>
      </c>
      <c r="Z176" s="240">
        <f t="shared" si="102"/>
        <v>0</v>
      </c>
      <c r="AA176" s="240">
        <f t="shared" si="103"/>
        <v>0</v>
      </c>
      <c r="AB176" s="240">
        <f t="shared" si="104"/>
        <v>0</v>
      </c>
      <c r="AC176" s="240">
        <f t="shared" si="105"/>
        <v>0</v>
      </c>
      <c r="AD176" s="240">
        <f t="shared" si="112"/>
        <v>0</v>
      </c>
      <c r="AE176" s="240">
        <f t="shared" si="106"/>
        <v>6.8855534141672821E-4</v>
      </c>
      <c r="AF176" s="240">
        <f t="shared" si="107"/>
        <v>0</v>
      </c>
      <c r="AG176" s="240">
        <f t="shared" si="108"/>
        <v>0</v>
      </c>
      <c r="AH176" s="240">
        <f t="shared" si="109"/>
        <v>0</v>
      </c>
      <c r="AI176" s="240">
        <f t="shared" si="110"/>
        <v>0</v>
      </c>
      <c r="AK176" s="163"/>
      <c r="AL176" s="163"/>
      <c r="AM176" s="163"/>
    </row>
    <row r="177" spans="4:39" ht="13.5" customHeight="1" x14ac:dyDescent="0.25">
      <c r="D177" s="98" t="str">
        <f t="shared" si="98"/>
        <v>Tea leaves</v>
      </c>
      <c r="E177" s="239">
        <f>OCPMarketShares!K69</f>
        <v>1.4282463002469065E-3</v>
      </c>
      <c r="F177" s="239">
        <f>OCPMarketShares!L69</f>
        <v>3.3975444704461445E-3</v>
      </c>
      <c r="G177" s="239">
        <f>OCPMarketShares!M69</f>
        <v>0</v>
      </c>
      <c r="I177" s="150"/>
      <c r="J177" s="238">
        <f t="shared" ref="J177:U177" si="132">E144</f>
        <v>1</v>
      </c>
      <c r="K177" s="238">
        <f t="shared" si="132"/>
        <v>1</v>
      </c>
      <c r="L177" s="238">
        <f t="shared" si="132"/>
        <v>1</v>
      </c>
      <c r="M177" s="238">
        <f t="shared" si="132"/>
        <v>0</v>
      </c>
      <c r="N177" s="238">
        <f t="shared" si="132"/>
        <v>0</v>
      </c>
      <c r="O177" s="238">
        <f t="shared" si="132"/>
        <v>0</v>
      </c>
      <c r="P177" s="238">
        <f t="shared" si="132"/>
        <v>0</v>
      </c>
      <c r="Q177" s="238">
        <f t="shared" si="132"/>
        <v>0</v>
      </c>
      <c r="R177" s="238">
        <f t="shared" si="132"/>
        <v>0</v>
      </c>
      <c r="S177" s="238">
        <f t="shared" si="132"/>
        <v>0</v>
      </c>
      <c r="T177" s="238">
        <f t="shared" si="132"/>
        <v>0</v>
      </c>
      <c r="U177" s="238">
        <f t="shared" si="132"/>
        <v>0</v>
      </c>
      <c r="V177" s="231"/>
      <c r="W177" s="204"/>
      <c r="X177" s="240">
        <f t="shared" si="100"/>
        <v>3.1048832614063186E-3</v>
      </c>
      <c r="Y177" s="240">
        <f t="shared" si="101"/>
        <v>7.3859662401003136E-3</v>
      </c>
      <c r="Z177" s="240">
        <f t="shared" si="102"/>
        <v>0</v>
      </c>
      <c r="AA177" s="240">
        <f t="shared" si="103"/>
        <v>0</v>
      </c>
      <c r="AB177" s="240">
        <f t="shared" si="104"/>
        <v>0</v>
      </c>
      <c r="AC177" s="240">
        <f t="shared" si="105"/>
        <v>0</v>
      </c>
      <c r="AD177" s="240">
        <f t="shared" si="112"/>
        <v>0</v>
      </c>
      <c r="AE177" s="240">
        <f t="shared" si="106"/>
        <v>0</v>
      </c>
      <c r="AF177" s="240">
        <f t="shared" si="107"/>
        <v>0</v>
      </c>
      <c r="AG177" s="240">
        <f t="shared" si="108"/>
        <v>0</v>
      </c>
      <c r="AH177" s="240">
        <f t="shared" si="109"/>
        <v>0</v>
      </c>
      <c r="AI177" s="240">
        <f t="shared" si="110"/>
        <v>0</v>
      </c>
      <c r="AK177" s="163"/>
      <c r="AL177" s="163"/>
      <c r="AM177" s="163"/>
    </row>
    <row r="178" spans="4:39" ht="13.5" customHeight="1" x14ac:dyDescent="0.25">
      <c r="D178" s="98" t="str">
        <f t="shared" si="98"/>
        <v>Cow peas, dry</v>
      </c>
      <c r="E178" s="239">
        <f>OCPMarketShares!K70</f>
        <v>4.4384362449650976E-4</v>
      </c>
      <c r="F178" s="239">
        <f>OCPMarketShares!L70</f>
        <v>1.203030793561121E-3</v>
      </c>
      <c r="G178" s="239">
        <f>OCPMarketShares!M70</f>
        <v>0</v>
      </c>
      <c r="I178" s="150"/>
      <c r="J178" s="238">
        <f t="shared" ref="J178:U178" si="133">E145</f>
        <v>0.9</v>
      </c>
      <c r="K178" s="238">
        <f t="shared" si="133"/>
        <v>0.5</v>
      </c>
      <c r="L178" s="238">
        <f t="shared" si="133"/>
        <v>0.2</v>
      </c>
      <c r="M178" s="238">
        <f t="shared" si="133"/>
        <v>0.1</v>
      </c>
      <c r="N178" s="238">
        <f t="shared" si="133"/>
        <v>0.5</v>
      </c>
      <c r="O178" s="238">
        <f t="shared" si="133"/>
        <v>0.8</v>
      </c>
      <c r="P178" s="238">
        <f t="shared" si="133"/>
        <v>0</v>
      </c>
      <c r="Q178" s="238">
        <f t="shared" si="133"/>
        <v>0</v>
      </c>
      <c r="R178" s="238">
        <f t="shared" si="133"/>
        <v>0</v>
      </c>
      <c r="S178" s="238">
        <f t="shared" si="133"/>
        <v>0</v>
      </c>
      <c r="T178" s="238">
        <f t="shared" si="133"/>
        <v>0</v>
      </c>
      <c r="U178" s="238">
        <f t="shared" si="133"/>
        <v>0</v>
      </c>
      <c r="V178" s="231"/>
      <c r="W178" s="204"/>
      <c r="X178" s="240">
        <f t="shared" si="100"/>
        <v>8.683897001018669E-4</v>
      </c>
      <c r="Y178" s="240">
        <f t="shared" si="101"/>
        <v>1.3076421669142618E-3</v>
      </c>
      <c r="Z178" s="240">
        <f t="shared" si="102"/>
        <v>0</v>
      </c>
      <c r="AA178" s="240">
        <f t="shared" si="103"/>
        <v>9.6487744455762999E-5</v>
      </c>
      <c r="AB178" s="240">
        <f t="shared" si="104"/>
        <v>1.3076421669142618E-3</v>
      </c>
      <c r="AC178" s="240">
        <f t="shared" si="105"/>
        <v>0</v>
      </c>
      <c r="AD178" s="240">
        <f t="shared" si="112"/>
        <v>0</v>
      </c>
      <c r="AE178" s="240">
        <f t="shared" si="106"/>
        <v>0</v>
      </c>
      <c r="AF178" s="240">
        <f t="shared" si="107"/>
        <v>0</v>
      </c>
      <c r="AG178" s="240">
        <f t="shared" si="108"/>
        <v>0</v>
      </c>
      <c r="AH178" s="240">
        <f t="shared" si="109"/>
        <v>0</v>
      </c>
      <c r="AI178" s="240">
        <f t="shared" si="110"/>
        <v>0</v>
      </c>
      <c r="AK178" s="163"/>
      <c r="AL178" s="163"/>
      <c r="AM178" s="163"/>
    </row>
    <row r="179" spans="4:39" ht="13.5" customHeight="1" thickBot="1" x14ac:dyDescent="0.3">
      <c r="D179" s="98" t="str">
        <f t="shared" si="98"/>
        <v>Peas, dry</v>
      </c>
      <c r="E179" s="239">
        <f>OCPMarketShares!K71</f>
        <v>3.3646311930568171E-4</v>
      </c>
      <c r="F179" s="239">
        <f>OCPMarketShares!L71</f>
        <v>8.7578985334226976E-4</v>
      </c>
      <c r="G179" s="239">
        <f>OCPMarketShares!M71</f>
        <v>0</v>
      </c>
      <c r="I179" s="150"/>
      <c r="J179" s="238">
        <f t="shared" ref="J179:U179" si="134">E146</f>
        <v>0.9</v>
      </c>
      <c r="K179" s="238">
        <f t="shared" si="134"/>
        <v>0.5</v>
      </c>
      <c r="L179" s="238">
        <f t="shared" si="134"/>
        <v>0.2</v>
      </c>
      <c r="M179" s="238">
        <f t="shared" si="134"/>
        <v>0.1</v>
      </c>
      <c r="N179" s="238">
        <f t="shared" si="134"/>
        <v>0.5</v>
      </c>
      <c r="O179" s="238">
        <f t="shared" si="134"/>
        <v>0.8</v>
      </c>
      <c r="P179" s="238">
        <f t="shared" si="134"/>
        <v>0</v>
      </c>
      <c r="Q179" s="238">
        <f t="shared" si="134"/>
        <v>0</v>
      </c>
      <c r="R179" s="238">
        <f t="shared" si="134"/>
        <v>0</v>
      </c>
      <c r="S179" s="238">
        <f t="shared" si="134"/>
        <v>0</v>
      </c>
      <c r="T179" s="238">
        <f t="shared" si="134"/>
        <v>0</v>
      </c>
      <c r="U179" s="238">
        <f t="shared" si="134"/>
        <v>0</v>
      </c>
      <c r="V179" s="231"/>
      <c r="W179" s="204"/>
      <c r="X179" s="240">
        <f t="shared" si="100"/>
        <v>6.5829740733720343E-4</v>
      </c>
      <c r="Y179" s="240">
        <f t="shared" si="101"/>
        <v>9.5194549276333669E-4</v>
      </c>
      <c r="Z179" s="240">
        <f t="shared" si="102"/>
        <v>0</v>
      </c>
      <c r="AA179" s="240">
        <f t="shared" si="103"/>
        <v>7.3144156370800372E-5</v>
      </c>
      <c r="AB179" s="240">
        <f t="shared" si="104"/>
        <v>9.5194549276333669E-4</v>
      </c>
      <c r="AC179" s="240">
        <f t="shared" si="105"/>
        <v>0</v>
      </c>
      <c r="AD179" s="240">
        <f t="shared" si="112"/>
        <v>0</v>
      </c>
      <c r="AE179" s="240">
        <f t="shared" si="106"/>
        <v>0</v>
      </c>
      <c r="AF179" s="240">
        <f t="shared" si="107"/>
        <v>0</v>
      </c>
      <c r="AG179" s="240">
        <f t="shared" si="108"/>
        <v>0</v>
      </c>
      <c r="AH179" s="240">
        <f t="shared" si="109"/>
        <v>0</v>
      </c>
      <c r="AI179" s="240">
        <f t="shared" si="110"/>
        <v>0</v>
      </c>
      <c r="AK179" s="163"/>
      <c r="AL179" s="163"/>
      <c r="AM179" s="163"/>
    </row>
    <row r="180" spans="4:39" ht="13.5" customHeight="1" thickTop="1" thickBot="1" x14ac:dyDescent="0.3">
      <c r="D180" s="99" t="s">
        <v>13</v>
      </c>
      <c r="E180" s="123">
        <f>SUM(E156:E179)</f>
        <v>0.2140321101410679</v>
      </c>
      <c r="F180" s="123">
        <f>SUM(F156:F179)</f>
        <v>0.61413025055768256</v>
      </c>
      <c r="G180" s="123">
        <f>SUM(G156:G179)</f>
        <v>0</v>
      </c>
      <c r="I180" s="150"/>
      <c r="J180" s="150"/>
      <c r="K180" s="7"/>
      <c r="L180" s="7"/>
      <c r="M180" s="7"/>
      <c r="N180" s="7"/>
      <c r="O180" s="7"/>
      <c r="P180" s="7"/>
      <c r="Q180" s="7"/>
      <c r="R180" s="7"/>
      <c r="S180" s="7"/>
      <c r="T180" s="7"/>
      <c r="U180" s="7"/>
      <c r="V180" s="7"/>
      <c r="W180" s="7"/>
      <c r="X180" s="7"/>
      <c r="Y180" s="7"/>
      <c r="Z180" s="7"/>
      <c r="AA180" s="7"/>
      <c r="AB180" s="7"/>
      <c r="AC180" s="7"/>
      <c r="AD180" s="7">
        <f t="shared" si="112"/>
        <v>0</v>
      </c>
      <c r="AE180" s="7">
        <f t="shared" si="106"/>
        <v>0</v>
      </c>
      <c r="AF180" s="7">
        <f t="shared" si="107"/>
        <v>0</v>
      </c>
      <c r="AG180" s="7"/>
      <c r="AH180" s="7"/>
      <c r="AI180" s="7"/>
      <c r="AK180" s="163"/>
      <c r="AL180" s="163"/>
      <c r="AM180" s="163"/>
    </row>
    <row r="181" spans="4:39" ht="13.5" customHeight="1" thickTop="1" thickBot="1" x14ac:dyDescent="0.3">
      <c r="D181" s="97" t="s">
        <v>205</v>
      </c>
      <c r="E181" s="123">
        <f t="shared" ref="E181:G181" si="135">E180/46%</f>
        <v>0.46528719595884327</v>
      </c>
      <c r="F181" s="123">
        <f t="shared" si="135"/>
        <v>1.3350657620819186</v>
      </c>
      <c r="G181" s="123">
        <f t="shared" si="135"/>
        <v>0</v>
      </c>
      <c r="I181" s="31"/>
      <c r="J181" s="31"/>
      <c r="W181" s="1" t="s">
        <v>206</v>
      </c>
      <c r="X181" s="232">
        <f>SUM(X156:X179)</f>
        <v>0.40242171078605588</v>
      </c>
      <c r="Y181" s="232">
        <f t="shared" ref="Y181:AI181" si="136">SUM(Y156:Y179)</f>
        <v>0.7841236001136298</v>
      </c>
      <c r="Z181" s="232">
        <f t="shared" si="136"/>
        <v>0</v>
      </c>
      <c r="AA181" s="232">
        <f t="shared" si="136"/>
        <v>1.4820891734159458E-2</v>
      </c>
      <c r="AB181" s="232">
        <f t="shared" si="136"/>
        <v>0.21128168171428419</v>
      </c>
      <c r="AC181" s="232">
        <f t="shared" si="136"/>
        <v>0</v>
      </c>
      <c r="AD181" s="232">
        <f t="shared" si="136"/>
        <v>4.8044593438627992E-2</v>
      </c>
      <c r="AE181" s="232">
        <f t="shared" si="136"/>
        <v>0.33966048025400447</v>
      </c>
      <c r="AF181" s="232">
        <f t="shared" si="136"/>
        <v>0</v>
      </c>
      <c r="AG181" s="232">
        <f t="shared" si="136"/>
        <v>0</v>
      </c>
      <c r="AH181" s="232">
        <f t="shared" si="136"/>
        <v>0</v>
      </c>
      <c r="AI181" s="232">
        <f t="shared" si="136"/>
        <v>0</v>
      </c>
      <c r="AK181" s="163"/>
      <c r="AL181" s="163"/>
      <c r="AM181" s="163"/>
    </row>
    <row r="182" spans="4:39" ht="13.5" customHeight="1" thickTop="1" x14ac:dyDescent="0.25">
      <c r="O182" s="31"/>
      <c r="P182" s="218" t="s">
        <v>321</v>
      </c>
      <c r="Q182" s="218"/>
      <c r="R182" s="218"/>
      <c r="S182" s="218" t="s">
        <v>257</v>
      </c>
      <c r="T182" s="218"/>
      <c r="U182" s="218"/>
      <c r="AK182" s="176"/>
      <c r="AL182" s="163"/>
      <c r="AM182" s="163"/>
    </row>
    <row r="183" spans="4:39" ht="13.5" customHeight="1" x14ac:dyDescent="0.3">
      <c r="D183" s="30" t="s">
        <v>189</v>
      </c>
      <c r="E183" s="115">
        <v>2023</v>
      </c>
      <c r="F183" s="115">
        <v>2024</v>
      </c>
      <c r="G183" s="115">
        <v>2025</v>
      </c>
      <c r="I183" s="31"/>
      <c r="J183" s="219">
        <v>2023</v>
      </c>
      <c r="K183" s="219">
        <v>2024</v>
      </c>
      <c r="L183" s="219">
        <v>2025</v>
      </c>
      <c r="M183" s="219">
        <v>2023</v>
      </c>
      <c r="N183" s="219">
        <v>2024</v>
      </c>
      <c r="O183" s="219">
        <v>2025</v>
      </c>
      <c r="P183" s="219">
        <v>2023</v>
      </c>
      <c r="Q183" s="219">
        <v>2024</v>
      </c>
      <c r="R183" s="219">
        <v>2025</v>
      </c>
      <c r="S183" s="219">
        <v>2023</v>
      </c>
      <c r="T183" s="219">
        <v>2024</v>
      </c>
      <c r="U183" s="219">
        <v>2025</v>
      </c>
      <c r="V183" s="228"/>
      <c r="W183" s="229"/>
      <c r="X183" s="230">
        <v>2023</v>
      </c>
      <c r="Y183" s="230">
        <v>2024</v>
      </c>
      <c r="Z183" s="230">
        <v>2025</v>
      </c>
      <c r="AA183" s="230">
        <v>2023</v>
      </c>
      <c r="AB183" s="230">
        <v>2024</v>
      </c>
      <c r="AC183" s="230">
        <v>2025</v>
      </c>
      <c r="AD183" s="230">
        <v>2023</v>
      </c>
      <c r="AE183" s="230">
        <v>2024</v>
      </c>
      <c r="AF183" s="230">
        <v>2025</v>
      </c>
      <c r="AG183" s="230">
        <v>2023</v>
      </c>
      <c r="AH183" s="230">
        <v>2024</v>
      </c>
      <c r="AI183" s="230">
        <v>2025</v>
      </c>
      <c r="AK183" s="331"/>
      <c r="AL183" s="331"/>
      <c r="AM183" s="331">
        <v>2025</v>
      </c>
    </row>
    <row r="184" spans="4:39" ht="13.5" customHeight="1" x14ac:dyDescent="0.25">
      <c r="D184" s="98" t="str">
        <f t="shared" ref="D184:D207" si="137">D156</f>
        <v>Plantains and cooking bananas</v>
      </c>
      <c r="E184" s="239">
        <f>OCPMarketShares!K75</f>
        <v>2.2490629028589684E-2</v>
      </c>
      <c r="F184" s="239">
        <f>OCPMarketShares!L75</f>
        <v>5.5102041120044715E-2</v>
      </c>
      <c r="G184" s="239">
        <f>OCPMarketShares!M75</f>
        <v>0</v>
      </c>
      <c r="I184" s="31"/>
      <c r="J184" s="238">
        <f>E123</f>
        <v>1</v>
      </c>
      <c r="K184" s="238">
        <f t="shared" ref="K184:U184" si="138">F123</f>
        <v>1</v>
      </c>
      <c r="L184" s="238">
        <f t="shared" si="138"/>
        <v>1</v>
      </c>
      <c r="M184" s="238">
        <f t="shared" si="138"/>
        <v>0</v>
      </c>
      <c r="N184" s="238">
        <f t="shared" si="138"/>
        <v>0</v>
      </c>
      <c r="O184" s="238">
        <f t="shared" si="138"/>
        <v>0</v>
      </c>
      <c r="P184" s="238">
        <f t="shared" si="138"/>
        <v>0</v>
      </c>
      <c r="Q184" s="238">
        <f t="shared" si="138"/>
        <v>0</v>
      </c>
      <c r="R184" s="238">
        <f t="shared" si="138"/>
        <v>0</v>
      </c>
      <c r="S184" s="238">
        <f t="shared" si="138"/>
        <v>0</v>
      </c>
      <c r="T184" s="238">
        <f t="shared" si="138"/>
        <v>0</v>
      </c>
      <c r="U184" s="238">
        <f t="shared" si="138"/>
        <v>0</v>
      </c>
      <c r="V184" s="231"/>
      <c r="W184" s="207"/>
      <c r="X184" s="240">
        <f t="shared" ref="X184:X207" si="139">(E184*J184)/$K$11</f>
        <v>4.8892671801281921E-2</v>
      </c>
      <c r="Y184" s="240">
        <f t="shared" ref="Y184:Y207" si="140">(F184*K184)/$K$11</f>
        <v>0.11978704591314068</v>
      </c>
      <c r="Z184" s="240">
        <f t="shared" ref="Z184:Z207" si="141">(G184*L184)/$K$11</f>
        <v>0</v>
      </c>
      <c r="AA184" s="240">
        <f t="shared" ref="AA184:AA207" si="142">(E184*M184)/$K$12</f>
        <v>0</v>
      </c>
      <c r="AB184" s="240">
        <f t="shared" ref="AB184:AB207" si="143">(F184*N184)/$K$12</f>
        <v>0</v>
      </c>
      <c r="AC184" s="240">
        <f t="shared" ref="AC184:AC207" si="144">(G184*O184)/$K$12</f>
        <v>0</v>
      </c>
      <c r="AD184" s="240">
        <f t="shared" ref="AD184:AD207" si="145">(E184*P184)/$K$14</f>
        <v>0</v>
      </c>
      <c r="AE184" s="240">
        <f t="shared" ref="AE184:AE207" si="146">(F184*Q184)/$K$14</f>
        <v>0</v>
      </c>
      <c r="AF184" s="240">
        <f t="shared" ref="AF184:AF207" si="147">(G184*R184)/$K$14</f>
        <v>0</v>
      </c>
      <c r="AG184" s="240">
        <f t="shared" ref="AG184:AG207" si="148">(E184*S184)/$K$15</f>
        <v>0</v>
      </c>
      <c r="AH184" s="240">
        <f t="shared" ref="AH184:AH207" si="149">(F184*T184)/$K$15</f>
        <v>0</v>
      </c>
      <c r="AI184" s="240">
        <f t="shared" ref="AI184:AI207" si="150">(G184*U184)/$K$15</f>
        <v>0</v>
      </c>
      <c r="AK184" s="163"/>
      <c r="AL184" s="163"/>
      <c r="AM184" s="163"/>
    </row>
    <row r="185" spans="4:39" ht="13.5" customHeight="1" x14ac:dyDescent="0.25">
      <c r="D185" s="98" t="str">
        <f t="shared" si="137"/>
        <v>Maize (corn)</v>
      </c>
      <c r="E185" s="239">
        <f>OCPMarketShares!K76</f>
        <v>8.497822909266968E-2</v>
      </c>
      <c r="F185" s="239">
        <f>OCPMarketShares!L76</f>
        <v>0.28961348168038237</v>
      </c>
      <c r="G185" s="239">
        <f>OCPMarketShares!M76</f>
        <v>0</v>
      </c>
      <c r="I185" s="31"/>
      <c r="J185" s="238">
        <f t="shared" ref="J185:U185" si="151">E124</f>
        <v>0.75</v>
      </c>
      <c r="K185" s="238">
        <f t="shared" si="151"/>
        <v>0.5</v>
      </c>
      <c r="L185" s="238">
        <f t="shared" si="151"/>
        <v>0</v>
      </c>
      <c r="M185" s="238">
        <f t="shared" si="151"/>
        <v>0</v>
      </c>
      <c r="N185" s="238">
        <f t="shared" si="151"/>
        <v>0</v>
      </c>
      <c r="O185" s="238">
        <f t="shared" si="151"/>
        <v>0</v>
      </c>
      <c r="P185" s="238">
        <f t="shared" si="151"/>
        <v>0.25</v>
      </c>
      <c r="Q185" s="238">
        <f t="shared" si="151"/>
        <v>0.5</v>
      </c>
      <c r="R185" s="238">
        <f t="shared" si="151"/>
        <v>1</v>
      </c>
      <c r="S185" s="238">
        <f t="shared" si="151"/>
        <v>0</v>
      </c>
      <c r="T185" s="238">
        <f t="shared" si="151"/>
        <v>0</v>
      </c>
      <c r="U185" s="238">
        <f t="shared" si="151"/>
        <v>0</v>
      </c>
      <c r="V185" s="231"/>
      <c r="W185" s="207"/>
      <c r="X185" s="240">
        <f t="shared" si="139"/>
        <v>0.13855146047717884</v>
      </c>
      <c r="Y185" s="240">
        <f t="shared" si="140"/>
        <v>0.31479726269606778</v>
      </c>
      <c r="Z185" s="240">
        <f t="shared" si="141"/>
        <v>0</v>
      </c>
      <c r="AA185" s="240">
        <f t="shared" si="142"/>
        <v>0</v>
      </c>
      <c r="AB185" s="240">
        <f t="shared" si="143"/>
        <v>0</v>
      </c>
      <c r="AC185" s="240">
        <f t="shared" si="144"/>
        <v>0</v>
      </c>
      <c r="AD185" s="240">
        <f t="shared" si="145"/>
        <v>5.6351610804157612E-2</v>
      </c>
      <c r="AE185" s="240">
        <f t="shared" si="146"/>
        <v>0.3841027608493135</v>
      </c>
      <c r="AF185" s="240">
        <f t="shared" si="147"/>
        <v>0</v>
      </c>
      <c r="AG185" s="240">
        <f t="shared" si="148"/>
        <v>0</v>
      </c>
      <c r="AH185" s="240">
        <f t="shared" si="149"/>
        <v>0</v>
      </c>
      <c r="AI185" s="240">
        <f t="shared" si="150"/>
        <v>0</v>
      </c>
      <c r="AK185" s="163"/>
      <c r="AL185" s="163"/>
      <c r="AM185" s="163"/>
    </row>
    <row r="186" spans="4:39" ht="13.5" customHeight="1" x14ac:dyDescent="0.25">
      <c r="D186" s="98" t="str">
        <f t="shared" si="137"/>
        <v>Cassava, fresh</v>
      </c>
      <c r="E186" s="239">
        <f>OCPMarketShares!K77</f>
        <v>2.1143864887694538E-2</v>
      </c>
      <c r="F186" s="239">
        <f>OCPMarketShares!L77</f>
        <v>9.3184907955357998E-2</v>
      </c>
      <c r="G186" s="239">
        <f>OCPMarketShares!M77</f>
        <v>0</v>
      </c>
      <c r="I186" s="31"/>
      <c r="J186" s="238">
        <f t="shared" ref="J186:U186" si="152">E125</f>
        <v>1</v>
      </c>
      <c r="K186" s="238">
        <f t="shared" si="152"/>
        <v>0.75</v>
      </c>
      <c r="L186" s="238">
        <f t="shared" si="152"/>
        <v>0.5</v>
      </c>
      <c r="M186" s="238">
        <f t="shared" si="152"/>
        <v>0</v>
      </c>
      <c r="N186" s="238">
        <f t="shared" si="152"/>
        <v>0</v>
      </c>
      <c r="O186" s="238">
        <f t="shared" si="152"/>
        <v>0</v>
      </c>
      <c r="P186" s="238">
        <f t="shared" si="152"/>
        <v>0</v>
      </c>
      <c r="Q186" s="238">
        <f t="shared" si="152"/>
        <v>0.25</v>
      </c>
      <c r="R186" s="238">
        <f t="shared" si="152"/>
        <v>0.5</v>
      </c>
      <c r="S186" s="238">
        <f t="shared" si="152"/>
        <v>0</v>
      </c>
      <c r="T186" s="238">
        <f t="shared" si="152"/>
        <v>0</v>
      </c>
      <c r="U186" s="238">
        <f t="shared" si="152"/>
        <v>0</v>
      </c>
      <c r="V186" s="231"/>
      <c r="W186" s="207"/>
      <c r="X186" s="240">
        <f t="shared" si="139"/>
        <v>4.5964923668901168E-2</v>
      </c>
      <c r="Y186" s="240">
        <f t="shared" si="140"/>
        <v>0.15193191514460544</v>
      </c>
      <c r="Z186" s="240">
        <f t="shared" si="141"/>
        <v>0</v>
      </c>
      <c r="AA186" s="240">
        <f t="shared" si="142"/>
        <v>0</v>
      </c>
      <c r="AB186" s="240">
        <f t="shared" si="143"/>
        <v>0</v>
      </c>
      <c r="AC186" s="240">
        <f t="shared" si="144"/>
        <v>0</v>
      </c>
      <c r="AD186" s="240">
        <f t="shared" si="145"/>
        <v>0</v>
      </c>
      <c r="AE186" s="240">
        <f t="shared" si="146"/>
        <v>6.1793705540688325E-2</v>
      </c>
      <c r="AF186" s="240">
        <f t="shared" si="147"/>
        <v>0</v>
      </c>
      <c r="AG186" s="240">
        <f t="shared" si="148"/>
        <v>0</v>
      </c>
      <c r="AH186" s="240">
        <f t="shared" si="149"/>
        <v>0</v>
      </c>
      <c r="AI186" s="240">
        <f t="shared" si="150"/>
        <v>0</v>
      </c>
      <c r="AK186" s="163"/>
      <c r="AL186" s="163"/>
      <c r="AM186" s="163"/>
    </row>
    <row r="187" spans="4:39" ht="13.5" customHeight="1" x14ac:dyDescent="0.25">
      <c r="D187" s="98" t="str">
        <f t="shared" si="137"/>
        <v>Coffee, green</v>
      </c>
      <c r="E187" s="239">
        <f>OCPMarketShares!K78</f>
        <v>3.2861160090948922E-2</v>
      </c>
      <c r="F187" s="239">
        <f>OCPMarketShares!L78</f>
        <v>0.31432686937950638</v>
      </c>
      <c r="G187" s="239">
        <f>OCPMarketShares!M78</f>
        <v>0</v>
      </c>
      <c r="I187" s="31"/>
      <c r="J187" s="238">
        <f t="shared" ref="J187:U187" si="153">E126</f>
        <v>0.9</v>
      </c>
      <c r="K187" s="238">
        <f t="shared" si="153"/>
        <v>0.5</v>
      </c>
      <c r="L187" s="238">
        <f t="shared" si="153"/>
        <v>0.2</v>
      </c>
      <c r="M187" s="238">
        <f t="shared" si="153"/>
        <v>0.1</v>
      </c>
      <c r="N187" s="238">
        <f t="shared" si="153"/>
        <v>0.5</v>
      </c>
      <c r="O187" s="238">
        <f t="shared" si="153"/>
        <v>0.8</v>
      </c>
      <c r="P187" s="238">
        <f t="shared" si="153"/>
        <v>0</v>
      </c>
      <c r="Q187" s="238">
        <f t="shared" si="153"/>
        <v>0</v>
      </c>
      <c r="R187" s="238">
        <f t="shared" si="153"/>
        <v>0</v>
      </c>
      <c r="S187" s="238">
        <f t="shared" si="153"/>
        <v>0</v>
      </c>
      <c r="T187" s="238">
        <f t="shared" si="153"/>
        <v>0</v>
      </c>
      <c r="U187" s="238">
        <f t="shared" si="153"/>
        <v>0</v>
      </c>
      <c r="V187" s="231"/>
      <c r="W187" s="207"/>
      <c r="X187" s="240">
        <f t="shared" si="139"/>
        <v>6.429357409098703E-2</v>
      </c>
      <c r="Y187" s="240">
        <f t="shared" si="140"/>
        <v>0.34165964062989823</v>
      </c>
      <c r="Z187" s="240">
        <f t="shared" si="141"/>
        <v>0</v>
      </c>
      <c r="AA187" s="240">
        <f t="shared" si="142"/>
        <v>7.1437304545541131E-3</v>
      </c>
      <c r="AB187" s="240">
        <f t="shared" si="143"/>
        <v>0.34165964062989823</v>
      </c>
      <c r="AC187" s="240">
        <f t="shared" si="144"/>
        <v>0</v>
      </c>
      <c r="AD187" s="240">
        <f t="shared" si="145"/>
        <v>0</v>
      </c>
      <c r="AE187" s="240">
        <f t="shared" si="146"/>
        <v>0</v>
      </c>
      <c r="AF187" s="240">
        <f t="shared" si="147"/>
        <v>0</v>
      </c>
      <c r="AG187" s="240">
        <f t="shared" si="148"/>
        <v>0</v>
      </c>
      <c r="AH187" s="240">
        <f t="shared" si="149"/>
        <v>0</v>
      </c>
      <c r="AI187" s="240">
        <f t="shared" si="150"/>
        <v>0</v>
      </c>
      <c r="AK187" s="163"/>
      <c r="AL187" s="163"/>
      <c r="AM187" s="163"/>
    </row>
    <row r="188" spans="4:39" ht="13.5" customHeight="1" x14ac:dyDescent="0.25">
      <c r="D188" s="98" t="str">
        <f t="shared" si="137"/>
        <v>Beans, dry</v>
      </c>
      <c r="E188" s="239">
        <f>OCPMarketShares!K79</f>
        <v>6.263692263169399E-3</v>
      </c>
      <c r="F188" s="239">
        <f>OCPMarketShares!L79</f>
        <v>2.2451225952046766E-2</v>
      </c>
      <c r="G188" s="239">
        <f>OCPMarketShares!M79</f>
        <v>0</v>
      </c>
      <c r="I188" s="31"/>
      <c r="J188" s="238">
        <f t="shared" ref="J188:U188" si="154">E127</f>
        <v>0.9</v>
      </c>
      <c r="K188" s="238">
        <f t="shared" si="154"/>
        <v>0.5</v>
      </c>
      <c r="L188" s="238">
        <f t="shared" si="154"/>
        <v>0.2</v>
      </c>
      <c r="M188" s="238">
        <f t="shared" si="154"/>
        <v>0.1</v>
      </c>
      <c r="N188" s="238">
        <f t="shared" si="154"/>
        <v>0.5</v>
      </c>
      <c r="O188" s="238">
        <f t="shared" si="154"/>
        <v>0.8</v>
      </c>
      <c r="P188" s="238">
        <f t="shared" si="154"/>
        <v>0</v>
      </c>
      <c r="Q188" s="238">
        <f t="shared" si="154"/>
        <v>0</v>
      </c>
      <c r="R188" s="238">
        <f t="shared" si="154"/>
        <v>0</v>
      </c>
      <c r="S188" s="238">
        <f t="shared" si="154"/>
        <v>0</v>
      </c>
      <c r="T188" s="238">
        <f t="shared" si="154"/>
        <v>0</v>
      </c>
      <c r="U188" s="238">
        <f t="shared" si="154"/>
        <v>0</v>
      </c>
      <c r="V188" s="231"/>
      <c r="W188" s="207"/>
      <c r="X188" s="240">
        <f t="shared" si="139"/>
        <v>1.225505008011404E-2</v>
      </c>
      <c r="Y188" s="240">
        <f t="shared" si="140"/>
        <v>2.4403506469616049E-2</v>
      </c>
      <c r="Z188" s="240">
        <f t="shared" si="141"/>
        <v>0</v>
      </c>
      <c r="AA188" s="240">
        <f t="shared" si="142"/>
        <v>1.3616722311237824E-3</v>
      </c>
      <c r="AB188" s="240">
        <f t="shared" si="143"/>
        <v>2.4403506469616049E-2</v>
      </c>
      <c r="AC188" s="240">
        <f t="shared" si="144"/>
        <v>0</v>
      </c>
      <c r="AD188" s="240">
        <f t="shared" si="145"/>
        <v>0</v>
      </c>
      <c r="AE188" s="240">
        <f t="shared" si="146"/>
        <v>0</v>
      </c>
      <c r="AF188" s="240">
        <f t="shared" si="147"/>
        <v>0</v>
      </c>
      <c r="AG188" s="240">
        <f t="shared" si="148"/>
        <v>0</v>
      </c>
      <c r="AH188" s="240">
        <f t="shared" si="149"/>
        <v>0</v>
      </c>
      <c r="AI188" s="240">
        <f t="shared" si="150"/>
        <v>0</v>
      </c>
      <c r="AM188" s="163"/>
    </row>
    <row r="189" spans="4:39" ht="13.5" customHeight="1" x14ac:dyDescent="0.25">
      <c r="D189" s="98" t="str">
        <f t="shared" si="137"/>
        <v>Groundnuts, excluding shelled</v>
      </c>
      <c r="E189" s="239">
        <f>OCPMarketShares!K80</f>
        <v>3.9541677877356681E-3</v>
      </c>
      <c r="F189" s="239">
        <f>OCPMarketShares!L80</f>
        <v>1.3323477669811038E-2</v>
      </c>
      <c r="G189" s="239">
        <f>OCPMarketShares!M80</f>
        <v>0</v>
      </c>
      <c r="I189" s="31"/>
      <c r="J189" s="238">
        <f t="shared" ref="J189:U189" si="155">E128</f>
        <v>0.9</v>
      </c>
      <c r="K189" s="238">
        <f t="shared" si="155"/>
        <v>0.5</v>
      </c>
      <c r="L189" s="238">
        <f t="shared" si="155"/>
        <v>0.2</v>
      </c>
      <c r="M189" s="238">
        <f t="shared" si="155"/>
        <v>0.1</v>
      </c>
      <c r="N189" s="238">
        <f t="shared" si="155"/>
        <v>0.5</v>
      </c>
      <c r="O189" s="238">
        <f t="shared" si="155"/>
        <v>0.8</v>
      </c>
      <c r="P189" s="238">
        <f t="shared" si="155"/>
        <v>0</v>
      </c>
      <c r="Q189" s="238">
        <f t="shared" si="155"/>
        <v>0</v>
      </c>
      <c r="R189" s="238">
        <f t="shared" si="155"/>
        <v>0</v>
      </c>
      <c r="S189" s="238">
        <f t="shared" si="155"/>
        <v>0</v>
      </c>
      <c r="T189" s="238">
        <f t="shared" si="155"/>
        <v>0</v>
      </c>
      <c r="U189" s="238">
        <f t="shared" si="155"/>
        <v>0</v>
      </c>
      <c r="V189" s="231"/>
      <c r="W189" s="207"/>
      <c r="X189" s="240">
        <f t="shared" si="139"/>
        <v>7.7364152368741331E-3</v>
      </c>
      <c r="Y189" s="240">
        <f t="shared" si="140"/>
        <v>1.448204094544678E-2</v>
      </c>
      <c r="Z189" s="240">
        <f t="shared" si="141"/>
        <v>0</v>
      </c>
      <c r="AA189" s="240">
        <f t="shared" si="142"/>
        <v>8.596016929860148E-4</v>
      </c>
      <c r="AB189" s="240">
        <f t="shared" si="143"/>
        <v>1.448204094544678E-2</v>
      </c>
      <c r="AC189" s="240">
        <f t="shared" si="144"/>
        <v>0</v>
      </c>
      <c r="AD189" s="240">
        <f t="shared" si="145"/>
        <v>0</v>
      </c>
      <c r="AE189" s="240">
        <f t="shared" si="146"/>
        <v>0</v>
      </c>
      <c r="AF189" s="240">
        <f t="shared" si="147"/>
        <v>0</v>
      </c>
      <c r="AG189" s="240">
        <f t="shared" si="148"/>
        <v>0</v>
      </c>
      <c r="AH189" s="240">
        <f t="shared" si="149"/>
        <v>0</v>
      </c>
      <c r="AI189" s="240">
        <f t="shared" si="150"/>
        <v>0</v>
      </c>
      <c r="AM189" s="163"/>
    </row>
    <row r="190" spans="4:39" ht="13.5" customHeight="1" x14ac:dyDescent="0.25">
      <c r="D190" s="98" t="str">
        <f t="shared" si="137"/>
        <v>Sweet potatoes</v>
      </c>
      <c r="E190" s="239">
        <f>OCPMarketShares!K81</f>
        <v>7.9028471905819592E-3</v>
      </c>
      <c r="F190" s="239">
        <f>OCPMarketShares!L81</f>
        <v>3.2881748262776581E-2</v>
      </c>
      <c r="G190" s="239">
        <f>OCPMarketShares!M81</f>
        <v>0</v>
      </c>
      <c r="I190" s="31"/>
      <c r="J190" s="238">
        <f t="shared" ref="J190:U190" si="156">E129</f>
        <v>1</v>
      </c>
      <c r="K190" s="238">
        <f t="shared" si="156"/>
        <v>0.75</v>
      </c>
      <c r="L190" s="238">
        <f t="shared" si="156"/>
        <v>0.5</v>
      </c>
      <c r="M190" s="238">
        <f t="shared" si="156"/>
        <v>0</v>
      </c>
      <c r="N190" s="238">
        <f t="shared" si="156"/>
        <v>0</v>
      </c>
      <c r="O190" s="238">
        <f t="shared" si="156"/>
        <v>0</v>
      </c>
      <c r="P190" s="238">
        <f t="shared" si="156"/>
        <v>0</v>
      </c>
      <c r="Q190" s="238">
        <f t="shared" si="156"/>
        <v>0.25</v>
      </c>
      <c r="R190" s="238">
        <f t="shared" si="156"/>
        <v>0.5</v>
      </c>
      <c r="S190" s="238">
        <f t="shared" si="156"/>
        <v>0</v>
      </c>
      <c r="T190" s="238">
        <f t="shared" si="156"/>
        <v>0</v>
      </c>
      <c r="U190" s="238">
        <f t="shared" si="156"/>
        <v>0</v>
      </c>
      <c r="V190" s="231"/>
      <c r="W190" s="207"/>
      <c r="X190" s="240">
        <f t="shared" si="139"/>
        <v>1.7180102588221651E-2</v>
      </c>
      <c r="Y190" s="240">
        <f t="shared" si="140"/>
        <v>5.3611546080613991E-2</v>
      </c>
      <c r="Z190" s="240">
        <f t="shared" si="141"/>
        <v>0</v>
      </c>
      <c r="AA190" s="240">
        <f t="shared" si="142"/>
        <v>0</v>
      </c>
      <c r="AB190" s="240">
        <f t="shared" si="143"/>
        <v>0</v>
      </c>
      <c r="AC190" s="240">
        <f t="shared" si="144"/>
        <v>0</v>
      </c>
      <c r="AD190" s="240">
        <f t="shared" si="145"/>
        <v>0</v>
      </c>
      <c r="AE190" s="240">
        <f t="shared" si="146"/>
        <v>2.1804872853300121E-2</v>
      </c>
      <c r="AF190" s="240">
        <f t="shared" si="147"/>
        <v>0</v>
      </c>
      <c r="AG190" s="240">
        <f t="shared" si="148"/>
        <v>0</v>
      </c>
      <c r="AH190" s="240">
        <f t="shared" si="149"/>
        <v>0</v>
      </c>
      <c r="AI190" s="240">
        <f t="shared" si="150"/>
        <v>0</v>
      </c>
      <c r="AM190" s="163"/>
    </row>
    <row r="191" spans="4:39" ht="13.5" customHeight="1" x14ac:dyDescent="0.25">
      <c r="D191" s="98" t="str">
        <f t="shared" si="137"/>
        <v>Sunflower seed</v>
      </c>
      <c r="E191" s="239">
        <f>OCPMarketShares!K82</f>
        <v>3.3703190199639017E-3</v>
      </c>
      <c r="F191" s="239">
        <f>OCPMarketShares!L82</f>
        <v>1.9292240500836874E-2</v>
      </c>
      <c r="G191" s="239">
        <f>OCPMarketShares!M82</f>
        <v>0</v>
      </c>
      <c r="I191" s="31"/>
      <c r="J191" s="238">
        <f t="shared" ref="J191:U191" si="157">E130</f>
        <v>0.9</v>
      </c>
      <c r="K191" s="238">
        <f t="shared" si="157"/>
        <v>0.5</v>
      </c>
      <c r="L191" s="238">
        <f t="shared" si="157"/>
        <v>0.2</v>
      </c>
      <c r="M191" s="238">
        <f t="shared" si="157"/>
        <v>0.1</v>
      </c>
      <c r="N191" s="238">
        <f t="shared" si="157"/>
        <v>0.3</v>
      </c>
      <c r="O191" s="238">
        <f t="shared" si="157"/>
        <v>0.6</v>
      </c>
      <c r="P191" s="238">
        <f t="shared" si="157"/>
        <v>0</v>
      </c>
      <c r="Q191" s="238">
        <f t="shared" si="157"/>
        <v>0.2</v>
      </c>
      <c r="R191" s="238">
        <f t="shared" si="157"/>
        <v>0.2</v>
      </c>
      <c r="S191" s="238">
        <f t="shared" si="157"/>
        <v>0</v>
      </c>
      <c r="T191" s="238">
        <f t="shared" si="157"/>
        <v>0</v>
      </c>
      <c r="U191" s="238">
        <f t="shared" si="157"/>
        <v>0</v>
      </c>
      <c r="V191" s="231"/>
      <c r="W191" s="207"/>
      <c r="X191" s="240">
        <f t="shared" si="139"/>
        <v>6.594102430364155E-3</v>
      </c>
      <c r="Y191" s="240">
        <f t="shared" si="140"/>
        <v>2.0969826631344429E-2</v>
      </c>
      <c r="Z191" s="240">
        <f t="shared" si="141"/>
        <v>0</v>
      </c>
      <c r="AA191" s="240">
        <f t="shared" si="142"/>
        <v>7.3267804781823945E-4</v>
      </c>
      <c r="AB191" s="240">
        <f t="shared" si="143"/>
        <v>1.2581895978806656E-2</v>
      </c>
      <c r="AC191" s="240">
        <f t="shared" si="144"/>
        <v>0</v>
      </c>
      <c r="AD191" s="240">
        <f t="shared" si="145"/>
        <v>0</v>
      </c>
      <c r="AE191" s="240">
        <f t="shared" si="146"/>
        <v>1.0234610345271551E-2</v>
      </c>
      <c r="AF191" s="240">
        <f t="shared" si="147"/>
        <v>0</v>
      </c>
      <c r="AG191" s="240">
        <f t="shared" si="148"/>
        <v>0</v>
      </c>
      <c r="AH191" s="240">
        <f t="shared" si="149"/>
        <v>0</v>
      </c>
      <c r="AI191" s="240">
        <f t="shared" si="150"/>
        <v>0</v>
      </c>
      <c r="AM191" s="163"/>
    </row>
    <row r="192" spans="4:39" ht="13.5" customHeight="1" x14ac:dyDescent="0.25">
      <c r="D192" s="98" t="str">
        <f t="shared" si="137"/>
        <v>Sesame seed</v>
      </c>
      <c r="E192" s="239">
        <f>OCPMarketShares!K83</f>
        <v>2.8402607484405862E-3</v>
      </c>
      <c r="F192" s="239">
        <f>OCPMarketShares!L83</f>
        <v>1.004870312141129E-2</v>
      </c>
      <c r="G192" s="239">
        <f>OCPMarketShares!M83</f>
        <v>0</v>
      </c>
      <c r="I192" s="31"/>
      <c r="J192" s="238">
        <f t="shared" ref="J192:U192" si="158">E131</f>
        <v>0.9</v>
      </c>
      <c r="K192" s="238">
        <f t="shared" si="158"/>
        <v>0.5</v>
      </c>
      <c r="L192" s="238">
        <f t="shared" si="158"/>
        <v>0.2</v>
      </c>
      <c r="M192" s="238">
        <f t="shared" si="158"/>
        <v>0.1</v>
      </c>
      <c r="N192" s="238">
        <f t="shared" si="158"/>
        <v>0.5</v>
      </c>
      <c r="O192" s="238">
        <f t="shared" si="158"/>
        <v>0.8</v>
      </c>
      <c r="P192" s="238">
        <f t="shared" si="158"/>
        <v>0</v>
      </c>
      <c r="Q192" s="238">
        <f t="shared" si="158"/>
        <v>0</v>
      </c>
      <c r="R192" s="238">
        <f t="shared" si="158"/>
        <v>0</v>
      </c>
      <c r="S192" s="238">
        <f t="shared" si="158"/>
        <v>0</v>
      </c>
      <c r="T192" s="238">
        <f t="shared" si="158"/>
        <v>0</v>
      </c>
      <c r="U192" s="238">
        <f t="shared" si="158"/>
        <v>0</v>
      </c>
      <c r="V192" s="231"/>
      <c r="W192" s="207"/>
      <c r="X192" s="240">
        <f t="shared" si="139"/>
        <v>5.557031899122886E-3</v>
      </c>
      <c r="Y192" s="240">
        <f t="shared" si="140"/>
        <v>1.0922503392838357E-2</v>
      </c>
      <c r="Z192" s="240">
        <f t="shared" si="141"/>
        <v>0</v>
      </c>
      <c r="AA192" s="240">
        <f t="shared" si="142"/>
        <v>6.1744798879143179E-4</v>
      </c>
      <c r="AB192" s="240">
        <f t="shared" si="143"/>
        <v>1.0922503392838357E-2</v>
      </c>
      <c r="AC192" s="240">
        <f t="shared" si="144"/>
        <v>0</v>
      </c>
      <c r="AD192" s="240">
        <f t="shared" si="145"/>
        <v>0</v>
      </c>
      <c r="AE192" s="240">
        <f t="shared" si="146"/>
        <v>0</v>
      </c>
      <c r="AF192" s="240">
        <f t="shared" si="147"/>
        <v>0</v>
      </c>
      <c r="AG192" s="240">
        <f t="shared" si="148"/>
        <v>0</v>
      </c>
      <c r="AH192" s="240">
        <f t="shared" si="149"/>
        <v>0</v>
      </c>
      <c r="AI192" s="240">
        <f t="shared" si="150"/>
        <v>0</v>
      </c>
      <c r="AM192" s="163"/>
    </row>
    <row r="193" spans="4:39" ht="13.5" customHeight="1" x14ac:dyDescent="0.25">
      <c r="D193" s="98" t="str">
        <f t="shared" si="137"/>
        <v>Sorghum</v>
      </c>
      <c r="E193" s="239">
        <f>OCPMarketShares!K84</f>
        <v>2.7546941404065668E-3</v>
      </c>
      <c r="F193" s="239">
        <f>OCPMarketShares!L84</f>
        <v>8.7183164524609353E-3</v>
      </c>
      <c r="G193" s="239">
        <f>OCPMarketShares!M84</f>
        <v>0</v>
      </c>
      <c r="I193" s="31"/>
      <c r="J193" s="238">
        <f t="shared" ref="J193:U193" si="159">E132</f>
        <v>0.75</v>
      </c>
      <c r="K193" s="238">
        <f t="shared" si="159"/>
        <v>0.5</v>
      </c>
      <c r="L193" s="238">
        <f t="shared" si="159"/>
        <v>0</v>
      </c>
      <c r="M193" s="238">
        <f t="shared" si="159"/>
        <v>0</v>
      </c>
      <c r="N193" s="238">
        <f t="shared" si="159"/>
        <v>0</v>
      </c>
      <c r="O193" s="238">
        <f t="shared" si="159"/>
        <v>0</v>
      </c>
      <c r="P193" s="238">
        <f t="shared" si="159"/>
        <v>0.25</v>
      </c>
      <c r="Q193" s="238">
        <f t="shared" si="159"/>
        <v>0.5</v>
      </c>
      <c r="R193" s="238">
        <f t="shared" si="159"/>
        <v>1</v>
      </c>
      <c r="S193" s="238">
        <f t="shared" si="159"/>
        <v>0</v>
      </c>
      <c r="T193" s="238">
        <f t="shared" si="159"/>
        <v>0</v>
      </c>
      <c r="U193" s="238">
        <f t="shared" si="159"/>
        <v>0</v>
      </c>
      <c r="V193" s="231"/>
      <c r="W193" s="207"/>
      <c r="X193" s="240">
        <f t="shared" si="139"/>
        <v>4.4913491419672283E-3</v>
      </c>
      <c r="Y193" s="240">
        <f t="shared" si="140"/>
        <v>9.4764309265879722E-3</v>
      </c>
      <c r="Z193" s="240">
        <f t="shared" si="141"/>
        <v>0</v>
      </c>
      <c r="AA193" s="240">
        <f t="shared" si="142"/>
        <v>0</v>
      </c>
      <c r="AB193" s="240">
        <f t="shared" si="143"/>
        <v>0</v>
      </c>
      <c r="AC193" s="240">
        <f t="shared" si="144"/>
        <v>0</v>
      </c>
      <c r="AD193" s="240">
        <f t="shared" si="145"/>
        <v>1.8267202522589965E-3</v>
      </c>
      <c r="AE193" s="240">
        <f t="shared" si="146"/>
        <v>1.1562753915730683E-2</v>
      </c>
      <c r="AF193" s="240">
        <f t="shared" si="147"/>
        <v>0</v>
      </c>
      <c r="AG193" s="240">
        <f t="shared" si="148"/>
        <v>0</v>
      </c>
      <c r="AH193" s="240">
        <f t="shared" si="149"/>
        <v>0</v>
      </c>
      <c r="AI193" s="240">
        <f t="shared" si="150"/>
        <v>0</v>
      </c>
      <c r="AM193" s="163"/>
    </row>
    <row r="194" spans="4:39" ht="13.5" customHeight="1" x14ac:dyDescent="0.25">
      <c r="D194" s="98" t="str">
        <f t="shared" si="137"/>
        <v>Other vegetables, fresh n.e.c.</v>
      </c>
      <c r="E194" s="239">
        <f>OCPMarketShares!K85</f>
        <v>1.8330924412510805E-3</v>
      </c>
      <c r="F194" s="239">
        <f>OCPMarketShares!L85</f>
        <v>1.1836883519482236E-2</v>
      </c>
      <c r="G194" s="239">
        <f>OCPMarketShares!M85</f>
        <v>0</v>
      </c>
      <c r="I194" s="31"/>
      <c r="J194" s="238">
        <f t="shared" ref="J194:U194" si="160">E133</f>
        <v>1</v>
      </c>
      <c r="K194" s="238">
        <f t="shared" si="160"/>
        <v>1</v>
      </c>
      <c r="L194" s="238">
        <f t="shared" si="160"/>
        <v>1</v>
      </c>
      <c r="M194" s="238">
        <f t="shared" si="160"/>
        <v>0</v>
      </c>
      <c r="N194" s="238">
        <f t="shared" si="160"/>
        <v>0</v>
      </c>
      <c r="O194" s="238">
        <f t="shared" si="160"/>
        <v>0</v>
      </c>
      <c r="P194" s="238">
        <f t="shared" si="160"/>
        <v>0</v>
      </c>
      <c r="Q194" s="238">
        <f t="shared" si="160"/>
        <v>0</v>
      </c>
      <c r="R194" s="238">
        <f t="shared" si="160"/>
        <v>0</v>
      </c>
      <c r="S194" s="238">
        <f t="shared" si="160"/>
        <v>0</v>
      </c>
      <c r="T194" s="238">
        <f t="shared" si="160"/>
        <v>0</v>
      </c>
      <c r="U194" s="238">
        <f t="shared" si="160"/>
        <v>0</v>
      </c>
      <c r="V194" s="231"/>
      <c r="W194" s="207"/>
      <c r="X194" s="240">
        <f t="shared" si="139"/>
        <v>3.9849835679371315E-3</v>
      </c>
      <c r="Y194" s="240">
        <f t="shared" si="140"/>
        <v>2.5732355477135295E-2</v>
      </c>
      <c r="Z194" s="240">
        <f t="shared" si="141"/>
        <v>0</v>
      </c>
      <c r="AA194" s="240">
        <f t="shared" si="142"/>
        <v>0</v>
      </c>
      <c r="AB194" s="240">
        <f t="shared" si="143"/>
        <v>0</v>
      </c>
      <c r="AC194" s="240">
        <f t="shared" si="144"/>
        <v>0</v>
      </c>
      <c r="AD194" s="240">
        <f t="shared" si="145"/>
        <v>0</v>
      </c>
      <c r="AE194" s="240">
        <f t="shared" si="146"/>
        <v>0</v>
      </c>
      <c r="AF194" s="240">
        <f t="shared" si="147"/>
        <v>0</v>
      </c>
      <c r="AG194" s="240">
        <f t="shared" si="148"/>
        <v>0</v>
      </c>
      <c r="AH194" s="240">
        <f t="shared" si="149"/>
        <v>0</v>
      </c>
      <c r="AI194" s="240">
        <f t="shared" si="150"/>
        <v>0</v>
      </c>
      <c r="AM194" s="163"/>
    </row>
    <row r="195" spans="4:39" ht="13.5" customHeight="1" x14ac:dyDescent="0.25">
      <c r="D195" s="98" t="str">
        <f t="shared" si="137"/>
        <v>Seed cotton, unginned</v>
      </c>
      <c r="E195" s="239">
        <f>OCPMarketShares!K86</f>
        <v>1.1916485106300936E-3</v>
      </c>
      <c r="F195" s="239">
        <f>OCPMarketShares!L86</f>
        <v>6.8211850342244675E-3</v>
      </c>
      <c r="G195" s="239">
        <f>OCPMarketShares!M86</f>
        <v>0</v>
      </c>
      <c r="I195" s="31"/>
      <c r="J195" s="238">
        <f t="shared" ref="J195:U195" si="161">E134</f>
        <v>1</v>
      </c>
      <c r="K195" s="238">
        <f t="shared" si="161"/>
        <v>1</v>
      </c>
      <c r="L195" s="238">
        <f t="shared" si="161"/>
        <v>1</v>
      </c>
      <c r="M195" s="238">
        <f t="shared" si="161"/>
        <v>0</v>
      </c>
      <c r="N195" s="238">
        <f t="shared" si="161"/>
        <v>0</v>
      </c>
      <c r="O195" s="238">
        <f t="shared" si="161"/>
        <v>0</v>
      </c>
      <c r="P195" s="238">
        <f t="shared" si="161"/>
        <v>0</v>
      </c>
      <c r="Q195" s="238">
        <f t="shared" si="161"/>
        <v>0</v>
      </c>
      <c r="R195" s="238">
        <f t="shared" si="161"/>
        <v>0</v>
      </c>
      <c r="S195" s="238">
        <f t="shared" si="161"/>
        <v>0</v>
      </c>
      <c r="T195" s="238">
        <f t="shared" si="161"/>
        <v>0</v>
      </c>
      <c r="U195" s="238">
        <f t="shared" si="161"/>
        <v>0</v>
      </c>
      <c r="V195" s="231"/>
      <c r="W195" s="207"/>
      <c r="X195" s="240">
        <f t="shared" si="139"/>
        <v>2.5905402405002032E-3</v>
      </c>
      <c r="Y195" s="240">
        <f t="shared" si="140"/>
        <v>1.4828663117879276E-2</v>
      </c>
      <c r="Z195" s="240">
        <f t="shared" si="141"/>
        <v>0</v>
      </c>
      <c r="AA195" s="240">
        <f t="shared" si="142"/>
        <v>0</v>
      </c>
      <c r="AB195" s="240">
        <f t="shared" si="143"/>
        <v>0</v>
      </c>
      <c r="AC195" s="240">
        <f t="shared" si="144"/>
        <v>0</v>
      </c>
      <c r="AD195" s="240">
        <f t="shared" si="145"/>
        <v>0</v>
      </c>
      <c r="AE195" s="240">
        <f t="shared" si="146"/>
        <v>0</v>
      </c>
      <c r="AF195" s="240">
        <f t="shared" si="147"/>
        <v>0</v>
      </c>
      <c r="AG195" s="240">
        <f t="shared" si="148"/>
        <v>0</v>
      </c>
      <c r="AH195" s="240">
        <f t="shared" si="149"/>
        <v>0</v>
      </c>
      <c r="AI195" s="240">
        <f t="shared" si="150"/>
        <v>0</v>
      </c>
      <c r="AM195" s="163"/>
    </row>
    <row r="196" spans="4:39" ht="13.5" customHeight="1" x14ac:dyDescent="0.25">
      <c r="D196" s="98" t="str">
        <f t="shared" si="137"/>
        <v>Rice</v>
      </c>
      <c r="E196" s="239">
        <f>OCPMarketShares!K87</f>
        <v>5.1601032445864978E-3</v>
      </c>
      <c r="F196" s="239">
        <f>OCPMarketShares!L87</f>
        <v>2.0700887995041831E-2</v>
      </c>
      <c r="G196" s="239">
        <f>OCPMarketShares!M87</f>
        <v>0</v>
      </c>
      <c r="I196" s="31"/>
      <c r="J196" s="238">
        <f t="shared" ref="J196:U196" si="162">E135</f>
        <v>0.9</v>
      </c>
      <c r="K196" s="238">
        <f t="shared" si="162"/>
        <v>0.5</v>
      </c>
      <c r="L196" s="238">
        <f t="shared" si="162"/>
        <v>0.2</v>
      </c>
      <c r="M196" s="238">
        <f t="shared" si="162"/>
        <v>0.1</v>
      </c>
      <c r="N196" s="238">
        <f t="shared" si="162"/>
        <v>0.5</v>
      </c>
      <c r="O196" s="238">
        <f t="shared" si="162"/>
        <v>0.8</v>
      </c>
      <c r="P196" s="238">
        <f t="shared" si="162"/>
        <v>0</v>
      </c>
      <c r="Q196" s="238">
        <f t="shared" si="162"/>
        <v>0</v>
      </c>
      <c r="R196" s="238">
        <f t="shared" si="162"/>
        <v>0</v>
      </c>
      <c r="S196" s="238">
        <f t="shared" si="162"/>
        <v>0</v>
      </c>
      <c r="T196" s="238">
        <f t="shared" si="162"/>
        <v>0</v>
      </c>
      <c r="U196" s="238">
        <f t="shared" si="162"/>
        <v>0</v>
      </c>
      <c r="V196" s="231"/>
      <c r="W196" s="207"/>
      <c r="X196" s="240">
        <f t="shared" si="139"/>
        <v>1.0095854174190974E-2</v>
      </c>
      <c r="Y196" s="240">
        <f t="shared" si="140"/>
        <v>2.250096521200199E-2</v>
      </c>
      <c r="Z196" s="240">
        <f t="shared" si="141"/>
        <v>0</v>
      </c>
      <c r="AA196" s="240">
        <f t="shared" si="142"/>
        <v>1.1217615749101082E-3</v>
      </c>
      <c r="AB196" s="240">
        <f t="shared" si="143"/>
        <v>2.250096521200199E-2</v>
      </c>
      <c r="AC196" s="240">
        <f t="shared" si="144"/>
        <v>0</v>
      </c>
      <c r="AD196" s="240">
        <f t="shared" si="145"/>
        <v>0</v>
      </c>
      <c r="AE196" s="240">
        <f t="shared" si="146"/>
        <v>0</v>
      </c>
      <c r="AF196" s="240">
        <f t="shared" si="147"/>
        <v>0</v>
      </c>
      <c r="AG196" s="240">
        <f t="shared" si="148"/>
        <v>0</v>
      </c>
      <c r="AH196" s="240">
        <f t="shared" si="149"/>
        <v>0</v>
      </c>
      <c r="AI196" s="240">
        <f t="shared" si="150"/>
        <v>0</v>
      </c>
      <c r="AM196" s="163"/>
    </row>
    <row r="197" spans="4:39" ht="13.5" customHeight="1" x14ac:dyDescent="0.25">
      <c r="D197" s="98" t="str">
        <f t="shared" si="137"/>
        <v>Onions and shallots, dry (excluding dehydrated)</v>
      </c>
      <c r="E197" s="239">
        <f>OCPMarketShares!K88</f>
        <v>9.7332405925828938E-4</v>
      </c>
      <c r="F197" s="239">
        <f>OCPMarketShares!L88</f>
        <v>6.285075022341405E-3</v>
      </c>
      <c r="G197" s="239">
        <f>OCPMarketShares!M88</f>
        <v>0</v>
      </c>
      <c r="I197" s="31"/>
      <c r="J197" s="238">
        <f t="shared" ref="J197:U197" si="163">E136</f>
        <v>1</v>
      </c>
      <c r="K197" s="238">
        <f t="shared" si="163"/>
        <v>1</v>
      </c>
      <c r="L197" s="238">
        <f t="shared" si="163"/>
        <v>1</v>
      </c>
      <c r="M197" s="238">
        <f t="shared" si="163"/>
        <v>0</v>
      </c>
      <c r="N197" s="238">
        <f t="shared" si="163"/>
        <v>0</v>
      </c>
      <c r="O197" s="238">
        <f t="shared" si="163"/>
        <v>0</v>
      </c>
      <c r="P197" s="238">
        <f t="shared" si="163"/>
        <v>0</v>
      </c>
      <c r="Q197" s="238">
        <f t="shared" si="163"/>
        <v>0</v>
      </c>
      <c r="R197" s="238">
        <f t="shared" si="163"/>
        <v>0</v>
      </c>
      <c r="S197" s="238">
        <f t="shared" si="163"/>
        <v>0</v>
      </c>
      <c r="T197" s="238">
        <f t="shared" si="163"/>
        <v>0</v>
      </c>
      <c r="U197" s="238">
        <f t="shared" si="163"/>
        <v>0</v>
      </c>
      <c r="V197" s="231"/>
      <c r="W197" s="207"/>
      <c r="X197" s="240">
        <f t="shared" si="139"/>
        <v>2.1159218679528027E-3</v>
      </c>
      <c r="Y197" s="240">
        <f t="shared" si="140"/>
        <v>1.3663206570307401E-2</v>
      </c>
      <c r="Z197" s="240">
        <f t="shared" si="141"/>
        <v>0</v>
      </c>
      <c r="AA197" s="240">
        <f t="shared" si="142"/>
        <v>0</v>
      </c>
      <c r="AB197" s="240">
        <f t="shared" si="143"/>
        <v>0</v>
      </c>
      <c r="AC197" s="240">
        <f t="shared" si="144"/>
        <v>0</v>
      </c>
      <c r="AD197" s="240">
        <f t="shared" si="145"/>
        <v>0</v>
      </c>
      <c r="AE197" s="240">
        <f t="shared" si="146"/>
        <v>0</v>
      </c>
      <c r="AF197" s="240">
        <f t="shared" si="147"/>
        <v>0</v>
      </c>
      <c r="AG197" s="240">
        <f t="shared" si="148"/>
        <v>0</v>
      </c>
      <c r="AH197" s="240">
        <f t="shared" si="149"/>
        <v>0</v>
      </c>
      <c r="AI197" s="240">
        <f t="shared" si="150"/>
        <v>0</v>
      </c>
      <c r="AM197" s="163"/>
    </row>
    <row r="198" spans="4:39" ht="13.5" customHeight="1" x14ac:dyDescent="0.25">
      <c r="D198" s="98" t="str">
        <f t="shared" si="137"/>
        <v>Sugar cane</v>
      </c>
      <c r="E198" s="239">
        <f>OCPMarketShares!K89</f>
        <v>6.2292410896698609E-3</v>
      </c>
      <c r="F198" s="239">
        <f>OCPMarketShares!L89</f>
        <v>2.1474781057475217E-2</v>
      </c>
      <c r="G198" s="239">
        <f>OCPMarketShares!M89</f>
        <v>0</v>
      </c>
      <c r="I198" s="31"/>
      <c r="J198" s="238">
        <f t="shared" ref="J198:U198" si="164">E137</f>
        <v>0.9</v>
      </c>
      <c r="K198" s="238">
        <f t="shared" si="164"/>
        <v>0.5</v>
      </c>
      <c r="L198" s="238">
        <f t="shared" si="164"/>
        <v>0.2</v>
      </c>
      <c r="M198" s="238">
        <f t="shared" si="164"/>
        <v>0.1</v>
      </c>
      <c r="N198" s="238">
        <f t="shared" si="164"/>
        <v>0.5</v>
      </c>
      <c r="O198" s="238">
        <f t="shared" si="164"/>
        <v>0.8</v>
      </c>
      <c r="P198" s="238">
        <f t="shared" si="164"/>
        <v>0</v>
      </c>
      <c r="Q198" s="238">
        <f t="shared" si="164"/>
        <v>0</v>
      </c>
      <c r="R198" s="238">
        <f t="shared" si="164"/>
        <v>0</v>
      </c>
      <c r="S198" s="238">
        <f t="shared" si="164"/>
        <v>0</v>
      </c>
      <c r="T198" s="238">
        <f t="shared" si="164"/>
        <v>0</v>
      </c>
      <c r="U198" s="238">
        <f t="shared" si="164"/>
        <v>0</v>
      </c>
      <c r="V198" s="231"/>
      <c r="W198" s="207"/>
      <c r="X198" s="240">
        <f t="shared" si="139"/>
        <v>1.2187645610223641E-2</v>
      </c>
      <c r="Y198" s="240">
        <f t="shared" si="140"/>
        <v>2.3342153323342628E-2</v>
      </c>
      <c r="Z198" s="240">
        <f t="shared" si="141"/>
        <v>0</v>
      </c>
      <c r="AA198" s="240">
        <f t="shared" si="142"/>
        <v>1.3541828455804045E-3</v>
      </c>
      <c r="AB198" s="240">
        <f t="shared" si="143"/>
        <v>2.3342153323342628E-2</v>
      </c>
      <c r="AC198" s="240">
        <f t="shared" si="144"/>
        <v>0</v>
      </c>
      <c r="AD198" s="240">
        <f t="shared" si="145"/>
        <v>0</v>
      </c>
      <c r="AE198" s="240">
        <f t="shared" si="146"/>
        <v>0</v>
      </c>
      <c r="AF198" s="240">
        <f t="shared" si="147"/>
        <v>0</v>
      </c>
      <c r="AG198" s="240">
        <f t="shared" si="148"/>
        <v>0</v>
      </c>
      <c r="AH198" s="240">
        <f t="shared" si="149"/>
        <v>0</v>
      </c>
      <c r="AI198" s="240">
        <f t="shared" si="150"/>
        <v>0</v>
      </c>
      <c r="AM198" s="163"/>
    </row>
    <row r="199" spans="4:39" ht="13.5" customHeight="1" x14ac:dyDescent="0.25">
      <c r="D199" s="98" t="str">
        <f t="shared" si="137"/>
        <v>Millet</v>
      </c>
      <c r="E199" s="239">
        <f>OCPMarketShares!K90</f>
        <v>6.6912869399926177E-4</v>
      </c>
      <c r="F199" s="239">
        <f>OCPMarketShares!L90</f>
        <v>2.0276284289175443E-3</v>
      </c>
      <c r="G199" s="239">
        <f>OCPMarketShares!M90</f>
        <v>0</v>
      </c>
      <c r="I199" s="31"/>
      <c r="J199" s="238">
        <f t="shared" ref="J199:U199" si="165">E138</f>
        <v>0.75</v>
      </c>
      <c r="K199" s="238">
        <f t="shared" si="165"/>
        <v>0.5</v>
      </c>
      <c r="L199" s="238">
        <f t="shared" si="165"/>
        <v>0</v>
      </c>
      <c r="M199" s="238">
        <f t="shared" si="165"/>
        <v>0</v>
      </c>
      <c r="N199" s="238">
        <f t="shared" si="165"/>
        <v>0</v>
      </c>
      <c r="O199" s="238">
        <f t="shared" si="165"/>
        <v>0</v>
      </c>
      <c r="P199" s="238">
        <f t="shared" si="165"/>
        <v>0.25</v>
      </c>
      <c r="Q199" s="238">
        <f t="shared" si="165"/>
        <v>0.5</v>
      </c>
      <c r="R199" s="238">
        <f t="shared" si="165"/>
        <v>1</v>
      </c>
      <c r="S199" s="238">
        <f t="shared" si="165"/>
        <v>0</v>
      </c>
      <c r="T199" s="238">
        <f t="shared" si="165"/>
        <v>0</v>
      </c>
      <c r="U199" s="238">
        <f t="shared" si="165"/>
        <v>0</v>
      </c>
      <c r="V199" s="231"/>
      <c r="W199" s="207"/>
      <c r="X199" s="240">
        <f t="shared" si="139"/>
        <v>1.0909706967379266E-3</v>
      </c>
      <c r="Y199" s="240">
        <f t="shared" si="140"/>
        <v>2.2039439444755918E-3</v>
      </c>
      <c r="Z199" s="240">
        <f t="shared" si="141"/>
        <v>0</v>
      </c>
      <c r="AA199" s="240">
        <f t="shared" si="142"/>
        <v>0</v>
      </c>
      <c r="AB199" s="240">
        <f t="shared" si="143"/>
        <v>0</v>
      </c>
      <c r="AC199" s="240">
        <f t="shared" si="144"/>
        <v>0</v>
      </c>
      <c r="AD199" s="240">
        <f t="shared" si="145"/>
        <v>4.437192931029587E-4</v>
      </c>
      <c r="AE199" s="240">
        <f t="shared" si="146"/>
        <v>2.6891623725696875E-3</v>
      </c>
      <c r="AF199" s="240">
        <f t="shared" si="147"/>
        <v>0</v>
      </c>
      <c r="AG199" s="240">
        <f t="shared" si="148"/>
        <v>0</v>
      </c>
      <c r="AH199" s="240">
        <f t="shared" si="149"/>
        <v>0</v>
      </c>
      <c r="AI199" s="240">
        <f t="shared" si="150"/>
        <v>0</v>
      </c>
      <c r="AM199" s="163"/>
    </row>
    <row r="200" spans="4:39" ht="13.5" customHeight="1" x14ac:dyDescent="0.25">
      <c r="D200" s="98" t="str">
        <f t="shared" si="137"/>
        <v>Cocoa beans</v>
      </c>
      <c r="E200" s="239">
        <f>OCPMarketShares!K91</f>
        <v>4.2905256370957155E-3</v>
      </c>
      <c r="F200" s="239">
        <f>OCPMarketShares!L91</f>
        <v>3.646993144512628E-2</v>
      </c>
      <c r="G200" s="239">
        <f>OCPMarketShares!M91</f>
        <v>0</v>
      </c>
      <c r="I200" s="31"/>
      <c r="J200" s="238">
        <f t="shared" ref="J200:U200" si="166">E139</f>
        <v>0.9</v>
      </c>
      <c r="K200" s="238">
        <f t="shared" si="166"/>
        <v>0.5</v>
      </c>
      <c r="L200" s="238">
        <f t="shared" si="166"/>
        <v>0.2</v>
      </c>
      <c r="M200" s="238">
        <f t="shared" si="166"/>
        <v>0.1</v>
      </c>
      <c r="N200" s="238">
        <f t="shared" si="166"/>
        <v>0.5</v>
      </c>
      <c r="O200" s="238">
        <f t="shared" si="166"/>
        <v>0.8</v>
      </c>
      <c r="P200" s="238">
        <f t="shared" si="166"/>
        <v>0</v>
      </c>
      <c r="Q200" s="238">
        <f t="shared" si="166"/>
        <v>0</v>
      </c>
      <c r="R200" s="238">
        <f t="shared" si="166"/>
        <v>0</v>
      </c>
      <c r="S200" s="238">
        <f t="shared" si="166"/>
        <v>0</v>
      </c>
      <c r="T200" s="238">
        <f t="shared" si="166"/>
        <v>0</v>
      </c>
      <c r="U200" s="238">
        <f t="shared" si="166"/>
        <v>0</v>
      </c>
      <c r="V200" s="231"/>
      <c r="W200" s="207"/>
      <c r="X200" s="240">
        <f t="shared" si="139"/>
        <v>8.3945066812742258E-3</v>
      </c>
      <c r="Y200" s="240">
        <f t="shared" si="140"/>
        <v>3.9641229831658999E-2</v>
      </c>
      <c r="Z200" s="240">
        <f t="shared" si="141"/>
        <v>0</v>
      </c>
      <c r="AA200" s="240">
        <f t="shared" si="142"/>
        <v>9.3272296458602507E-4</v>
      </c>
      <c r="AB200" s="240">
        <f t="shared" si="143"/>
        <v>3.9641229831658999E-2</v>
      </c>
      <c r="AC200" s="240">
        <f t="shared" si="144"/>
        <v>0</v>
      </c>
      <c r="AD200" s="240">
        <f t="shared" si="145"/>
        <v>0</v>
      </c>
      <c r="AE200" s="240">
        <f t="shared" si="146"/>
        <v>0</v>
      </c>
      <c r="AF200" s="240">
        <f t="shared" si="147"/>
        <v>0</v>
      </c>
      <c r="AG200" s="240">
        <f t="shared" si="148"/>
        <v>0</v>
      </c>
      <c r="AH200" s="240">
        <f t="shared" si="149"/>
        <v>0</v>
      </c>
      <c r="AI200" s="240">
        <f t="shared" si="150"/>
        <v>0</v>
      </c>
      <c r="AM200" s="163"/>
    </row>
    <row r="201" spans="4:39" ht="13.5" customHeight="1" x14ac:dyDescent="0.25">
      <c r="D201" s="98" t="str">
        <f t="shared" si="137"/>
        <v>Other oil seeds, n.e.c.</v>
      </c>
      <c r="E201" s="239">
        <f>OCPMarketShares!K92</f>
        <v>6.2614334768665585E-4</v>
      </c>
      <c r="F201" s="239">
        <f>OCPMarketShares!L92</f>
        <v>3.1860149149674508E-3</v>
      </c>
      <c r="G201" s="239">
        <f>OCPMarketShares!M92</f>
        <v>0</v>
      </c>
      <c r="I201" s="31"/>
      <c r="J201" s="238">
        <f t="shared" ref="J201:U201" si="167">E140</f>
        <v>0.9</v>
      </c>
      <c r="K201" s="238">
        <f t="shared" si="167"/>
        <v>0.5</v>
      </c>
      <c r="L201" s="238">
        <f t="shared" si="167"/>
        <v>0.2</v>
      </c>
      <c r="M201" s="238">
        <f t="shared" si="167"/>
        <v>0.1</v>
      </c>
      <c r="N201" s="238">
        <f t="shared" si="167"/>
        <v>0.5</v>
      </c>
      <c r="O201" s="238">
        <f t="shared" si="167"/>
        <v>0.8</v>
      </c>
      <c r="P201" s="238">
        <f t="shared" si="167"/>
        <v>0</v>
      </c>
      <c r="Q201" s="238">
        <f t="shared" si="167"/>
        <v>0</v>
      </c>
      <c r="R201" s="238">
        <f t="shared" si="167"/>
        <v>0</v>
      </c>
      <c r="S201" s="238">
        <f t="shared" si="167"/>
        <v>0</v>
      </c>
      <c r="T201" s="238">
        <f t="shared" si="167"/>
        <v>0</v>
      </c>
      <c r="U201" s="238">
        <f t="shared" si="167"/>
        <v>0</v>
      </c>
      <c r="V201" s="231"/>
      <c r="W201" s="207"/>
      <c r="X201" s="240">
        <f t="shared" si="139"/>
        <v>1.2250630715608484E-3</v>
      </c>
      <c r="Y201" s="240">
        <f t="shared" si="140"/>
        <v>3.4630596901820115E-3</v>
      </c>
      <c r="Z201" s="240">
        <f t="shared" si="141"/>
        <v>0</v>
      </c>
      <c r="AA201" s="240">
        <f t="shared" si="142"/>
        <v>1.3611811906231647E-4</v>
      </c>
      <c r="AB201" s="240">
        <f t="shared" si="143"/>
        <v>3.4630596901820115E-3</v>
      </c>
      <c r="AC201" s="240">
        <f t="shared" si="144"/>
        <v>0</v>
      </c>
      <c r="AD201" s="240">
        <f t="shared" si="145"/>
        <v>0</v>
      </c>
      <c r="AE201" s="240">
        <f t="shared" si="146"/>
        <v>0</v>
      </c>
      <c r="AF201" s="240">
        <f t="shared" si="147"/>
        <v>0</v>
      </c>
      <c r="AG201" s="240">
        <f t="shared" si="148"/>
        <v>0</v>
      </c>
      <c r="AH201" s="240">
        <f t="shared" si="149"/>
        <v>0</v>
      </c>
      <c r="AI201" s="240">
        <f t="shared" si="150"/>
        <v>0</v>
      </c>
      <c r="AM201" s="163"/>
    </row>
    <row r="202" spans="4:39" ht="13.5" customHeight="1" x14ac:dyDescent="0.25">
      <c r="D202" s="98" t="str">
        <f t="shared" si="137"/>
        <v>Soya beans</v>
      </c>
      <c r="E202" s="239">
        <f>OCPMarketShares!K93</f>
        <v>1.2358826265280905E-3</v>
      </c>
      <c r="F202" s="239">
        <f>OCPMarketShares!L93</f>
        <v>3.6600101520041874E-3</v>
      </c>
      <c r="G202" s="239">
        <f>OCPMarketShares!M93</f>
        <v>0</v>
      </c>
      <c r="I202" s="31"/>
      <c r="J202" s="238">
        <f t="shared" ref="J202:U202" si="168">E141</f>
        <v>0.9</v>
      </c>
      <c r="K202" s="238">
        <f t="shared" si="168"/>
        <v>0.5</v>
      </c>
      <c r="L202" s="238">
        <f t="shared" si="168"/>
        <v>0.2</v>
      </c>
      <c r="M202" s="238">
        <f t="shared" si="168"/>
        <v>0.1</v>
      </c>
      <c r="N202" s="238">
        <f t="shared" si="168"/>
        <v>0.5</v>
      </c>
      <c r="O202" s="238">
        <f t="shared" si="168"/>
        <v>0.8</v>
      </c>
      <c r="P202" s="238">
        <f t="shared" si="168"/>
        <v>0</v>
      </c>
      <c r="Q202" s="238">
        <f t="shared" si="168"/>
        <v>0</v>
      </c>
      <c r="R202" s="238">
        <f t="shared" si="168"/>
        <v>0</v>
      </c>
      <c r="S202" s="238">
        <f t="shared" si="168"/>
        <v>0</v>
      </c>
      <c r="T202" s="238">
        <f t="shared" si="168"/>
        <v>0</v>
      </c>
      <c r="U202" s="238">
        <f t="shared" si="168"/>
        <v>0</v>
      </c>
      <c r="V202" s="231"/>
      <c r="W202" s="204"/>
      <c r="X202" s="240">
        <f t="shared" si="139"/>
        <v>2.4180312258158293E-3</v>
      </c>
      <c r="Y202" s="240">
        <f t="shared" si="140"/>
        <v>3.9782719043523771E-3</v>
      </c>
      <c r="Z202" s="240">
        <f t="shared" si="141"/>
        <v>0</v>
      </c>
      <c r="AA202" s="240">
        <f t="shared" si="142"/>
        <v>2.6867013620175879E-4</v>
      </c>
      <c r="AB202" s="240">
        <f t="shared" si="143"/>
        <v>3.9782719043523771E-3</v>
      </c>
      <c r="AC202" s="240">
        <f t="shared" si="144"/>
        <v>0</v>
      </c>
      <c r="AD202" s="240">
        <f t="shared" si="145"/>
        <v>0</v>
      </c>
      <c r="AE202" s="240">
        <f t="shared" si="146"/>
        <v>0</v>
      </c>
      <c r="AF202" s="240">
        <f t="shared" si="147"/>
        <v>0</v>
      </c>
      <c r="AG202" s="240">
        <f t="shared" si="148"/>
        <v>0</v>
      </c>
      <c r="AH202" s="240">
        <f t="shared" si="149"/>
        <v>0</v>
      </c>
      <c r="AI202" s="240">
        <f t="shared" si="150"/>
        <v>0</v>
      </c>
      <c r="AM202" s="163"/>
    </row>
    <row r="203" spans="4:39" ht="13.5" customHeight="1" x14ac:dyDescent="0.25">
      <c r="D203" s="98" t="str">
        <f t="shared" si="137"/>
        <v>Pigeon peas, dry</v>
      </c>
      <c r="E203" s="239">
        <f>OCPMarketShares!K94</f>
        <v>5.642993775060107E-4</v>
      </c>
      <c r="F203" s="239">
        <f>OCPMarketShares!L94</f>
        <v>1.9583672847897139E-3</v>
      </c>
      <c r="G203" s="239">
        <f>OCPMarketShares!M94</f>
        <v>0</v>
      </c>
      <c r="I203" s="31"/>
      <c r="J203" s="238">
        <f t="shared" ref="J203:U203" si="169">E142</f>
        <v>0.9</v>
      </c>
      <c r="K203" s="238">
        <f t="shared" si="169"/>
        <v>0.5</v>
      </c>
      <c r="L203" s="238">
        <f t="shared" si="169"/>
        <v>0.2</v>
      </c>
      <c r="M203" s="238">
        <f t="shared" si="169"/>
        <v>0.1</v>
      </c>
      <c r="N203" s="238">
        <f t="shared" si="169"/>
        <v>0.5</v>
      </c>
      <c r="O203" s="238">
        <f t="shared" si="169"/>
        <v>0.8</v>
      </c>
      <c r="P203" s="238">
        <f t="shared" si="169"/>
        <v>0</v>
      </c>
      <c r="Q203" s="238">
        <f t="shared" si="169"/>
        <v>0</v>
      </c>
      <c r="R203" s="238">
        <f t="shared" si="169"/>
        <v>0</v>
      </c>
      <c r="S203" s="238">
        <f t="shared" si="169"/>
        <v>0</v>
      </c>
      <c r="T203" s="238">
        <f t="shared" si="169"/>
        <v>0</v>
      </c>
      <c r="U203" s="238">
        <f t="shared" si="169"/>
        <v>0</v>
      </c>
      <c r="V203" s="231"/>
      <c r="W203" s="204"/>
      <c r="X203" s="240">
        <f t="shared" si="139"/>
        <v>1.104063999468282E-3</v>
      </c>
      <c r="Y203" s="240">
        <f t="shared" si="140"/>
        <v>2.1286600921627324E-3</v>
      </c>
      <c r="Z203" s="240">
        <f t="shared" si="141"/>
        <v>0</v>
      </c>
      <c r="AA203" s="240">
        <f t="shared" si="142"/>
        <v>1.2267377771869799E-4</v>
      </c>
      <c r="AB203" s="240">
        <f t="shared" si="143"/>
        <v>2.1286600921627324E-3</v>
      </c>
      <c r="AC203" s="240">
        <f t="shared" si="144"/>
        <v>0</v>
      </c>
      <c r="AD203" s="240">
        <f t="shared" si="145"/>
        <v>0</v>
      </c>
      <c r="AE203" s="240">
        <f t="shared" si="146"/>
        <v>0</v>
      </c>
      <c r="AF203" s="240">
        <f t="shared" si="147"/>
        <v>0</v>
      </c>
      <c r="AG203" s="240">
        <f t="shared" si="148"/>
        <v>0</v>
      </c>
      <c r="AH203" s="240">
        <f t="shared" si="149"/>
        <v>0</v>
      </c>
      <c r="AI203" s="240">
        <f t="shared" si="150"/>
        <v>0</v>
      </c>
      <c r="AM203" s="163"/>
    </row>
    <row r="204" spans="4:39" ht="13.5" customHeight="1" x14ac:dyDescent="0.25">
      <c r="D204" s="98" t="str">
        <f t="shared" si="137"/>
        <v>Potatoes</v>
      </c>
      <c r="E204" s="239">
        <f>OCPMarketShares!K95</f>
        <v>4.9030381860634849E-4</v>
      </c>
      <c r="F204" s="239">
        <f>OCPMarketShares!L95</f>
        <v>3.1441598033728579E-3</v>
      </c>
      <c r="G204" s="239">
        <f>OCPMarketShares!M95</f>
        <v>0</v>
      </c>
      <c r="I204" s="31"/>
      <c r="J204" s="238">
        <f t="shared" ref="J204:U204" si="170">E143</f>
        <v>1</v>
      </c>
      <c r="K204" s="238">
        <f t="shared" si="170"/>
        <v>0.75</v>
      </c>
      <c r="L204" s="238">
        <f t="shared" si="170"/>
        <v>0.5</v>
      </c>
      <c r="M204" s="238">
        <f t="shared" si="170"/>
        <v>0</v>
      </c>
      <c r="N204" s="238">
        <f t="shared" si="170"/>
        <v>0</v>
      </c>
      <c r="O204" s="238">
        <f t="shared" si="170"/>
        <v>0</v>
      </c>
      <c r="P204" s="238">
        <f t="shared" si="170"/>
        <v>0</v>
      </c>
      <c r="Q204" s="238">
        <f t="shared" si="170"/>
        <v>0.25</v>
      </c>
      <c r="R204" s="238">
        <f t="shared" si="170"/>
        <v>0.5</v>
      </c>
      <c r="S204" s="238">
        <f t="shared" si="170"/>
        <v>0</v>
      </c>
      <c r="T204" s="238">
        <f t="shared" si="170"/>
        <v>0</v>
      </c>
      <c r="U204" s="238">
        <f t="shared" si="170"/>
        <v>0</v>
      </c>
      <c r="V204" s="231"/>
      <c r="W204" s="204"/>
      <c r="X204" s="240">
        <f t="shared" si="139"/>
        <v>1.0658778665355402E-3</v>
      </c>
      <c r="Y204" s="240">
        <f t="shared" si="140"/>
        <v>5.1263475054992248E-3</v>
      </c>
      <c r="Z204" s="240">
        <f t="shared" si="141"/>
        <v>0</v>
      </c>
      <c r="AA204" s="240">
        <f t="shared" si="142"/>
        <v>0</v>
      </c>
      <c r="AB204" s="240">
        <f t="shared" si="143"/>
        <v>0</v>
      </c>
      <c r="AC204" s="240">
        <f t="shared" si="144"/>
        <v>0</v>
      </c>
      <c r="AD204" s="240">
        <f t="shared" si="145"/>
        <v>0</v>
      </c>
      <c r="AE204" s="240">
        <f t="shared" si="146"/>
        <v>2.0849866070111788E-3</v>
      </c>
      <c r="AF204" s="240">
        <f t="shared" si="147"/>
        <v>0</v>
      </c>
      <c r="AG204" s="240">
        <f t="shared" si="148"/>
        <v>0</v>
      </c>
      <c r="AH204" s="240">
        <f t="shared" si="149"/>
        <v>0</v>
      </c>
      <c r="AI204" s="240">
        <f t="shared" si="150"/>
        <v>0</v>
      </c>
      <c r="AM204" s="163"/>
    </row>
    <row r="205" spans="4:39" ht="13.5" customHeight="1" x14ac:dyDescent="0.25">
      <c r="D205" s="98" t="str">
        <f t="shared" si="137"/>
        <v>Tea leaves</v>
      </c>
      <c r="E205" s="239">
        <f>OCPMarketShares!K96</f>
        <v>1.4282463002469065E-3</v>
      </c>
      <c r="F205" s="239">
        <f>OCPMarketShares!L96</f>
        <v>3.507876695987908E-3</v>
      </c>
      <c r="G205" s="239">
        <f>OCPMarketShares!M96</f>
        <v>0</v>
      </c>
      <c r="I205" s="31"/>
      <c r="J205" s="238">
        <f t="shared" ref="J205:U205" si="171">E144</f>
        <v>1</v>
      </c>
      <c r="K205" s="238">
        <f t="shared" si="171"/>
        <v>1</v>
      </c>
      <c r="L205" s="238">
        <f t="shared" si="171"/>
        <v>1</v>
      </c>
      <c r="M205" s="238">
        <f t="shared" si="171"/>
        <v>0</v>
      </c>
      <c r="N205" s="238">
        <f t="shared" si="171"/>
        <v>0</v>
      </c>
      <c r="O205" s="238">
        <f t="shared" si="171"/>
        <v>0</v>
      </c>
      <c r="P205" s="238">
        <f t="shared" si="171"/>
        <v>0</v>
      </c>
      <c r="Q205" s="238">
        <f t="shared" si="171"/>
        <v>0</v>
      </c>
      <c r="R205" s="238">
        <f t="shared" si="171"/>
        <v>0</v>
      </c>
      <c r="S205" s="238">
        <f t="shared" si="171"/>
        <v>0</v>
      </c>
      <c r="T205" s="238">
        <f t="shared" si="171"/>
        <v>0</v>
      </c>
      <c r="U205" s="238">
        <f t="shared" si="171"/>
        <v>0</v>
      </c>
      <c r="V205" s="231"/>
      <c r="W205" s="204"/>
      <c r="X205" s="240">
        <f t="shared" si="139"/>
        <v>3.1048832614063186E-3</v>
      </c>
      <c r="Y205" s="240">
        <f t="shared" si="140"/>
        <v>7.625818904321539E-3</v>
      </c>
      <c r="Z205" s="240">
        <f t="shared" si="141"/>
        <v>0</v>
      </c>
      <c r="AA205" s="240">
        <f t="shared" si="142"/>
        <v>0</v>
      </c>
      <c r="AB205" s="240">
        <f t="shared" si="143"/>
        <v>0</v>
      </c>
      <c r="AC205" s="240">
        <f t="shared" si="144"/>
        <v>0</v>
      </c>
      <c r="AD205" s="240">
        <f t="shared" si="145"/>
        <v>0</v>
      </c>
      <c r="AE205" s="240">
        <f t="shared" si="146"/>
        <v>0</v>
      </c>
      <c r="AF205" s="240">
        <f t="shared" si="147"/>
        <v>0</v>
      </c>
      <c r="AG205" s="240">
        <f t="shared" si="148"/>
        <v>0</v>
      </c>
      <c r="AH205" s="240">
        <f t="shared" si="149"/>
        <v>0</v>
      </c>
      <c r="AI205" s="240">
        <f t="shared" si="150"/>
        <v>0</v>
      </c>
      <c r="AM205" s="163"/>
    </row>
    <row r="206" spans="4:39" ht="13.5" customHeight="1" x14ac:dyDescent="0.25">
      <c r="D206" s="98" t="str">
        <f t="shared" si="137"/>
        <v>Cow peas, dry</v>
      </c>
      <c r="E206" s="239">
        <f>OCPMarketShares!K97</f>
        <v>4.4384362449650976E-4</v>
      </c>
      <c r="F206" s="239">
        <f>OCPMarketShares!L97</f>
        <v>1.5793187013296494E-3</v>
      </c>
      <c r="G206" s="239">
        <f>OCPMarketShares!M97</f>
        <v>0</v>
      </c>
      <c r="I206" s="31"/>
      <c r="J206" s="238">
        <f t="shared" ref="J206:U206" si="172">E145</f>
        <v>0.9</v>
      </c>
      <c r="K206" s="238">
        <f t="shared" si="172"/>
        <v>0.5</v>
      </c>
      <c r="L206" s="238">
        <f t="shared" si="172"/>
        <v>0.2</v>
      </c>
      <c r="M206" s="238">
        <f t="shared" si="172"/>
        <v>0.1</v>
      </c>
      <c r="N206" s="238">
        <f t="shared" si="172"/>
        <v>0.5</v>
      </c>
      <c r="O206" s="238">
        <f t="shared" si="172"/>
        <v>0.8</v>
      </c>
      <c r="P206" s="238">
        <f t="shared" si="172"/>
        <v>0</v>
      </c>
      <c r="Q206" s="238">
        <f t="shared" si="172"/>
        <v>0</v>
      </c>
      <c r="R206" s="238">
        <f t="shared" si="172"/>
        <v>0</v>
      </c>
      <c r="S206" s="238">
        <f t="shared" si="172"/>
        <v>0</v>
      </c>
      <c r="T206" s="238">
        <f t="shared" si="172"/>
        <v>0</v>
      </c>
      <c r="U206" s="238">
        <f t="shared" si="172"/>
        <v>0</v>
      </c>
      <c r="V206" s="231"/>
      <c r="W206" s="204"/>
      <c r="X206" s="240">
        <f t="shared" si="139"/>
        <v>8.683897001018669E-4</v>
      </c>
      <c r="Y206" s="240">
        <f t="shared" si="140"/>
        <v>1.7166507623148362E-3</v>
      </c>
      <c r="Z206" s="240">
        <f t="shared" si="141"/>
        <v>0</v>
      </c>
      <c r="AA206" s="240">
        <f t="shared" si="142"/>
        <v>9.6487744455762999E-5</v>
      </c>
      <c r="AB206" s="240">
        <f t="shared" si="143"/>
        <v>1.7166507623148362E-3</v>
      </c>
      <c r="AC206" s="240">
        <f t="shared" si="144"/>
        <v>0</v>
      </c>
      <c r="AD206" s="240">
        <f t="shared" si="145"/>
        <v>0</v>
      </c>
      <c r="AE206" s="240">
        <f t="shared" si="146"/>
        <v>0</v>
      </c>
      <c r="AF206" s="240">
        <f t="shared" si="147"/>
        <v>0</v>
      </c>
      <c r="AG206" s="240">
        <f t="shared" si="148"/>
        <v>0</v>
      </c>
      <c r="AH206" s="240">
        <f t="shared" si="149"/>
        <v>0</v>
      </c>
      <c r="AI206" s="240">
        <f t="shared" si="150"/>
        <v>0</v>
      </c>
      <c r="AM206" s="163"/>
    </row>
    <row r="207" spans="4:39" ht="13.5" customHeight="1" thickBot="1" x14ac:dyDescent="0.3">
      <c r="D207" s="98" t="str">
        <f t="shared" si="137"/>
        <v>Peas, dry</v>
      </c>
      <c r="E207" s="239">
        <f>OCPMarketShares!K98</f>
        <v>3.3646311930568171E-4</v>
      </c>
      <c r="F207" s="239">
        <f>OCPMarketShares!L98</f>
        <v>1.1497222691398425E-3</v>
      </c>
      <c r="G207" s="239">
        <f>OCPMarketShares!M98</f>
        <v>0</v>
      </c>
      <c r="I207" s="31"/>
      <c r="J207" s="238">
        <f t="shared" ref="J207:U207" si="173">E146</f>
        <v>0.9</v>
      </c>
      <c r="K207" s="238">
        <f t="shared" si="173"/>
        <v>0.5</v>
      </c>
      <c r="L207" s="238">
        <f t="shared" si="173"/>
        <v>0.2</v>
      </c>
      <c r="M207" s="238">
        <f t="shared" si="173"/>
        <v>0.1</v>
      </c>
      <c r="N207" s="238">
        <f t="shared" si="173"/>
        <v>0.5</v>
      </c>
      <c r="O207" s="238">
        <f t="shared" si="173"/>
        <v>0.8</v>
      </c>
      <c r="P207" s="238">
        <f t="shared" si="173"/>
        <v>0</v>
      </c>
      <c r="Q207" s="238">
        <f t="shared" si="173"/>
        <v>0</v>
      </c>
      <c r="R207" s="238">
        <f t="shared" si="173"/>
        <v>0</v>
      </c>
      <c r="S207" s="238">
        <f t="shared" si="173"/>
        <v>0</v>
      </c>
      <c r="T207" s="238">
        <f t="shared" si="173"/>
        <v>0</v>
      </c>
      <c r="U207" s="238">
        <f t="shared" si="173"/>
        <v>0</v>
      </c>
      <c r="V207" s="231"/>
      <c r="W207" s="204"/>
      <c r="X207" s="240">
        <f t="shared" si="139"/>
        <v>6.5829740733720343E-4</v>
      </c>
      <c r="Y207" s="240">
        <f t="shared" si="140"/>
        <v>1.2496981186302636E-3</v>
      </c>
      <c r="Z207" s="240">
        <f t="shared" si="141"/>
        <v>0</v>
      </c>
      <c r="AA207" s="240">
        <f t="shared" si="142"/>
        <v>7.3144156370800372E-5</v>
      </c>
      <c r="AB207" s="240">
        <f t="shared" si="143"/>
        <v>1.2496981186302636E-3</v>
      </c>
      <c r="AC207" s="240">
        <f t="shared" si="144"/>
        <v>0</v>
      </c>
      <c r="AD207" s="240">
        <f t="shared" si="145"/>
        <v>0</v>
      </c>
      <c r="AE207" s="240">
        <f t="shared" si="146"/>
        <v>0</v>
      </c>
      <c r="AF207" s="240">
        <f t="shared" si="147"/>
        <v>0</v>
      </c>
      <c r="AG207" s="240">
        <f t="shared" si="148"/>
        <v>0</v>
      </c>
      <c r="AH207" s="240">
        <f t="shared" si="149"/>
        <v>0</v>
      </c>
      <c r="AI207" s="240">
        <f t="shared" si="150"/>
        <v>0</v>
      </c>
      <c r="AM207" s="163"/>
    </row>
    <row r="208" spans="4:39" ht="13.5" customHeight="1" thickTop="1" thickBot="1" x14ac:dyDescent="0.3">
      <c r="D208" s="99" t="s">
        <v>13</v>
      </c>
      <c r="E208" s="123">
        <f>SUM(E184:E207)</f>
        <v>0.2140321101410679</v>
      </c>
      <c r="F208" s="123">
        <f>SUM(F184:F207)</f>
        <v>0.98274485441883586</v>
      </c>
      <c r="G208" s="123">
        <f>SUM(G184:G207)</f>
        <v>0</v>
      </c>
      <c r="I208" s="31"/>
      <c r="J208" s="231"/>
      <c r="K208" s="231"/>
      <c r="L208" s="231"/>
      <c r="M208" s="231"/>
      <c r="N208" s="231"/>
      <c r="O208" s="231"/>
      <c r="P208" s="231"/>
      <c r="Q208" s="231"/>
      <c r="R208" s="231"/>
      <c r="S208" s="231"/>
      <c r="T208" s="231"/>
      <c r="U208" s="231"/>
      <c r="V208" s="7"/>
      <c r="W208" s="7"/>
      <c r="X208" s="7"/>
      <c r="Y208" s="7"/>
      <c r="Z208" s="7"/>
      <c r="AA208" s="7"/>
      <c r="AB208" s="7"/>
      <c r="AC208" s="7"/>
      <c r="AD208" s="7"/>
      <c r="AE208" s="7"/>
      <c r="AF208" s="7"/>
      <c r="AG208" s="7"/>
      <c r="AH208" s="7"/>
      <c r="AI208" s="7"/>
      <c r="AM208" s="163"/>
    </row>
    <row r="209" spans="2:39" ht="13.5" customHeight="1" thickTop="1" thickBot="1" x14ac:dyDescent="0.3">
      <c r="D209" s="97" t="s">
        <v>205</v>
      </c>
      <c r="E209" s="233">
        <f t="shared" ref="E209:G209" si="174">E208/46%</f>
        <v>0.46528719595884327</v>
      </c>
      <c r="F209" s="233">
        <f t="shared" si="174"/>
        <v>2.1364018574322516</v>
      </c>
      <c r="G209" s="233">
        <f t="shared" si="174"/>
        <v>0</v>
      </c>
      <c r="I209" s="31"/>
      <c r="J209" s="31"/>
      <c r="W209" s="1" t="s">
        <v>206</v>
      </c>
      <c r="X209" s="232">
        <f t="shared" ref="X209:AC209" si="175">SUM(X184:X207)</f>
        <v>0.40242171078605588</v>
      </c>
      <c r="Y209" s="232">
        <f t="shared" si="175"/>
        <v>1.2292427432844244</v>
      </c>
      <c r="Z209" s="232">
        <f t="shared" si="175"/>
        <v>0</v>
      </c>
      <c r="AA209" s="232">
        <f t="shared" si="175"/>
        <v>1.4820891734159458E-2</v>
      </c>
      <c r="AB209" s="232">
        <f t="shared" si="175"/>
        <v>0.50207027635125201</v>
      </c>
      <c r="AC209" s="232">
        <f t="shared" si="175"/>
        <v>0</v>
      </c>
      <c r="AD209" s="232">
        <f t="shared" ref="AD209:AI209" si="176">SUM(AD184:AD207)</f>
        <v>5.8622050349519568E-2</v>
      </c>
      <c r="AE209" s="232">
        <f t="shared" si="176"/>
        <v>0.49427285248388503</v>
      </c>
      <c r="AF209" s="232">
        <f t="shared" si="176"/>
        <v>0</v>
      </c>
      <c r="AG209" s="232">
        <f t="shared" si="176"/>
        <v>0</v>
      </c>
      <c r="AH209" s="232">
        <f t="shared" si="176"/>
        <v>0</v>
      </c>
      <c r="AI209" s="232">
        <f t="shared" si="176"/>
        <v>0</v>
      </c>
      <c r="AM209" s="163"/>
    </row>
    <row r="210" spans="2:39" ht="13.5" customHeight="1" thickTop="1" x14ac:dyDescent="0.25">
      <c r="O210" s="171"/>
      <c r="AM210" s="163"/>
    </row>
    <row r="211" spans="2:39" ht="13.5" customHeight="1" x14ac:dyDescent="0.35">
      <c r="B211" s="29">
        <v>2</v>
      </c>
      <c r="D211" s="28" t="s">
        <v>274</v>
      </c>
      <c r="AM211" s="163"/>
    </row>
    <row r="212" spans="2:39" ht="13.5" customHeight="1" x14ac:dyDescent="0.25">
      <c r="AM212" s="163"/>
    </row>
    <row r="213" spans="2:39" ht="13.5" customHeight="1" x14ac:dyDescent="0.3">
      <c r="D213" s="32" t="s">
        <v>71</v>
      </c>
      <c r="J213" s="224" t="s">
        <v>201</v>
      </c>
      <c r="K213" s="225"/>
      <c r="L213" s="7"/>
      <c r="M213" s="7"/>
      <c r="N213" s="7"/>
      <c r="O213" s="7"/>
      <c r="P213" s="7"/>
      <c r="Q213" s="7"/>
      <c r="R213" s="7"/>
      <c r="S213" s="7"/>
      <c r="T213" s="7"/>
      <c r="U213" s="7"/>
      <c r="V213" s="7"/>
      <c r="W213" s="7"/>
      <c r="X213" s="224" t="s">
        <v>202</v>
      </c>
      <c r="Y213" s="226"/>
      <c r="Z213" s="7"/>
      <c r="AA213" s="7"/>
      <c r="AB213" s="7"/>
      <c r="AC213" s="7"/>
      <c r="AM213" s="163"/>
    </row>
    <row r="214" spans="2:39" ht="13.5" customHeight="1" x14ac:dyDescent="0.3">
      <c r="D214" s="33" t="s">
        <v>72</v>
      </c>
      <c r="J214" s="33" t="s">
        <v>203</v>
      </c>
      <c r="K214" s="7"/>
      <c r="L214" s="7"/>
      <c r="M214" s="7"/>
      <c r="N214" s="7"/>
      <c r="O214" s="7"/>
      <c r="P214" s="7"/>
      <c r="Q214" s="7"/>
      <c r="R214" s="7"/>
      <c r="S214" s="7"/>
      <c r="T214" s="7"/>
      <c r="U214" s="7"/>
      <c r="V214" s="7"/>
      <c r="W214" s="7"/>
      <c r="X214" s="33" t="s">
        <v>204</v>
      </c>
      <c r="Y214" s="7"/>
      <c r="Z214" s="7"/>
      <c r="AA214" s="7"/>
      <c r="AB214" s="7"/>
      <c r="AC214" s="7"/>
      <c r="AM214" s="163"/>
    </row>
    <row r="215" spans="2:39" ht="13.5" customHeight="1" x14ac:dyDescent="0.25">
      <c r="J215" s="218" t="s">
        <v>182</v>
      </c>
      <c r="K215" s="218"/>
      <c r="L215" s="218"/>
      <c r="M215" s="218" t="s">
        <v>199</v>
      </c>
      <c r="N215" s="218"/>
      <c r="O215" s="218"/>
      <c r="P215" s="218" t="s">
        <v>321</v>
      </c>
      <c r="Q215" s="218"/>
      <c r="R215" s="218"/>
      <c r="S215" s="218" t="s">
        <v>257</v>
      </c>
      <c r="T215" s="218"/>
      <c r="U215" s="218"/>
      <c r="V215" s="218"/>
      <c r="W215" s="59"/>
      <c r="X215" s="218" t="s">
        <v>182</v>
      </c>
      <c r="Y215" s="218"/>
      <c r="Z215" s="218"/>
      <c r="AA215" s="218" t="s">
        <v>199</v>
      </c>
      <c r="AB215" s="218"/>
      <c r="AC215" s="218"/>
      <c r="AD215" s="218" t="s">
        <v>321</v>
      </c>
      <c r="AE215" s="218"/>
      <c r="AF215" s="218"/>
      <c r="AG215" s="218" t="s">
        <v>257</v>
      </c>
      <c r="AH215" s="218"/>
      <c r="AI215" s="218"/>
      <c r="AK215" s="176"/>
      <c r="AL215" s="163"/>
      <c r="AM215" s="163"/>
    </row>
    <row r="216" spans="2:39" ht="13.5" customHeight="1" x14ac:dyDescent="0.3">
      <c r="D216" s="30" t="s">
        <v>15</v>
      </c>
      <c r="E216" s="34">
        <v>2023</v>
      </c>
      <c r="F216" s="34">
        <v>2024</v>
      </c>
      <c r="G216" s="34">
        <v>2025</v>
      </c>
      <c r="J216" s="219">
        <v>2023</v>
      </c>
      <c r="K216" s="219">
        <v>2024</v>
      </c>
      <c r="L216" s="219">
        <v>2025</v>
      </c>
      <c r="M216" s="219">
        <v>2023</v>
      </c>
      <c r="N216" s="219">
        <v>2024</v>
      </c>
      <c r="O216" s="219">
        <v>2025</v>
      </c>
      <c r="P216" s="219">
        <v>2023</v>
      </c>
      <c r="Q216" s="219">
        <v>2024</v>
      </c>
      <c r="R216" s="219">
        <v>2025</v>
      </c>
      <c r="S216" s="219">
        <v>2023</v>
      </c>
      <c r="T216" s="219">
        <v>2024</v>
      </c>
      <c r="U216" s="219">
        <v>2025</v>
      </c>
      <c r="V216" s="228"/>
      <c r="W216" s="229"/>
      <c r="X216" s="230">
        <v>2023</v>
      </c>
      <c r="Y216" s="230">
        <v>2024</v>
      </c>
      <c r="Z216" s="230">
        <v>2025</v>
      </c>
      <c r="AA216" s="230">
        <v>2023</v>
      </c>
      <c r="AB216" s="230">
        <v>2024</v>
      </c>
      <c r="AC216" s="230">
        <v>2025</v>
      </c>
      <c r="AD216" s="230">
        <v>2023</v>
      </c>
      <c r="AE216" s="230">
        <v>2024</v>
      </c>
      <c r="AF216" s="230">
        <v>2025</v>
      </c>
      <c r="AG216" s="230">
        <v>2023</v>
      </c>
      <c r="AH216" s="230">
        <v>2024</v>
      </c>
      <c r="AI216" s="230">
        <v>2025</v>
      </c>
      <c r="AK216" s="331"/>
      <c r="AL216" s="331"/>
      <c r="AM216" s="331">
        <v>2025</v>
      </c>
    </row>
    <row r="217" spans="2:39" ht="13.5" customHeight="1" x14ac:dyDescent="0.25">
      <c r="D217" s="2" t="str">
        <f t="shared" ref="D217:D240" si="177">D156</f>
        <v>Plantains and cooking bananas</v>
      </c>
      <c r="E217" s="239">
        <f>OCPMarketShares!K107</f>
        <v>0</v>
      </c>
      <c r="F217" s="239">
        <f>OCPMarketShares!L107</f>
        <v>3.9358600800031937E-2</v>
      </c>
      <c r="G217" s="239">
        <f>OCPMarketShares!M107</f>
        <v>0.16530612336013417</v>
      </c>
      <c r="I217" s="31"/>
      <c r="J217" s="238">
        <f>E123</f>
        <v>1</v>
      </c>
      <c r="K217" s="238">
        <f t="shared" ref="K217:U217" si="178">F123</f>
        <v>1</v>
      </c>
      <c r="L217" s="238">
        <f t="shared" si="178"/>
        <v>1</v>
      </c>
      <c r="M217" s="238">
        <f t="shared" si="178"/>
        <v>0</v>
      </c>
      <c r="N217" s="238">
        <f t="shared" si="178"/>
        <v>0</v>
      </c>
      <c r="O217" s="238">
        <f t="shared" si="178"/>
        <v>0</v>
      </c>
      <c r="P217" s="238">
        <f t="shared" si="178"/>
        <v>0</v>
      </c>
      <c r="Q217" s="238">
        <f t="shared" si="178"/>
        <v>0</v>
      </c>
      <c r="R217" s="238">
        <f t="shared" si="178"/>
        <v>0</v>
      </c>
      <c r="S217" s="238">
        <f t="shared" si="178"/>
        <v>0</v>
      </c>
      <c r="T217" s="238">
        <f t="shared" si="178"/>
        <v>0</v>
      </c>
      <c r="U217" s="238">
        <f t="shared" si="178"/>
        <v>0</v>
      </c>
      <c r="V217" s="231"/>
      <c r="W217" s="207"/>
      <c r="X217" s="240">
        <f t="shared" ref="X217:X240" si="179">(E217*J217)/$K$11</f>
        <v>0</v>
      </c>
      <c r="Y217" s="240">
        <f t="shared" ref="Y217:Y240" si="180">(F217*K217)/$K$11</f>
        <v>8.5562175652243333E-2</v>
      </c>
      <c r="Z217" s="240">
        <f t="shared" ref="Z217:Z240" si="181">(G217*L217)/$K$11</f>
        <v>0.35936113773942208</v>
      </c>
      <c r="AA217" s="240">
        <f t="shared" ref="AA217:AA240" si="182">(E217*M217)/$K$12</f>
        <v>0</v>
      </c>
      <c r="AB217" s="240">
        <f t="shared" ref="AB217:AB240" si="183">(F217*N217)/$K$12</f>
        <v>0</v>
      </c>
      <c r="AC217" s="240">
        <f t="shared" ref="AC217:AC240" si="184">(G217*O217)/$K$12</f>
        <v>0</v>
      </c>
      <c r="AD217" s="240">
        <f>(E217*P217)/$K$12</f>
        <v>0</v>
      </c>
      <c r="AE217" s="240">
        <f t="shared" ref="AE217:AE240" si="185">(F217*Q217)/$K$12</f>
        <v>0</v>
      </c>
      <c r="AF217" s="240">
        <f t="shared" ref="AF217:AF240" si="186">(G217*R217)/$K$12</f>
        <v>0</v>
      </c>
      <c r="AG217" s="240">
        <f t="shared" ref="AG217:AG240" si="187">(E217*S217)/$K$15</f>
        <v>0</v>
      </c>
      <c r="AH217" s="240">
        <f t="shared" ref="AH217:AH240" si="188">(F217*T217)/$K$15</f>
        <v>0</v>
      </c>
      <c r="AI217" s="240">
        <f t="shared" ref="AI217:AI240" si="189">(G217*U217)/$K$15</f>
        <v>0</v>
      </c>
      <c r="AK217" s="163"/>
      <c r="AL217" s="163"/>
      <c r="AM217" s="163"/>
    </row>
    <row r="218" spans="2:39" ht="13.5" customHeight="1" x14ac:dyDescent="0.25">
      <c r="D218" s="2" t="str">
        <f t="shared" si="177"/>
        <v>Maize (corn)</v>
      </c>
      <c r="E218" s="239">
        <f>OCPMarketShares!K108</f>
        <v>0</v>
      </c>
      <c r="F218" s="239">
        <f>OCPMarketShares!L108</f>
        <v>0.74780841601549308</v>
      </c>
      <c r="G218" s="239">
        <f>OCPMarketShares!M108</f>
        <v>2.4677677728511274</v>
      </c>
      <c r="I218" s="31"/>
      <c r="J218" s="238">
        <f t="shared" ref="J218:U218" si="190">E124</f>
        <v>0.75</v>
      </c>
      <c r="K218" s="238">
        <f t="shared" si="190"/>
        <v>0.5</v>
      </c>
      <c r="L218" s="238">
        <f t="shared" si="190"/>
        <v>0</v>
      </c>
      <c r="M218" s="238">
        <f t="shared" si="190"/>
        <v>0</v>
      </c>
      <c r="N218" s="238">
        <f t="shared" si="190"/>
        <v>0</v>
      </c>
      <c r="O218" s="238">
        <f t="shared" si="190"/>
        <v>0</v>
      </c>
      <c r="P218" s="238">
        <f t="shared" si="190"/>
        <v>0.25</v>
      </c>
      <c r="Q218" s="238">
        <f t="shared" si="190"/>
        <v>0.5</v>
      </c>
      <c r="R218" s="238">
        <f t="shared" si="190"/>
        <v>1</v>
      </c>
      <c r="S218" s="238">
        <f t="shared" si="190"/>
        <v>0</v>
      </c>
      <c r="T218" s="238">
        <f t="shared" si="190"/>
        <v>0</v>
      </c>
      <c r="U218" s="238">
        <f t="shared" si="190"/>
        <v>0</v>
      </c>
      <c r="V218" s="231"/>
      <c r="W218" s="207"/>
      <c r="X218" s="240">
        <f t="shared" si="179"/>
        <v>0</v>
      </c>
      <c r="Y218" s="240">
        <f t="shared" si="180"/>
        <v>0.81283523479944897</v>
      </c>
      <c r="Z218" s="240">
        <f t="shared" si="181"/>
        <v>0</v>
      </c>
      <c r="AA218" s="240">
        <f t="shared" si="182"/>
        <v>0</v>
      </c>
      <c r="AB218" s="240">
        <f t="shared" si="183"/>
        <v>0</v>
      </c>
      <c r="AC218" s="240">
        <f t="shared" si="184"/>
        <v>0</v>
      </c>
      <c r="AD218" s="240">
        <f t="shared" ref="AD218:AD240" si="191">(E218*P218)/$K$12</f>
        <v>0</v>
      </c>
      <c r="AE218" s="240">
        <f t="shared" si="185"/>
        <v>0.81283523479944897</v>
      </c>
      <c r="AF218" s="240">
        <f t="shared" si="186"/>
        <v>5.3647125496763639</v>
      </c>
      <c r="AG218" s="240">
        <f t="shared" si="187"/>
        <v>0</v>
      </c>
      <c r="AH218" s="240">
        <f t="shared" si="188"/>
        <v>0</v>
      </c>
      <c r="AI218" s="240">
        <f t="shared" si="189"/>
        <v>0</v>
      </c>
      <c r="AK218" s="163"/>
      <c r="AL218" s="163"/>
      <c r="AM218" s="163"/>
    </row>
    <row r="219" spans="2:39" ht="13.5" customHeight="1" x14ac:dyDescent="0.25">
      <c r="D219" s="2" t="str">
        <f t="shared" si="177"/>
        <v>Cassava, fresh</v>
      </c>
      <c r="E219" s="239">
        <f>OCPMarketShares!K109</f>
        <v>0</v>
      </c>
      <c r="F219" s="239">
        <f>OCPMarketShares!L109</f>
        <v>7.7703703462277396E-2</v>
      </c>
      <c r="G219" s="239">
        <f>OCPMarketShares!M109</f>
        <v>0.25700499920148251</v>
      </c>
      <c r="I219" s="31"/>
      <c r="J219" s="238">
        <f t="shared" ref="J219:U219" si="192">E125</f>
        <v>1</v>
      </c>
      <c r="K219" s="238">
        <f t="shared" si="192"/>
        <v>0.75</v>
      </c>
      <c r="L219" s="238">
        <f t="shared" si="192"/>
        <v>0.5</v>
      </c>
      <c r="M219" s="238">
        <f t="shared" si="192"/>
        <v>0</v>
      </c>
      <c r="N219" s="238">
        <f t="shared" si="192"/>
        <v>0</v>
      </c>
      <c r="O219" s="238">
        <f t="shared" si="192"/>
        <v>0</v>
      </c>
      <c r="P219" s="238">
        <f t="shared" si="192"/>
        <v>0</v>
      </c>
      <c r="Q219" s="238">
        <f t="shared" si="192"/>
        <v>0.25</v>
      </c>
      <c r="R219" s="238">
        <f t="shared" si="192"/>
        <v>0.5</v>
      </c>
      <c r="S219" s="238">
        <f t="shared" si="192"/>
        <v>0</v>
      </c>
      <c r="T219" s="238">
        <f t="shared" si="192"/>
        <v>0</v>
      </c>
      <c r="U219" s="238">
        <f t="shared" si="192"/>
        <v>0</v>
      </c>
      <c r="V219" s="231"/>
      <c r="W219" s="207"/>
      <c r="X219" s="240">
        <f t="shared" si="179"/>
        <v>0</v>
      </c>
      <c r="Y219" s="240">
        <f t="shared" si="180"/>
        <v>0.12669082086240879</v>
      </c>
      <c r="Z219" s="240">
        <f t="shared" si="181"/>
        <v>0.27935326000161143</v>
      </c>
      <c r="AA219" s="240">
        <f t="shared" si="182"/>
        <v>0</v>
      </c>
      <c r="AB219" s="240">
        <f t="shared" si="183"/>
        <v>0</v>
      </c>
      <c r="AC219" s="240">
        <f t="shared" si="184"/>
        <v>0</v>
      </c>
      <c r="AD219" s="240">
        <f t="shared" si="191"/>
        <v>0</v>
      </c>
      <c r="AE219" s="240">
        <f t="shared" si="185"/>
        <v>4.2230273620802929E-2</v>
      </c>
      <c r="AF219" s="240">
        <f t="shared" si="186"/>
        <v>0.27935326000161143</v>
      </c>
      <c r="AG219" s="240">
        <f t="shared" si="187"/>
        <v>0</v>
      </c>
      <c r="AH219" s="240">
        <f t="shared" si="188"/>
        <v>0</v>
      </c>
      <c r="AI219" s="240">
        <f t="shared" si="189"/>
        <v>0</v>
      </c>
      <c r="AK219" s="163"/>
      <c r="AL219" s="163"/>
    </row>
    <row r="220" spans="2:39" ht="13.5" customHeight="1" x14ac:dyDescent="0.25">
      <c r="D220" s="2" t="str">
        <f t="shared" si="177"/>
        <v>Coffee, green</v>
      </c>
      <c r="E220" s="239">
        <f>OCPMarketShares!K110</f>
        <v>0</v>
      </c>
      <c r="F220" s="239">
        <f>OCPMarketShares!L110</f>
        <v>0.27686499578118956</v>
      </c>
      <c r="G220" s="239">
        <f>OCPMarketShares!M110</f>
        <v>0.87475106261576352</v>
      </c>
      <c r="I220" s="31"/>
      <c r="J220" s="238">
        <f t="shared" ref="J220:U220" si="193">E126</f>
        <v>0.9</v>
      </c>
      <c r="K220" s="238">
        <f t="shared" si="193"/>
        <v>0.5</v>
      </c>
      <c r="L220" s="238">
        <f t="shared" si="193"/>
        <v>0.2</v>
      </c>
      <c r="M220" s="238">
        <f t="shared" si="193"/>
        <v>0.1</v>
      </c>
      <c r="N220" s="238">
        <f t="shared" si="193"/>
        <v>0.5</v>
      </c>
      <c r="O220" s="238">
        <f t="shared" si="193"/>
        <v>0.8</v>
      </c>
      <c r="P220" s="238">
        <f t="shared" si="193"/>
        <v>0</v>
      </c>
      <c r="Q220" s="238">
        <f t="shared" si="193"/>
        <v>0</v>
      </c>
      <c r="R220" s="238">
        <f t="shared" si="193"/>
        <v>0</v>
      </c>
      <c r="S220" s="238">
        <f t="shared" si="193"/>
        <v>0</v>
      </c>
      <c r="T220" s="238">
        <f t="shared" si="193"/>
        <v>0</v>
      </c>
      <c r="U220" s="238">
        <f t="shared" si="193"/>
        <v>0</v>
      </c>
      <c r="V220" s="231"/>
      <c r="W220" s="207"/>
      <c r="X220" s="240">
        <f t="shared" si="179"/>
        <v>0</v>
      </c>
      <c r="Y220" s="240">
        <f t="shared" si="180"/>
        <v>0.30094021280564082</v>
      </c>
      <c r="Z220" s="240">
        <f t="shared" si="181"/>
        <v>0.38032654896337542</v>
      </c>
      <c r="AA220" s="240">
        <f t="shared" si="182"/>
        <v>0</v>
      </c>
      <c r="AB220" s="240">
        <f t="shared" si="183"/>
        <v>0.30094021280564082</v>
      </c>
      <c r="AC220" s="240">
        <f t="shared" si="184"/>
        <v>1.5213061958535017</v>
      </c>
      <c r="AD220" s="240">
        <f t="shared" si="191"/>
        <v>0</v>
      </c>
      <c r="AE220" s="240">
        <f t="shared" si="185"/>
        <v>0</v>
      </c>
      <c r="AF220" s="240">
        <f t="shared" si="186"/>
        <v>0</v>
      </c>
      <c r="AG220" s="240">
        <f t="shared" si="187"/>
        <v>0</v>
      </c>
      <c r="AH220" s="240">
        <f t="shared" si="188"/>
        <v>0</v>
      </c>
      <c r="AI220" s="240">
        <f t="shared" si="189"/>
        <v>0</v>
      </c>
      <c r="AK220" s="163"/>
      <c r="AL220" s="163"/>
    </row>
    <row r="221" spans="2:39" ht="13.5" customHeight="1" x14ac:dyDescent="0.25">
      <c r="D221" s="2" t="str">
        <f t="shared" si="177"/>
        <v>Beans, dry</v>
      </c>
      <c r="E221" s="239">
        <f>OCPMarketShares!K111</f>
        <v>0</v>
      </c>
      <c r="F221" s="239">
        <f>OCPMarketShares!L111</f>
        <v>6.1078588939221495E-2</v>
      </c>
      <c r="G221" s="239">
        <f>OCPMarketShares!M111</f>
        <v>0.17152999134995717</v>
      </c>
      <c r="I221" s="31"/>
      <c r="J221" s="238">
        <f t="shared" ref="J221:U221" si="194">E127</f>
        <v>0.9</v>
      </c>
      <c r="K221" s="238">
        <f t="shared" si="194"/>
        <v>0.5</v>
      </c>
      <c r="L221" s="238">
        <f t="shared" si="194"/>
        <v>0.2</v>
      </c>
      <c r="M221" s="238">
        <f t="shared" si="194"/>
        <v>0.1</v>
      </c>
      <c r="N221" s="238">
        <f t="shared" si="194"/>
        <v>0.5</v>
      </c>
      <c r="O221" s="238">
        <f t="shared" si="194"/>
        <v>0.8</v>
      </c>
      <c r="P221" s="238">
        <f t="shared" si="194"/>
        <v>0</v>
      </c>
      <c r="Q221" s="238">
        <f t="shared" si="194"/>
        <v>0</v>
      </c>
      <c r="R221" s="238">
        <f t="shared" si="194"/>
        <v>0</v>
      </c>
      <c r="S221" s="238">
        <f t="shared" si="194"/>
        <v>0</v>
      </c>
      <c r="T221" s="238">
        <f t="shared" si="194"/>
        <v>0</v>
      </c>
      <c r="U221" s="238">
        <f t="shared" si="194"/>
        <v>0</v>
      </c>
      <c r="V221" s="231"/>
      <c r="W221" s="207"/>
      <c r="X221" s="240">
        <f t="shared" si="179"/>
        <v>0</v>
      </c>
      <c r="Y221" s="240">
        <f t="shared" si="180"/>
        <v>6.6389770586110314E-2</v>
      </c>
      <c r="Z221" s="240">
        <f t="shared" si="181"/>
        <v>7.4578257108677035E-2</v>
      </c>
      <c r="AA221" s="240">
        <f t="shared" si="182"/>
        <v>0</v>
      </c>
      <c r="AB221" s="240">
        <f t="shared" si="183"/>
        <v>6.6389770586110314E-2</v>
      </c>
      <c r="AC221" s="240">
        <f t="shared" si="184"/>
        <v>0.29831302843470814</v>
      </c>
      <c r="AD221" s="240">
        <f t="shared" si="191"/>
        <v>0</v>
      </c>
      <c r="AE221" s="240">
        <f t="shared" si="185"/>
        <v>0</v>
      </c>
      <c r="AF221" s="240">
        <f t="shared" si="186"/>
        <v>0</v>
      </c>
      <c r="AG221" s="240">
        <f t="shared" si="187"/>
        <v>0</v>
      </c>
      <c r="AH221" s="240">
        <f t="shared" si="188"/>
        <v>0</v>
      </c>
      <c r="AI221" s="240">
        <f t="shared" si="189"/>
        <v>0</v>
      </c>
      <c r="AK221" s="163"/>
      <c r="AL221" s="163"/>
    </row>
    <row r="222" spans="2:39" ht="13.5" customHeight="1" x14ac:dyDescent="0.25">
      <c r="D222" s="2" t="str">
        <f t="shared" si="177"/>
        <v>Groundnuts, excluding shelled</v>
      </c>
      <c r="E222" s="239">
        <f>OCPMarketShares!K112</f>
        <v>0</v>
      </c>
      <c r="F222" s="239">
        <f>OCPMarketShares!L112</f>
        <v>1.4498615221697448E-2</v>
      </c>
      <c r="G222" s="239">
        <f>OCPMarketShares!M112</f>
        <v>4.7845430231601586E-2</v>
      </c>
      <c r="I222" s="31"/>
      <c r="J222" s="238">
        <f t="shared" ref="J222:U222" si="195">E128</f>
        <v>0.9</v>
      </c>
      <c r="K222" s="238">
        <f t="shared" si="195"/>
        <v>0.5</v>
      </c>
      <c r="L222" s="238">
        <f t="shared" si="195"/>
        <v>0.2</v>
      </c>
      <c r="M222" s="238">
        <f t="shared" si="195"/>
        <v>0.1</v>
      </c>
      <c r="N222" s="238">
        <f t="shared" si="195"/>
        <v>0.5</v>
      </c>
      <c r="O222" s="238">
        <f t="shared" si="195"/>
        <v>0.8</v>
      </c>
      <c r="P222" s="238">
        <f t="shared" si="195"/>
        <v>0</v>
      </c>
      <c r="Q222" s="238">
        <f t="shared" si="195"/>
        <v>0</v>
      </c>
      <c r="R222" s="238">
        <f t="shared" si="195"/>
        <v>0</v>
      </c>
      <c r="S222" s="238">
        <f t="shared" si="195"/>
        <v>0</v>
      </c>
      <c r="T222" s="238">
        <f t="shared" si="195"/>
        <v>0</v>
      </c>
      <c r="U222" s="238">
        <f t="shared" si="195"/>
        <v>0</v>
      </c>
      <c r="V222" s="231"/>
      <c r="W222" s="207"/>
      <c r="X222" s="240">
        <f t="shared" si="179"/>
        <v>0</v>
      </c>
      <c r="Y222" s="240">
        <f t="shared" si="180"/>
        <v>1.5759364371410269E-2</v>
      </c>
      <c r="Z222" s="240">
        <f t="shared" si="181"/>
        <v>2.0802360970261561E-2</v>
      </c>
      <c r="AA222" s="240">
        <f t="shared" si="182"/>
        <v>0</v>
      </c>
      <c r="AB222" s="240">
        <f t="shared" si="183"/>
        <v>1.5759364371410269E-2</v>
      </c>
      <c r="AC222" s="240">
        <f t="shared" si="184"/>
        <v>8.3209443881046244E-2</v>
      </c>
      <c r="AD222" s="240">
        <f t="shared" si="191"/>
        <v>0</v>
      </c>
      <c r="AE222" s="240">
        <f t="shared" si="185"/>
        <v>0</v>
      </c>
      <c r="AF222" s="240">
        <f t="shared" si="186"/>
        <v>0</v>
      </c>
      <c r="AG222" s="240">
        <f t="shared" si="187"/>
        <v>0</v>
      </c>
      <c r="AH222" s="240">
        <f t="shared" si="188"/>
        <v>0</v>
      </c>
      <c r="AI222" s="240">
        <f t="shared" si="189"/>
        <v>0</v>
      </c>
      <c r="AK222" s="163"/>
      <c r="AL222" s="163"/>
    </row>
    <row r="223" spans="2:39" ht="13.5" customHeight="1" x14ac:dyDescent="0.25">
      <c r="D223" s="2" t="str">
        <f t="shared" si="177"/>
        <v>Sweet potatoes</v>
      </c>
      <c r="E223" s="239">
        <f>OCPMarketShares!K113</f>
        <v>0</v>
      </c>
      <c r="F223" s="239">
        <f>OCPMarketShares!L113</f>
        <v>3.0425961683740545E-2</v>
      </c>
      <c r="G223" s="239">
        <f>OCPMarketShares!M113</f>
        <v>0.10542595723416101</v>
      </c>
      <c r="I223" s="31"/>
      <c r="J223" s="238">
        <f t="shared" ref="J223:U223" si="196">E129</f>
        <v>1</v>
      </c>
      <c r="K223" s="238">
        <f t="shared" si="196"/>
        <v>0.75</v>
      </c>
      <c r="L223" s="238">
        <f t="shared" si="196"/>
        <v>0.5</v>
      </c>
      <c r="M223" s="238">
        <f t="shared" si="196"/>
        <v>0</v>
      </c>
      <c r="N223" s="238">
        <f t="shared" si="196"/>
        <v>0</v>
      </c>
      <c r="O223" s="238">
        <f t="shared" si="196"/>
        <v>0</v>
      </c>
      <c r="P223" s="238">
        <f t="shared" si="196"/>
        <v>0</v>
      </c>
      <c r="Q223" s="238">
        <f t="shared" si="196"/>
        <v>0.25</v>
      </c>
      <c r="R223" s="238">
        <f t="shared" si="196"/>
        <v>0.5</v>
      </c>
      <c r="S223" s="238">
        <f t="shared" si="196"/>
        <v>0</v>
      </c>
      <c r="T223" s="238">
        <f t="shared" si="196"/>
        <v>0</v>
      </c>
      <c r="U223" s="238">
        <f t="shared" si="196"/>
        <v>0</v>
      </c>
      <c r="V223" s="231"/>
      <c r="W223" s="207"/>
      <c r="X223" s="240">
        <f t="shared" si="179"/>
        <v>0</v>
      </c>
      <c r="Y223" s="240">
        <f t="shared" si="180"/>
        <v>4.9607546223490021E-2</v>
      </c>
      <c r="Z223" s="240">
        <f t="shared" si="181"/>
        <v>0.11459343177626197</v>
      </c>
      <c r="AA223" s="240">
        <f t="shared" si="182"/>
        <v>0</v>
      </c>
      <c r="AB223" s="240">
        <f t="shared" si="183"/>
        <v>0</v>
      </c>
      <c r="AC223" s="240">
        <f t="shared" si="184"/>
        <v>0</v>
      </c>
      <c r="AD223" s="240">
        <f t="shared" si="191"/>
        <v>0</v>
      </c>
      <c r="AE223" s="240">
        <f t="shared" si="185"/>
        <v>1.6535848741163338E-2</v>
      </c>
      <c r="AF223" s="240">
        <f t="shared" si="186"/>
        <v>0.11459343177626197</v>
      </c>
      <c r="AG223" s="240">
        <f t="shared" si="187"/>
        <v>0</v>
      </c>
      <c r="AH223" s="240">
        <f t="shared" si="188"/>
        <v>0</v>
      </c>
      <c r="AI223" s="240">
        <f t="shared" si="189"/>
        <v>0</v>
      </c>
      <c r="AK223" s="163"/>
      <c r="AL223" s="163"/>
    </row>
    <row r="224" spans="2:39" ht="13.5" customHeight="1" x14ac:dyDescent="0.25">
      <c r="D224" s="2" t="str">
        <f t="shared" si="177"/>
        <v>Sunflower seed</v>
      </c>
      <c r="E224" s="239">
        <f>OCPMarketShares!K114</f>
        <v>0</v>
      </c>
      <c r="F224" s="239">
        <f>OCPMarketShares!L114</f>
        <v>6.1929611991836681E-3</v>
      </c>
      <c r="G224" s="239">
        <f>OCPMarketShares!M114</f>
        <v>2.7310958888399975E-2</v>
      </c>
      <c r="I224" s="31"/>
      <c r="J224" s="238">
        <f t="shared" ref="J224:U224" si="197">E130</f>
        <v>0.9</v>
      </c>
      <c r="K224" s="238">
        <f t="shared" si="197"/>
        <v>0.5</v>
      </c>
      <c r="L224" s="238">
        <f t="shared" si="197"/>
        <v>0.2</v>
      </c>
      <c r="M224" s="238">
        <f t="shared" si="197"/>
        <v>0.1</v>
      </c>
      <c r="N224" s="238">
        <f t="shared" si="197"/>
        <v>0.3</v>
      </c>
      <c r="O224" s="238">
        <f t="shared" si="197"/>
        <v>0.6</v>
      </c>
      <c r="P224" s="238">
        <f t="shared" si="197"/>
        <v>0</v>
      </c>
      <c r="Q224" s="238">
        <f t="shared" si="197"/>
        <v>0.2</v>
      </c>
      <c r="R224" s="238">
        <f t="shared" si="197"/>
        <v>0.2</v>
      </c>
      <c r="S224" s="238">
        <f t="shared" si="197"/>
        <v>0</v>
      </c>
      <c r="T224" s="238">
        <f t="shared" si="197"/>
        <v>0</v>
      </c>
      <c r="U224" s="238">
        <f t="shared" si="197"/>
        <v>0</v>
      </c>
      <c r="V224" s="231"/>
      <c r="W224" s="207"/>
      <c r="X224" s="240">
        <f t="shared" si="179"/>
        <v>0</v>
      </c>
      <c r="Y224" s="240">
        <f t="shared" si="180"/>
        <v>6.7314795643300734E-3</v>
      </c>
      <c r="Z224" s="240">
        <f t="shared" si="181"/>
        <v>1.187432995147825E-2</v>
      </c>
      <c r="AA224" s="240">
        <f t="shared" si="182"/>
        <v>0</v>
      </c>
      <c r="AB224" s="240">
        <f t="shared" si="183"/>
        <v>4.0388877385980444E-3</v>
      </c>
      <c r="AC224" s="240">
        <f t="shared" si="184"/>
        <v>3.5622989854434746E-2</v>
      </c>
      <c r="AD224" s="240">
        <f t="shared" si="191"/>
        <v>0</v>
      </c>
      <c r="AE224" s="240">
        <f t="shared" si="185"/>
        <v>2.6925918257320299E-3</v>
      </c>
      <c r="AF224" s="240">
        <f t="shared" si="186"/>
        <v>1.187432995147825E-2</v>
      </c>
      <c r="AG224" s="240">
        <f t="shared" si="187"/>
        <v>0</v>
      </c>
      <c r="AH224" s="240">
        <f t="shared" si="188"/>
        <v>0</v>
      </c>
      <c r="AI224" s="240">
        <f t="shared" si="189"/>
        <v>0</v>
      </c>
      <c r="AK224" s="163"/>
      <c r="AL224" s="163"/>
    </row>
    <row r="225" spans="4:38" ht="13.5" customHeight="1" x14ac:dyDescent="0.25">
      <c r="D225" s="2" t="str">
        <f t="shared" si="177"/>
        <v>Sesame seed</v>
      </c>
      <c r="E225" s="239">
        <f>OCPMarketShares!K115</f>
        <v>0</v>
      </c>
      <c r="F225" s="239">
        <f>OCPMarketShares!L115</f>
        <v>2.7337509703740638E-2</v>
      </c>
      <c r="G225" s="239">
        <f>OCPMarketShares!M115</f>
        <v>7.5779576898769047E-2</v>
      </c>
      <c r="I225" s="31"/>
      <c r="J225" s="238">
        <f t="shared" ref="J225:U225" si="198">E131</f>
        <v>0.9</v>
      </c>
      <c r="K225" s="238">
        <f t="shared" si="198"/>
        <v>0.5</v>
      </c>
      <c r="L225" s="238">
        <f t="shared" si="198"/>
        <v>0.2</v>
      </c>
      <c r="M225" s="238">
        <f t="shared" si="198"/>
        <v>0.1</v>
      </c>
      <c r="N225" s="238">
        <f t="shared" si="198"/>
        <v>0.5</v>
      </c>
      <c r="O225" s="238">
        <f t="shared" si="198"/>
        <v>0.8</v>
      </c>
      <c r="P225" s="238">
        <f t="shared" si="198"/>
        <v>0</v>
      </c>
      <c r="Q225" s="238">
        <f t="shared" si="198"/>
        <v>0</v>
      </c>
      <c r="R225" s="238">
        <f t="shared" si="198"/>
        <v>0</v>
      </c>
      <c r="S225" s="238">
        <f t="shared" si="198"/>
        <v>0</v>
      </c>
      <c r="T225" s="238">
        <f t="shared" si="198"/>
        <v>0</v>
      </c>
      <c r="U225" s="238">
        <f t="shared" si="198"/>
        <v>0</v>
      </c>
      <c r="V225" s="231"/>
      <c r="W225" s="207"/>
      <c r="X225" s="240">
        <f t="shared" si="179"/>
        <v>0</v>
      </c>
      <c r="Y225" s="240">
        <f t="shared" si="180"/>
        <v>2.971468446058765E-2</v>
      </c>
      <c r="Z225" s="240">
        <f t="shared" si="181"/>
        <v>3.294764212989959E-2</v>
      </c>
      <c r="AA225" s="240">
        <f t="shared" si="182"/>
        <v>0</v>
      </c>
      <c r="AB225" s="240">
        <f t="shared" si="183"/>
        <v>2.971468446058765E-2</v>
      </c>
      <c r="AC225" s="240">
        <f t="shared" si="184"/>
        <v>0.13179056851959836</v>
      </c>
      <c r="AD225" s="240">
        <f t="shared" si="191"/>
        <v>0</v>
      </c>
      <c r="AE225" s="240">
        <f t="shared" si="185"/>
        <v>0</v>
      </c>
      <c r="AF225" s="240">
        <f t="shared" si="186"/>
        <v>0</v>
      </c>
      <c r="AG225" s="240">
        <f t="shared" si="187"/>
        <v>0</v>
      </c>
      <c r="AH225" s="240">
        <f t="shared" si="188"/>
        <v>0</v>
      </c>
      <c r="AI225" s="240">
        <f t="shared" si="189"/>
        <v>0</v>
      </c>
      <c r="AK225" s="163"/>
      <c r="AL225" s="163"/>
    </row>
    <row r="226" spans="4:38" ht="13.5" customHeight="1" x14ac:dyDescent="0.25">
      <c r="D226" s="2" t="str">
        <f t="shared" si="177"/>
        <v>Sorghum</v>
      </c>
      <c r="E226" s="239">
        <f>OCPMarketShares!K116</f>
        <v>0</v>
      </c>
      <c r="F226" s="239">
        <f>OCPMarketShares!L116</f>
        <v>5.0617504829970662E-3</v>
      </c>
      <c r="G226" s="239">
        <f>OCPMarketShares!M116</f>
        <v>2.2322319630017063E-2</v>
      </c>
      <c r="I226" s="31"/>
      <c r="J226" s="238">
        <f t="shared" ref="J226:U226" si="199">E132</f>
        <v>0.75</v>
      </c>
      <c r="K226" s="238">
        <f t="shared" si="199"/>
        <v>0.5</v>
      </c>
      <c r="L226" s="238">
        <f t="shared" si="199"/>
        <v>0</v>
      </c>
      <c r="M226" s="238">
        <f t="shared" si="199"/>
        <v>0</v>
      </c>
      <c r="N226" s="238">
        <f t="shared" si="199"/>
        <v>0</v>
      </c>
      <c r="O226" s="238">
        <f t="shared" si="199"/>
        <v>0</v>
      </c>
      <c r="P226" s="238">
        <f t="shared" si="199"/>
        <v>0.25</v>
      </c>
      <c r="Q226" s="238">
        <f t="shared" si="199"/>
        <v>0.5</v>
      </c>
      <c r="R226" s="238">
        <f t="shared" si="199"/>
        <v>1</v>
      </c>
      <c r="S226" s="238">
        <f t="shared" si="199"/>
        <v>0</v>
      </c>
      <c r="T226" s="238">
        <f t="shared" si="199"/>
        <v>0</v>
      </c>
      <c r="U226" s="238">
        <f t="shared" si="199"/>
        <v>0</v>
      </c>
      <c r="V226" s="231"/>
      <c r="W226" s="207"/>
      <c r="X226" s="240">
        <f t="shared" si="179"/>
        <v>0</v>
      </c>
      <c r="Y226" s="240">
        <f t="shared" si="180"/>
        <v>5.501902698909854E-3</v>
      </c>
      <c r="Z226" s="240">
        <f t="shared" si="181"/>
        <v>0</v>
      </c>
      <c r="AA226" s="240">
        <f t="shared" si="182"/>
        <v>0</v>
      </c>
      <c r="AB226" s="240">
        <f t="shared" si="183"/>
        <v>0</v>
      </c>
      <c r="AC226" s="240">
        <f t="shared" si="184"/>
        <v>0</v>
      </c>
      <c r="AD226" s="240">
        <f t="shared" si="191"/>
        <v>0</v>
      </c>
      <c r="AE226" s="240">
        <f t="shared" si="185"/>
        <v>5.501902698909854E-3</v>
      </c>
      <c r="AF226" s="240">
        <f t="shared" si="186"/>
        <v>4.8526781804384918E-2</v>
      </c>
      <c r="AG226" s="240">
        <f t="shared" si="187"/>
        <v>0</v>
      </c>
      <c r="AH226" s="240">
        <f t="shared" si="188"/>
        <v>0</v>
      </c>
      <c r="AI226" s="240">
        <f t="shared" si="189"/>
        <v>0</v>
      </c>
      <c r="AK226" s="163"/>
      <c r="AL226" s="163"/>
    </row>
    <row r="227" spans="4:38" ht="13.5" customHeight="1" x14ac:dyDescent="0.25">
      <c r="D227" s="2" t="str">
        <f t="shared" si="177"/>
        <v>Other vegetables, fresh n.e.c.</v>
      </c>
      <c r="E227" s="239">
        <f>OCPMarketShares!K117</f>
        <v>0</v>
      </c>
      <c r="F227" s="239">
        <f>OCPMarketShares!L117</f>
        <v>3.36830736079886E-3</v>
      </c>
      <c r="G227" s="239">
        <f>OCPMarketShares!M117</f>
        <v>1.4854235461122973E-2</v>
      </c>
      <c r="I227" s="31"/>
      <c r="J227" s="238">
        <f t="shared" ref="J227:U227" si="200">E133</f>
        <v>1</v>
      </c>
      <c r="K227" s="238">
        <f t="shared" si="200"/>
        <v>1</v>
      </c>
      <c r="L227" s="238">
        <f t="shared" si="200"/>
        <v>1</v>
      </c>
      <c r="M227" s="238">
        <f t="shared" si="200"/>
        <v>0</v>
      </c>
      <c r="N227" s="238">
        <f t="shared" si="200"/>
        <v>0</v>
      </c>
      <c r="O227" s="238">
        <f t="shared" si="200"/>
        <v>0</v>
      </c>
      <c r="P227" s="238">
        <f t="shared" si="200"/>
        <v>0</v>
      </c>
      <c r="Q227" s="238">
        <f t="shared" si="200"/>
        <v>0</v>
      </c>
      <c r="R227" s="238">
        <f t="shared" si="200"/>
        <v>0</v>
      </c>
      <c r="S227" s="238">
        <f t="shared" si="200"/>
        <v>0</v>
      </c>
      <c r="T227" s="238">
        <f t="shared" si="200"/>
        <v>0</v>
      </c>
      <c r="U227" s="238">
        <f t="shared" si="200"/>
        <v>0</v>
      </c>
      <c r="V227" s="231"/>
      <c r="W227" s="207"/>
      <c r="X227" s="240">
        <f t="shared" si="179"/>
        <v>0</v>
      </c>
      <c r="Y227" s="240">
        <f t="shared" si="180"/>
        <v>7.3224073060844785E-3</v>
      </c>
      <c r="Z227" s="240">
        <f t="shared" si="181"/>
        <v>3.2291816219832549E-2</v>
      </c>
      <c r="AA227" s="240">
        <f t="shared" si="182"/>
        <v>0</v>
      </c>
      <c r="AB227" s="240">
        <f t="shared" si="183"/>
        <v>0</v>
      </c>
      <c r="AC227" s="240">
        <f t="shared" si="184"/>
        <v>0</v>
      </c>
      <c r="AD227" s="240">
        <f t="shared" si="191"/>
        <v>0</v>
      </c>
      <c r="AE227" s="240">
        <f t="shared" si="185"/>
        <v>0</v>
      </c>
      <c r="AF227" s="240">
        <f t="shared" si="186"/>
        <v>0</v>
      </c>
      <c r="AG227" s="240">
        <f t="shared" si="187"/>
        <v>0</v>
      </c>
      <c r="AH227" s="240">
        <f t="shared" si="188"/>
        <v>0</v>
      </c>
      <c r="AI227" s="240">
        <f t="shared" si="189"/>
        <v>0</v>
      </c>
      <c r="AK227" s="163"/>
      <c r="AL227" s="163"/>
    </row>
    <row r="228" spans="4:38" ht="13.5" customHeight="1" x14ac:dyDescent="0.25">
      <c r="D228" s="2" t="str">
        <f t="shared" si="177"/>
        <v>Seed cotton, unginned</v>
      </c>
      <c r="E228" s="239">
        <f>OCPMarketShares!K118</f>
        <v>0</v>
      </c>
      <c r="F228" s="239">
        <f>OCPMarketShares!L118</f>
        <v>2.1896541382827968E-3</v>
      </c>
      <c r="G228" s="239">
        <f>OCPMarketShares!M118</f>
        <v>9.656374749827135E-3</v>
      </c>
      <c r="I228" s="31"/>
      <c r="J228" s="238">
        <f t="shared" ref="J228:U228" si="201">E134</f>
        <v>1</v>
      </c>
      <c r="K228" s="238">
        <f t="shared" si="201"/>
        <v>1</v>
      </c>
      <c r="L228" s="238">
        <f t="shared" si="201"/>
        <v>1</v>
      </c>
      <c r="M228" s="238">
        <f t="shared" si="201"/>
        <v>0</v>
      </c>
      <c r="N228" s="238">
        <f t="shared" si="201"/>
        <v>0</v>
      </c>
      <c r="O228" s="238">
        <f t="shared" si="201"/>
        <v>0</v>
      </c>
      <c r="P228" s="238">
        <f t="shared" si="201"/>
        <v>0</v>
      </c>
      <c r="Q228" s="238">
        <f t="shared" si="201"/>
        <v>0</v>
      </c>
      <c r="R228" s="238">
        <f t="shared" si="201"/>
        <v>0</v>
      </c>
      <c r="S228" s="238">
        <f t="shared" si="201"/>
        <v>0</v>
      </c>
      <c r="T228" s="238">
        <f t="shared" si="201"/>
        <v>0</v>
      </c>
      <c r="U228" s="238">
        <f t="shared" si="201"/>
        <v>0</v>
      </c>
      <c r="V228" s="231"/>
      <c r="W228" s="207"/>
      <c r="X228" s="240">
        <f t="shared" si="179"/>
        <v>0</v>
      </c>
      <c r="Y228" s="240">
        <f t="shared" si="180"/>
        <v>4.760117691919123E-3</v>
      </c>
      <c r="Z228" s="240">
        <f t="shared" si="181"/>
        <v>2.0992119021363335E-2</v>
      </c>
      <c r="AA228" s="240">
        <f t="shared" si="182"/>
        <v>0</v>
      </c>
      <c r="AB228" s="240">
        <f t="shared" si="183"/>
        <v>0</v>
      </c>
      <c r="AC228" s="240">
        <f t="shared" si="184"/>
        <v>0</v>
      </c>
      <c r="AD228" s="240">
        <f t="shared" si="191"/>
        <v>0</v>
      </c>
      <c r="AE228" s="240">
        <f t="shared" si="185"/>
        <v>0</v>
      </c>
      <c r="AF228" s="240">
        <f t="shared" si="186"/>
        <v>0</v>
      </c>
      <c r="AG228" s="240">
        <f t="shared" si="187"/>
        <v>0</v>
      </c>
      <c r="AH228" s="240">
        <f t="shared" si="188"/>
        <v>0</v>
      </c>
      <c r="AI228" s="240">
        <f t="shared" si="189"/>
        <v>0</v>
      </c>
      <c r="AK228" s="163"/>
      <c r="AL228" s="163"/>
    </row>
    <row r="229" spans="4:38" ht="13.5" customHeight="1" x14ac:dyDescent="0.25">
      <c r="D229" s="2" t="str">
        <f t="shared" si="177"/>
        <v>Rice</v>
      </c>
      <c r="E229" s="239">
        <f>OCPMarketShares!K119</f>
        <v>0</v>
      </c>
      <c r="F229" s="239">
        <f>OCPMarketShares!L119</f>
        <v>5.6300145254584474E-2</v>
      </c>
      <c r="G229" s="239">
        <f>OCPMarketShares!M119</f>
        <v>0.17691030337341598</v>
      </c>
      <c r="I229" s="31"/>
      <c r="J229" s="238">
        <f t="shared" ref="J229:U229" si="202">E135</f>
        <v>0.9</v>
      </c>
      <c r="K229" s="238">
        <f t="shared" si="202"/>
        <v>0.5</v>
      </c>
      <c r="L229" s="238">
        <f t="shared" si="202"/>
        <v>0.2</v>
      </c>
      <c r="M229" s="238">
        <f t="shared" si="202"/>
        <v>0.1</v>
      </c>
      <c r="N229" s="238">
        <f t="shared" si="202"/>
        <v>0.5</v>
      </c>
      <c r="O229" s="238">
        <f t="shared" si="202"/>
        <v>0.8</v>
      </c>
      <c r="P229" s="238">
        <f t="shared" si="202"/>
        <v>0</v>
      </c>
      <c r="Q229" s="238">
        <f t="shared" si="202"/>
        <v>0</v>
      </c>
      <c r="R229" s="238">
        <f t="shared" si="202"/>
        <v>0</v>
      </c>
      <c r="S229" s="238">
        <f t="shared" si="202"/>
        <v>0</v>
      </c>
      <c r="T229" s="238">
        <f t="shared" si="202"/>
        <v>0</v>
      </c>
      <c r="U229" s="238">
        <f t="shared" si="202"/>
        <v>0</v>
      </c>
      <c r="V229" s="231"/>
      <c r="W229" s="207"/>
      <c r="X229" s="240">
        <f t="shared" si="179"/>
        <v>0</v>
      </c>
      <c r="Y229" s="240">
        <f t="shared" si="180"/>
        <v>6.1195810059330946E-2</v>
      </c>
      <c r="Z229" s="240">
        <f t="shared" si="181"/>
        <v>7.6917523205833033E-2</v>
      </c>
      <c r="AA229" s="240">
        <f t="shared" si="182"/>
        <v>0</v>
      </c>
      <c r="AB229" s="240">
        <f t="shared" si="183"/>
        <v>6.1195810059330946E-2</v>
      </c>
      <c r="AC229" s="240">
        <f t="shared" si="184"/>
        <v>0.30767009282333213</v>
      </c>
      <c r="AD229" s="240">
        <f t="shared" si="191"/>
        <v>0</v>
      </c>
      <c r="AE229" s="240">
        <f t="shared" si="185"/>
        <v>0</v>
      </c>
      <c r="AF229" s="240">
        <f t="shared" si="186"/>
        <v>0</v>
      </c>
      <c r="AG229" s="240">
        <f t="shared" si="187"/>
        <v>0</v>
      </c>
      <c r="AH229" s="240">
        <f t="shared" si="188"/>
        <v>0</v>
      </c>
      <c r="AI229" s="240">
        <f t="shared" si="189"/>
        <v>0</v>
      </c>
      <c r="AK229" s="163"/>
      <c r="AL229" s="163"/>
    </row>
    <row r="230" spans="4:38" ht="13.5" customHeight="1" x14ac:dyDescent="0.25">
      <c r="D230" s="2" t="str">
        <f t="shared" si="177"/>
        <v>Onions and shallots, dry (excluding dehydrated)</v>
      </c>
      <c r="E230" s="239">
        <f>OCPMarketShares!K120</f>
        <v>0</v>
      </c>
      <c r="F230" s="239">
        <f>OCPMarketShares!L120</f>
        <v>1.7884829588871065E-3</v>
      </c>
      <c r="G230" s="239">
        <f>OCPMarketShares!M120</f>
        <v>7.8872098486921383E-3</v>
      </c>
      <c r="I230" s="31"/>
      <c r="J230" s="238">
        <f t="shared" ref="J230:U230" si="203">E136</f>
        <v>1</v>
      </c>
      <c r="K230" s="238">
        <f t="shared" si="203"/>
        <v>1</v>
      </c>
      <c r="L230" s="238">
        <f t="shared" si="203"/>
        <v>1</v>
      </c>
      <c r="M230" s="238">
        <f t="shared" si="203"/>
        <v>0</v>
      </c>
      <c r="N230" s="238">
        <f t="shared" si="203"/>
        <v>0</v>
      </c>
      <c r="O230" s="238">
        <f t="shared" si="203"/>
        <v>0</v>
      </c>
      <c r="P230" s="238">
        <f t="shared" si="203"/>
        <v>0</v>
      </c>
      <c r="Q230" s="238">
        <f t="shared" si="203"/>
        <v>0</v>
      </c>
      <c r="R230" s="238">
        <f t="shared" si="203"/>
        <v>0</v>
      </c>
      <c r="S230" s="238">
        <f t="shared" si="203"/>
        <v>0</v>
      </c>
      <c r="T230" s="238">
        <f t="shared" si="203"/>
        <v>0</v>
      </c>
      <c r="U230" s="238">
        <f t="shared" si="203"/>
        <v>0</v>
      </c>
      <c r="V230" s="231"/>
      <c r="W230" s="207"/>
      <c r="X230" s="240">
        <f t="shared" si="179"/>
        <v>0</v>
      </c>
      <c r="Y230" s="240">
        <f t="shared" si="180"/>
        <v>3.8880064323632748E-3</v>
      </c>
      <c r="Z230" s="240">
        <f t="shared" si="181"/>
        <v>1.7146108366722038E-2</v>
      </c>
      <c r="AA230" s="240">
        <f t="shared" si="182"/>
        <v>0</v>
      </c>
      <c r="AB230" s="240">
        <f t="shared" si="183"/>
        <v>0</v>
      </c>
      <c r="AC230" s="240">
        <f t="shared" si="184"/>
        <v>0</v>
      </c>
      <c r="AD230" s="240">
        <f t="shared" si="191"/>
        <v>0</v>
      </c>
      <c r="AE230" s="240">
        <f t="shared" si="185"/>
        <v>0</v>
      </c>
      <c r="AF230" s="240">
        <f t="shared" si="186"/>
        <v>0</v>
      </c>
      <c r="AG230" s="240">
        <f t="shared" si="187"/>
        <v>0</v>
      </c>
      <c r="AH230" s="240">
        <f t="shared" si="188"/>
        <v>0</v>
      </c>
      <c r="AI230" s="240">
        <f t="shared" si="189"/>
        <v>0</v>
      </c>
      <c r="AK230" s="163"/>
      <c r="AL230" s="163"/>
    </row>
    <row r="231" spans="4:38" ht="13.5" customHeight="1" x14ac:dyDescent="0.25">
      <c r="D231" s="2" t="str">
        <f t="shared" si="177"/>
        <v>Sugar cane</v>
      </c>
      <c r="E231" s="239">
        <f>OCPMarketShares!K121</f>
        <v>0</v>
      </c>
      <c r="F231" s="239">
        <f>OCPMarketShares!L121</f>
        <v>7.0478389088510521E-2</v>
      </c>
      <c r="G231" s="239">
        <f>OCPMarketShares!M121</f>
        <v>0.22965149976032198</v>
      </c>
      <c r="I231" s="31"/>
      <c r="J231" s="238">
        <f t="shared" ref="J231:U231" si="204">E137</f>
        <v>0.9</v>
      </c>
      <c r="K231" s="238">
        <f t="shared" si="204"/>
        <v>0.5</v>
      </c>
      <c r="L231" s="238">
        <f t="shared" si="204"/>
        <v>0.2</v>
      </c>
      <c r="M231" s="238">
        <f t="shared" si="204"/>
        <v>0.1</v>
      </c>
      <c r="N231" s="238">
        <f t="shared" si="204"/>
        <v>0.5</v>
      </c>
      <c r="O231" s="238">
        <f t="shared" si="204"/>
        <v>0.8</v>
      </c>
      <c r="P231" s="238">
        <f t="shared" si="204"/>
        <v>0</v>
      </c>
      <c r="Q231" s="238">
        <f t="shared" si="204"/>
        <v>0</v>
      </c>
      <c r="R231" s="238">
        <f t="shared" si="204"/>
        <v>0</v>
      </c>
      <c r="S231" s="238">
        <f t="shared" si="204"/>
        <v>0</v>
      </c>
      <c r="T231" s="238">
        <f t="shared" si="204"/>
        <v>0</v>
      </c>
      <c r="U231" s="238">
        <f t="shared" si="204"/>
        <v>0</v>
      </c>
      <c r="V231" s="231"/>
      <c r="W231" s="207"/>
      <c r="X231" s="240">
        <f t="shared" si="179"/>
        <v>0</v>
      </c>
      <c r="Y231" s="240">
        <f t="shared" si="180"/>
        <v>7.6606944661424481E-2</v>
      </c>
      <c r="Z231" s="240">
        <f t="shared" si="181"/>
        <v>9.984847815666173E-2</v>
      </c>
      <c r="AA231" s="240">
        <f t="shared" si="182"/>
        <v>0</v>
      </c>
      <c r="AB231" s="240">
        <f t="shared" si="183"/>
        <v>7.6606944661424481E-2</v>
      </c>
      <c r="AC231" s="240">
        <f t="shared" si="184"/>
        <v>0.39939391262664692</v>
      </c>
      <c r="AD231" s="240">
        <f t="shared" si="191"/>
        <v>0</v>
      </c>
      <c r="AE231" s="240">
        <f t="shared" si="185"/>
        <v>0</v>
      </c>
      <c r="AF231" s="240">
        <f t="shared" si="186"/>
        <v>0</v>
      </c>
      <c r="AG231" s="240">
        <f t="shared" si="187"/>
        <v>0</v>
      </c>
      <c r="AH231" s="240">
        <f t="shared" si="188"/>
        <v>0</v>
      </c>
      <c r="AI231" s="240">
        <f t="shared" si="189"/>
        <v>0</v>
      </c>
      <c r="AK231" s="163"/>
      <c r="AL231" s="163"/>
    </row>
    <row r="232" spans="4:38" ht="13.5" customHeight="1" x14ac:dyDescent="0.25">
      <c r="D232" s="2" t="str">
        <f t="shared" si="177"/>
        <v>Millet</v>
      </c>
      <c r="E232" s="239">
        <f>OCPMarketShares!K122</f>
        <v>0</v>
      </c>
      <c r="F232" s="239">
        <f>OCPMarketShares!L122</f>
        <v>2.4590479504472866E-3</v>
      </c>
      <c r="G232" s="239">
        <f>OCPMarketShares!M122</f>
        <v>8.1333010961044012E-3</v>
      </c>
      <c r="I232" s="31"/>
      <c r="J232" s="238">
        <f t="shared" ref="J232:U232" si="205">E138</f>
        <v>0.75</v>
      </c>
      <c r="K232" s="238">
        <f t="shared" si="205"/>
        <v>0.5</v>
      </c>
      <c r="L232" s="238">
        <f t="shared" si="205"/>
        <v>0</v>
      </c>
      <c r="M232" s="238">
        <f t="shared" si="205"/>
        <v>0</v>
      </c>
      <c r="N232" s="238">
        <f t="shared" si="205"/>
        <v>0</v>
      </c>
      <c r="O232" s="238">
        <f t="shared" si="205"/>
        <v>0</v>
      </c>
      <c r="P232" s="238">
        <f t="shared" si="205"/>
        <v>0.25</v>
      </c>
      <c r="Q232" s="238">
        <f t="shared" si="205"/>
        <v>0.5</v>
      </c>
      <c r="R232" s="238">
        <f t="shared" si="205"/>
        <v>1</v>
      </c>
      <c r="S232" s="238">
        <f t="shared" si="205"/>
        <v>0</v>
      </c>
      <c r="T232" s="238">
        <f t="shared" si="205"/>
        <v>0</v>
      </c>
      <c r="U232" s="238">
        <f t="shared" si="205"/>
        <v>0</v>
      </c>
      <c r="V232" s="231"/>
      <c r="W232" s="207"/>
      <c r="X232" s="240">
        <f t="shared" si="179"/>
        <v>0</v>
      </c>
      <c r="Y232" s="240">
        <f t="shared" si="180"/>
        <v>2.67287820700792E-3</v>
      </c>
      <c r="Z232" s="240">
        <f t="shared" si="181"/>
        <v>0</v>
      </c>
      <c r="AA232" s="240">
        <f t="shared" si="182"/>
        <v>0</v>
      </c>
      <c r="AB232" s="240">
        <f t="shared" si="183"/>
        <v>0</v>
      </c>
      <c r="AC232" s="240">
        <f t="shared" si="184"/>
        <v>0</v>
      </c>
      <c r="AD232" s="240">
        <f t="shared" si="191"/>
        <v>0</v>
      </c>
      <c r="AE232" s="240">
        <f t="shared" si="185"/>
        <v>2.67287820700792E-3</v>
      </c>
      <c r="AF232" s="240">
        <f t="shared" si="186"/>
        <v>1.7681089339357393E-2</v>
      </c>
      <c r="AG232" s="240">
        <f t="shared" si="187"/>
        <v>0</v>
      </c>
      <c r="AH232" s="240">
        <f t="shared" si="188"/>
        <v>0</v>
      </c>
      <c r="AI232" s="240">
        <f t="shared" si="189"/>
        <v>0</v>
      </c>
      <c r="AK232" s="163"/>
      <c r="AL232" s="163"/>
    </row>
    <row r="233" spans="4:38" ht="13.5" customHeight="1" x14ac:dyDescent="0.25">
      <c r="D233" s="2" t="str">
        <f t="shared" si="177"/>
        <v>Cocoa beans</v>
      </c>
      <c r="E233" s="239">
        <f>OCPMarketShares!K123</f>
        <v>0</v>
      </c>
      <c r="F233" s="239">
        <f>OCPMarketShares!L123</f>
        <v>4.8131918654660176E-2</v>
      </c>
      <c r="G233" s="239">
        <f>OCPMarketShares!M123</f>
        <v>0.15550642399720901</v>
      </c>
      <c r="I233" s="31"/>
      <c r="J233" s="238">
        <f t="shared" ref="J233:U233" si="206">E139</f>
        <v>0.9</v>
      </c>
      <c r="K233" s="238">
        <f t="shared" si="206"/>
        <v>0.5</v>
      </c>
      <c r="L233" s="238">
        <f t="shared" si="206"/>
        <v>0.2</v>
      </c>
      <c r="M233" s="238">
        <f t="shared" si="206"/>
        <v>0.1</v>
      </c>
      <c r="N233" s="238">
        <f t="shared" si="206"/>
        <v>0.5</v>
      </c>
      <c r="O233" s="238">
        <f t="shared" si="206"/>
        <v>0.8</v>
      </c>
      <c r="P233" s="238">
        <f t="shared" si="206"/>
        <v>0</v>
      </c>
      <c r="Q233" s="238">
        <f t="shared" si="206"/>
        <v>0</v>
      </c>
      <c r="R233" s="238">
        <f t="shared" si="206"/>
        <v>0</v>
      </c>
      <c r="S233" s="238">
        <f t="shared" si="206"/>
        <v>0</v>
      </c>
      <c r="T233" s="238">
        <f t="shared" si="206"/>
        <v>0</v>
      </c>
      <c r="U233" s="238">
        <f t="shared" si="206"/>
        <v>0</v>
      </c>
      <c r="V233" s="231"/>
      <c r="W233" s="207"/>
      <c r="X233" s="240">
        <f t="shared" si="179"/>
        <v>0</v>
      </c>
      <c r="Y233" s="240">
        <f t="shared" si="180"/>
        <v>5.231730288550019E-2</v>
      </c>
      <c r="Z233" s="240">
        <f t="shared" si="181"/>
        <v>6.7611488694438698E-2</v>
      </c>
      <c r="AA233" s="240">
        <f t="shared" si="182"/>
        <v>0</v>
      </c>
      <c r="AB233" s="240">
        <f t="shared" si="183"/>
        <v>5.231730288550019E-2</v>
      </c>
      <c r="AC233" s="240">
        <f t="shared" si="184"/>
        <v>0.27044595477775479</v>
      </c>
      <c r="AD233" s="240">
        <f t="shared" si="191"/>
        <v>0</v>
      </c>
      <c r="AE233" s="240">
        <f t="shared" si="185"/>
        <v>0</v>
      </c>
      <c r="AF233" s="240">
        <f t="shared" si="186"/>
        <v>0</v>
      </c>
      <c r="AG233" s="240">
        <f t="shared" si="187"/>
        <v>0</v>
      </c>
      <c r="AH233" s="240">
        <f t="shared" si="188"/>
        <v>0</v>
      </c>
      <c r="AI233" s="240">
        <f t="shared" si="189"/>
        <v>0</v>
      </c>
      <c r="AK233" s="163"/>
      <c r="AL233" s="163"/>
    </row>
    <row r="234" spans="4:38" ht="13.5" customHeight="1" x14ac:dyDescent="0.25">
      <c r="D234" s="2" t="str">
        <f t="shared" si="177"/>
        <v>Other oil seeds, n.e.c.</v>
      </c>
      <c r="E234" s="239">
        <f>OCPMarketShares!K124</f>
        <v>0</v>
      </c>
      <c r="F234" s="239">
        <f>OCPMarketShares!L124</f>
        <v>1.1440779576326898E-3</v>
      </c>
      <c r="G234" s="239">
        <f>OCPMarketShares!M124</f>
        <v>5.0170532149619411E-3</v>
      </c>
      <c r="I234" s="31"/>
      <c r="J234" s="238">
        <f t="shared" ref="J234:U234" si="207">E140</f>
        <v>0.9</v>
      </c>
      <c r="K234" s="238">
        <f t="shared" si="207"/>
        <v>0.5</v>
      </c>
      <c r="L234" s="238">
        <f t="shared" si="207"/>
        <v>0.2</v>
      </c>
      <c r="M234" s="238">
        <f t="shared" si="207"/>
        <v>0.1</v>
      </c>
      <c r="N234" s="238">
        <f t="shared" si="207"/>
        <v>0.5</v>
      </c>
      <c r="O234" s="238">
        <f t="shared" si="207"/>
        <v>0.8</v>
      </c>
      <c r="P234" s="238">
        <f t="shared" si="207"/>
        <v>0</v>
      </c>
      <c r="Q234" s="238">
        <f t="shared" si="207"/>
        <v>0</v>
      </c>
      <c r="R234" s="238">
        <f t="shared" si="207"/>
        <v>0</v>
      </c>
      <c r="S234" s="238">
        <f t="shared" si="207"/>
        <v>0</v>
      </c>
      <c r="T234" s="238">
        <f t="shared" si="207"/>
        <v>0</v>
      </c>
      <c r="U234" s="238">
        <f t="shared" si="207"/>
        <v>0</v>
      </c>
      <c r="V234" s="231"/>
      <c r="W234" s="207"/>
      <c r="X234" s="240">
        <f t="shared" si="179"/>
        <v>0</v>
      </c>
      <c r="Y234" s="240">
        <f t="shared" si="180"/>
        <v>1.2435629974268366E-3</v>
      </c>
      <c r="Z234" s="240">
        <f t="shared" si="181"/>
        <v>2.1813274847660613E-3</v>
      </c>
      <c r="AA234" s="240">
        <f t="shared" si="182"/>
        <v>0</v>
      </c>
      <c r="AB234" s="240">
        <f t="shared" si="183"/>
        <v>1.2435629974268366E-3</v>
      </c>
      <c r="AC234" s="240">
        <f t="shared" si="184"/>
        <v>8.7253099390642453E-3</v>
      </c>
      <c r="AD234" s="240">
        <f t="shared" si="191"/>
        <v>0</v>
      </c>
      <c r="AE234" s="240">
        <f t="shared" si="185"/>
        <v>0</v>
      </c>
      <c r="AF234" s="240">
        <f t="shared" si="186"/>
        <v>0</v>
      </c>
      <c r="AG234" s="240">
        <f t="shared" si="187"/>
        <v>0</v>
      </c>
      <c r="AH234" s="240">
        <f t="shared" si="188"/>
        <v>0</v>
      </c>
      <c r="AI234" s="240">
        <f t="shared" si="189"/>
        <v>0</v>
      </c>
      <c r="AK234" s="163"/>
      <c r="AL234" s="163"/>
    </row>
    <row r="235" spans="4:38" ht="13.5" customHeight="1" x14ac:dyDescent="0.25">
      <c r="D235" s="2" t="str">
        <f t="shared" si="177"/>
        <v>Soya beans</v>
      </c>
      <c r="E235" s="239">
        <f>OCPMarketShares!K125</f>
        <v>0</v>
      </c>
      <c r="F235" s="239">
        <f>OCPMarketShares!L125</f>
        <v>1.1505531953070891E-2</v>
      </c>
      <c r="G235" s="239">
        <f>OCPMarketShares!M125</f>
        <v>3.0848117492973295E-2</v>
      </c>
      <c r="I235" s="31"/>
      <c r="J235" s="238">
        <f t="shared" ref="J235:U235" si="208">E141</f>
        <v>0.9</v>
      </c>
      <c r="K235" s="238">
        <f t="shared" si="208"/>
        <v>0.5</v>
      </c>
      <c r="L235" s="238">
        <f t="shared" si="208"/>
        <v>0.2</v>
      </c>
      <c r="M235" s="238">
        <f t="shared" si="208"/>
        <v>0.1</v>
      </c>
      <c r="N235" s="238">
        <f t="shared" si="208"/>
        <v>0.5</v>
      </c>
      <c r="O235" s="238">
        <f t="shared" si="208"/>
        <v>0.8</v>
      </c>
      <c r="P235" s="238">
        <f t="shared" si="208"/>
        <v>0</v>
      </c>
      <c r="Q235" s="238">
        <f t="shared" si="208"/>
        <v>0</v>
      </c>
      <c r="R235" s="238">
        <f t="shared" si="208"/>
        <v>0</v>
      </c>
      <c r="S235" s="238">
        <f t="shared" si="208"/>
        <v>0</v>
      </c>
      <c r="T235" s="238">
        <f t="shared" si="208"/>
        <v>0</v>
      </c>
      <c r="U235" s="238">
        <f t="shared" si="208"/>
        <v>0</v>
      </c>
      <c r="V235" s="231"/>
      <c r="W235" s="204"/>
      <c r="X235" s="240">
        <f t="shared" si="179"/>
        <v>0</v>
      </c>
      <c r="Y235" s="240">
        <f t="shared" si="180"/>
        <v>1.250601299246836E-2</v>
      </c>
      <c r="Z235" s="240">
        <f t="shared" si="181"/>
        <v>1.3412224996944911E-2</v>
      </c>
      <c r="AA235" s="240">
        <f t="shared" si="182"/>
        <v>0</v>
      </c>
      <c r="AB235" s="240">
        <f t="shared" si="183"/>
        <v>1.250601299246836E-2</v>
      </c>
      <c r="AC235" s="240">
        <f t="shared" si="184"/>
        <v>5.3648899987779643E-2</v>
      </c>
      <c r="AD235" s="240">
        <f t="shared" si="191"/>
        <v>0</v>
      </c>
      <c r="AE235" s="240">
        <f t="shared" si="185"/>
        <v>0</v>
      </c>
      <c r="AF235" s="240">
        <f t="shared" si="186"/>
        <v>0</v>
      </c>
      <c r="AG235" s="240">
        <f t="shared" si="187"/>
        <v>0</v>
      </c>
      <c r="AH235" s="240">
        <f t="shared" si="188"/>
        <v>0</v>
      </c>
      <c r="AI235" s="240">
        <f t="shared" si="189"/>
        <v>0</v>
      </c>
      <c r="AK235" s="163"/>
      <c r="AL235" s="163"/>
    </row>
    <row r="236" spans="4:38" ht="13.5" customHeight="1" x14ac:dyDescent="0.25">
      <c r="D236" s="2" t="str">
        <f t="shared" si="177"/>
        <v>Pigeon peas, dry</v>
      </c>
      <c r="E236" s="239">
        <f>OCPMarketShares!K126</f>
        <v>0</v>
      </c>
      <c r="F236" s="239">
        <f>OCPMarketShares!L126</f>
        <v>5.3277407049028254E-3</v>
      </c>
      <c r="G236" s="239">
        <f>OCPMarketShares!M126</f>
        <v>1.4486686994958305E-2</v>
      </c>
      <c r="I236" s="31"/>
      <c r="J236" s="238">
        <f t="shared" ref="J236:U236" si="209">E142</f>
        <v>0.9</v>
      </c>
      <c r="K236" s="238">
        <f t="shared" si="209"/>
        <v>0.5</v>
      </c>
      <c r="L236" s="238">
        <f t="shared" si="209"/>
        <v>0.2</v>
      </c>
      <c r="M236" s="238">
        <f t="shared" si="209"/>
        <v>0.1</v>
      </c>
      <c r="N236" s="238">
        <f t="shared" si="209"/>
        <v>0.5</v>
      </c>
      <c r="O236" s="238">
        <f t="shared" si="209"/>
        <v>0.8</v>
      </c>
      <c r="P236" s="238">
        <f t="shared" si="209"/>
        <v>0</v>
      </c>
      <c r="Q236" s="238">
        <f t="shared" si="209"/>
        <v>0</v>
      </c>
      <c r="R236" s="238">
        <f t="shared" si="209"/>
        <v>0</v>
      </c>
      <c r="S236" s="238">
        <f t="shared" si="209"/>
        <v>0</v>
      </c>
      <c r="T236" s="238">
        <f t="shared" si="209"/>
        <v>0</v>
      </c>
      <c r="U236" s="238">
        <f t="shared" si="209"/>
        <v>0</v>
      </c>
      <c r="V236" s="231"/>
      <c r="W236" s="204"/>
      <c r="X236" s="240">
        <f t="shared" si="179"/>
        <v>0</v>
      </c>
      <c r="Y236" s="240">
        <f t="shared" si="180"/>
        <v>5.7910225053291577E-3</v>
      </c>
      <c r="Z236" s="240">
        <f t="shared" si="181"/>
        <v>6.2985595630253499E-3</v>
      </c>
      <c r="AA236" s="240">
        <f t="shared" si="182"/>
        <v>0</v>
      </c>
      <c r="AB236" s="240">
        <f t="shared" si="183"/>
        <v>5.7910225053291577E-3</v>
      </c>
      <c r="AC236" s="240">
        <f t="shared" si="184"/>
        <v>2.51942382521014E-2</v>
      </c>
      <c r="AD236" s="240">
        <f t="shared" si="191"/>
        <v>0</v>
      </c>
      <c r="AE236" s="240">
        <f t="shared" si="185"/>
        <v>0</v>
      </c>
      <c r="AF236" s="240">
        <f t="shared" si="186"/>
        <v>0</v>
      </c>
      <c r="AG236" s="240">
        <f t="shared" si="187"/>
        <v>0</v>
      </c>
      <c r="AH236" s="240">
        <f t="shared" si="188"/>
        <v>0</v>
      </c>
      <c r="AI236" s="240">
        <f t="shared" si="189"/>
        <v>0</v>
      </c>
      <c r="AK236" s="163"/>
      <c r="AL236" s="163"/>
    </row>
    <row r="237" spans="4:38" ht="13.5" customHeight="1" x14ac:dyDescent="0.25">
      <c r="D237" s="2" t="str">
        <f t="shared" si="177"/>
        <v>Potatoes</v>
      </c>
      <c r="E237" s="239">
        <f>OCPMarketShares!K127</f>
        <v>0</v>
      </c>
      <c r="F237" s="239">
        <f>OCPMarketShares!L127</f>
        <v>1.8099168974382571E-3</v>
      </c>
      <c r="G237" s="239">
        <f>OCPMarketShares!M127</f>
        <v>6.0130456794102978E-3</v>
      </c>
      <c r="I237" s="31"/>
      <c r="J237" s="238">
        <f t="shared" ref="J237:U237" si="210">E143</f>
        <v>1</v>
      </c>
      <c r="K237" s="238">
        <f t="shared" si="210"/>
        <v>0.75</v>
      </c>
      <c r="L237" s="238">
        <f t="shared" si="210"/>
        <v>0.5</v>
      </c>
      <c r="M237" s="238">
        <f t="shared" si="210"/>
        <v>0</v>
      </c>
      <c r="N237" s="238">
        <f t="shared" si="210"/>
        <v>0</v>
      </c>
      <c r="O237" s="238">
        <f t="shared" si="210"/>
        <v>0</v>
      </c>
      <c r="P237" s="238">
        <f t="shared" si="210"/>
        <v>0</v>
      </c>
      <c r="Q237" s="238">
        <f t="shared" si="210"/>
        <v>0.25</v>
      </c>
      <c r="R237" s="238">
        <f t="shared" si="210"/>
        <v>0.5</v>
      </c>
      <c r="S237" s="238">
        <f t="shared" si="210"/>
        <v>0</v>
      </c>
      <c r="T237" s="238">
        <f t="shared" si="210"/>
        <v>0</v>
      </c>
      <c r="U237" s="238">
        <f t="shared" si="210"/>
        <v>0</v>
      </c>
      <c r="V237" s="231"/>
      <c r="W237" s="204"/>
      <c r="X237" s="240">
        <f t="shared" si="179"/>
        <v>0</v>
      </c>
      <c r="Y237" s="240">
        <f t="shared" si="180"/>
        <v>2.9509514632145495E-3</v>
      </c>
      <c r="Z237" s="240">
        <f t="shared" si="181"/>
        <v>6.5359192167503237E-3</v>
      </c>
      <c r="AA237" s="240">
        <f t="shared" si="182"/>
        <v>0</v>
      </c>
      <c r="AB237" s="240">
        <f t="shared" si="183"/>
        <v>0</v>
      </c>
      <c r="AC237" s="240">
        <f t="shared" si="184"/>
        <v>0</v>
      </c>
      <c r="AD237" s="240">
        <f t="shared" si="191"/>
        <v>0</v>
      </c>
      <c r="AE237" s="240">
        <f t="shared" si="185"/>
        <v>9.8365048773818315E-4</v>
      </c>
      <c r="AF237" s="240">
        <f t="shared" si="186"/>
        <v>6.5359192167503237E-3</v>
      </c>
      <c r="AG237" s="240">
        <f t="shared" si="187"/>
        <v>0</v>
      </c>
      <c r="AH237" s="240">
        <f t="shared" si="188"/>
        <v>0</v>
      </c>
      <c r="AI237" s="240">
        <f t="shared" si="189"/>
        <v>0</v>
      </c>
      <c r="AK237" s="163"/>
      <c r="AL237" s="163"/>
    </row>
    <row r="238" spans="4:38" ht="13.5" customHeight="1" x14ac:dyDescent="0.25">
      <c r="D238" s="2" t="str">
        <f t="shared" si="177"/>
        <v>Tea leaves</v>
      </c>
      <c r="E238" s="239">
        <f>OCPMarketShares!K128</f>
        <v>0</v>
      </c>
      <c r="F238" s="239">
        <f>OCPMarketShares!L128</f>
        <v>2.4268174788901029E-3</v>
      </c>
      <c r="G238" s="239">
        <f>OCPMarketShares!M128</f>
        <v>9.8965167139506184E-3</v>
      </c>
      <c r="I238" s="31"/>
      <c r="J238" s="238">
        <f t="shared" ref="J238:U238" si="211">E144</f>
        <v>1</v>
      </c>
      <c r="K238" s="238">
        <f t="shared" si="211"/>
        <v>1</v>
      </c>
      <c r="L238" s="238">
        <f t="shared" si="211"/>
        <v>1</v>
      </c>
      <c r="M238" s="238">
        <f t="shared" si="211"/>
        <v>0</v>
      </c>
      <c r="N238" s="238">
        <f t="shared" si="211"/>
        <v>0</v>
      </c>
      <c r="O238" s="238">
        <f t="shared" si="211"/>
        <v>0</v>
      </c>
      <c r="P238" s="238">
        <f t="shared" si="211"/>
        <v>0</v>
      </c>
      <c r="Q238" s="238">
        <f t="shared" si="211"/>
        <v>0</v>
      </c>
      <c r="R238" s="238">
        <f t="shared" si="211"/>
        <v>0</v>
      </c>
      <c r="S238" s="238">
        <f t="shared" si="211"/>
        <v>0</v>
      </c>
      <c r="T238" s="238">
        <f t="shared" si="211"/>
        <v>0</v>
      </c>
      <c r="U238" s="238">
        <f t="shared" si="211"/>
        <v>0</v>
      </c>
      <c r="V238" s="231"/>
      <c r="W238" s="204"/>
      <c r="X238" s="240">
        <f t="shared" si="179"/>
        <v>0</v>
      </c>
      <c r="Y238" s="240">
        <f t="shared" si="180"/>
        <v>5.2756901715002233E-3</v>
      </c>
      <c r="Z238" s="240">
        <f t="shared" si="181"/>
        <v>2.1514166769457867E-2</v>
      </c>
      <c r="AA238" s="240">
        <f t="shared" si="182"/>
        <v>0</v>
      </c>
      <c r="AB238" s="240">
        <f t="shared" si="183"/>
        <v>0</v>
      </c>
      <c r="AC238" s="240">
        <f t="shared" si="184"/>
        <v>0</v>
      </c>
      <c r="AD238" s="240">
        <f t="shared" si="191"/>
        <v>0</v>
      </c>
      <c r="AE238" s="240">
        <f t="shared" si="185"/>
        <v>0</v>
      </c>
      <c r="AF238" s="240">
        <f t="shared" si="186"/>
        <v>0</v>
      </c>
      <c r="AG238" s="240">
        <f t="shared" si="187"/>
        <v>0</v>
      </c>
      <c r="AH238" s="240">
        <f t="shared" si="188"/>
        <v>0</v>
      </c>
      <c r="AI238" s="240">
        <f t="shared" si="189"/>
        <v>0</v>
      </c>
      <c r="AK238" s="163"/>
      <c r="AL238" s="163"/>
    </row>
    <row r="239" spans="4:38" ht="13.5" customHeight="1" x14ac:dyDescent="0.25">
      <c r="D239" s="2" t="str">
        <f t="shared" si="177"/>
        <v>Cow peas, dry</v>
      </c>
      <c r="E239" s="239">
        <f>OCPMarketShares!K129</f>
        <v>0</v>
      </c>
      <c r="F239" s="239">
        <f>OCPMarketShares!L129</f>
        <v>4.2965385484325744E-3</v>
      </c>
      <c r="G239" s="239">
        <f>OCPMarketShares!M129</f>
        <v>1.197843076714946E-2</v>
      </c>
      <c r="I239" s="31"/>
      <c r="J239" s="238">
        <f t="shared" ref="J239:U239" si="212">E145</f>
        <v>0.9</v>
      </c>
      <c r="K239" s="238">
        <f t="shared" si="212"/>
        <v>0.5</v>
      </c>
      <c r="L239" s="238">
        <f t="shared" si="212"/>
        <v>0.2</v>
      </c>
      <c r="M239" s="238">
        <f t="shared" si="212"/>
        <v>0.1</v>
      </c>
      <c r="N239" s="238">
        <f t="shared" si="212"/>
        <v>0.5</v>
      </c>
      <c r="O239" s="238">
        <f t="shared" si="212"/>
        <v>0.8</v>
      </c>
      <c r="P239" s="238">
        <f t="shared" si="212"/>
        <v>0</v>
      </c>
      <c r="Q239" s="238">
        <f t="shared" si="212"/>
        <v>0</v>
      </c>
      <c r="R239" s="238">
        <f t="shared" si="212"/>
        <v>0</v>
      </c>
      <c r="S239" s="238">
        <f t="shared" si="212"/>
        <v>0</v>
      </c>
      <c r="T239" s="238">
        <f t="shared" si="212"/>
        <v>0</v>
      </c>
      <c r="U239" s="238">
        <f t="shared" si="212"/>
        <v>0</v>
      </c>
      <c r="V239" s="231"/>
      <c r="W239" s="204"/>
      <c r="X239" s="240">
        <f t="shared" si="179"/>
        <v>0</v>
      </c>
      <c r="Y239" s="240">
        <f t="shared" si="180"/>
        <v>4.6701505961223629E-3</v>
      </c>
      <c r="Z239" s="240">
        <f t="shared" si="181"/>
        <v>5.2080133770215043E-3</v>
      </c>
      <c r="AA239" s="240">
        <f t="shared" si="182"/>
        <v>0</v>
      </c>
      <c r="AB239" s="240">
        <f t="shared" si="183"/>
        <v>4.6701505961223629E-3</v>
      </c>
      <c r="AC239" s="240">
        <f t="shared" si="184"/>
        <v>2.0832053508086017E-2</v>
      </c>
      <c r="AD239" s="240">
        <f t="shared" si="191"/>
        <v>0</v>
      </c>
      <c r="AE239" s="240">
        <f t="shared" si="185"/>
        <v>0</v>
      </c>
      <c r="AF239" s="240">
        <f t="shared" si="186"/>
        <v>0</v>
      </c>
      <c r="AG239" s="240">
        <f t="shared" si="187"/>
        <v>0</v>
      </c>
      <c r="AH239" s="240">
        <f t="shared" si="188"/>
        <v>0</v>
      </c>
      <c r="AI239" s="240">
        <f t="shared" si="189"/>
        <v>0</v>
      </c>
      <c r="AK239" s="163"/>
      <c r="AL239" s="163"/>
    </row>
    <row r="240" spans="4:38" ht="13.5" customHeight="1" thickBot="1" x14ac:dyDescent="0.3">
      <c r="D240" s="2" t="str">
        <f t="shared" si="177"/>
        <v>Peas, dry</v>
      </c>
      <c r="E240" s="239">
        <f>OCPMarketShares!K130</f>
        <v>0</v>
      </c>
      <c r="F240" s="239">
        <f>OCPMarketShares!L130</f>
        <v>3.1278209047938201E-3</v>
      </c>
      <c r="G240" s="239">
        <f>OCPMarketShares!M130</f>
        <v>8.3741122242588905E-3</v>
      </c>
      <c r="I240" s="31"/>
      <c r="J240" s="238">
        <f t="shared" ref="J240:U240" si="213">E146</f>
        <v>0.9</v>
      </c>
      <c r="K240" s="238">
        <f t="shared" si="213"/>
        <v>0.5</v>
      </c>
      <c r="L240" s="238">
        <f t="shared" si="213"/>
        <v>0.2</v>
      </c>
      <c r="M240" s="238">
        <f t="shared" si="213"/>
        <v>0.1</v>
      </c>
      <c r="N240" s="238">
        <f t="shared" si="213"/>
        <v>0.5</v>
      </c>
      <c r="O240" s="238">
        <f t="shared" si="213"/>
        <v>0.8</v>
      </c>
      <c r="P240" s="238">
        <f t="shared" si="213"/>
        <v>0</v>
      </c>
      <c r="Q240" s="238">
        <f t="shared" si="213"/>
        <v>0</v>
      </c>
      <c r="R240" s="238">
        <f t="shared" si="213"/>
        <v>0</v>
      </c>
      <c r="S240" s="238">
        <f t="shared" si="213"/>
        <v>0</v>
      </c>
      <c r="T240" s="238">
        <f t="shared" si="213"/>
        <v>0</v>
      </c>
      <c r="U240" s="238">
        <f t="shared" si="213"/>
        <v>0</v>
      </c>
      <c r="V240" s="231"/>
      <c r="W240" s="204"/>
      <c r="X240" s="240">
        <f t="shared" si="179"/>
        <v>0</v>
      </c>
      <c r="Y240" s="240">
        <f t="shared" si="180"/>
        <v>3.3998053312976305E-3</v>
      </c>
      <c r="Z240" s="240">
        <f t="shared" si="181"/>
        <v>3.6409183583734307E-3</v>
      </c>
      <c r="AA240" s="240">
        <f t="shared" si="182"/>
        <v>0</v>
      </c>
      <c r="AB240" s="240">
        <f t="shared" si="183"/>
        <v>3.3998053312976305E-3</v>
      </c>
      <c r="AC240" s="240">
        <f t="shared" si="184"/>
        <v>1.4563673433493723E-2</v>
      </c>
      <c r="AD240" s="240">
        <f t="shared" si="191"/>
        <v>0</v>
      </c>
      <c r="AE240" s="240">
        <f t="shared" si="185"/>
        <v>0</v>
      </c>
      <c r="AF240" s="240">
        <f t="shared" si="186"/>
        <v>0</v>
      </c>
      <c r="AG240" s="240">
        <f t="shared" si="187"/>
        <v>0</v>
      </c>
      <c r="AH240" s="240">
        <f t="shared" si="188"/>
        <v>0</v>
      </c>
      <c r="AI240" s="240">
        <f t="shared" si="189"/>
        <v>0</v>
      </c>
      <c r="AK240" s="163"/>
      <c r="AL240" s="163"/>
    </row>
    <row r="241" spans="4:39" ht="13.5" customHeight="1" thickTop="1" thickBot="1" x14ac:dyDescent="0.3">
      <c r="D241" s="99" t="s">
        <v>13</v>
      </c>
      <c r="E241" s="123">
        <f>SUM(E217:E240)</f>
        <v>0</v>
      </c>
      <c r="F241" s="123">
        <f>SUM(F217:F240)</f>
        <v>1.5006854931409055</v>
      </c>
      <c r="G241" s="123">
        <f>SUM(G217:G240)</f>
        <v>4.904257503635769</v>
      </c>
      <c r="I241" s="31"/>
      <c r="J241" s="150"/>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K241" s="163"/>
      <c r="AL241" s="163"/>
    </row>
    <row r="242" spans="4:39" ht="13.5" customHeight="1" thickTop="1" thickBot="1" x14ac:dyDescent="0.3">
      <c r="D242" s="97" t="s">
        <v>205</v>
      </c>
      <c r="E242" s="233">
        <f t="shared" ref="E242:G242" si="214">E241/46%</f>
        <v>0</v>
      </c>
      <c r="F242" s="233">
        <f t="shared" si="214"/>
        <v>3.2623597676976206</v>
      </c>
      <c r="G242" s="233">
        <f t="shared" si="214"/>
        <v>10.661429355729933</v>
      </c>
      <c r="I242" s="31"/>
      <c r="J242" s="31"/>
      <c r="W242" s="1" t="s">
        <v>206</v>
      </c>
      <c r="X242" s="232">
        <f t="shared" ref="X242:AC242" si="215">SUM(X217:X240)</f>
        <v>0</v>
      </c>
      <c r="Y242" s="232">
        <f t="shared" si="215"/>
        <v>1.7443338553255692</v>
      </c>
      <c r="Z242" s="232">
        <f t="shared" si="215"/>
        <v>1.6474356320721781</v>
      </c>
      <c r="AA242" s="232">
        <f t="shared" si="215"/>
        <v>0</v>
      </c>
      <c r="AB242" s="232">
        <f t="shared" si="215"/>
        <v>0.634573531991247</v>
      </c>
      <c r="AC242" s="232">
        <f t="shared" si="215"/>
        <v>3.1707163618915484</v>
      </c>
      <c r="AD242" s="232">
        <f t="shared" ref="AD242:AI242" si="216">SUM(AD217:AD240)</f>
        <v>0</v>
      </c>
      <c r="AE242" s="232">
        <f t="shared" si="216"/>
        <v>0.88345238038080309</v>
      </c>
      <c r="AF242" s="232">
        <f t="shared" si="216"/>
        <v>5.8432773617662086</v>
      </c>
      <c r="AG242" s="232">
        <f t="shared" si="216"/>
        <v>0</v>
      </c>
      <c r="AH242" s="232">
        <f t="shared" si="216"/>
        <v>0</v>
      </c>
      <c r="AI242" s="232">
        <f t="shared" si="216"/>
        <v>0</v>
      </c>
      <c r="AK242" s="163"/>
      <c r="AL242" s="163"/>
    </row>
    <row r="243" spans="4:39" ht="13.5" customHeight="1" thickTop="1" x14ac:dyDescent="0.25">
      <c r="I243" s="31"/>
      <c r="J243" s="31"/>
      <c r="S243" s="218"/>
      <c r="AK243" s="176"/>
      <c r="AL243" s="163"/>
    </row>
    <row r="244" spans="4:39" ht="13.5" customHeight="1" x14ac:dyDescent="0.3">
      <c r="D244" s="30" t="s">
        <v>189</v>
      </c>
      <c r="E244" s="34">
        <v>2023</v>
      </c>
      <c r="F244" s="34">
        <v>2024</v>
      </c>
      <c r="G244" s="34">
        <v>2025</v>
      </c>
      <c r="I244" s="31"/>
      <c r="J244" s="219">
        <v>2023</v>
      </c>
      <c r="K244" s="219">
        <v>2024</v>
      </c>
      <c r="L244" s="219">
        <v>2025</v>
      </c>
      <c r="M244" s="219">
        <v>2023</v>
      </c>
      <c r="N244" s="219">
        <v>2024</v>
      </c>
      <c r="O244" s="219">
        <v>2025</v>
      </c>
      <c r="P244" s="219">
        <v>2023</v>
      </c>
      <c r="Q244" s="219">
        <v>2024</v>
      </c>
      <c r="R244" s="219">
        <v>2025</v>
      </c>
      <c r="S244" s="219">
        <v>2023</v>
      </c>
      <c r="T244" s="219">
        <v>2024</v>
      </c>
      <c r="U244" s="219">
        <v>2025</v>
      </c>
      <c r="V244" s="228"/>
      <c r="W244" s="229"/>
      <c r="X244" s="230">
        <v>2023</v>
      </c>
      <c r="Y244" s="230">
        <v>2024</v>
      </c>
      <c r="Z244" s="230">
        <v>2025</v>
      </c>
      <c r="AA244" s="230">
        <v>2023</v>
      </c>
      <c r="AB244" s="230">
        <v>2024</v>
      </c>
      <c r="AC244" s="230">
        <v>2025</v>
      </c>
      <c r="AD244" s="230">
        <v>2023</v>
      </c>
      <c r="AE244" s="230">
        <v>2024</v>
      </c>
      <c r="AF244" s="230">
        <v>2025</v>
      </c>
      <c r="AG244" s="230">
        <v>2023</v>
      </c>
      <c r="AH244" s="230">
        <v>2024</v>
      </c>
      <c r="AI244" s="230">
        <v>2025</v>
      </c>
      <c r="AK244" s="331"/>
      <c r="AL244" s="331"/>
      <c r="AM244" s="331"/>
    </row>
    <row r="245" spans="4:39" ht="13.5" customHeight="1" x14ac:dyDescent="0.25">
      <c r="D245" s="2" t="str">
        <f t="shared" ref="D245:D268" si="217">+D217</f>
        <v>Plantains and cooking bananas</v>
      </c>
      <c r="E245" s="239">
        <f>OCPMarketShares!K134</f>
        <v>0</v>
      </c>
      <c r="F245" s="239">
        <f>OCPMarketShares!L134</f>
        <v>3.9358600800031937E-2</v>
      </c>
      <c r="G245" s="239">
        <f>OCPMarketShares!M134</f>
        <v>0.16530612336013417</v>
      </c>
      <c r="I245" s="31"/>
      <c r="J245" s="238">
        <f>E123</f>
        <v>1</v>
      </c>
      <c r="K245" s="238">
        <f t="shared" ref="K245:U245" si="218">F123</f>
        <v>1</v>
      </c>
      <c r="L245" s="238">
        <f t="shared" si="218"/>
        <v>1</v>
      </c>
      <c r="M245" s="238">
        <f t="shared" si="218"/>
        <v>0</v>
      </c>
      <c r="N245" s="238">
        <f t="shared" si="218"/>
        <v>0</v>
      </c>
      <c r="O245" s="238">
        <f t="shared" si="218"/>
        <v>0</v>
      </c>
      <c r="P245" s="238">
        <f t="shared" si="218"/>
        <v>0</v>
      </c>
      <c r="Q245" s="238">
        <f t="shared" si="218"/>
        <v>0</v>
      </c>
      <c r="R245" s="238">
        <f t="shared" si="218"/>
        <v>0</v>
      </c>
      <c r="S245" s="238">
        <f t="shared" si="218"/>
        <v>0</v>
      </c>
      <c r="T245" s="238">
        <f t="shared" si="218"/>
        <v>0</v>
      </c>
      <c r="U245" s="238">
        <f t="shared" si="218"/>
        <v>0</v>
      </c>
      <c r="V245" s="231"/>
      <c r="W245" s="207"/>
      <c r="X245" s="240">
        <f t="shared" ref="X245:X268" si="219">(E245*J245)/$K$11</f>
        <v>0</v>
      </c>
      <c r="Y245" s="240">
        <f t="shared" ref="Y245:Y268" si="220">(F245*K245)/$K$11</f>
        <v>8.5562175652243333E-2</v>
      </c>
      <c r="Z245" s="240">
        <f t="shared" ref="Z245:Z268" si="221">(G245*L245)/$K$11</f>
        <v>0.35936113773942208</v>
      </c>
      <c r="AA245" s="240">
        <f t="shared" ref="AA245:AA268" si="222">(E245*M245)/$K$12</f>
        <v>0</v>
      </c>
      <c r="AB245" s="240">
        <f t="shared" ref="AB245:AB268" si="223">(F245*N245)/$K$12</f>
        <v>0</v>
      </c>
      <c r="AC245" s="240">
        <f t="shared" ref="AC245:AC268" si="224">(G245*O245)/$K$12</f>
        <v>0</v>
      </c>
      <c r="AD245" s="240">
        <f>(E245*P245)/$K$12</f>
        <v>0</v>
      </c>
      <c r="AE245" s="240">
        <f t="shared" ref="AE245:AE268" si="225">(F245*Q245)/$K$12</f>
        <v>0</v>
      </c>
      <c r="AF245" s="240">
        <f t="shared" ref="AF245:AF268" si="226">(G245*R245)/$K$12</f>
        <v>0</v>
      </c>
      <c r="AG245" s="240">
        <f t="shared" ref="AG245:AG268" si="227">(E245*S245)/$K$15</f>
        <v>0</v>
      </c>
      <c r="AH245" s="240">
        <f t="shared" ref="AH245:AH268" si="228">(F245*T245)/$K$15</f>
        <v>0</v>
      </c>
      <c r="AI245" s="240">
        <f t="shared" ref="AI245:AI268" si="229">(G245*U245)/$K$15</f>
        <v>0</v>
      </c>
      <c r="AK245" s="163"/>
      <c r="AL245" s="163"/>
    </row>
    <row r="246" spans="4:39" ht="13.5" customHeight="1" x14ac:dyDescent="0.25">
      <c r="D246" s="2" t="str">
        <f t="shared" si="217"/>
        <v>Maize (corn)</v>
      </c>
      <c r="E246" s="239">
        <f>OCPMarketShares!K135</f>
        <v>0</v>
      </c>
      <c r="F246" s="239">
        <f>OCPMarketShares!L135</f>
        <v>0.82746709051537826</v>
      </c>
      <c r="G246" s="239">
        <f>OCPMarketShares!M135</f>
        <v>2.6500724181718134</v>
      </c>
      <c r="I246" s="31"/>
      <c r="J246" s="238">
        <f t="shared" ref="J246:U246" si="230">E124</f>
        <v>0.75</v>
      </c>
      <c r="K246" s="238">
        <f t="shared" si="230"/>
        <v>0.5</v>
      </c>
      <c r="L246" s="238">
        <f t="shared" si="230"/>
        <v>0</v>
      </c>
      <c r="M246" s="238">
        <f t="shared" si="230"/>
        <v>0</v>
      </c>
      <c r="N246" s="238">
        <f t="shared" si="230"/>
        <v>0</v>
      </c>
      <c r="O246" s="238">
        <f t="shared" si="230"/>
        <v>0</v>
      </c>
      <c r="P246" s="238">
        <f t="shared" si="230"/>
        <v>0.25</v>
      </c>
      <c r="Q246" s="238">
        <f t="shared" si="230"/>
        <v>0.5</v>
      </c>
      <c r="R246" s="238">
        <f t="shared" si="230"/>
        <v>1</v>
      </c>
      <c r="S246" s="238">
        <f t="shared" si="230"/>
        <v>0</v>
      </c>
      <c r="T246" s="238">
        <f t="shared" si="230"/>
        <v>0</v>
      </c>
      <c r="U246" s="238">
        <f t="shared" si="230"/>
        <v>0</v>
      </c>
      <c r="V246" s="231"/>
      <c r="W246" s="207"/>
      <c r="X246" s="240">
        <f t="shared" si="219"/>
        <v>0</v>
      </c>
      <c r="Y246" s="240">
        <f t="shared" si="220"/>
        <v>0.89942075056019377</v>
      </c>
      <c r="Z246" s="240">
        <f t="shared" si="221"/>
        <v>0</v>
      </c>
      <c r="AA246" s="240">
        <f t="shared" si="222"/>
        <v>0</v>
      </c>
      <c r="AB246" s="240">
        <f t="shared" si="223"/>
        <v>0</v>
      </c>
      <c r="AC246" s="240">
        <f t="shared" si="224"/>
        <v>0</v>
      </c>
      <c r="AD246" s="240">
        <f t="shared" ref="AD246:AD268" si="231">(E246*P246)/$K$12</f>
        <v>0</v>
      </c>
      <c r="AE246" s="240">
        <f t="shared" si="225"/>
        <v>0.89942075056019377</v>
      </c>
      <c r="AF246" s="240">
        <f t="shared" si="226"/>
        <v>5.7610269960256808</v>
      </c>
      <c r="AG246" s="240">
        <f t="shared" si="227"/>
        <v>0</v>
      </c>
      <c r="AH246" s="240">
        <f t="shared" si="228"/>
        <v>0</v>
      </c>
      <c r="AI246" s="240">
        <f t="shared" si="229"/>
        <v>0</v>
      </c>
      <c r="AK246" s="163"/>
      <c r="AL246" s="163"/>
    </row>
    <row r="247" spans="4:39" ht="13.5" customHeight="1" x14ac:dyDescent="0.25">
      <c r="D247" s="2" t="str">
        <f t="shared" si="217"/>
        <v>Cassava, fresh</v>
      </c>
      <c r="E247" s="239">
        <f>OCPMarketShares!K136</f>
        <v>0</v>
      </c>
      <c r="F247" s="239">
        <f>OCPMarketShares!L136</f>
        <v>0.13312129707908285</v>
      </c>
      <c r="G247" s="239">
        <f>OCPMarketShares!M136</f>
        <v>0.54347940274063011</v>
      </c>
      <c r="I247" s="31"/>
      <c r="J247" s="238">
        <f t="shared" ref="J247:U247" si="232">E125</f>
        <v>1</v>
      </c>
      <c r="K247" s="238">
        <f t="shared" si="232"/>
        <v>0.75</v>
      </c>
      <c r="L247" s="238">
        <f t="shared" si="232"/>
        <v>0.5</v>
      </c>
      <c r="M247" s="238">
        <f t="shared" si="232"/>
        <v>0</v>
      </c>
      <c r="N247" s="238">
        <f t="shared" si="232"/>
        <v>0</v>
      </c>
      <c r="O247" s="238">
        <f t="shared" si="232"/>
        <v>0</v>
      </c>
      <c r="P247" s="238">
        <f t="shared" si="232"/>
        <v>0</v>
      </c>
      <c r="Q247" s="238">
        <f t="shared" si="232"/>
        <v>0.25</v>
      </c>
      <c r="R247" s="238">
        <f t="shared" si="232"/>
        <v>0.5</v>
      </c>
      <c r="S247" s="238">
        <f t="shared" si="232"/>
        <v>0</v>
      </c>
      <c r="T247" s="238">
        <f t="shared" si="232"/>
        <v>0</v>
      </c>
      <c r="U247" s="238">
        <f t="shared" si="232"/>
        <v>0</v>
      </c>
      <c r="V247" s="231"/>
      <c r="W247" s="207"/>
      <c r="X247" s="240">
        <f t="shared" si="219"/>
        <v>0</v>
      </c>
      <c r="Y247" s="240">
        <f t="shared" si="220"/>
        <v>0.21704559306372204</v>
      </c>
      <c r="Z247" s="240">
        <f t="shared" si="221"/>
        <v>0.59073848123981532</v>
      </c>
      <c r="AA247" s="240">
        <f t="shared" si="222"/>
        <v>0</v>
      </c>
      <c r="AB247" s="240">
        <f t="shared" si="223"/>
        <v>0</v>
      </c>
      <c r="AC247" s="240">
        <f t="shared" si="224"/>
        <v>0</v>
      </c>
      <c r="AD247" s="240">
        <f t="shared" si="231"/>
        <v>0</v>
      </c>
      <c r="AE247" s="240">
        <f t="shared" si="225"/>
        <v>7.2348531021240683E-2</v>
      </c>
      <c r="AF247" s="240">
        <f t="shared" si="226"/>
        <v>0.59073848123981532</v>
      </c>
      <c r="AG247" s="240">
        <f t="shared" si="227"/>
        <v>0</v>
      </c>
      <c r="AH247" s="240">
        <f t="shared" si="228"/>
        <v>0</v>
      </c>
      <c r="AI247" s="240">
        <f t="shared" si="229"/>
        <v>0</v>
      </c>
      <c r="AK247" s="163"/>
      <c r="AL247" s="163"/>
    </row>
    <row r="248" spans="4:39" ht="13.5" customHeight="1" x14ac:dyDescent="0.25">
      <c r="D248" s="2" t="str">
        <f t="shared" si="217"/>
        <v>Coffee, green</v>
      </c>
      <c r="E248" s="239">
        <f>OCPMarketShares!K137</f>
        <v>0</v>
      </c>
      <c r="F248" s="239">
        <f>OCPMarketShares!L137</f>
        <v>0.89807676965573247</v>
      </c>
      <c r="G248" s="239">
        <f>OCPMarketShares!M137</f>
        <v>3.5359406152979851</v>
      </c>
      <c r="I248" s="31"/>
      <c r="J248" s="238">
        <f t="shared" ref="J248:U248" si="233">E126</f>
        <v>0.9</v>
      </c>
      <c r="K248" s="238">
        <f t="shared" si="233"/>
        <v>0.5</v>
      </c>
      <c r="L248" s="238">
        <f t="shared" si="233"/>
        <v>0.2</v>
      </c>
      <c r="M248" s="238">
        <f t="shared" si="233"/>
        <v>0.1</v>
      </c>
      <c r="N248" s="238">
        <f t="shared" si="233"/>
        <v>0.5</v>
      </c>
      <c r="O248" s="238">
        <f t="shared" si="233"/>
        <v>0.8</v>
      </c>
      <c r="P248" s="238">
        <f t="shared" si="233"/>
        <v>0</v>
      </c>
      <c r="Q248" s="238">
        <f t="shared" si="233"/>
        <v>0</v>
      </c>
      <c r="R248" s="238">
        <f t="shared" si="233"/>
        <v>0</v>
      </c>
      <c r="S248" s="238">
        <f t="shared" si="233"/>
        <v>0</v>
      </c>
      <c r="T248" s="238">
        <f t="shared" si="233"/>
        <v>0</v>
      </c>
      <c r="U248" s="238">
        <f t="shared" si="233"/>
        <v>0</v>
      </c>
      <c r="V248" s="231"/>
      <c r="W248" s="207"/>
      <c r="X248" s="240">
        <f t="shared" si="219"/>
        <v>0</v>
      </c>
      <c r="Y248" s="240">
        <f t="shared" si="220"/>
        <v>0.97617040179970915</v>
      </c>
      <c r="Z248" s="240">
        <f t="shared" si="221"/>
        <v>1.5373654849121676</v>
      </c>
      <c r="AA248" s="240">
        <f t="shared" si="222"/>
        <v>0</v>
      </c>
      <c r="AB248" s="240">
        <f t="shared" si="223"/>
        <v>0.97617040179970915</v>
      </c>
      <c r="AC248" s="240">
        <f t="shared" si="224"/>
        <v>6.1494619396486705</v>
      </c>
      <c r="AD248" s="240">
        <f t="shared" si="231"/>
        <v>0</v>
      </c>
      <c r="AE248" s="240">
        <f t="shared" si="225"/>
        <v>0</v>
      </c>
      <c r="AF248" s="240">
        <f t="shared" si="226"/>
        <v>0</v>
      </c>
      <c r="AG248" s="240">
        <f t="shared" si="227"/>
        <v>0</v>
      </c>
      <c r="AH248" s="240">
        <f t="shared" si="228"/>
        <v>0</v>
      </c>
      <c r="AI248" s="240">
        <f t="shared" si="229"/>
        <v>0</v>
      </c>
      <c r="AK248" s="163"/>
      <c r="AL248" s="163"/>
    </row>
    <row r="249" spans="4:39" ht="13.5" customHeight="1" x14ac:dyDescent="0.25">
      <c r="D249" s="2" t="str">
        <f t="shared" si="217"/>
        <v>Beans, dry</v>
      </c>
      <c r="E249" s="239">
        <f>OCPMarketShares!K138</f>
        <v>0</v>
      </c>
      <c r="F249" s="239">
        <f>OCPMarketShares!L138</f>
        <v>8.0182949828738442E-2</v>
      </c>
      <c r="G249" s="239">
        <f>OCPMarketShares!M138</f>
        <v>0.24667751660437259</v>
      </c>
      <c r="I249" s="31"/>
      <c r="J249" s="238">
        <f t="shared" ref="J249:U249" si="234">E127</f>
        <v>0.9</v>
      </c>
      <c r="K249" s="238">
        <f t="shared" si="234"/>
        <v>0.5</v>
      </c>
      <c r="L249" s="238">
        <f t="shared" si="234"/>
        <v>0.2</v>
      </c>
      <c r="M249" s="238">
        <f t="shared" si="234"/>
        <v>0.1</v>
      </c>
      <c r="N249" s="238">
        <f t="shared" si="234"/>
        <v>0.5</v>
      </c>
      <c r="O249" s="238">
        <f t="shared" si="234"/>
        <v>0.8</v>
      </c>
      <c r="P249" s="238">
        <f t="shared" si="234"/>
        <v>0</v>
      </c>
      <c r="Q249" s="238">
        <f t="shared" si="234"/>
        <v>0</v>
      </c>
      <c r="R249" s="238">
        <f t="shared" si="234"/>
        <v>0</v>
      </c>
      <c r="S249" s="238">
        <f t="shared" si="234"/>
        <v>0</v>
      </c>
      <c r="T249" s="238">
        <f t="shared" si="234"/>
        <v>0</v>
      </c>
      <c r="U249" s="238">
        <f t="shared" si="234"/>
        <v>0</v>
      </c>
      <c r="V249" s="231"/>
      <c r="W249" s="207"/>
      <c r="X249" s="240">
        <f t="shared" si="219"/>
        <v>0</v>
      </c>
      <c r="Y249" s="240">
        <f t="shared" si="220"/>
        <v>8.7155380248628733E-2</v>
      </c>
      <c r="Z249" s="240">
        <f t="shared" si="221"/>
        <v>0.10725109417581417</v>
      </c>
      <c r="AA249" s="240">
        <f t="shared" si="222"/>
        <v>0</v>
      </c>
      <c r="AB249" s="240">
        <f t="shared" si="223"/>
        <v>8.7155380248628733E-2</v>
      </c>
      <c r="AC249" s="240">
        <f t="shared" si="224"/>
        <v>0.4290043767032567</v>
      </c>
      <c r="AD249" s="240">
        <f t="shared" si="231"/>
        <v>0</v>
      </c>
      <c r="AE249" s="240">
        <f t="shared" si="225"/>
        <v>0</v>
      </c>
      <c r="AF249" s="240">
        <f t="shared" si="226"/>
        <v>0</v>
      </c>
      <c r="AG249" s="240">
        <f t="shared" si="227"/>
        <v>0</v>
      </c>
      <c r="AH249" s="240">
        <f t="shared" si="228"/>
        <v>0</v>
      </c>
      <c r="AI249" s="240">
        <f t="shared" si="229"/>
        <v>0</v>
      </c>
      <c r="AK249" s="163"/>
      <c r="AL249" s="163"/>
    </row>
    <row r="250" spans="4:39" ht="13.5" customHeight="1" x14ac:dyDescent="0.25">
      <c r="D250" s="2" t="str">
        <f t="shared" si="217"/>
        <v>Groundnuts, excluding shelled</v>
      </c>
      <c r="E250" s="239">
        <f>OCPMarketShares!K139</f>
        <v>0</v>
      </c>
      <c r="F250" s="239">
        <f>OCPMarketShares!L139</f>
        <v>1.9033539528301481E-2</v>
      </c>
      <c r="G250" s="239">
        <f>OCPMarketShares!M139</f>
        <v>6.8806579056602965E-2</v>
      </c>
      <c r="I250" s="31"/>
      <c r="J250" s="238">
        <f t="shared" ref="J250:U250" si="235">E128</f>
        <v>0.9</v>
      </c>
      <c r="K250" s="238">
        <f t="shared" si="235"/>
        <v>0.5</v>
      </c>
      <c r="L250" s="238">
        <f t="shared" si="235"/>
        <v>0.2</v>
      </c>
      <c r="M250" s="238">
        <f t="shared" si="235"/>
        <v>0.1</v>
      </c>
      <c r="N250" s="238">
        <f t="shared" si="235"/>
        <v>0.5</v>
      </c>
      <c r="O250" s="238">
        <f t="shared" si="235"/>
        <v>0.8</v>
      </c>
      <c r="P250" s="238">
        <f t="shared" si="235"/>
        <v>0</v>
      </c>
      <c r="Q250" s="238">
        <f t="shared" si="235"/>
        <v>0</v>
      </c>
      <c r="R250" s="238">
        <f t="shared" si="235"/>
        <v>0</v>
      </c>
      <c r="S250" s="238">
        <f t="shared" si="235"/>
        <v>0</v>
      </c>
      <c r="T250" s="238">
        <f t="shared" si="235"/>
        <v>0</v>
      </c>
      <c r="U250" s="238">
        <f t="shared" si="235"/>
        <v>0</v>
      </c>
      <c r="V250" s="231"/>
      <c r="W250" s="207"/>
      <c r="X250" s="240">
        <f t="shared" si="219"/>
        <v>0</v>
      </c>
      <c r="Y250" s="240">
        <f t="shared" si="220"/>
        <v>2.0688629922066826E-2</v>
      </c>
      <c r="Z250" s="240">
        <f t="shared" si="221"/>
        <v>2.9915903937653462E-2</v>
      </c>
      <c r="AA250" s="240">
        <f t="shared" si="222"/>
        <v>0</v>
      </c>
      <c r="AB250" s="240">
        <f t="shared" si="223"/>
        <v>2.0688629922066826E-2</v>
      </c>
      <c r="AC250" s="240">
        <f t="shared" si="224"/>
        <v>0.11966361575061385</v>
      </c>
      <c r="AD250" s="240">
        <f t="shared" si="231"/>
        <v>0</v>
      </c>
      <c r="AE250" s="240">
        <f t="shared" si="225"/>
        <v>0</v>
      </c>
      <c r="AF250" s="240">
        <f t="shared" si="226"/>
        <v>0</v>
      </c>
      <c r="AG250" s="240">
        <f t="shared" si="227"/>
        <v>0</v>
      </c>
      <c r="AH250" s="240">
        <f t="shared" si="228"/>
        <v>0</v>
      </c>
      <c r="AI250" s="240">
        <f t="shared" si="229"/>
        <v>0</v>
      </c>
      <c r="AK250" s="163"/>
      <c r="AL250" s="163"/>
    </row>
    <row r="251" spans="4:39" ht="13.5" customHeight="1" x14ac:dyDescent="0.25">
      <c r="D251" s="2" t="str">
        <f t="shared" si="217"/>
        <v>Sweet potatoes</v>
      </c>
      <c r="E251" s="239">
        <f>OCPMarketShares!K140</f>
        <v>0</v>
      </c>
      <c r="F251" s="239">
        <f>OCPMarketShares!L140</f>
        <v>4.6973926089680824E-2</v>
      </c>
      <c r="G251" s="239">
        <f>OCPMarketShares!M140</f>
        <v>0.18852718512004696</v>
      </c>
      <c r="I251" s="31"/>
      <c r="J251" s="238">
        <f t="shared" ref="J251:U251" si="236">E129</f>
        <v>1</v>
      </c>
      <c r="K251" s="238">
        <f t="shared" si="236"/>
        <v>0.75</v>
      </c>
      <c r="L251" s="238">
        <f t="shared" si="236"/>
        <v>0.5</v>
      </c>
      <c r="M251" s="238">
        <f t="shared" si="236"/>
        <v>0</v>
      </c>
      <c r="N251" s="238">
        <f t="shared" si="236"/>
        <v>0</v>
      </c>
      <c r="O251" s="238">
        <f t="shared" si="236"/>
        <v>0</v>
      </c>
      <c r="P251" s="238">
        <f t="shared" si="236"/>
        <v>0</v>
      </c>
      <c r="Q251" s="238">
        <f t="shared" si="236"/>
        <v>0.25</v>
      </c>
      <c r="R251" s="238">
        <f t="shared" si="236"/>
        <v>0.5</v>
      </c>
      <c r="S251" s="238">
        <f t="shared" si="236"/>
        <v>0</v>
      </c>
      <c r="T251" s="238">
        <f t="shared" si="236"/>
        <v>0</v>
      </c>
      <c r="U251" s="238">
        <f t="shared" si="236"/>
        <v>0</v>
      </c>
      <c r="V251" s="231"/>
      <c r="W251" s="207"/>
      <c r="X251" s="240">
        <f t="shared" si="219"/>
        <v>0</v>
      </c>
      <c r="Y251" s="240">
        <f t="shared" si="220"/>
        <v>7.6587922972305697E-2</v>
      </c>
      <c r="Z251" s="240">
        <f t="shared" si="221"/>
        <v>0.20492085339135538</v>
      </c>
      <c r="AA251" s="240">
        <f t="shared" si="222"/>
        <v>0</v>
      </c>
      <c r="AB251" s="240">
        <f t="shared" si="223"/>
        <v>0</v>
      </c>
      <c r="AC251" s="240">
        <f t="shared" si="224"/>
        <v>0</v>
      </c>
      <c r="AD251" s="240">
        <f t="shared" si="231"/>
        <v>0</v>
      </c>
      <c r="AE251" s="240">
        <f t="shared" si="225"/>
        <v>2.5529307657435229E-2</v>
      </c>
      <c r="AF251" s="240">
        <f t="shared" si="226"/>
        <v>0.20492085339135538</v>
      </c>
      <c r="AG251" s="240">
        <f t="shared" si="227"/>
        <v>0</v>
      </c>
      <c r="AH251" s="240">
        <f t="shared" si="228"/>
        <v>0</v>
      </c>
      <c r="AI251" s="240">
        <f t="shared" si="229"/>
        <v>0</v>
      </c>
      <c r="AK251" s="163"/>
      <c r="AL251" s="163"/>
    </row>
    <row r="252" spans="4:39" ht="13.5" customHeight="1" x14ac:dyDescent="0.25">
      <c r="D252" s="2" t="str">
        <f t="shared" si="217"/>
        <v>Sunflower seed</v>
      </c>
      <c r="E252" s="239">
        <f>OCPMarketShares!K141</f>
        <v>0</v>
      </c>
      <c r="F252" s="239">
        <f>OCPMarketShares!L141</f>
        <v>1.3780171786312051E-2</v>
      </c>
      <c r="G252" s="239">
        <f>OCPMarketShares!M141</f>
        <v>7.9946639306361256E-2</v>
      </c>
      <c r="I252" s="31"/>
      <c r="J252" s="238">
        <f t="shared" ref="J252:U252" si="237">E130</f>
        <v>0.9</v>
      </c>
      <c r="K252" s="238">
        <f t="shared" si="237"/>
        <v>0.5</v>
      </c>
      <c r="L252" s="238">
        <f t="shared" si="237"/>
        <v>0.2</v>
      </c>
      <c r="M252" s="238">
        <f t="shared" si="237"/>
        <v>0.1</v>
      </c>
      <c r="N252" s="238">
        <f t="shared" si="237"/>
        <v>0.3</v>
      </c>
      <c r="O252" s="238">
        <f t="shared" si="237"/>
        <v>0.6</v>
      </c>
      <c r="P252" s="238">
        <f t="shared" si="237"/>
        <v>0</v>
      </c>
      <c r="Q252" s="238">
        <f t="shared" si="237"/>
        <v>0.2</v>
      </c>
      <c r="R252" s="238">
        <f t="shared" si="237"/>
        <v>0.2</v>
      </c>
      <c r="S252" s="238">
        <f t="shared" si="237"/>
        <v>0</v>
      </c>
      <c r="T252" s="238">
        <f t="shared" si="237"/>
        <v>0</v>
      </c>
      <c r="U252" s="238">
        <f t="shared" si="237"/>
        <v>0</v>
      </c>
      <c r="V252" s="231"/>
      <c r="W252" s="207"/>
      <c r="X252" s="240">
        <f t="shared" si="219"/>
        <v>0</v>
      </c>
      <c r="Y252" s="240">
        <f t="shared" si="220"/>
        <v>1.4978447593817446E-2</v>
      </c>
      <c r="Z252" s="240">
        <f t="shared" si="221"/>
        <v>3.4759408394070115E-2</v>
      </c>
      <c r="AA252" s="240">
        <f t="shared" si="222"/>
        <v>0</v>
      </c>
      <c r="AB252" s="240">
        <f t="shared" si="223"/>
        <v>8.9870685562904659E-3</v>
      </c>
      <c r="AC252" s="240">
        <f t="shared" si="224"/>
        <v>0.10427822518221032</v>
      </c>
      <c r="AD252" s="240">
        <f t="shared" si="231"/>
        <v>0</v>
      </c>
      <c r="AE252" s="240">
        <f t="shared" si="225"/>
        <v>5.9913790375269787E-3</v>
      </c>
      <c r="AF252" s="240">
        <f t="shared" si="226"/>
        <v>3.4759408394070115E-2</v>
      </c>
      <c r="AG252" s="240">
        <f t="shared" si="227"/>
        <v>0</v>
      </c>
      <c r="AH252" s="240">
        <f t="shared" si="228"/>
        <v>0</v>
      </c>
      <c r="AI252" s="240">
        <f t="shared" si="229"/>
        <v>0</v>
      </c>
    </row>
    <row r="253" spans="4:39" ht="13.5" customHeight="1" x14ac:dyDescent="0.25">
      <c r="D253" s="2" t="str">
        <f t="shared" si="217"/>
        <v>Sesame seed</v>
      </c>
      <c r="E253" s="239">
        <f>OCPMarketShares!K142</f>
        <v>0</v>
      </c>
      <c r="F253" s="239">
        <f>OCPMarketShares!L142</f>
        <v>3.5888225433611746E-2</v>
      </c>
      <c r="G253" s="239">
        <f>OCPMarketShares!M142</f>
        <v>0.10897871381909274</v>
      </c>
      <c r="I253" s="31"/>
      <c r="J253" s="238">
        <f t="shared" ref="J253:U253" si="238">E131</f>
        <v>0.9</v>
      </c>
      <c r="K253" s="238">
        <f t="shared" si="238"/>
        <v>0.5</v>
      </c>
      <c r="L253" s="238">
        <f t="shared" si="238"/>
        <v>0.2</v>
      </c>
      <c r="M253" s="238">
        <f t="shared" si="238"/>
        <v>0.1</v>
      </c>
      <c r="N253" s="238">
        <f t="shared" si="238"/>
        <v>0.5</v>
      </c>
      <c r="O253" s="238">
        <f t="shared" si="238"/>
        <v>0.8</v>
      </c>
      <c r="P253" s="238">
        <f t="shared" si="238"/>
        <v>0</v>
      </c>
      <c r="Q253" s="238">
        <f t="shared" si="238"/>
        <v>0</v>
      </c>
      <c r="R253" s="238">
        <f t="shared" si="238"/>
        <v>0</v>
      </c>
      <c r="S253" s="238">
        <f t="shared" si="238"/>
        <v>0</v>
      </c>
      <c r="T253" s="238">
        <f t="shared" si="238"/>
        <v>0</v>
      </c>
      <c r="U253" s="238">
        <f t="shared" si="238"/>
        <v>0</v>
      </c>
      <c r="V253" s="231"/>
      <c r="W253" s="207"/>
      <c r="X253" s="240">
        <f t="shared" si="219"/>
        <v>0</v>
      </c>
      <c r="Y253" s="240">
        <f t="shared" si="220"/>
        <v>3.9008940688708416E-2</v>
      </c>
      <c r="Z253" s="240">
        <f t="shared" si="221"/>
        <v>4.7382049486562064E-2</v>
      </c>
      <c r="AA253" s="240">
        <f t="shared" si="222"/>
        <v>0</v>
      </c>
      <c r="AB253" s="240">
        <f t="shared" si="223"/>
        <v>3.9008940688708416E-2</v>
      </c>
      <c r="AC253" s="240">
        <f t="shared" si="224"/>
        <v>0.18952819794624826</v>
      </c>
      <c r="AD253" s="240">
        <f t="shared" si="231"/>
        <v>0</v>
      </c>
      <c r="AE253" s="240">
        <f t="shared" si="225"/>
        <v>0</v>
      </c>
      <c r="AF253" s="240">
        <f t="shared" si="226"/>
        <v>0</v>
      </c>
      <c r="AG253" s="240">
        <f t="shared" si="227"/>
        <v>0</v>
      </c>
      <c r="AH253" s="240">
        <f t="shared" si="228"/>
        <v>0</v>
      </c>
      <c r="AI253" s="240">
        <f t="shared" si="229"/>
        <v>0</v>
      </c>
    </row>
    <row r="254" spans="4:39" ht="13.5" customHeight="1" x14ac:dyDescent="0.25">
      <c r="D254" s="2" t="str">
        <f t="shared" si="217"/>
        <v>Sorghum</v>
      </c>
      <c r="E254" s="239">
        <f>OCPMarketShares!K143</f>
        <v>0</v>
      </c>
      <c r="F254" s="239">
        <f>OCPMarketShares!L143</f>
        <v>6.2273688946149529E-3</v>
      </c>
      <c r="G254" s="239">
        <f>OCPMarketShares!M143</f>
        <v>3.00935809743125E-2</v>
      </c>
      <c r="I254" s="31"/>
      <c r="J254" s="238">
        <f t="shared" ref="J254:U254" si="239">E132</f>
        <v>0.75</v>
      </c>
      <c r="K254" s="238">
        <f t="shared" si="239"/>
        <v>0.5</v>
      </c>
      <c r="L254" s="238">
        <f t="shared" si="239"/>
        <v>0</v>
      </c>
      <c r="M254" s="238">
        <f t="shared" si="239"/>
        <v>0</v>
      </c>
      <c r="N254" s="238">
        <f t="shared" si="239"/>
        <v>0</v>
      </c>
      <c r="O254" s="238">
        <f t="shared" si="239"/>
        <v>0</v>
      </c>
      <c r="P254" s="238">
        <f t="shared" si="239"/>
        <v>0.25</v>
      </c>
      <c r="Q254" s="238">
        <f t="shared" si="239"/>
        <v>0.5</v>
      </c>
      <c r="R254" s="238">
        <f t="shared" si="239"/>
        <v>1</v>
      </c>
      <c r="S254" s="238">
        <f t="shared" si="239"/>
        <v>0</v>
      </c>
      <c r="T254" s="238">
        <f t="shared" si="239"/>
        <v>0</v>
      </c>
      <c r="U254" s="238">
        <f t="shared" si="239"/>
        <v>0</v>
      </c>
      <c r="V254" s="231"/>
      <c r="W254" s="207"/>
      <c r="X254" s="240">
        <f t="shared" si="219"/>
        <v>0</v>
      </c>
      <c r="Y254" s="240">
        <f t="shared" si="220"/>
        <v>6.7688792332771227E-3</v>
      </c>
      <c r="Z254" s="240">
        <f t="shared" si="221"/>
        <v>0</v>
      </c>
      <c r="AA254" s="240">
        <f t="shared" si="222"/>
        <v>0</v>
      </c>
      <c r="AB254" s="240">
        <f t="shared" si="223"/>
        <v>0</v>
      </c>
      <c r="AC254" s="240">
        <f t="shared" si="224"/>
        <v>0</v>
      </c>
      <c r="AD254" s="240">
        <f t="shared" si="231"/>
        <v>0</v>
      </c>
      <c r="AE254" s="240">
        <f t="shared" si="225"/>
        <v>6.7688792332771227E-3</v>
      </c>
      <c r="AF254" s="240">
        <f t="shared" si="226"/>
        <v>6.5420828205027176E-2</v>
      </c>
      <c r="AG254" s="240">
        <f t="shared" si="227"/>
        <v>0</v>
      </c>
      <c r="AH254" s="240">
        <f t="shared" si="228"/>
        <v>0</v>
      </c>
      <c r="AI254" s="240">
        <f t="shared" si="229"/>
        <v>0</v>
      </c>
    </row>
    <row r="255" spans="4:39" ht="13.5" customHeight="1" x14ac:dyDescent="0.25">
      <c r="D255" s="2" t="str">
        <f t="shared" si="217"/>
        <v>Other vegetables, fresh n.e.c.</v>
      </c>
      <c r="E255" s="239">
        <f>OCPMarketShares!K144</f>
        <v>0</v>
      </c>
      <c r="F255" s="239">
        <f>OCPMarketShares!L144</f>
        <v>8.4549167996301675E-3</v>
      </c>
      <c r="G255" s="239">
        <f>OCPMarketShares!M144</f>
        <v>5.0202264635280894E-2</v>
      </c>
      <c r="I255" s="31"/>
      <c r="J255" s="238">
        <f t="shared" ref="J255:U255" si="240">E133</f>
        <v>1</v>
      </c>
      <c r="K255" s="238">
        <f t="shared" si="240"/>
        <v>1</v>
      </c>
      <c r="L255" s="238">
        <f t="shared" si="240"/>
        <v>1</v>
      </c>
      <c r="M255" s="238">
        <f t="shared" si="240"/>
        <v>0</v>
      </c>
      <c r="N255" s="238">
        <f t="shared" si="240"/>
        <v>0</v>
      </c>
      <c r="O255" s="238">
        <f t="shared" si="240"/>
        <v>0</v>
      </c>
      <c r="P255" s="238">
        <f t="shared" si="240"/>
        <v>0</v>
      </c>
      <c r="Q255" s="238">
        <f t="shared" si="240"/>
        <v>0</v>
      </c>
      <c r="R255" s="238">
        <f t="shared" si="240"/>
        <v>0</v>
      </c>
      <c r="S255" s="238">
        <f t="shared" si="240"/>
        <v>0</v>
      </c>
      <c r="T255" s="238">
        <f t="shared" si="240"/>
        <v>0</v>
      </c>
      <c r="U255" s="238">
        <f t="shared" si="240"/>
        <v>0</v>
      </c>
      <c r="V255" s="231"/>
      <c r="W255" s="207"/>
      <c r="X255" s="240">
        <f t="shared" si="219"/>
        <v>0</v>
      </c>
      <c r="Y255" s="240">
        <f t="shared" si="220"/>
        <v>1.8380253912239495E-2</v>
      </c>
      <c r="Z255" s="240">
        <f t="shared" si="221"/>
        <v>0.10913535790278454</v>
      </c>
      <c r="AA255" s="240">
        <f t="shared" si="222"/>
        <v>0</v>
      </c>
      <c r="AB255" s="240">
        <f t="shared" si="223"/>
        <v>0</v>
      </c>
      <c r="AC255" s="240">
        <f t="shared" si="224"/>
        <v>0</v>
      </c>
      <c r="AD255" s="240">
        <f t="shared" si="231"/>
        <v>0</v>
      </c>
      <c r="AE255" s="240">
        <f t="shared" si="225"/>
        <v>0</v>
      </c>
      <c r="AF255" s="240">
        <f t="shared" si="226"/>
        <v>0</v>
      </c>
      <c r="AG255" s="240">
        <f t="shared" si="227"/>
        <v>0</v>
      </c>
      <c r="AH255" s="240">
        <f t="shared" si="228"/>
        <v>0</v>
      </c>
      <c r="AI255" s="240">
        <f t="shared" si="229"/>
        <v>0</v>
      </c>
    </row>
    <row r="256" spans="4:39" ht="13.5" customHeight="1" x14ac:dyDescent="0.25">
      <c r="D256" s="2" t="str">
        <f t="shared" si="217"/>
        <v>Seed cotton, unginned</v>
      </c>
      <c r="E256" s="239">
        <f>OCPMarketShares!K145</f>
        <v>0</v>
      </c>
      <c r="F256" s="239">
        <f>OCPMarketShares!L145</f>
        <v>4.8722750244460473E-3</v>
      </c>
      <c r="G256" s="239">
        <f>OCPMarketShares!M145</f>
        <v>2.8266847469034868E-2</v>
      </c>
      <c r="I256" s="31"/>
      <c r="J256" s="238">
        <f t="shared" ref="J256:U256" si="241">E134</f>
        <v>1</v>
      </c>
      <c r="K256" s="238">
        <f t="shared" si="241"/>
        <v>1</v>
      </c>
      <c r="L256" s="238">
        <f t="shared" si="241"/>
        <v>1</v>
      </c>
      <c r="M256" s="238">
        <f t="shared" si="241"/>
        <v>0</v>
      </c>
      <c r="N256" s="238">
        <f t="shared" si="241"/>
        <v>0</v>
      </c>
      <c r="O256" s="238">
        <f t="shared" si="241"/>
        <v>0</v>
      </c>
      <c r="P256" s="238">
        <f t="shared" si="241"/>
        <v>0</v>
      </c>
      <c r="Q256" s="238">
        <f t="shared" si="241"/>
        <v>0</v>
      </c>
      <c r="R256" s="238">
        <f t="shared" si="241"/>
        <v>0</v>
      </c>
      <c r="S256" s="238">
        <f t="shared" si="241"/>
        <v>0</v>
      </c>
      <c r="T256" s="238">
        <f t="shared" si="241"/>
        <v>0</v>
      </c>
      <c r="U256" s="238">
        <f t="shared" si="241"/>
        <v>0</v>
      </c>
      <c r="V256" s="231"/>
      <c r="W256" s="207"/>
      <c r="X256" s="240">
        <f t="shared" si="219"/>
        <v>0</v>
      </c>
      <c r="Y256" s="240">
        <f t="shared" si="220"/>
        <v>1.0591902227056624E-2</v>
      </c>
      <c r="Z256" s="240">
        <f t="shared" si="221"/>
        <v>6.144966841094536E-2</v>
      </c>
      <c r="AA256" s="240">
        <f t="shared" si="222"/>
        <v>0</v>
      </c>
      <c r="AB256" s="240">
        <f t="shared" si="223"/>
        <v>0</v>
      </c>
      <c r="AC256" s="240">
        <f t="shared" si="224"/>
        <v>0</v>
      </c>
      <c r="AD256" s="240">
        <f t="shared" si="231"/>
        <v>0</v>
      </c>
      <c r="AE256" s="240">
        <f t="shared" si="225"/>
        <v>0</v>
      </c>
      <c r="AF256" s="240">
        <f t="shared" si="226"/>
        <v>0</v>
      </c>
      <c r="AG256" s="240">
        <f t="shared" si="227"/>
        <v>0</v>
      </c>
      <c r="AH256" s="240">
        <f t="shared" si="228"/>
        <v>0</v>
      </c>
      <c r="AI256" s="240">
        <f t="shared" si="229"/>
        <v>0</v>
      </c>
    </row>
    <row r="257" spans="4:36" ht="13.5" customHeight="1" x14ac:dyDescent="0.25">
      <c r="D257" s="2" t="str">
        <f t="shared" si="217"/>
        <v>Rice</v>
      </c>
      <c r="E257" s="239">
        <f>OCPMarketShares!K146</f>
        <v>0</v>
      </c>
      <c r="F257" s="239">
        <f>OCPMarketShares!L146</f>
        <v>7.39317428394351E-2</v>
      </c>
      <c r="G257" s="239">
        <f>OCPMarketShares!M146</f>
        <v>0.24075480108379574</v>
      </c>
      <c r="I257" s="31"/>
      <c r="J257" s="238">
        <f t="shared" ref="J257:U257" si="242">E135</f>
        <v>0.9</v>
      </c>
      <c r="K257" s="238">
        <f t="shared" si="242"/>
        <v>0.5</v>
      </c>
      <c r="L257" s="238">
        <f t="shared" si="242"/>
        <v>0.2</v>
      </c>
      <c r="M257" s="238">
        <f t="shared" si="242"/>
        <v>0.1</v>
      </c>
      <c r="N257" s="238">
        <f t="shared" si="242"/>
        <v>0.5</v>
      </c>
      <c r="O257" s="238">
        <f t="shared" si="242"/>
        <v>0.8</v>
      </c>
      <c r="P257" s="238">
        <f t="shared" si="242"/>
        <v>0</v>
      </c>
      <c r="Q257" s="238">
        <f t="shared" si="242"/>
        <v>0</v>
      </c>
      <c r="R257" s="238">
        <f t="shared" si="242"/>
        <v>0</v>
      </c>
      <c r="S257" s="238">
        <f t="shared" si="242"/>
        <v>0</v>
      </c>
      <c r="T257" s="238">
        <f t="shared" si="242"/>
        <v>0</v>
      </c>
      <c r="U257" s="238">
        <f t="shared" si="242"/>
        <v>0</v>
      </c>
      <c r="V257" s="231"/>
      <c r="W257" s="207"/>
      <c r="X257" s="240">
        <f t="shared" si="219"/>
        <v>0</v>
      </c>
      <c r="Y257" s="240">
        <f t="shared" si="220"/>
        <v>8.0360590042864236E-2</v>
      </c>
      <c r="Z257" s="240">
        <f t="shared" si="221"/>
        <v>0.10467600047121554</v>
      </c>
      <c r="AA257" s="240">
        <f t="shared" si="222"/>
        <v>0</v>
      </c>
      <c r="AB257" s="240">
        <f t="shared" si="223"/>
        <v>8.0360590042864236E-2</v>
      </c>
      <c r="AC257" s="240">
        <f t="shared" si="224"/>
        <v>0.41870400188486218</v>
      </c>
      <c r="AD257" s="240">
        <f t="shared" si="231"/>
        <v>0</v>
      </c>
      <c r="AE257" s="240">
        <f t="shared" si="225"/>
        <v>0</v>
      </c>
      <c r="AF257" s="240">
        <f t="shared" si="226"/>
        <v>0</v>
      </c>
      <c r="AG257" s="240">
        <f t="shared" si="227"/>
        <v>0</v>
      </c>
      <c r="AH257" s="240">
        <f t="shared" si="228"/>
        <v>0</v>
      </c>
      <c r="AI257" s="240">
        <f t="shared" si="229"/>
        <v>0</v>
      </c>
    </row>
    <row r="258" spans="4:36" ht="13.5" customHeight="1" x14ac:dyDescent="0.25">
      <c r="D258" s="2" t="str">
        <f t="shared" si="217"/>
        <v>Onions and shallots, dry (excluding dehydrated)</v>
      </c>
      <c r="E258" s="239">
        <f>OCPMarketShares!K147</f>
        <v>0</v>
      </c>
      <c r="F258" s="239">
        <f>OCPMarketShares!L147</f>
        <v>4.4893393016724311E-3</v>
      </c>
      <c r="G258" s="239">
        <f>OCPMarketShares!M147</f>
        <v>2.6656087221341409E-2</v>
      </c>
      <c r="I258" s="31"/>
      <c r="J258" s="238">
        <f t="shared" ref="J258:U258" si="243">E136</f>
        <v>1</v>
      </c>
      <c r="K258" s="238">
        <f t="shared" si="243"/>
        <v>1</v>
      </c>
      <c r="L258" s="238">
        <f t="shared" si="243"/>
        <v>1</v>
      </c>
      <c r="M258" s="238">
        <f t="shared" si="243"/>
        <v>0</v>
      </c>
      <c r="N258" s="238">
        <f t="shared" si="243"/>
        <v>0</v>
      </c>
      <c r="O258" s="238">
        <f t="shared" si="243"/>
        <v>0</v>
      </c>
      <c r="P258" s="238">
        <f t="shared" si="243"/>
        <v>0</v>
      </c>
      <c r="Q258" s="238">
        <f t="shared" si="243"/>
        <v>0</v>
      </c>
      <c r="R258" s="238">
        <f t="shared" si="243"/>
        <v>0</v>
      </c>
      <c r="S258" s="238">
        <f t="shared" si="243"/>
        <v>0</v>
      </c>
      <c r="T258" s="238">
        <f t="shared" si="243"/>
        <v>0</v>
      </c>
      <c r="U258" s="238">
        <f t="shared" si="243"/>
        <v>0</v>
      </c>
      <c r="V258" s="231"/>
      <c r="W258" s="207"/>
      <c r="X258" s="240">
        <f t="shared" si="219"/>
        <v>0</v>
      </c>
      <c r="Y258" s="240">
        <f t="shared" si="220"/>
        <v>9.7594332645052854E-3</v>
      </c>
      <c r="Z258" s="240">
        <f t="shared" si="221"/>
        <v>5.7948015698568278E-2</v>
      </c>
      <c r="AA258" s="240">
        <f t="shared" si="222"/>
        <v>0</v>
      </c>
      <c r="AB258" s="240">
        <f t="shared" si="223"/>
        <v>0</v>
      </c>
      <c r="AC258" s="240">
        <f t="shared" si="224"/>
        <v>0</v>
      </c>
      <c r="AD258" s="240">
        <f t="shared" si="231"/>
        <v>0</v>
      </c>
      <c r="AE258" s="240">
        <f t="shared" si="225"/>
        <v>0</v>
      </c>
      <c r="AF258" s="240">
        <f t="shared" si="226"/>
        <v>0</v>
      </c>
      <c r="AG258" s="240">
        <f t="shared" si="227"/>
        <v>0</v>
      </c>
      <c r="AH258" s="240">
        <f t="shared" si="228"/>
        <v>0</v>
      </c>
      <c r="AI258" s="240">
        <f t="shared" si="229"/>
        <v>0</v>
      </c>
    </row>
    <row r="259" spans="4:36" ht="13.5" customHeight="1" x14ac:dyDescent="0.25">
      <c r="D259" s="2" t="str">
        <f t="shared" si="217"/>
        <v>Sugar cane</v>
      </c>
      <c r="E259" s="239">
        <f>OCPMarketShares!K148</f>
        <v>0</v>
      </c>
      <c r="F259" s="239">
        <f>OCPMarketShares!L148</f>
        <v>7.6695646633840056E-2</v>
      </c>
      <c r="G259" s="239">
        <f>OCPMarketShares!M148</f>
        <v>0.24077739988170901</v>
      </c>
      <c r="I259" s="31"/>
      <c r="J259" s="238">
        <f t="shared" ref="J259:U259" si="244">E137</f>
        <v>0.9</v>
      </c>
      <c r="K259" s="238">
        <f t="shared" si="244"/>
        <v>0.5</v>
      </c>
      <c r="L259" s="238">
        <f t="shared" si="244"/>
        <v>0.2</v>
      </c>
      <c r="M259" s="238">
        <f t="shared" si="244"/>
        <v>0.1</v>
      </c>
      <c r="N259" s="238">
        <f t="shared" si="244"/>
        <v>0.5</v>
      </c>
      <c r="O259" s="238">
        <f t="shared" si="244"/>
        <v>0.8</v>
      </c>
      <c r="P259" s="238">
        <f t="shared" si="244"/>
        <v>0</v>
      </c>
      <c r="Q259" s="238">
        <f t="shared" si="244"/>
        <v>0</v>
      </c>
      <c r="R259" s="238">
        <f t="shared" si="244"/>
        <v>0</v>
      </c>
      <c r="S259" s="238">
        <f t="shared" si="244"/>
        <v>0</v>
      </c>
      <c r="T259" s="238">
        <f t="shared" si="244"/>
        <v>0</v>
      </c>
      <c r="U259" s="238">
        <f t="shared" si="244"/>
        <v>0</v>
      </c>
      <c r="V259" s="231"/>
      <c r="W259" s="207"/>
      <c r="X259" s="240">
        <f t="shared" si="219"/>
        <v>0</v>
      </c>
      <c r="Y259" s="240">
        <f t="shared" si="220"/>
        <v>8.3364833297652235E-2</v>
      </c>
      <c r="Z259" s="240">
        <f t="shared" si="221"/>
        <v>0.10468582603552566</v>
      </c>
      <c r="AA259" s="240">
        <f t="shared" si="222"/>
        <v>0</v>
      </c>
      <c r="AB259" s="240">
        <f t="shared" si="223"/>
        <v>8.3364833297652235E-2</v>
      </c>
      <c r="AC259" s="240">
        <f t="shared" si="224"/>
        <v>0.41874330414210265</v>
      </c>
      <c r="AD259" s="240">
        <f t="shared" si="231"/>
        <v>0</v>
      </c>
      <c r="AE259" s="240">
        <f t="shared" si="225"/>
        <v>0</v>
      </c>
      <c r="AF259" s="240">
        <f t="shared" si="226"/>
        <v>0</v>
      </c>
      <c r="AG259" s="240">
        <f t="shared" si="227"/>
        <v>0</v>
      </c>
      <c r="AH259" s="240">
        <f t="shared" si="228"/>
        <v>0</v>
      </c>
      <c r="AI259" s="240">
        <f t="shared" si="229"/>
        <v>0</v>
      </c>
    </row>
    <row r="260" spans="4:36" ht="13.5" customHeight="1" x14ac:dyDescent="0.25">
      <c r="D260" s="2" t="str">
        <f t="shared" si="217"/>
        <v>Millet</v>
      </c>
      <c r="E260" s="239">
        <f>OCPMarketShares!K149</f>
        <v>0</v>
      </c>
      <c r="F260" s="239">
        <f>OCPMarketShares!L149</f>
        <v>2.8966120413107775E-3</v>
      </c>
      <c r="G260" s="239">
        <f>OCPMarketShares!M149</f>
        <v>1.0289117315987011E-2</v>
      </c>
      <c r="I260" s="31"/>
      <c r="J260" s="238">
        <f t="shared" ref="J260:U260" si="245">E138</f>
        <v>0.75</v>
      </c>
      <c r="K260" s="238">
        <f t="shared" si="245"/>
        <v>0.5</v>
      </c>
      <c r="L260" s="238">
        <f t="shared" si="245"/>
        <v>0</v>
      </c>
      <c r="M260" s="238">
        <f t="shared" si="245"/>
        <v>0</v>
      </c>
      <c r="N260" s="238">
        <f t="shared" si="245"/>
        <v>0</v>
      </c>
      <c r="O260" s="238">
        <f t="shared" si="245"/>
        <v>0</v>
      </c>
      <c r="P260" s="238">
        <f t="shared" si="245"/>
        <v>0.25</v>
      </c>
      <c r="Q260" s="238">
        <f t="shared" si="245"/>
        <v>0.5</v>
      </c>
      <c r="R260" s="238">
        <f t="shared" si="245"/>
        <v>1</v>
      </c>
      <c r="S260" s="238">
        <f t="shared" si="245"/>
        <v>0</v>
      </c>
      <c r="T260" s="238">
        <f t="shared" si="245"/>
        <v>0</v>
      </c>
      <c r="U260" s="238">
        <f t="shared" si="245"/>
        <v>0</v>
      </c>
      <c r="V260" s="231"/>
      <c r="W260" s="207"/>
      <c r="X260" s="240">
        <f t="shared" si="219"/>
        <v>0</v>
      </c>
      <c r="Y260" s="240">
        <f t="shared" si="220"/>
        <v>3.148491349250845E-3</v>
      </c>
      <c r="Z260" s="240">
        <f t="shared" si="221"/>
        <v>0</v>
      </c>
      <c r="AA260" s="240">
        <f t="shared" si="222"/>
        <v>0</v>
      </c>
      <c r="AB260" s="240">
        <f t="shared" si="223"/>
        <v>0</v>
      </c>
      <c r="AC260" s="240">
        <f t="shared" si="224"/>
        <v>0</v>
      </c>
      <c r="AD260" s="240">
        <f t="shared" si="231"/>
        <v>0</v>
      </c>
      <c r="AE260" s="240">
        <f t="shared" si="225"/>
        <v>3.148491349250845E-3</v>
      </c>
      <c r="AF260" s="240">
        <f t="shared" si="226"/>
        <v>2.2367646339102199E-2</v>
      </c>
      <c r="AG260" s="240">
        <f t="shared" si="227"/>
        <v>0</v>
      </c>
      <c r="AH260" s="240">
        <f t="shared" si="228"/>
        <v>0</v>
      </c>
      <c r="AI260" s="240">
        <f t="shared" si="229"/>
        <v>0</v>
      </c>
    </row>
    <row r="261" spans="4:36" ht="13.5" customHeight="1" x14ac:dyDescent="0.25">
      <c r="D261" s="2" t="str">
        <f t="shared" si="217"/>
        <v>Cocoa beans</v>
      </c>
      <c r="E261" s="239">
        <f>OCPMarketShares!K150</f>
        <v>0</v>
      </c>
      <c r="F261" s="239">
        <f>OCPMarketShares!L150</f>
        <v>0.13024975516116527</v>
      </c>
      <c r="G261" s="239">
        <f>OCPMarketShares!M150</f>
        <v>0.51247272594176485</v>
      </c>
      <c r="I261" s="31"/>
      <c r="J261" s="238">
        <f t="shared" ref="J261:U261" si="246">E139</f>
        <v>0.9</v>
      </c>
      <c r="K261" s="238">
        <f t="shared" si="246"/>
        <v>0.5</v>
      </c>
      <c r="L261" s="238">
        <f t="shared" si="246"/>
        <v>0.2</v>
      </c>
      <c r="M261" s="238">
        <f t="shared" si="246"/>
        <v>0.1</v>
      </c>
      <c r="N261" s="238">
        <f t="shared" si="246"/>
        <v>0.5</v>
      </c>
      <c r="O261" s="238">
        <f t="shared" si="246"/>
        <v>0.8</v>
      </c>
      <c r="P261" s="238">
        <f t="shared" si="246"/>
        <v>0</v>
      </c>
      <c r="Q261" s="238">
        <f t="shared" si="246"/>
        <v>0</v>
      </c>
      <c r="R261" s="238">
        <f t="shared" si="246"/>
        <v>0</v>
      </c>
      <c r="S261" s="238">
        <f t="shared" si="246"/>
        <v>0</v>
      </c>
      <c r="T261" s="238">
        <f t="shared" si="246"/>
        <v>0</v>
      </c>
      <c r="U261" s="238">
        <f t="shared" si="246"/>
        <v>0</v>
      </c>
      <c r="V261" s="231"/>
      <c r="W261" s="207"/>
      <c r="X261" s="240">
        <f t="shared" si="219"/>
        <v>0</v>
      </c>
      <c r="Y261" s="240">
        <f t="shared" si="220"/>
        <v>0.14157582082735354</v>
      </c>
      <c r="Z261" s="240">
        <f t="shared" si="221"/>
        <v>0.22281422867033254</v>
      </c>
      <c r="AA261" s="240">
        <f t="shared" si="222"/>
        <v>0</v>
      </c>
      <c r="AB261" s="240">
        <f t="shared" si="223"/>
        <v>0.14157582082735354</v>
      </c>
      <c r="AC261" s="240">
        <f t="shared" si="224"/>
        <v>0.89125691468133017</v>
      </c>
      <c r="AD261" s="240">
        <f t="shared" si="231"/>
        <v>0</v>
      </c>
      <c r="AE261" s="240">
        <f t="shared" si="225"/>
        <v>0</v>
      </c>
      <c r="AF261" s="240">
        <f t="shared" si="226"/>
        <v>0</v>
      </c>
      <c r="AG261" s="240">
        <f t="shared" si="227"/>
        <v>0</v>
      </c>
      <c r="AH261" s="240">
        <f t="shared" si="228"/>
        <v>0</v>
      </c>
      <c r="AI261" s="240">
        <f t="shared" si="229"/>
        <v>0</v>
      </c>
    </row>
    <row r="262" spans="4:36" ht="13.5" customHeight="1" x14ac:dyDescent="0.25">
      <c r="D262" s="2" t="str">
        <f t="shared" si="217"/>
        <v>Other oil seeds, n.e.c.</v>
      </c>
      <c r="E262" s="239">
        <f>OCPMarketShares!K151</f>
        <v>0</v>
      </c>
      <c r="F262" s="239">
        <f>OCPMarketShares!L151</f>
        <v>2.2757249392624645E-3</v>
      </c>
      <c r="G262" s="239">
        <f>OCPMarketShares!M151</f>
        <v>1.2356379794415347E-2</v>
      </c>
      <c r="I262" s="31"/>
      <c r="J262" s="238">
        <f t="shared" ref="J262:U262" si="247">E140</f>
        <v>0.9</v>
      </c>
      <c r="K262" s="238">
        <f t="shared" si="247"/>
        <v>0.5</v>
      </c>
      <c r="L262" s="238">
        <f t="shared" si="247"/>
        <v>0.2</v>
      </c>
      <c r="M262" s="238">
        <f t="shared" si="247"/>
        <v>0.1</v>
      </c>
      <c r="N262" s="238">
        <f t="shared" si="247"/>
        <v>0.5</v>
      </c>
      <c r="O262" s="238">
        <f t="shared" si="247"/>
        <v>0.8</v>
      </c>
      <c r="P262" s="238">
        <f t="shared" si="247"/>
        <v>0</v>
      </c>
      <c r="Q262" s="238">
        <f t="shared" si="247"/>
        <v>0</v>
      </c>
      <c r="R262" s="238">
        <f t="shared" si="247"/>
        <v>0</v>
      </c>
      <c r="S262" s="238">
        <f t="shared" si="247"/>
        <v>0</v>
      </c>
      <c r="T262" s="238">
        <f t="shared" si="247"/>
        <v>0</v>
      </c>
      <c r="U262" s="238">
        <f t="shared" si="247"/>
        <v>0</v>
      </c>
      <c r="V262" s="231"/>
      <c r="W262" s="207"/>
      <c r="X262" s="240">
        <f t="shared" si="219"/>
        <v>0</v>
      </c>
      <c r="Y262" s="240">
        <f t="shared" si="220"/>
        <v>2.4736140644157222E-3</v>
      </c>
      <c r="Z262" s="240">
        <f t="shared" si="221"/>
        <v>5.3723390410501505E-3</v>
      </c>
      <c r="AA262" s="240">
        <f t="shared" si="222"/>
        <v>0</v>
      </c>
      <c r="AB262" s="240">
        <f t="shared" si="223"/>
        <v>2.4736140644157222E-3</v>
      </c>
      <c r="AC262" s="240">
        <f t="shared" si="224"/>
        <v>2.1489356164200602E-2</v>
      </c>
      <c r="AD262" s="240">
        <f t="shared" si="231"/>
        <v>0</v>
      </c>
      <c r="AE262" s="240">
        <f t="shared" si="225"/>
        <v>0</v>
      </c>
      <c r="AF262" s="240">
        <f t="shared" si="226"/>
        <v>0</v>
      </c>
      <c r="AG262" s="240">
        <f t="shared" si="227"/>
        <v>0</v>
      </c>
      <c r="AH262" s="240">
        <f t="shared" si="228"/>
        <v>0</v>
      </c>
      <c r="AI262" s="240">
        <f t="shared" si="229"/>
        <v>0</v>
      </c>
    </row>
    <row r="263" spans="4:36" ht="13.5" customHeight="1" x14ac:dyDescent="0.25">
      <c r="D263" s="2" t="str">
        <f t="shared" si="217"/>
        <v>Soya beans</v>
      </c>
      <c r="E263" s="239">
        <f>OCPMarketShares!K152</f>
        <v>0</v>
      </c>
      <c r="F263" s="239">
        <f>OCPMarketShares!L152</f>
        <v>1.3071464828586381E-2</v>
      </c>
      <c r="G263" s="239">
        <f>OCPMarketShares!M152</f>
        <v>3.6104741493618933E-2</v>
      </c>
      <c r="I263" s="31"/>
      <c r="J263" s="238">
        <f t="shared" ref="J263:U263" si="248">E141</f>
        <v>0.9</v>
      </c>
      <c r="K263" s="238">
        <f t="shared" si="248"/>
        <v>0.5</v>
      </c>
      <c r="L263" s="238">
        <f t="shared" si="248"/>
        <v>0.2</v>
      </c>
      <c r="M263" s="238">
        <f t="shared" si="248"/>
        <v>0.1</v>
      </c>
      <c r="N263" s="238">
        <f t="shared" si="248"/>
        <v>0.5</v>
      </c>
      <c r="O263" s="238">
        <f t="shared" si="248"/>
        <v>0.8</v>
      </c>
      <c r="P263" s="238">
        <f t="shared" si="248"/>
        <v>0</v>
      </c>
      <c r="Q263" s="238">
        <f t="shared" si="248"/>
        <v>0</v>
      </c>
      <c r="R263" s="238">
        <f t="shared" si="248"/>
        <v>0</v>
      </c>
      <c r="S263" s="238">
        <f t="shared" si="248"/>
        <v>0</v>
      </c>
      <c r="T263" s="238">
        <f t="shared" si="248"/>
        <v>0</v>
      </c>
      <c r="U263" s="238">
        <f t="shared" si="248"/>
        <v>0</v>
      </c>
      <c r="V263" s="231"/>
      <c r="W263" s="204"/>
      <c r="X263" s="240">
        <f t="shared" si="219"/>
        <v>0</v>
      </c>
      <c r="Y263" s="240">
        <f t="shared" si="220"/>
        <v>1.4208113944115631E-2</v>
      </c>
      <c r="Z263" s="240">
        <f t="shared" si="221"/>
        <v>1.5697713692877795E-2</v>
      </c>
      <c r="AA263" s="240">
        <f t="shared" si="222"/>
        <v>0</v>
      </c>
      <c r="AB263" s="240">
        <f t="shared" si="223"/>
        <v>1.4208113944115631E-2</v>
      </c>
      <c r="AC263" s="240">
        <f t="shared" si="224"/>
        <v>6.2790854771511181E-2</v>
      </c>
      <c r="AD263" s="240">
        <f t="shared" si="231"/>
        <v>0</v>
      </c>
      <c r="AE263" s="240">
        <f t="shared" si="225"/>
        <v>0</v>
      </c>
      <c r="AF263" s="240">
        <f t="shared" si="226"/>
        <v>0</v>
      </c>
      <c r="AG263" s="240">
        <f t="shared" si="227"/>
        <v>0</v>
      </c>
      <c r="AH263" s="240">
        <f t="shared" si="228"/>
        <v>0</v>
      </c>
      <c r="AI263" s="240">
        <f t="shared" si="229"/>
        <v>0</v>
      </c>
    </row>
    <row r="264" spans="4:36" ht="13.5" customHeight="1" x14ac:dyDescent="0.25">
      <c r="D264" s="2" t="str">
        <f t="shared" si="217"/>
        <v>Pigeon peas, dry</v>
      </c>
      <c r="E264" s="239">
        <f>OCPMarketShares!K153</f>
        <v>0</v>
      </c>
      <c r="F264" s="239">
        <f>OCPMarketShares!L153</f>
        <v>6.9941688742489773E-3</v>
      </c>
      <c r="G264" s="239">
        <f>OCPMarketShares!M153</f>
        <v>2.0833324502712795E-2</v>
      </c>
      <c r="I264" s="31"/>
      <c r="J264" s="238">
        <f t="shared" ref="J264:U264" si="249">E142</f>
        <v>0.9</v>
      </c>
      <c r="K264" s="238">
        <f t="shared" si="249"/>
        <v>0.5</v>
      </c>
      <c r="L264" s="238">
        <f t="shared" si="249"/>
        <v>0.2</v>
      </c>
      <c r="M264" s="238">
        <f t="shared" si="249"/>
        <v>0.1</v>
      </c>
      <c r="N264" s="238">
        <f t="shared" si="249"/>
        <v>0.5</v>
      </c>
      <c r="O264" s="238">
        <f t="shared" si="249"/>
        <v>0.8</v>
      </c>
      <c r="P264" s="238">
        <f t="shared" si="249"/>
        <v>0</v>
      </c>
      <c r="Q264" s="238">
        <f t="shared" si="249"/>
        <v>0</v>
      </c>
      <c r="R264" s="238">
        <f t="shared" si="249"/>
        <v>0</v>
      </c>
      <c r="S264" s="238">
        <f t="shared" si="249"/>
        <v>0</v>
      </c>
      <c r="T264" s="238">
        <f t="shared" si="249"/>
        <v>0</v>
      </c>
      <c r="U264" s="238">
        <f t="shared" si="249"/>
        <v>0</v>
      </c>
      <c r="V264" s="231"/>
      <c r="W264" s="204"/>
      <c r="X264" s="240">
        <f t="shared" si="219"/>
        <v>0</v>
      </c>
      <c r="Y264" s="240">
        <f t="shared" si="220"/>
        <v>7.6023574720097574E-3</v>
      </c>
      <c r="Z264" s="240">
        <f t="shared" si="221"/>
        <v>9.0579671750925204E-3</v>
      </c>
      <c r="AA264" s="240">
        <f t="shared" si="222"/>
        <v>0</v>
      </c>
      <c r="AB264" s="240">
        <f t="shared" si="223"/>
        <v>7.6023574720097574E-3</v>
      </c>
      <c r="AC264" s="240">
        <f t="shared" si="224"/>
        <v>3.6231868700370082E-2</v>
      </c>
      <c r="AD264" s="240">
        <f t="shared" si="231"/>
        <v>0</v>
      </c>
      <c r="AE264" s="240">
        <f t="shared" si="225"/>
        <v>0</v>
      </c>
      <c r="AF264" s="240">
        <f t="shared" si="226"/>
        <v>0</v>
      </c>
      <c r="AG264" s="240">
        <f t="shared" si="227"/>
        <v>0</v>
      </c>
      <c r="AH264" s="240">
        <f t="shared" si="228"/>
        <v>0</v>
      </c>
      <c r="AI264" s="240">
        <f t="shared" si="229"/>
        <v>0</v>
      </c>
    </row>
    <row r="265" spans="4:36" ht="13.5" customHeight="1" x14ac:dyDescent="0.25">
      <c r="D265" s="2" t="str">
        <f t="shared" si="217"/>
        <v>Potatoes</v>
      </c>
      <c r="E265" s="239">
        <f>OCPMarketShares!K154</f>
        <v>0</v>
      </c>
      <c r="F265" s="239">
        <f>OCPMarketShares!L154</f>
        <v>4.4916568619612247E-3</v>
      </c>
      <c r="G265" s="239">
        <f>OCPMarketShares!M154</f>
        <v>1.9296920014678882E-2</v>
      </c>
      <c r="I265" s="31"/>
      <c r="J265" s="238">
        <f t="shared" ref="J265:U265" si="250">E143</f>
        <v>1</v>
      </c>
      <c r="K265" s="238">
        <f t="shared" si="250"/>
        <v>0.75</v>
      </c>
      <c r="L265" s="238">
        <f t="shared" si="250"/>
        <v>0.5</v>
      </c>
      <c r="M265" s="238">
        <f t="shared" si="250"/>
        <v>0</v>
      </c>
      <c r="N265" s="238">
        <f t="shared" si="250"/>
        <v>0</v>
      </c>
      <c r="O265" s="238">
        <f t="shared" si="250"/>
        <v>0</v>
      </c>
      <c r="P265" s="238">
        <f t="shared" si="250"/>
        <v>0</v>
      </c>
      <c r="Q265" s="238">
        <f t="shared" si="250"/>
        <v>0.25</v>
      </c>
      <c r="R265" s="238">
        <f t="shared" si="250"/>
        <v>0.5</v>
      </c>
      <c r="S265" s="238">
        <f t="shared" si="250"/>
        <v>0</v>
      </c>
      <c r="T265" s="238">
        <f t="shared" si="250"/>
        <v>0</v>
      </c>
      <c r="U265" s="238">
        <f t="shared" si="250"/>
        <v>0</v>
      </c>
      <c r="V265" s="231"/>
      <c r="W265" s="204"/>
      <c r="X265" s="240">
        <f t="shared" si="219"/>
        <v>0</v>
      </c>
      <c r="Y265" s="240">
        <f t="shared" si="220"/>
        <v>7.323353579284605E-3</v>
      </c>
      <c r="Z265" s="240">
        <f t="shared" si="221"/>
        <v>2.0974913059433567E-2</v>
      </c>
      <c r="AA265" s="240">
        <f t="shared" si="222"/>
        <v>0</v>
      </c>
      <c r="AB265" s="240">
        <f t="shared" si="223"/>
        <v>0</v>
      </c>
      <c r="AC265" s="240">
        <f t="shared" si="224"/>
        <v>0</v>
      </c>
      <c r="AD265" s="240">
        <f t="shared" si="231"/>
        <v>0</v>
      </c>
      <c r="AE265" s="240">
        <f t="shared" si="225"/>
        <v>2.441117859761535E-3</v>
      </c>
      <c r="AF265" s="240">
        <f t="shared" si="226"/>
        <v>2.0974913059433567E-2</v>
      </c>
      <c r="AG265" s="240">
        <f t="shared" si="227"/>
        <v>0</v>
      </c>
      <c r="AH265" s="240">
        <f t="shared" si="228"/>
        <v>0</v>
      </c>
      <c r="AI265" s="240">
        <f t="shared" si="229"/>
        <v>0</v>
      </c>
    </row>
    <row r="266" spans="4:36" ht="13.5" customHeight="1" x14ac:dyDescent="0.25">
      <c r="D266" s="2" t="str">
        <f t="shared" si="217"/>
        <v>Tea leaves</v>
      </c>
      <c r="E266" s="239">
        <f>OCPMarketShares!K155</f>
        <v>0</v>
      </c>
      <c r="F266" s="239">
        <f>OCPMarketShares!L155</f>
        <v>2.505626211419934E-3</v>
      </c>
      <c r="G266" s="239">
        <f>OCPMarketShares!M155</f>
        <v>1.023459628523124E-2</v>
      </c>
      <c r="I266" s="31"/>
      <c r="J266" s="238">
        <f t="shared" ref="J266:U266" si="251">E144</f>
        <v>1</v>
      </c>
      <c r="K266" s="238">
        <f t="shared" si="251"/>
        <v>1</v>
      </c>
      <c r="L266" s="238">
        <f t="shared" si="251"/>
        <v>1</v>
      </c>
      <c r="M266" s="238">
        <f t="shared" si="251"/>
        <v>0</v>
      </c>
      <c r="N266" s="238">
        <f t="shared" si="251"/>
        <v>0</v>
      </c>
      <c r="O266" s="238">
        <f t="shared" si="251"/>
        <v>0</v>
      </c>
      <c r="P266" s="238">
        <f t="shared" si="251"/>
        <v>0</v>
      </c>
      <c r="Q266" s="238">
        <f t="shared" si="251"/>
        <v>0</v>
      </c>
      <c r="R266" s="238">
        <f t="shared" si="251"/>
        <v>0</v>
      </c>
      <c r="S266" s="238">
        <f t="shared" si="251"/>
        <v>0</v>
      </c>
      <c r="T266" s="238">
        <f t="shared" si="251"/>
        <v>0</v>
      </c>
      <c r="U266" s="238">
        <f t="shared" si="251"/>
        <v>0</v>
      </c>
      <c r="V266" s="231"/>
      <c r="W266" s="204"/>
      <c r="X266" s="240">
        <f t="shared" si="219"/>
        <v>0</v>
      </c>
      <c r="Y266" s="240">
        <f t="shared" si="220"/>
        <v>5.4470135030868132E-3</v>
      </c>
      <c r="Z266" s="240">
        <f t="shared" si="221"/>
        <v>2.2249122359198348E-2</v>
      </c>
      <c r="AA266" s="240">
        <f t="shared" si="222"/>
        <v>0</v>
      </c>
      <c r="AB266" s="240">
        <f t="shared" si="223"/>
        <v>0</v>
      </c>
      <c r="AC266" s="240">
        <f t="shared" si="224"/>
        <v>0</v>
      </c>
      <c r="AD266" s="240">
        <f t="shared" si="231"/>
        <v>0</v>
      </c>
      <c r="AE266" s="240">
        <f t="shared" si="225"/>
        <v>0</v>
      </c>
      <c r="AF266" s="240">
        <f t="shared" si="226"/>
        <v>0</v>
      </c>
      <c r="AG266" s="240">
        <f t="shared" si="227"/>
        <v>0</v>
      </c>
      <c r="AH266" s="240">
        <f t="shared" si="228"/>
        <v>0</v>
      </c>
      <c r="AI266" s="240">
        <f t="shared" si="229"/>
        <v>0</v>
      </c>
    </row>
    <row r="267" spans="4:36" ht="13.5" customHeight="1" x14ac:dyDescent="0.25">
      <c r="D267" s="2" t="str">
        <f t="shared" si="217"/>
        <v>Cow peas, dry</v>
      </c>
      <c r="E267" s="239">
        <f>OCPMarketShares!K156</f>
        <v>0</v>
      </c>
      <c r="F267" s="239">
        <f>OCPMarketShares!L156</f>
        <v>5.6404239333201749E-3</v>
      </c>
      <c r="G267" s="239">
        <f>OCPMarketShares!M156</f>
        <v>1.7226197769866423E-2</v>
      </c>
      <c r="I267" s="31"/>
      <c r="J267" s="238">
        <f t="shared" ref="J267:U267" si="252">E145</f>
        <v>0.9</v>
      </c>
      <c r="K267" s="238">
        <f t="shared" si="252"/>
        <v>0.5</v>
      </c>
      <c r="L267" s="238">
        <f t="shared" si="252"/>
        <v>0.2</v>
      </c>
      <c r="M267" s="238">
        <f t="shared" si="252"/>
        <v>0.1</v>
      </c>
      <c r="N267" s="238">
        <f t="shared" si="252"/>
        <v>0.5</v>
      </c>
      <c r="O267" s="238">
        <f t="shared" si="252"/>
        <v>0.8</v>
      </c>
      <c r="P267" s="238">
        <f t="shared" si="252"/>
        <v>0</v>
      </c>
      <c r="Q267" s="238">
        <f t="shared" si="252"/>
        <v>0</v>
      </c>
      <c r="R267" s="238">
        <f t="shared" si="252"/>
        <v>0</v>
      </c>
      <c r="S267" s="238">
        <f t="shared" si="252"/>
        <v>0</v>
      </c>
      <c r="T267" s="238">
        <f t="shared" si="252"/>
        <v>0</v>
      </c>
      <c r="U267" s="238">
        <f t="shared" si="252"/>
        <v>0</v>
      </c>
      <c r="V267" s="231"/>
      <c r="W267" s="204"/>
      <c r="X267" s="240">
        <f t="shared" si="219"/>
        <v>0</v>
      </c>
      <c r="Y267" s="240">
        <f t="shared" si="220"/>
        <v>6.1308955796958425E-3</v>
      </c>
      <c r="Z267" s="240">
        <f t="shared" si="221"/>
        <v>7.4896512042897491E-3</v>
      </c>
      <c r="AA267" s="240">
        <f t="shared" si="222"/>
        <v>0</v>
      </c>
      <c r="AB267" s="240">
        <f t="shared" si="223"/>
        <v>6.1308955796958425E-3</v>
      </c>
      <c r="AC267" s="240">
        <f t="shared" si="224"/>
        <v>2.9958604817158997E-2</v>
      </c>
      <c r="AD267" s="240">
        <f t="shared" si="231"/>
        <v>0</v>
      </c>
      <c r="AE267" s="240">
        <f t="shared" si="225"/>
        <v>0</v>
      </c>
      <c r="AF267" s="240">
        <f t="shared" si="226"/>
        <v>0</v>
      </c>
      <c r="AG267" s="240">
        <f t="shared" si="227"/>
        <v>0</v>
      </c>
      <c r="AH267" s="240">
        <f t="shared" si="228"/>
        <v>0</v>
      </c>
      <c r="AI267" s="240">
        <f t="shared" si="229"/>
        <v>0</v>
      </c>
    </row>
    <row r="268" spans="4:36" ht="13.5" customHeight="1" thickBot="1" x14ac:dyDescent="0.3">
      <c r="D268" s="2" t="str">
        <f t="shared" si="217"/>
        <v>Peas, dry</v>
      </c>
      <c r="E268" s="239">
        <f>OCPMarketShares!K157</f>
        <v>0</v>
      </c>
      <c r="F268" s="239">
        <f>OCPMarketShares!L157</f>
        <v>4.1061509612137226E-3</v>
      </c>
      <c r="G268" s="239">
        <f>OCPMarketShares!M157</f>
        <v>1.2042822313399587E-2</v>
      </c>
      <c r="I268" s="31"/>
      <c r="J268" s="238">
        <f t="shared" ref="J268:U268" si="253">E146</f>
        <v>0.9</v>
      </c>
      <c r="K268" s="238">
        <f t="shared" si="253"/>
        <v>0.5</v>
      </c>
      <c r="L268" s="238">
        <f t="shared" si="253"/>
        <v>0.2</v>
      </c>
      <c r="M268" s="238">
        <f t="shared" si="253"/>
        <v>0.1</v>
      </c>
      <c r="N268" s="238">
        <f t="shared" si="253"/>
        <v>0.5</v>
      </c>
      <c r="O268" s="238">
        <f t="shared" si="253"/>
        <v>0.8</v>
      </c>
      <c r="P268" s="238">
        <f t="shared" si="253"/>
        <v>0</v>
      </c>
      <c r="Q268" s="238">
        <f t="shared" si="253"/>
        <v>0</v>
      </c>
      <c r="R268" s="238">
        <f t="shared" si="253"/>
        <v>0</v>
      </c>
      <c r="S268" s="238">
        <f t="shared" si="253"/>
        <v>0</v>
      </c>
      <c r="T268" s="238">
        <f t="shared" si="253"/>
        <v>0</v>
      </c>
      <c r="U268" s="238">
        <f t="shared" si="253"/>
        <v>0</v>
      </c>
      <c r="V268" s="231"/>
      <c r="W268" s="204"/>
      <c r="X268" s="240">
        <f t="shared" si="219"/>
        <v>0</v>
      </c>
      <c r="Y268" s="240">
        <f t="shared" si="220"/>
        <v>4.4632075665366547E-3</v>
      </c>
      <c r="Z268" s="240">
        <f t="shared" si="221"/>
        <v>5.2360097014780812E-3</v>
      </c>
      <c r="AA268" s="240">
        <f t="shared" si="222"/>
        <v>0</v>
      </c>
      <c r="AB268" s="240">
        <f t="shared" si="223"/>
        <v>4.4632075665366547E-3</v>
      </c>
      <c r="AC268" s="240">
        <f t="shared" si="224"/>
        <v>2.0944038805912325E-2</v>
      </c>
      <c r="AD268" s="240">
        <f t="shared" si="231"/>
        <v>0</v>
      </c>
      <c r="AE268" s="240">
        <f t="shared" si="225"/>
        <v>0</v>
      </c>
      <c r="AF268" s="240">
        <f t="shared" si="226"/>
        <v>0</v>
      </c>
      <c r="AG268" s="240">
        <f t="shared" si="227"/>
        <v>0</v>
      </c>
      <c r="AH268" s="240">
        <f t="shared" si="228"/>
        <v>0</v>
      </c>
      <c r="AI268" s="240">
        <f t="shared" si="229"/>
        <v>0</v>
      </c>
    </row>
    <row r="269" spans="4:36" ht="13.5" customHeight="1" thickTop="1" thickBot="1" x14ac:dyDescent="0.3">
      <c r="D269" s="99" t="s">
        <v>13</v>
      </c>
      <c r="E269" s="123">
        <f>SUM(E245:E268)</f>
        <v>0</v>
      </c>
      <c r="F269" s="123">
        <f>SUM(F245:F268)</f>
        <v>2.4407854440229975</v>
      </c>
      <c r="G269" s="123">
        <f>SUM(G245:G268)</f>
        <v>8.8553430001741855</v>
      </c>
      <c r="I269" s="31"/>
      <c r="J269" s="150"/>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row>
    <row r="270" spans="4:36" ht="13.5" customHeight="1" thickTop="1" thickBot="1" x14ac:dyDescent="0.3">
      <c r="D270" s="97" t="s">
        <v>205</v>
      </c>
      <c r="E270" s="234">
        <f t="shared" ref="E270:G270" si="254">E269/46%</f>
        <v>0</v>
      </c>
      <c r="F270" s="234">
        <f t="shared" si="254"/>
        <v>5.3060553130934727</v>
      </c>
      <c r="G270" s="234">
        <f t="shared" si="254"/>
        <v>19.250745652552578</v>
      </c>
      <c r="I270" s="31"/>
      <c r="J270" s="31"/>
      <c r="W270" s="1" t="s">
        <v>206</v>
      </c>
      <c r="X270" s="232">
        <f t="shared" ref="X270:AD270" si="255">SUM(X245:X268)</f>
        <v>0</v>
      </c>
      <c r="Y270" s="232">
        <f t="shared" si="255"/>
        <v>2.8182170023647388</v>
      </c>
      <c r="Z270" s="232">
        <f t="shared" si="255"/>
        <v>3.6584812266996525</v>
      </c>
      <c r="AA270" s="232">
        <f t="shared" si="255"/>
        <v>0</v>
      </c>
      <c r="AB270" s="232">
        <f t="shared" si="255"/>
        <v>1.4721898540100473</v>
      </c>
      <c r="AC270" s="232">
        <f t="shared" si="255"/>
        <v>8.8920552991984483</v>
      </c>
      <c r="AD270" s="232">
        <f t="shared" si="255"/>
        <v>0</v>
      </c>
      <c r="AE270" s="232">
        <f t="shared" ref="AE270:AI270" si="256">SUM(AE245:AE268)</f>
        <v>1.0156484567186863</v>
      </c>
      <c r="AF270" s="232">
        <f t="shared" si="256"/>
        <v>6.7002091266544834</v>
      </c>
      <c r="AG270" s="232">
        <f t="shared" si="256"/>
        <v>0</v>
      </c>
      <c r="AH270" s="232">
        <f t="shared" si="256"/>
        <v>0</v>
      </c>
      <c r="AI270" s="232">
        <f t="shared" si="256"/>
        <v>0</v>
      </c>
    </row>
    <row r="271" spans="4:36" ht="13.5" customHeight="1" thickTop="1" x14ac:dyDescent="0.25">
      <c r="O271" s="31"/>
      <c r="AJ271" s="1" t="s">
        <v>319</v>
      </c>
    </row>
    <row r="272" spans="4:36" ht="13.5" customHeight="1" x14ac:dyDescent="0.25">
      <c r="F272" s="7"/>
      <c r="G272" s="7"/>
      <c r="H272" s="7"/>
      <c r="I272" s="7"/>
      <c r="J272" s="7"/>
      <c r="K272" s="7"/>
      <c r="L272" s="7"/>
      <c r="M272" s="7"/>
      <c r="N272" s="7"/>
      <c r="O272" s="31"/>
      <c r="P272" s="31"/>
    </row>
    <row r="273" spans="2:51" ht="13.5" customHeight="1" x14ac:dyDescent="0.35">
      <c r="B273" s="29">
        <v>3</v>
      </c>
      <c r="D273" s="28" t="s">
        <v>173</v>
      </c>
      <c r="O273" s="31"/>
      <c r="P273" s="31"/>
    </row>
    <row r="274" spans="2:51" ht="13.5" customHeight="1" x14ac:dyDescent="0.3">
      <c r="B274" s="7"/>
      <c r="C274" s="7"/>
      <c r="D274" s="36"/>
    </row>
    <row r="275" spans="2:51" ht="13.5" customHeight="1" x14ac:dyDescent="0.35">
      <c r="B275" s="210">
        <v>4</v>
      </c>
      <c r="D275" s="211" t="s">
        <v>207</v>
      </c>
    </row>
    <row r="276" spans="2:51" ht="13.5" customHeight="1" x14ac:dyDescent="0.25">
      <c r="E276" s="163"/>
    </row>
    <row r="277" spans="2:51" ht="13.5" customHeight="1" x14ac:dyDescent="0.35">
      <c r="D277" s="235" t="s">
        <v>208</v>
      </c>
      <c r="E277" s="281"/>
      <c r="K277" s="235" t="s">
        <v>209</v>
      </c>
      <c r="L277" s="235"/>
      <c r="AF277" s="235" t="s">
        <v>210</v>
      </c>
      <c r="AG277" s="235"/>
    </row>
    <row r="278" spans="2:51" ht="13.5" customHeight="1" x14ac:dyDescent="0.3">
      <c r="D278" s="214" t="s">
        <v>72</v>
      </c>
      <c r="E278" s="282"/>
      <c r="K278" s="214" t="s">
        <v>211</v>
      </c>
      <c r="AF278" s="214" t="s">
        <v>204</v>
      </c>
    </row>
    <row r="279" spans="2:51" ht="13.5" customHeight="1" x14ac:dyDescent="0.25">
      <c r="K279" s="218" t="s">
        <v>182</v>
      </c>
      <c r="M279" s="218"/>
      <c r="N279" s="218"/>
      <c r="O279" s="218" t="s">
        <v>301</v>
      </c>
      <c r="P279" s="218"/>
      <c r="R279" s="218"/>
      <c r="S279" s="218"/>
      <c r="T279" s="218" t="s">
        <v>184</v>
      </c>
      <c r="V279" s="218"/>
      <c r="W279" s="218" t="s">
        <v>321</v>
      </c>
      <c r="Y279" s="218"/>
      <c r="Z279" s="218"/>
      <c r="AA279" s="218"/>
      <c r="AB279" s="218" t="s">
        <v>257</v>
      </c>
      <c r="AD279" s="218"/>
      <c r="AF279" s="218" t="s">
        <v>182</v>
      </c>
      <c r="AH279" s="218"/>
      <c r="AI279" s="218"/>
      <c r="AJ279" s="218" t="s">
        <v>199</v>
      </c>
      <c r="AL279" s="218"/>
      <c r="AM279" s="218"/>
      <c r="AN279" s="218" t="s">
        <v>184</v>
      </c>
      <c r="AP279" s="218"/>
      <c r="AQ279" s="218"/>
      <c r="AR279" s="1" t="s">
        <v>297</v>
      </c>
      <c r="AV279" s="1" t="s">
        <v>257</v>
      </c>
    </row>
    <row r="280" spans="2:51" ht="13.5" customHeight="1" x14ac:dyDescent="0.25">
      <c r="D280" s="220" t="s">
        <v>15</v>
      </c>
      <c r="E280" s="220">
        <v>2022</v>
      </c>
      <c r="F280" s="220">
        <v>2023</v>
      </c>
      <c r="G280" s="220">
        <v>2024</v>
      </c>
      <c r="H280" s="220">
        <v>2025</v>
      </c>
      <c r="K280" s="220">
        <v>2022</v>
      </c>
      <c r="L280" s="220">
        <v>2023</v>
      </c>
      <c r="M280" s="220">
        <v>2024</v>
      </c>
      <c r="N280" s="220">
        <v>2025</v>
      </c>
      <c r="O280" s="220">
        <v>2022</v>
      </c>
      <c r="P280" s="220">
        <v>2023</v>
      </c>
      <c r="Q280" s="220">
        <v>2024</v>
      </c>
      <c r="R280" s="220">
        <v>2025</v>
      </c>
      <c r="S280" s="220">
        <v>2022</v>
      </c>
      <c r="T280" s="220">
        <v>2023</v>
      </c>
      <c r="U280" s="220">
        <v>2024</v>
      </c>
      <c r="V280" s="220">
        <v>2025</v>
      </c>
      <c r="W280" s="220">
        <v>2022</v>
      </c>
      <c r="X280" s="220">
        <v>2023</v>
      </c>
      <c r="Y280" s="220">
        <v>2024</v>
      </c>
      <c r="Z280" s="220">
        <v>2025</v>
      </c>
      <c r="AA280" s="220">
        <v>2022</v>
      </c>
      <c r="AB280" s="220">
        <v>2023</v>
      </c>
      <c r="AC280" s="220">
        <v>2024</v>
      </c>
      <c r="AD280" s="220">
        <v>2025</v>
      </c>
      <c r="AF280" s="220">
        <v>2022</v>
      </c>
      <c r="AG280" s="220">
        <v>2023</v>
      </c>
      <c r="AH280" s="220">
        <v>2024</v>
      </c>
      <c r="AI280" s="220">
        <v>2025</v>
      </c>
      <c r="AJ280" s="220">
        <v>2022</v>
      </c>
      <c r="AK280" s="220">
        <v>2023</v>
      </c>
      <c r="AL280" s="220">
        <v>2024</v>
      </c>
      <c r="AM280" s="220">
        <v>2025</v>
      </c>
      <c r="AN280" s="220">
        <v>2022</v>
      </c>
      <c r="AO280" s="220">
        <v>2023</v>
      </c>
      <c r="AP280" s="220">
        <v>2024</v>
      </c>
      <c r="AQ280" s="220">
        <v>2025</v>
      </c>
      <c r="AR280" s="220">
        <v>2022</v>
      </c>
      <c r="AS280" s="220">
        <v>2023</v>
      </c>
      <c r="AT280" s="220">
        <v>2024</v>
      </c>
      <c r="AU280" s="220">
        <v>2025</v>
      </c>
      <c r="AV280" s="220">
        <v>2022</v>
      </c>
      <c r="AW280" s="220">
        <v>2023</v>
      </c>
      <c r="AX280" s="220">
        <v>2024</v>
      </c>
      <c r="AY280" s="220">
        <v>2025</v>
      </c>
    </row>
    <row r="281" spans="2:51" ht="13.5" customHeight="1" x14ac:dyDescent="0.25">
      <c r="D281" s="79" t="s">
        <v>246</v>
      </c>
      <c r="E281" s="163">
        <f>ProjectedP205_Consumption!J13</f>
        <v>1.4279764462596622</v>
      </c>
      <c r="F281" s="2">
        <f>ProjectedP205_Consumption!K13-E156-E217</f>
        <v>1.4768846395440556</v>
      </c>
      <c r="G281" s="2">
        <f>ProjectedP205_Consumption!L13-F156-F217</f>
        <v>1.4798833900812007</v>
      </c>
      <c r="H281" s="2">
        <f>ProjectedP205_Consumption!M13-G156-G217</f>
        <v>1.4877551102412072</v>
      </c>
      <c r="K281" s="76">
        <f>L281</f>
        <v>0.35</v>
      </c>
      <c r="L281" s="238">
        <f t="shared" ref="L281:L304" si="257">Y123</f>
        <v>0.35</v>
      </c>
      <c r="M281" s="238">
        <f t="shared" ref="M281:M304" si="258">Z123</f>
        <v>0.35</v>
      </c>
      <c r="N281" s="238">
        <f t="shared" ref="N281:N304" si="259">AA123</f>
        <v>0.35</v>
      </c>
      <c r="O281" s="238">
        <v>0</v>
      </c>
      <c r="P281" s="238">
        <f t="shared" ref="P281:P304" si="260">AB123</f>
        <v>0</v>
      </c>
      <c r="Q281" s="238">
        <f t="shared" ref="Q281:Q304" si="261">AC123</f>
        <v>0</v>
      </c>
      <c r="R281" s="238">
        <f t="shared" ref="R281:R304" si="262">AD123</f>
        <v>0</v>
      </c>
      <c r="S281" s="238">
        <f>T281</f>
        <v>0.5</v>
      </c>
      <c r="T281" s="238">
        <f t="shared" ref="T281:T304" si="263">AE123</f>
        <v>0.5</v>
      </c>
      <c r="U281" s="238">
        <f t="shared" ref="U281:U304" si="264">AF123</f>
        <v>0.5</v>
      </c>
      <c r="V281" s="238">
        <f t="shared" ref="V281:V304" si="265">AG123</f>
        <v>0.5</v>
      </c>
      <c r="W281" s="238">
        <f>X281</f>
        <v>0</v>
      </c>
      <c r="X281" s="238">
        <f t="shared" ref="X281:X304" si="266">AH123</f>
        <v>0</v>
      </c>
      <c r="Y281" s="238">
        <f t="shared" ref="Y281:Y304" si="267">AI123</f>
        <v>0</v>
      </c>
      <c r="Z281" s="238">
        <f t="shared" ref="Z281:Z304" si="268">AJ123</f>
        <v>0</v>
      </c>
      <c r="AA281" s="238">
        <f>AB281</f>
        <v>0.14666666666666667</v>
      </c>
      <c r="AB281" s="238">
        <f t="shared" ref="AB281:AB304" si="269">AK123</f>
        <v>0.14666666666666667</v>
      </c>
      <c r="AC281" s="238">
        <f t="shared" ref="AC281:AC304" si="270">AL123</f>
        <v>0.14666666666666667</v>
      </c>
      <c r="AD281" s="238">
        <f t="shared" ref="AD281:AD304" si="271">AM123</f>
        <v>0.14666666666666667</v>
      </c>
      <c r="AF281" s="240">
        <f>(E281*K281)/$K$11</f>
        <v>1.0865038178062645</v>
      </c>
      <c r="AG281" s="240">
        <f>(F281*L281)/$K$11</f>
        <v>1.123716573566129</v>
      </c>
      <c r="AH281" s="240">
        <f>(G281*M281)/$K$11</f>
        <v>1.1259982315835222</v>
      </c>
      <c r="AI281" s="240">
        <f>(H281*N281)/$K$11</f>
        <v>1.1319875838791793</v>
      </c>
      <c r="AJ281" s="240">
        <f t="shared" ref="AJ281:AJ304" si="272">(E281*O281)/$K$12</f>
        <v>0</v>
      </c>
      <c r="AK281" s="240">
        <f t="shared" ref="AK281:AK304" si="273">(F281*P281)/$K$12</f>
        <v>0</v>
      </c>
      <c r="AL281" s="240">
        <f t="shared" ref="AL281:AL304" si="274">(G281*Q281)/$K$12</f>
        <v>0</v>
      </c>
      <c r="AM281" s="240">
        <f t="shared" ref="AM281:AM304" si="275">(H281*R281)/$K$12</f>
        <v>0</v>
      </c>
      <c r="AN281" s="240">
        <f t="shared" ref="AN281:AN304" si="276">(E281*S281)/$K$13</f>
        <v>6.4908020284530101</v>
      </c>
      <c r="AO281" s="240">
        <f t="shared" ref="AO281:AO304" si="277">(F281*T281)/$K$13</f>
        <v>6.7131119979275251</v>
      </c>
      <c r="AP281" s="240">
        <f t="shared" ref="AP281:AP304" si="278">(G281*U281)/$K$13</f>
        <v>6.7267426821872762</v>
      </c>
      <c r="AQ281" s="240">
        <f t="shared" ref="AQ281:AQ304" si="279">(H281*V281)/$K$13</f>
        <v>6.7625232283691235</v>
      </c>
      <c r="AR281" s="240">
        <f t="shared" ref="AR281:AR304" si="280">(E281*W281)/$K$14</f>
        <v>0</v>
      </c>
      <c r="AS281" s="240">
        <f t="shared" ref="AS281:AS304" si="281">(F281*X281)/$K$14</f>
        <v>0</v>
      </c>
      <c r="AT281" s="240">
        <f t="shared" ref="AT281:AT304" si="282">(G281*Y281)/$K$14</f>
        <v>0</v>
      </c>
      <c r="AU281" s="240">
        <f t="shared" ref="AU281:AU304" si="283">(H281*Z281)/$K$14</f>
        <v>0</v>
      </c>
      <c r="AV281" s="240">
        <f t="shared" ref="AV281:AV304" si="284">(E281*AA281)/$K$15</f>
        <v>0.40276258740657139</v>
      </c>
      <c r="AW281" s="240">
        <f t="shared" ref="AW281:AW304" si="285">(F281*AB281)/$K$15</f>
        <v>0.41655720602524643</v>
      </c>
      <c r="AX281" s="240">
        <f t="shared" ref="AX281:AX304" si="286">(G281*AC281)/$K$15</f>
        <v>0.41740300745880016</v>
      </c>
      <c r="AY281" s="240">
        <f t="shared" ref="AY281:AY304" si="287">(H281*AD281)/$K$15</f>
        <v>0.41962323622187897</v>
      </c>
    </row>
    <row r="282" spans="2:51" ht="13.5" customHeight="1" x14ac:dyDescent="0.25">
      <c r="D282" s="79" t="s">
        <v>122</v>
      </c>
      <c r="E282" s="163">
        <f>ProjectedP205_Consumption!J14</f>
        <v>4.2918297521550333</v>
      </c>
      <c r="F282" s="2">
        <f>ProjectedP205_Consumption!K14-E157-E218</f>
        <v>5.5802370437519748</v>
      </c>
      <c r="G282" s="2">
        <f>ProjectedP205_Consumption!L14-F157-F218</f>
        <v>6.4685427985340143</v>
      </c>
      <c r="H282" s="2">
        <f>ProjectedP205_Consumption!M14-G157-G218</f>
        <v>7.4033033185533821</v>
      </c>
      <c r="K282" s="76">
        <f t="shared" ref="K282:K304" si="288">L282</f>
        <v>0.35</v>
      </c>
      <c r="L282" s="238">
        <f t="shared" si="257"/>
        <v>0.35</v>
      </c>
      <c r="M282" s="238">
        <f t="shared" si="258"/>
        <v>0.35</v>
      </c>
      <c r="N282" s="238">
        <f t="shared" si="259"/>
        <v>0.35</v>
      </c>
      <c r="O282" s="238">
        <v>0</v>
      </c>
      <c r="P282" s="238">
        <f t="shared" si="260"/>
        <v>0</v>
      </c>
      <c r="Q282" s="238">
        <f t="shared" si="261"/>
        <v>0</v>
      </c>
      <c r="R282" s="238">
        <f t="shared" si="262"/>
        <v>0</v>
      </c>
      <c r="S282" s="238">
        <f t="shared" ref="S282:S304" si="289">T282</f>
        <v>0.5</v>
      </c>
      <c r="T282" s="238">
        <f t="shared" si="263"/>
        <v>0.5</v>
      </c>
      <c r="U282" s="238">
        <f t="shared" si="264"/>
        <v>0.5</v>
      </c>
      <c r="V282" s="238">
        <f t="shared" si="265"/>
        <v>0.5</v>
      </c>
      <c r="W282" s="238">
        <f t="shared" ref="W282:W304" si="290">X282</f>
        <v>0</v>
      </c>
      <c r="X282" s="238">
        <f t="shared" si="266"/>
        <v>0</v>
      </c>
      <c r="Y282" s="238">
        <f t="shared" si="267"/>
        <v>0</v>
      </c>
      <c r="Z282" s="238">
        <f t="shared" si="268"/>
        <v>0</v>
      </c>
      <c r="AA282" s="238">
        <f t="shared" ref="AA282:AA304" si="291">AB282</f>
        <v>0.14666666666666667</v>
      </c>
      <c r="AB282" s="238">
        <f t="shared" si="269"/>
        <v>0.14666666666666667</v>
      </c>
      <c r="AC282" s="238">
        <f t="shared" si="270"/>
        <v>0.14666666666666667</v>
      </c>
      <c r="AD282" s="238">
        <f t="shared" si="271"/>
        <v>0.14666666666666667</v>
      </c>
      <c r="AF282" s="240">
        <f t="shared" ref="AF282:AF304" si="292">(E282*K282)/$K$11</f>
        <v>3.2655226375092639</v>
      </c>
      <c r="AG282" s="240">
        <f t="shared" ref="AG282:AG304" si="293">(F282*L282)/$K$11</f>
        <v>4.2458325332895459</v>
      </c>
      <c r="AH282" s="240">
        <f t="shared" ref="AH282:AH304" si="294">(G282*M282)/$K$11</f>
        <v>4.921717346710663</v>
      </c>
      <c r="AI282" s="240">
        <f t="shared" ref="AI282:AI304" si="295">(H282*N282)/$K$11</f>
        <v>5.6329481771601815</v>
      </c>
      <c r="AJ282" s="240">
        <f t="shared" si="272"/>
        <v>0</v>
      </c>
      <c r="AK282" s="240">
        <f t="shared" si="273"/>
        <v>0</v>
      </c>
      <c r="AL282" s="240">
        <f t="shared" si="274"/>
        <v>0</v>
      </c>
      <c r="AM282" s="240">
        <f t="shared" si="275"/>
        <v>0</v>
      </c>
      <c r="AN282" s="240">
        <f t="shared" si="276"/>
        <v>19.508317055250153</v>
      </c>
      <c r="AO282" s="240">
        <f t="shared" si="277"/>
        <v>25.364713835236248</v>
      </c>
      <c r="AP282" s="240">
        <f t="shared" si="278"/>
        <v>29.402467266063702</v>
      </c>
      <c r="AQ282" s="240">
        <f t="shared" si="279"/>
        <v>33.651378720697188</v>
      </c>
      <c r="AR282" s="240">
        <f t="shared" si="280"/>
        <v>0</v>
      </c>
      <c r="AS282" s="240">
        <f t="shared" si="281"/>
        <v>0</v>
      </c>
      <c r="AT282" s="240">
        <f t="shared" si="282"/>
        <v>0</v>
      </c>
      <c r="AU282" s="240">
        <f t="shared" si="283"/>
        <v>0</v>
      </c>
      <c r="AV282" s="240">
        <f t="shared" si="284"/>
        <v>1.2105160839411631</v>
      </c>
      <c r="AW282" s="240">
        <f t="shared" si="285"/>
        <v>1.5739130123403007</v>
      </c>
      <c r="AX282" s="240">
        <f t="shared" si="286"/>
        <v>1.8244607893301066</v>
      </c>
      <c r="AY282" s="240">
        <f t="shared" si="287"/>
        <v>2.0881111924124927</v>
      </c>
    </row>
    <row r="283" spans="2:51" ht="13.5" customHeight="1" x14ac:dyDescent="0.25">
      <c r="D283" s="79" t="s">
        <v>135</v>
      </c>
      <c r="E283" s="163">
        <f>ProjectedP205_Consumption!J15</f>
        <v>1.2785405827782028</v>
      </c>
      <c r="F283" s="2">
        <f>ProjectedP205_Consumption!K15-E158-E219</f>
        <v>1.3884471276252743</v>
      </c>
      <c r="G283" s="2">
        <f>ProjectedP205_Consumption!L15-F158-F219</f>
        <v>1.4219777733596763</v>
      </c>
      <c r="H283" s="2">
        <f>ProjectedP205_Consumption!M15-G158-G219</f>
        <v>1.4563616621417341</v>
      </c>
      <c r="K283" s="76">
        <f t="shared" si="288"/>
        <v>0.35</v>
      </c>
      <c r="L283" s="238">
        <f t="shared" si="257"/>
        <v>0.35</v>
      </c>
      <c r="M283" s="238">
        <f t="shared" si="258"/>
        <v>0.35</v>
      </c>
      <c r="N283" s="238">
        <f t="shared" si="259"/>
        <v>0.35</v>
      </c>
      <c r="O283" s="238">
        <v>0</v>
      </c>
      <c r="P283" s="238">
        <f t="shared" si="260"/>
        <v>0</v>
      </c>
      <c r="Q283" s="238">
        <f t="shared" si="261"/>
        <v>0</v>
      </c>
      <c r="R283" s="238">
        <f t="shared" si="262"/>
        <v>0</v>
      </c>
      <c r="S283" s="238">
        <f t="shared" si="289"/>
        <v>0.5</v>
      </c>
      <c r="T283" s="238">
        <f t="shared" si="263"/>
        <v>0.5</v>
      </c>
      <c r="U283" s="238">
        <f t="shared" si="264"/>
        <v>0.5</v>
      </c>
      <c r="V283" s="238">
        <f t="shared" si="265"/>
        <v>0.5</v>
      </c>
      <c r="W283" s="238">
        <f t="shared" si="290"/>
        <v>0</v>
      </c>
      <c r="X283" s="238">
        <f t="shared" si="266"/>
        <v>0</v>
      </c>
      <c r="Y283" s="238">
        <f t="shared" si="267"/>
        <v>0</v>
      </c>
      <c r="Z283" s="238">
        <f t="shared" si="268"/>
        <v>0</v>
      </c>
      <c r="AA283" s="238">
        <f t="shared" si="291"/>
        <v>0.14666666666666667</v>
      </c>
      <c r="AB283" s="238">
        <f t="shared" si="269"/>
        <v>0.14666666666666667</v>
      </c>
      <c r="AC283" s="238">
        <f t="shared" si="270"/>
        <v>0.14666666666666667</v>
      </c>
      <c r="AD283" s="238">
        <f t="shared" si="271"/>
        <v>0.14666666666666667</v>
      </c>
      <c r="AF283" s="240">
        <f t="shared" si="292"/>
        <v>0.97280261733124118</v>
      </c>
      <c r="AG283" s="240">
        <f t="shared" si="293"/>
        <v>1.0564271623235781</v>
      </c>
      <c r="AH283" s="240">
        <f t="shared" si="294"/>
        <v>1.081939610164971</v>
      </c>
      <c r="AI283" s="240">
        <f t="shared" si="295"/>
        <v>1.1081012646730586</v>
      </c>
      <c r="AJ283" s="240">
        <f t="shared" si="272"/>
        <v>0</v>
      </c>
      <c r="AK283" s="240">
        <f t="shared" si="273"/>
        <v>0</v>
      </c>
      <c r="AL283" s="240">
        <f t="shared" si="274"/>
        <v>0</v>
      </c>
      <c r="AM283" s="240">
        <f t="shared" si="275"/>
        <v>0</v>
      </c>
      <c r="AN283" s="240">
        <f t="shared" si="276"/>
        <v>5.8115481035372856</v>
      </c>
      <c r="AO283" s="240">
        <f t="shared" si="277"/>
        <v>6.3111233073876107</v>
      </c>
      <c r="AP283" s="240">
        <f t="shared" si="278"/>
        <v>6.4635353334530743</v>
      </c>
      <c r="AQ283" s="240">
        <f t="shared" si="279"/>
        <v>6.6198257370078828</v>
      </c>
      <c r="AR283" s="240">
        <f t="shared" si="280"/>
        <v>0</v>
      </c>
      <c r="AS283" s="240">
        <f t="shared" si="281"/>
        <v>0</v>
      </c>
      <c r="AT283" s="240">
        <f t="shared" si="282"/>
        <v>0</v>
      </c>
      <c r="AU283" s="240">
        <f t="shared" si="283"/>
        <v>0</v>
      </c>
      <c r="AV283" s="240">
        <f t="shared" si="284"/>
        <v>0.36061401052718539</v>
      </c>
      <c r="AW283" s="240">
        <f t="shared" si="285"/>
        <v>0.39161329240712861</v>
      </c>
      <c r="AX283" s="240">
        <f t="shared" si="286"/>
        <v>0.40107065402452408</v>
      </c>
      <c r="AY283" s="240">
        <f t="shared" si="287"/>
        <v>0.41076867393741218</v>
      </c>
    </row>
    <row r="284" spans="2:51" ht="13.5" customHeight="1" x14ac:dyDescent="0.25">
      <c r="D284" s="79" t="s">
        <v>236</v>
      </c>
      <c r="E284" s="163">
        <f>ProjectedP205_Consumption!J16</f>
        <v>1.7334655421356007</v>
      </c>
      <c r="F284" s="2">
        <f>ProjectedP205_Consumption!K16-E159-E220</f>
        <v>2.1578828459723121</v>
      </c>
      <c r="G284" s="2">
        <f>ProjectedP205_Consumption!L16-F159-F220</f>
        <v>2.3948822135072896</v>
      </c>
      <c r="H284" s="2">
        <f>ProjectedP205_Consumption!M16-G159-G220</f>
        <v>2.6242531878472906</v>
      </c>
      <c r="K284" s="76">
        <f t="shared" si="288"/>
        <v>0.35</v>
      </c>
      <c r="L284" s="238">
        <f t="shared" si="257"/>
        <v>0.35</v>
      </c>
      <c r="M284" s="238">
        <f t="shared" si="258"/>
        <v>0.35</v>
      </c>
      <c r="N284" s="238">
        <f t="shared" si="259"/>
        <v>0.35</v>
      </c>
      <c r="O284" s="238">
        <v>0</v>
      </c>
      <c r="P284" s="238">
        <f t="shared" si="260"/>
        <v>0</v>
      </c>
      <c r="Q284" s="238">
        <f t="shared" si="261"/>
        <v>0</v>
      </c>
      <c r="R284" s="238">
        <f t="shared" si="262"/>
        <v>0</v>
      </c>
      <c r="S284" s="238">
        <f t="shared" si="289"/>
        <v>0.5</v>
      </c>
      <c r="T284" s="238">
        <f t="shared" si="263"/>
        <v>0.5</v>
      </c>
      <c r="U284" s="238">
        <f t="shared" si="264"/>
        <v>0.5</v>
      </c>
      <c r="V284" s="238">
        <f t="shared" si="265"/>
        <v>0.5</v>
      </c>
      <c r="W284" s="238">
        <f t="shared" si="290"/>
        <v>0</v>
      </c>
      <c r="X284" s="238">
        <f t="shared" si="266"/>
        <v>0</v>
      </c>
      <c r="Y284" s="238">
        <f t="shared" si="267"/>
        <v>0</v>
      </c>
      <c r="Z284" s="238">
        <f t="shared" si="268"/>
        <v>0</v>
      </c>
      <c r="AA284" s="238">
        <f t="shared" si="291"/>
        <v>0.14666666666666667</v>
      </c>
      <c r="AB284" s="238">
        <f t="shared" si="269"/>
        <v>0.14666666666666667</v>
      </c>
      <c r="AC284" s="238">
        <f t="shared" si="270"/>
        <v>0.14666666666666667</v>
      </c>
      <c r="AD284" s="238">
        <f t="shared" si="271"/>
        <v>0.14666666666666667</v>
      </c>
      <c r="AF284" s="240">
        <f t="shared" si="292"/>
        <v>1.3189411733640439</v>
      </c>
      <c r="AG284" s="240">
        <f t="shared" si="293"/>
        <v>1.6418673828050199</v>
      </c>
      <c r="AH284" s="240">
        <f t="shared" si="294"/>
        <v>1.8221929885381549</v>
      </c>
      <c r="AI284" s="240">
        <f t="shared" si="295"/>
        <v>1.9967143820577209</v>
      </c>
      <c r="AJ284" s="240">
        <f t="shared" si="272"/>
        <v>0</v>
      </c>
      <c r="AK284" s="240">
        <f t="shared" si="273"/>
        <v>0</v>
      </c>
      <c r="AL284" s="240">
        <f t="shared" si="274"/>
        <v>0</v>
      </c>
      <c r="AM284" s="240">
        <f t="shared" si="275"/>
        <v>0</v>
      </c>
      <c r="AN284" s="240">
        <f t="shared" si="276"/>
        <v>7.8793888278890938</v>
      </c>
      <c r="AO284" s="240">
        <f t="shared" si="277"/>
        <v>9.8085583907832365</v>
      </c>
      <c r="AP284" s="240">
        <f t="shared" si="278"/>
        <v>10.885828243214952</v>
      </c>
      <c r="AQ284" s="240">
        <f t="shared" si="279"/>
        <v>11.928423581124047</v>
      </c>
      <c r="AR284" s="240">
        <f t="shared" si="280"/>
        <v>0</v>
      </c>
      <c r="AS284" s="240">
        <f t="shared" si="281"/>
        <v>0</v>
      </c>
      <c r="AT284" s="240">
        <f t="shared" si="282"/>
        <v>0</v>
      </c>
      <c r="AU284" s="240">
        <f t="shared" si="283"/>
        <v>0</v>
      </c>
      <c r="AV284" s="240">
        <f t="shared" si="284"/>
        <v>0.48892617855106685</v>
      </c>
      <c r="AW284" s="240">
        <f t="shared" si="285"/>
        <v>0.60863362322295977</v>
      </c>
      <c r="AX284" s="240">
        <f t="shared" si="286"/>
        <v>0.67547959868154317</v>
      </c>
      <c r="AY284" s="240">
        <f t="shared" si="287"/>
        <v>0.7401739760594922</v>
      </c>
    </row>
    <row r="285" spans="2:51" ht="13.5" customHeight="1" x14ac:dyDescent="0.25">
      <c r="D285" s="79" t="s">
        <v>133</v>
      </c>
      <c r="E285" s="163">
        <f>ProjectedP205_Consumption!J17</f>
        <v>0.35686119445163828</v>
      </c>
      <c r="F285" s="2">
        <f>ProjectedP205_Consumption!K17-E160-E221</f>
        <v>0.41131579194812373</v>
      </c>
      <c r="G285" s="2">
        <f>ProjectedP205_Consumption!L17-F160-F221</f>
        <v>0.41044811767156841</v>
      </c>
      <c r="H285" s="2">
        <f>ProjectedP205_Consumption!M17-G160-G221</f>
        <v>0.40023664648323343</v>
      </c>
      <c r="K285" s="76">
        <f t="shared" si="288"/>
        <v>0.35</v>
      </c>
      <c r="L285" s="238">
        <f t="shared" si="257"/>
        <v>0.35</v>
      </c>
      <c r="M285" s="238">
        <f t="shared" si="258"/>
        <v>0.35</v>
      </c>
      <c r="N285" s="238">
        <f t="shared" si="259"/>
        <v>0.35</v>
      </c>
      <c r="O285" s="238">
        <v>0</v>
      </c>
      <c r="P285" s="238">
        <f t="shared" si="260"/>
        <v>0</v>
      </c>
      <c r="Q285" s="238">
        <f t="shared" si="261"/>
        <v>0</v>
      </c>
      <c r="R285" s="238">
        <f t="shared" si="262"/>
        <v>0</v>
      </c>
      <c r="S285" s="238">
        <f t="shared" si="289"/>
        <v>0.5</v>
      </c>
      <c r="T285" s="238">
        <f t="shared" si="263"/>
        <v>0.5</v>
      </c>
      <c r="U285" s="238">
        <f t="shared" si="264"/>
        <v>0.5</v>
      </c>
      <c r="V285" s="238">
        <f t="shared" si="265"/>
        <v>0.5</v>
      </c>
      <c r="W285" s="238">
        <f t="shared" si="290"/>
        <v>0</v>
      </c>
      <c r="X285" s="238">
        <f t="shared" si="266"/>
        <v>0</v>
      </c>
      <c r="Y285" s="238">
        <f t="shared" si="267"/>
        <v>0</v>
      </c>
      <c r="Z285" s="238">
        <f t="shared" si="268"/>
        <v>0</v>
      </c>
      <c r="AA285" s="238">
        <f t="shared" si="291"/>
        <v>0.14666666666666667</v>
      </c>
      <c r="AB285" s="238">
        <f t="shared" si="269"/>
        <v>0.14666666666666667</v>
      </c>
      <c r="AC285" s="238">
        <f t="shared" si="270"/>
        <v>0.14666666666666667</v>
      </c>
      <c r="AD285" s="238">
        <f t="shared" si="271"/>
        <v>0.14666666666666667</v>
      </c>
      <c r="AF285" s="240">
        <f t="shared" si="292"/>
        <v>0.27152482186537691</v>
      </c>
      <c r="AG285" s="240">
        <f t="shared" si="293"/>
        <v>0.31295766778661582</v>
      </c>
      <c r="AH285" s="240">
        <f t="shared" si="294"/>
        <v>0.31229748083706288</v>
      </c>
      <c r="AI285" s="240">
        <f t="shared" si="295"/>
        <v>0.3045278831937645</v>
      </c>
      <c r="AJ285" s="240">
        <f t="shared" si="272"/>
        <v>0</v>
      </c>
      <c r="AK285" s="240">
        <f t="shared" si="273"/>
        <v>0</v>
      </c>
      <c r="AL285" s="240">
        <f t="shared" si="274"/>
        <v>0</v>
      </c>
      <c r="AM285" s="240">
        <f t="shared" si="275"/>
        <v>0</v>
      </c>
      <c r="AN285" s="240">
        <f t="shared" si="276"/>
        <v>1.6220963384165377</v>
      </c>
      <c r="AO285" s="240">
        <f t="shared" si="277"/>
        <v>1.8696172361278351</v>
      </c>
      <c r="AP285" s="240">
        <f t="shared" si="278"/>
        <v>1.8656732621434928</v>
      </c>
      <c r="AQ285" s="240">
        <f t="shared" si="279"/>
        <v>1.8192574840146973</v>
      </c>
      <c r="AR285" s="240">
        <f t="shared" si="280"/>
        <v>0</v>
      </c>
      <c r="AS285" s="240">
        <f t="shared" si="281"/>
        <v>0</v>
      </c>
      <c r="AT285" s="240">
        <f t="shared" si="282"/>
        <v>0</v>
      </c>
      <c r="AU285" s="240">
        <f t="shared" si="283"/>
        <v>0</v>
      </c>
      <c r="AV285" s="240">
        <f t="shared" si="284"/>
        <v>0.10065315740943644</v>
      </c>
      <c r="AW285" s="240">
        <f t="shared" si="285"/>
        <v>0.11601214644690669</v>
      </c>
      <c r="AX285" s="240">
        <f t="shared" si="286"/>
        <v>0.11576741780480135</v>
      </c>
      <c r="AY285" s="240">
        <f t="shared" si="287"/>
        <v>0.11288725926450173</v>
      </c>
    </row>
    <row r="286" spans="2:51" ht="13.5" customHeight="1" x14ac:dyDescent="0.25">
      <c r="D286" s="79" t="s">
        <v>141</v>
      </c>
      <c r="E286" s="163">
        <f>ProjectedP205_Consumption!J18</f>
        <v>0.2396465325900404</v>
      </c>
      <c r="F286" s="2">
        <f>ProjectedP205_Consumption!K18-E161-E222</f>
        <v>0.25965701806130881</v>
      </c>
      <c r="G286" s="2">
        <f>ProjectedP205_Consumption!L18-F161-F222</f>
        <v>0.26532465855706328</v>
      </c>
      <c r="H286" s="2">
        <f>ProjectedP205_Consumption!M18-G161-G222</f>
        <v>0.27112410464574227</v>
      </c>
      <c r="K286" s="76">
        <f t="shared" si="288"/>
        <v>0.35</v>
      </c>
      <c r="L286" s="238">
        <f t="shared" si="257"/>
        <v>0.35</v>
      </c>
      <c r="M286" s="238">
        <f t="shared" si="258"/>
        <v>0.35</v>
      </c>
      <c r="N286" s="238">
        <f t="shared" si="259"/>
        <v>0.35</v>
      </c>
      <c r="O286" s="238">
        <v>0</v>
      </c>
      <c r="P286" s="238">
        <f t="shared" si="260"/>
        <v>0</v>
      </c>
      <c r="Q286" s="238">
        <f t="shared" si="261"/>
        <v>0</v>
      </c>
      <c r="R286" s="238">
        <f t="shared" si="262"/>
        <v>0</v>
      </c>
      <c r="S286" s="238">
        <f t="shared" si="289"/>
        <v>0.5</v>
      </c>
      <c r="T286" s="238">
        <f t="shared" si="263"/>
        <v>0.5</v>
      </c>
      <c r="U286" s="238">
        <f t="shared" si="264"/>
        <v>0.5</v>
      </c>
      <c r="V286" s="238">
        <f t="shared" si="265"/>
        <v>0.5</v>
      </c>
      <c r="W286" s="238">
        <f t="shared" si="290"/>
        <v>0</v>
      </c>
      <c r="X286" s="238">
        <f t="shared" si="266"/>
        <v>0</v>
      </c>
      <c r="Y286" s="238">
        <f t="shared" si="267"/>
        <v>0</v>
      </c>
      <c r="Z286" s="238">
        <f t="shared" si="268"/>
        <v>0</v>
      </c>
      <c r="AA286" s="238">
        <f t="shared" si="291"/>
        <v>0.14666666666666667</v>
      </c>
      <c r="AB286" s="238">
        <f t="shared" si="269"/>
        <v>0.14666666666666667</v>
      </c>
      <c r="AC286" s="238">
        <f t="shared" si="270"/>
        <v>0.14666666666666667</v>
      </c>
      <c r="AD286" s="238">
        <f t="shared" si="271"/>
        <v>0.14666666666666667</v>
      </c>
      <c r="AF286" s="240">
        <f t="shared" si="292"/>
        <v>0.18233975305763941</v>
      </c>
      <c r="AG286" s="240">
        <f t="shared" si="293"/>
        <v>0.19756512243795235</v>
      </c>
      <c r="AH286" s="240">
        <f t="shared" si="294"/>
        <v>0.20187745759776551</v>
      </c>
      <c r="AI286" s="240">
        <f t="shared" si="295"/>
        <v>0.20629007962176038</v>
      </c>
      <c r="AJ286" s="240">
        <f t="shared" si="272"/>
        <v>0</v>
      </c>
      <c r="AK286" s="240">
        <f t="shared" si="273"/>
        <v>0</v>
      </c>
      <c r="AL286" s="240">
        <f t="shared" si="274"/>
        <v>0</v>
      </c>
      <c r="AM286" s="240">
        <f t="shared" si="275"/>
        <v>0</v>
      </c>
      <c r="AN286" s="240">
        <f t="shared" si="276"/>
        <v>1.08930242086382</v>
      </c>
      <c r="AO286" s="240">
        <f t="shared" si="277"/>
        <v>1.1802591730059491</v>
      </c>
      <c r="AP286" s="240">
        <f t="shared" si="278"/>
        <v>1.2060211752593786</v>
      </c>
      <c r="AQ286" s="240">
        <f t="shared" si="279"/>
        <v>1.232382293844283</v>
      </c>
      <c r="AR286" s="240">
        <f t="shared" si="280"/>
        <v>0</v>
      </c>
      <c r="AS286" s="240">
        <f t="shared" si="281"/>
        <v>0</v>
      </c>
      <c r="AT286" s="240">
        <f t="shared" si="282"/>
        <v>0</v>
      </c>
      <c r="AU286" s="240">
        <f t="shared" si="283"/>
        <v>0</v>
      </c>
      <c r="AV286" s="240">
        <f t="shared" si="284"/>
        <v>6.7592611756165238E-2</v>
      </c>
      <c r="AW286" s="240">
        <f t="shared" si="285"/>
        <v>7.323659483780505E-2</v>
      </c>
      <c r="AX286" s="240">
        <f t="shared" si="286"/>
        <v>7.483516010583835E-2</v>
      </c>
      <c r="AY286" s="240">
        <f t="shared" si="287"/>
        <v>7.6470901310337569E-2</v>
      </c>
    </row>
    <row r="287" spans="2:51" ht="13.5" customHeight="1" x14ac:dyDescent="0.25">
      <c r="D287" s="79" t="s">
        <v>124</v>
      </c>
      <c r="E287" s="163">
        <f>ProjectedP205_Consumption!J19</f>
        <v>0.45615279599318653</v>
      </c>
      <c r="F287" s="2">
        <f>ProjectedP205_Consumption!K19-E162-E223</f>
        <v>0.51895363218154855</v>
      </c>
      <c r="G287" s="2">
        <f>ProjectedP205_Consumption!L19-F162-F223</f>
        <v>0.55679509881245193</v>
      </c>
      <c r="H287" s="2">
        <f>ProjectedP205_Consumption!M19-G162-G223</f>
        <v>0.59741375766024563</v>
      </c>
      <c r="K287" s="76">
        <f t="shared" si="288"/>
        <v>0.35</v>
      </c>
      <c r="L287" s="238">
        <f t="shared" si="257"/>
        <v>0.35</v>
      </c>
      <c r="M287" s="238">
        <f t="shared" si="258"/>
        <v>0.35</v>
      </c>
      <c r="N287" s="238">
        <f t="shared" si="259"/>
        <v>0.35</v>
      </c>
      <c r="O287" s="238">
        <v>0</v>
      </c>
      <c r="P287" s="238">
        <f t="shared" si="260"/>
        <v>0</v>
      </c>
      <c r="Q287" s="238">
        <f t="shared" si="261"/>
        <v>0</v>
      </c>
      <c r="R287" s="238">
        <f t="shared" si="262"/>
        <v>0</v>
      </c>
      <c r="S287" s="238">
        <f t="shared" si="289"/>
        <v>0.5</v>
      </c>
      <c r="T287" s="238">
        <f t="shared" si="263"/>
        <v>0.5</v>
      </c>
      <c r="U287" s="238">
        <f t="shared" si="264"/>
        <v>0.5</v>
      </c>
      <c r="V287" s="238">
        <f t="shared" si="265"/>
        <v>0.5</v>
      </c>
      <c r="W287" s="238">
        <f t="shared" si="290"/>
        <v>0</v>
      </c>
      <c r="X287" s="238">
        <f t="shared" si="266"/>
        <v>0</v>
      </c>
      <c r="Y287" s="238">
        <f t="shared" si="267"/>
        <v>0</v>
      </c>
      <c r="Z287" s="238">
        <f t="shared" si="268"/>
        <v>0</v>
      </c>
      <c r="AA287" s="238">
        <f t="shared" si="291"/>
        <v>0.14666666666666667</v>
      </c>
      <c r="AB287" s="238">
        <f t="shared" si="269"/>
        <v>0.14666666666666667</v>
      </c>
      <c r="AC287" s="238">
        <f t="shared" si="270"/>
        <v>0.14666666666666667</v>
      </c>
      <c r="AD287" s="238">
        <f t="shared" si="271"/>
        <v>0.14666666666666667</v>
      </c>
      <c r="AF287" s="240">
        <f t="shared" si="292"/>
        <v>0.34707277956003318</v>
      </c>
      <c r="AG287" s="240">
        <f t="shared" si="293"/>
        <v>0.39485602448596085</v>
      </c>
      <c r="AH287" s="240">
        <f t="shared" si="294"/>
        <v>0.42364844474860469</v>
      </c>
      <c r="AI287" s="240">
        <f t="shared" si="295"/>
        <v>0.45455394604583904</v>
      </c>
      <c r="AJ287" s="240">
        <f t="shared" si="272"/>
        <v>0</v>
      </c>
      <c r="AK287" s="240">
        <f t="shared" si="273"/>
        <v>0</v>
      </c>
      <c r="AL287" s="240">
        <f t="shared" si="274"/>
        <v>0</v>
      </c>
      <c r="AM287" s="240">
        <f t="shared" si="275"/>
        <v>0</v>
      </c>
      <c r="AN287" s="240">
        <f t="shared" si="276"/>
        <v>2.0734217999690299</v>
      </c>
      <c r="AO287" s="240">
        <f t="shared" si="277"/>
        <v>2.3588801462797662</v>
      </c>
      <c r="AP287" s="240">
        <f t="shared" si="278"/>
        <v>2.5308868127838724</v>
      </c>
      <c r="AQ287" s="240">
        <f t="shared" si="279"/>
        <v>2.7155170802738438</v>
      </c>
      <c r="AR287" s="240">
        <f t="shared" si="280"/>
        <v>0</v>
      </c>
      <c r="AS287" s="240">
        <f t="shared" si="281"/>
        <v>0</v>
      </c>
      <c r="AT287" s="240">
        <f t="shared" si="282"/>
        <v>0</v>
      </c>
      <c r="AU287" s="240">
        <f t="shared" si="283"/>
        <v>0</v>
      </c>
      <c r="AV287" s="240">
        <f t="shared" si="284"/>
        <v>0.12865848092115517</v>
      </c>
      <c r="AW287" s="240">
        <f t="shared" si="285"/>
        <v>0.14637153728197524</v>
      </c>
      <c r="AX287" s="240">
        <f t="shared" si="286"/>
        <v>0.15704477145992235</v>
      </c>
      <c r="AY287" s="240">
        <f t="shared" si="287"/>
        <v>0.16850131626314621</v>
      </c>
    </row>
    <row r="288" spans="2:51" ht="13.5" customHeight="1" x14ac:dyDescent="0.25">
      <c r="D288" s="79" t="s">
        <v>172</v>
      </c>
      <c r="E288" s="163">
        <f>ProjectedP205_Consumption!J20</f>
        <v>0.20379858019434013</v>
      </c>
      <c r="F288" s="2">
        <f>ProjectedP205_Consumption!K20-E163-E224</f>
        <v>0.22131761564429614</v>
      </c>
      <c r="G288" s="2">
        <f>ProjectedP205_Consumption!L20-F163-F224</f>
        <v>0.23285534108930592</v>
      </c>
      <c r="H288" s="2">
        <f>ProjectedP205_Consumption!M20-G163-G224</f>
        <v>0.24579862999559976</v>
      </c>
      <c r="K288" s="76">
        <f t="shared" si="288"/>
        <v>0.35</v>
      </c>
      <c r="L288" s="238">
        <f t="shared" si="257"/>
        <v>0.35</v>
      </c>
      <c r="M288" s="238">
        <f t="shared" si="258"/>
        <v>0.35</v>
      </c>
      <c r="N288" s="238">
        <f t="shared" si="259"/>
        <v>0.35</v>
      </c>
      <c r="O288" s="238">
        <v>0</v>
      </c>
      <c r="P288" s="238">
        <f t="shared" si="260"/>
        <v>0</v>
      </c>
      <c r="Q288" s="238">
        <f t="shared" si="261"/>
        <v>0</v>
      </c>
      <c r="R288" s="238">
        <f t="shared" si="262"/>
        <v>0</v>
      </c>
      <c r="S288" s="238">
        <f t="shared" si="289"/>
        <v>0.5</v>
      </c>
      <c r="T288" s="238">
        <f t="shared" si="263"/>
        <v>0.5</v>
      </c>
      <c r="U288" s="238">
        <f t="shared" si="264"/>
        <v>0.5</v>
      </c>
      <c r="V288" s="238">
        <f t="shared" si="265"/>
        <v>0.5</v>
      </c>
      <c r="W288" s="238">
        <f t="shared" si="290"/>
        <v>0</v>
      </c>
      <c r="X288" s="238">
        <f t="shared" si="266"/>
        <v>0</v>
      </c>
      <c r="Y288" s="238">
        <f t="shared" si="267"/>
        <v>0</v>
      </c>
      <c r="Z288" s="238">
        <f t="shared" si="268"/>
        <v>0</v>
      </c>
      <c r="AA288" s="238">
        <f t="shared" si="291"/>
        <v>0.14666666666666667</v>
      </c>
      <c r="AB288" s="238">
        <f t="shared" si="269"/>
        <v>0.14666666666666667</v>
      </c>
      <c r="AC288" s="238">
        <f t="shared" si="270"/>
        <v>0.14666666666666667</v>
      </c>
      <c r="AD288" s="238">
        <f t="shared" si="271"/>
        <v>0.14666666666666667</v>
      </c>
      <c r="AF288" s="240">
        <f t="shared" si="292"/>
        <v>0.15506413710438921</v>
      </c>
      <c r="AG288" s="240">
        <f t="shared" si="293"/>
        <v>0.16839383799022531</v>
      </c>
      <c r="AH288" s="240">
        <f t="shared" si="294"/>
        <v>0.17717254213316755</v>
      </c>
      <c r="AI288" s="240">
        <f t="shared" si="295"/>
        <v>0.18702069673578239</v>
      </c>
      <c r="AJ288" s="240">
        <f t="shared" si="272"/>
        <v>0</v>
      </c>
      <c r="AK288" s="240">
        <f t="shared" si="273"/>
        <v>0</v>
      </c>
      <c r="AL288" s="240">
        <f t="shared" si="274"/>
        <v>0</v>
      </c>
      <c r="AM288" s="240">
        <f t="shared" si="275"/>
        <v>0</v>
      </c>
      <c r="AN288" s="240">
        <f t="shared" si="276"/>
        <v>0.9263571827015461</v>
      </c>
      <c r="AO288" s="240">
        <f t="shared" si="277"/>
        <v>1.0059891620195278</v>
      </c>
      <c r="AP288" s="240">
        <f t="shared" si="278"/>
        <v>1.0584333685877541</v>
      </c>
      <c r="AQ288" s="240">
        <f t="shared" si="279"/>
        <v>1.1172664999799988</v>
      </c>
      <c r="AR288" s="240">
        <f t="shared" si="280"/>
        <v>0</v>
      </c>
      <c r="AS288" s="240">
        <f t="shared" si="281"/>
        <v>0</v>
      </c>
      <c r="AT288" s="240">
        <f t="shared" si="282"/>
        <v>0</v>
      </c>
      <c r="AU288" s="240">
        <f t="shared" si="283"/>
        <v>0</v>
      </c>
      <c r="AV288" s="240">
        <f t="shared" si="284"/>
        <v>5.7481650824044654E-2</v>
      </c>
      <c r="AW288" s="240">
        <f t="shared" si="285"/>
        <v>6.2422917233006595E-2</v>
      </c>
      <c r="AX288" s="240">
        <f t="shared" si="286"/>
        <v>6.5677147486727303E-2</v>
      </c>
      <c r="AY288" s="240">
        <f t="shared" si="287"/>
        <v>6.9327818716707623E-2</v>
      </c>
    </row>
    <row r="289" spans="4:51" ht="13.5" customHeight="1" x14ac:dyDescent="0.25">
      <c r="D289" s="79" t="s">
        <v>118</v>
      </c>
      <c r="E289" s="163">
        <f>ProjectedP205_Consumption!J21</f>
        <v>0.16394001434000491</v>
      </c>
      <c r="F289" s="2">
        <f>ProjectedP205_Consumption!K21-E164-E225</f>
        <v>0.18651045581426509</v>
      </c>
      <c r="G289" s="2">
        <f>ProjectedP205_Consumption!L21-F164-F225</f>
        <v>0.1837080652091371</v>
      </c>
      <c r="H289" s="2">
        <f>ProjectedP205_Consumption!M21-G164-G225</f>
        <v>0.17681901276379444</v>
      </c>
      <c r="K289" s="76">
        <f t="shared" si="288"/>
        <v>0.35</v>
      </c>
      <c r="L289" s="238">
        <f t="shared" si="257"/>
        <v>0.35</v>
      </c>
      <c r="M289" s="238">
        <f t="shared" si="258"/>
        <v>0.35</v>
      </c>
      <c r="N289" s="238">
        <f t="shared" si="259"/>
        <v>0.35</v>
      </c>
      <c r="O289" s="238">
        <v>0</v>
      </c>
      <c r="P289" s="238">
        <f t="shared" si="260"/>
        <v>0</v>
      </c>
      <c r="Q289" s="238">
        <f t="shared" si="261"/>
        <v>0</v>
      </c>
      <c r="R289" s="238">
        <f t="shared" si="262"/>
        <v>0</v>
      </c>
      <c r="S289" s="238">
        <f t="shared" si="289"/>
        <v>0.5</v>
      </c>
      <c r="T289" s="238">
        <f t="shared" si="263"/>
        <v>0.5</v>
      </c>
      <c r="U289" s="238">
        <f t="shared" si="264"/>
        <v>0.5</v>
      </c>
      <c r="V289" s="238">
        <f t="shared" si="265"/>
        <v>0.5</v>
      </c>
      <c r="W289" s="238">
        <f t="shared" si="290"/>
        <v>0</v>
      </c>
      <c r="X289" s="238">
        <f t="shared" si="266"/>
        <v>0</v>
      </c>
      <c r="Y289" s="238">
        <f t="shared" si="267"/>
        <v>0</v>
      </c>
      <c r="Z289" s="238">
        <f t="shared" si="268"/>
        <v>0</v>
      </c>
      <c r="AA289" s="238">
        <f t="shared" si="291"/>
        <v>0.14666666666666667</v>
      </c>
      <c r="AB289" s="238">
        <f t="shared" si="269"/>
        <v>0.14666666666666667</v>
      </c>
      <c r="AC289" s="238">
        <f t="shared" si="270"/>
        <v>0.14666666666666667</v>
      </c>
      <c r="AD289" s="238">
        <f t="shared" si="271"/>
        <v>0.14666666666666667</v>
      </c>
      <c r="AF289" s="240">
        <f t="shared" si="292"/>
        <v>0.12473696743261242</v>
      </c>
      <c r="AG289" s="240">
        <f t="shared" si="293"/>
        <v>0.14191012942389733</v>
      </c>
      <c r="AH289" s="240">
        <f t="shared" si="294"/>
        <v>0.1397778757026043</v>
      </c>
      <c r="AI289" s="240">
        <f t="shared" si="295"/>
        <v>0.13453620536375663</v>
      </c>
      <c r="AJ289" s="240">
        <f t="shared" si="272"/>
        <v>0</v>
      </c>
      <c r="AK289" s="240">
        <f t="shared" si="273"/>
        <v>0</v>
      </c>
      <c r="AL289" s="240">
        <f t="shared" si="274"/>
        <v>0</v>
      </c>
      <c r="AM289" s="240">
        <f t="shared" si="275"/>
        <v>0</v>
      </c>
      <c r="AN289" s="240">
        <f t="shared" si="276"/>
        <v>0.74518188336365865</v>
      </c>
      <c r="AO289" s="240">
        <f t="shared" si="277"/>
        <v>0.84777479915575038</v>
      </c>
      <c r="AP289" s="240">
        <f t="shared" si="278"/>
        <v>0.83503666004153232</v>
      </c>
      <c r="AQ289" s="240">
        <f t="shared" si="279"/>
        <v>0.80372278528997476</v>
      </c>
      <c r="AR289" s="240">
        <f t="shared" si="280"/>
        <v>0</v>
      </c>
      <c r="AS289" s="240">
        <f t="shared" si="281"/>
        <v>0</v>
      </c>
      <c r="AT289" s="240">
        <f t="shared" si="282"/>
        <v>0</v>
      </c>
      <c r="AU289" s="240">
        <f t="shared" si="283"/>
        <v>0</v>
      </c>
      <c r="AV289" s="240">
        <f t="shared" si="284"/>
        <v>4.6239491224103951E-2</v>
      </c>
      <c r="AW289" s="240">
        <f t="shared" si="285"/>
        <v>5.2605513178382461E-2</v>
      </c>
      <c r="AX289" s="240">
        <f t="shared" si="286"/>
        <v>5.1815095315397644E-2</v>
      </c>
      <c r="AY289" s="240">
        <f t="shared" si="287"/>
        <v>4.9872029241070225E-2</v>
      </c>
    </row>
    <row r="290" spans="4:51" ht="13.5" customHeight="1" x14ac:dyDescent="0.25">
      <c r="D290" s="79" t="s">
        <v>58</v>
      </c>
      <c r="E290" s="163">
        <f>ProjectedP205_Consumption!J22</f>
        <v>0.16657258596562757</v>
      </c>
      <c r="F290" s="2">
        <f>ProjectedP205_Consumption!K22-E165-E226</f>
        <v>0.18089158188669782</v>
      </c>
      <c r="G290" s="2">
        <f>ProjectedP205_Consumption!L22-F165-F226</f>
        <v>0.19032181816068966</v>
      </c>
      <c r="H290" s="2">
        <f>ProjectedP205_Consumption!M22-G165-G226</f>
        <v>0.20090087667015355</v>
      </c>
      <c r="K290" s="76">
        <f t="shared" si="288"/>
        <v>0.35</v>
      </c>
      <c r="L290" s="238">
        <f t="shared" si="257"/>
        <v>0.35</v>
      </c>
      <c r="M290" s="238">
        <f t="shared" si="258"/>
        <v>0.35</v>
      </c>
      <c r="N290" s="238">
        <f t="shared" si="259"/>
        <v>0.35</v>
      </c>
      <c r="O290" s="238">
        <v>0</v>
      </c>
      <c r="P290" s="238">
        <f t="shared" si="260"/>
        <v>0</v>
      </c>
      <c r="Q290" s="238">
        <f t="shared" si="261"/>
        <v>0</v>
      </c>
      <c r="R290" s="238">
        <f t="shared" si="262"/>
        <v>0</v>
      </c>
      <c r="S290" s="238">
        <f t="shared" si="289"/>
        <v>0.5</v>
      </c>
      <c r="T290" s="238">
        <f t="shared" si="263"/>
        <v>0.5</v>
      </c>
      <c r="U290" s="238">
        <f t="shared" si="264"/>
        <v>0.5</v>
      </c>
      <c r="V290" s="238">
        <f t="shared" si="265"/>
        <v>0.5</v>
      </c>
      <c r="W290" s="238">
        <f t="shared" si="290"/>
        <v>0</v>
      </c>
      <c r="X290" s="238">
        <f t="shared" si="266"/>
        <v>0</v>
      </c>
      <c r="Y290" s="238">
        <f t="shared" si="267"/>
        <v>0</v>
      </c>
      <c r="Z290" s="238">
        <f t="shared" si="268"/>
        <v>0</v>
      </c>
      <c r="AA290" s="238">
        <f t="shared" si="291"/>
        <v>0.14666666666666667</v>
      </c>
      <c r="AB290" s="238">
        <f t="shared" si="269"/>
        <v>0.14666666666666667</v>
      </c>
      <c r="AC290" s="238">
        <f t="shared" si="270"/>
        <v>0.14666666666666667</v>
      </c>
      <c r="AD290" s="238">
        <f t="shared" si="271"/>
        <v>0.14666666666666667</v>
      </c>
      <c r="AF290" s="240">
        <f t="shared" si="292"/>
        <v>0.12674001106080357</v>
      </c>
      <c r="AG290" s="240">
        <f t="shared" si="293"/>
        <v>0.1376348992616179</v>
      </c>
      <c r="AH290" s="240">
        <f t="shared" si="294"/>
        <v>0.14481007903530732</v>
      </c>
      <c r="AI290" s="240">
        <f t="shared" si="295"/>
        <v>0.15285936268381248</v>
      </c>
      <c r="AJ290" s="240">
        <f t="shared" si="272"/>
        <v>0</v>
      </c>
      <c r="AK290" s="240">
        <f t="shared" si="273"/>
        <v>0</v>
      </c>
      <c r="AL290" s="240">
        <f t="shared" si="274"/>
        <v>0</v>
      </c>
      <c r="AM290" s="240">
        <f t="shared" si="275"/>
        <v>0</v>
      </c>
      <c r="AN290" s="240">
        <f t="shared" si="276"/>
        <v>0.75714811802557991</v>
      </c>
      <c r="AO290" s="240">
        <f t="shared" si="277"/>
        <v>0.82223446312135373</v>
      </c>
      <c r="AP290" s="240">
        <f t="shared" si="278"/>
        <v>0.86509917345768028</v>
      </c>
      <c r="AQ290" s="240">
        <f t="shared" si="279"/>
        <v>0.91318580304615249</v>
      </c>
      <c r="AR290" s="240">
        <f t="shared" si="280"/>
        <v>0</v>
      </c>
      <c r="AS290" s="240">
        <f t="shared" si="281"/>
        <v>0</v>
      </c>
      <c r="AT290" s="240">
        <f t="shared" si="282"/>
        <v>0</v>
      </c>
      <c r="AU290" s="240">
        <f t="shared" si="283"/>
        <v>0</v>
      </c>
      <c r="AV290" s="240">
        <f t="shared" si="284"/>
        <v>4.6982011426202654E-2</v>
      </c>
      <c r="AW290" s="240">
        <f t="shared" si="285"/>
        <v>5.1020702583427592E-2</v>
      </c>
      <c r="AX290" s="240">
        <f t="shared" si="286"/>
        <v>5.3680512814553494E-2</v>
      </c>
      <c r="AY290" s="240">
        <f t="shared" si="287"/>
        <v>5.6664349830043308E-2</v>
      </c>
    </row>
    <row r="291" spans="4:51" ht="13.5" customHeight="1" x14ac:dyDescent="0.25">
      <c r="D291" s="79" t="s">
        <v>121</v>
      </c>
      <c r="E291" s="163">
        <f>ProjectedP205_Consumption!J23</f>
        <v>0.11084459206355737</v>
      </c>
      <c r="F291" s="2">
        <f>ProjectedP205_Consumption!K23-E166-E227</f>
        <v>0.12037307030882093</v>
      </c>
      <c r="G291" s="2">
        <f>ProjectedP205_Consumption!L23-F166-F227</f>
        <v>0.12664835676603714</v>
      </c>
      <c r="H291" s="2">
        <f>ProjectedP205_Consumption!M23-G166-G227</f>
        <v>0.13368811915010675</v>
      </c>
      <c r="K291" s="76">
        <f t="shared" si="288"/>
        <v>0.35</v>
      </c>
      <c r="L291" s="238">
        <f t="shared" si="257"/>
        <v>0.35</v>
      </c>
      <c r="M291" s="238">
        <f t="shared" si="258"/>
        <v>0.35</v>
      </c>
      <c r="N291" s="238">
        <f t="shared" si="259"/>
        <v>0.35</v>
      </c>
      <c r="O291" s="238">
        <v>0</v>
      </c>
      <c r="P291" s="238">
        <f t="shared" si="260"/>
        <v>0</v>
      </c>
      <c r="Q291" s="238">
        <f t="shared" si="261"/>
        <v>0</v>
      </c>
      <c r="R291" s="238">
        <f t="shared" si="262"/>
        <v>0</v>
      </c>
      <c r="S291" s="238">
        <f t="shared" si="289"/>
        <v>0.5</v>
      </c>
      <c r="T291" s="238">
        <f t="shared" si="263"/>
        <v>0.5</v>
      </c>
      <c r="U291" s="238">
        <f t="shared" si="264"/>
        <v>0.5</v>
      </c>
      <c r="V291" s="238">
        <f t="shared" si="265"/>
        <v>0.5</v>
      </c>
      <c r="W291" s="238">
        <f t="shared" si="290"/>
        <v>0</v>
      </c>
      <c r="X291" s="238">
        <f t="shared" si="266"/>
        <v>0</v>
      </c>
      <c r="Y291" s="238">
        <f t="shared" si="267"/>
        <v>0</v>
      </c>
      <c r="Z291" s="238">
        <f t="shared" si="268"/>
        <v>0</v>
      </c>
      <c r="AA291" s="238">
        <f t="shared" si="291"/>
        <v>0.14666666666666667</v>
      </c>
      <c r="AB291" s="238">
        <f t="shared" si="269"/>
        <v>0.14666666666666667</v>
      </c>
      <c r="AC291" s="238">
        <f t="shared" si="270"/>
        <v>0.14666666666666667</v>
      </c>
      <c r="AD291" s="238">
        <f t="shared" si="271"/>
        <v>0.14666666666666667</v>
      </c>
      <c r="AF291" s="240">
        <f t="shared" si="292"/>
        <v>8.4338276570098E-2</v>
      </c>
      <c r="AG291" s="240">
        <f t="shared" si="293"/>
        <v>9.1588205669755035E-2</v>
      </c>
      <c r="AH291" s="240">
        <f t="shared" si="294"/>
        <v>9.636288014807172E-2</v>
      </c>
      <c r="AI291" s="240">
        <f t="shared" si="295"/>
        <v>0.10171922109247251</v>
      </c>
      <c r="AJ291" s="240">
        <f t="shared" si="272"/>
        <v>0</v>
      </c>
      <c r="AK291" s="240">
        <f t="shared" si="273"/>
        <v>0</v>
      </c>
      <c r="AL291" s="240">
        <f t="shared" si="274"/>
        <v>0</v>
      </c>
      <c r="AM291" s="240">
        <f t="shared" si="275"/>
        <v>0</v>
      </c>
      <c r="AN291" s="240">
        <f t="shared" si="276"/>
        <v>0.50383905483435165</v>
      </c>
      <c r="AO291" s="240">
        <f t="shared" si="277"/>
        <v>0.5471503195855496</v>
      </c>
      <c r="AP291" s="240">
        <f t="shared" si="278"/>
        <v>0.57567434893653247</v>
      </c>
      <c r="AQ291" s="240">
        <f t="shared" si="279"/>
        <v>0.60767326886412165</v>
      </c>
      <c r="AR291" s="240">
        <f t="shared" si="280"/>
        <v>0</v>
      </c>
      <c r="AS291" s="240">
        <f t="shared" si="281"/>
        <v>0</v>
      </c>
      <c r="AT291" s="240">
        <f t="shared" si="282"/>
        <v>0</v>
      </c>
      <c r="AU291" s="240">
        <f t="shared" si="283"/>
        <v>0</v>
      </c>
      <c r="AV291" s="240">
        <f t="shared" si="284"/>
        <v>3.1263859299977714E-2</v>
      </c>
      <c r="AW291" s="240">
        <f t="shared" si="285"/>
        <v>3.3951378805052057E-2</v>
      </c>
      <c r="AX291" s="240">
        <f t="shared" si="286"/>
        <v>3.5721331395548936E-2</v>
      </c>
      <c r="AY291" s="240">
        <f t="shared" si="287"/>
        <v>3.7706905401312163E-2</v>
      </c>
    </row>
    <row r="292" spans="4:51" ht="13.5" customHeight="1" x14ac:dyDescent="0.25">
      <c r="D292" s="79" t="s">
        <v>157</v>
      </c>
      <c r="E292" s="163">
        <f>ProjectedP205_Consumption!J24</f>
        <v>7.2057355140141693E-2</v>
      </c>
      <c r="F292" s="2">
        <f>ProjectedP205_Consumption!K24-E167-E228</f>
        <v>7.8251585531376122E-2</v>
      </c>
      <c r="G292" s="2">
        <f>ProjectedP205_Consumption!L24-F167-F228</f>
        <v>8.2330995599433146E-2</v>
      </c>
      <c r="H292" s="2">
        <f>ProjectedP205_Consumption!M24-G167-G228</f>
        <v>8.6907372748444206E-2</v>
      </c>
      <c r="K292" s="76">
        <f t="shared" si="288"/>
        <v>0.35</v>
      </c>
      <c r="L292" s="238">
        <f t="shared" si="257"/>
        <v>0.35</v>
      </c>
      <c r="M292" s="238">
        <f t="shared" si="258"/>
        <v>0.35</v>
      </c>
      <c r="N292" s="238">
        <f t="shared" si="259"/>
        <v>0.35</v>
      </c>
      <c r="O292" s="238">
        <v>0</v>
      </c>
      <c r="P292" s="238">
        <f t="shared" si="260"/>
        <v>0</v>
      </c>
      <c r="Q292" s="238">
        <f t="shared" si="261"/>
        <v>0</v>
      </c>
      <c r="R292" s="238">
        <f t="shared" si="262"/>
        <v>0</v>
      </c>
      <c r="S292" s="238">
        <f t="shared" si="289"/>
        <v>0.5</v>
      </c>
      <c r="T292" s="238">
        <f t="shared" si="263"/>
        <v>0.5</v>
      </c>
      <c r="U292" s="238">
        <f t="shared" si="264"/>
        <v>0.5</v>
      </c>
      <c r="V292" s="238">
        <f t="shared" si="265"/>
        <v>0.5</v>
      </c>
      <c r="W292" s="238">
        <f t="shared" si="290"/>
        <v>0</v>
      </c>
      <c r="X292" s="238">
        <f t="shared" si="266"/>
        <v>0</v>
      </c>
      <c r="Y292" s="238">
        <f t="shared" si="267"/>
        <v>0</v>
      </c>
      <c r="Z292" s="238">
        <f t="shared" si="268"/>
        <v>0</v>
      </c>
      <c r="AA292" s="238">
        <f t="shared" si="291"/>
        <v>0.14666666666666667</v>
      </c>
      <c r="AB292" s="238">
        <f t="shared" si="269"/>
        <v>0.14666666666666667</v>
      </c>
      <c r="AC292" s="238">
        <f t="shared" si="270"/>
        <v>0.14666666666666667</v>
      </c>
      <c r="AD292" s="238">
        <f t="shared" si="271"/>
        <v>0.14666666666666667</v>
      </c>
      <c r="AF292" s="240">
        <f t="shared" si="292"/>
        <v>5.4826248476194765E-2</v>
      </c>
      <c r="AG292" s="240">
        <f t="shared" si="293"/>
        <v>5.9539249860829653E-2</v>
      </c>
      <c r="AH292" s="240">
        <f t="shared" si="294"/>
        <v>6.2643148825655651E-2</v>
      </c>
      <c r="AI292" s="240">
        <f t="shared" si="295"/>
        <v>6.6125174917294499E-2</v>
      </c>
      <c r="AJ292" s="240">
        <f t="shared" si="272"/>
        <v>0</v>
      </c>
      <c r="AK292" s="240">
        <f t="shared" si="273"/>
        <v>0</v>
      </c>
      <c r="AL292" s="240">
        <f t="shared" si="274"/>
        <v>0</v>
      </c>
      <c r="AM292" s="240">
        <f t="shared" si="275"/>
        <v>0</v>
      </c>
      <c r="AN292" s="240">
        <f t="shared" si="276"/>
        <v>0.32753343245518951</v>
      </c>
      <c r="AO292" s="240">
        <f t="shared" si="277"/>
        <v>0.35568902514261874</v>
      </c>
      <c r="AP292" s="240">
        <f t="shared" si="278"/>
        <v>0.37423179817924157</v>
      </c>
      <c r="AQ292" s="240">
        <f t="shared" si="279"/>
        <v>0.39503351249292823</v>
      </c>
      <c r="AR292" s="240">
        <f t="shared" si="280"/>
        <v>0</v>
      </c>
      <c r="AS292" s="240">
        <f t="shared" si="281"/>
        <v>0</v>
      </c>
      <c r="AT292" s="240">
        <f t="shared" si="282"/>
        <v>0</v>
      </c>
      <c r="AU292" s="240">
        <f t="shared" si="283"/>
        <v>0</v>
      </c>
      <c r="AV292" s="240">
        <f t="shared" si="284"/>
        <v>2.0323869398501504E-2</v>
      </c>
      <c r="AW292" s="240">
        <f t="shared" si="285"/>
        <v>2.2070960021670187E-2</v>
      </c>
      <c r="AX292" s="240">
        <f t="shared" si="286"/>
        <v>2.3221562861378577E-2</v>
      </c>
      <c r="AY292" s="240">
        <f t="shared" si="287"/>
        <v>2.4512335903407338E-2</v>
      </c>
    </row>
    <row r="293" spans="4:51" ht="13.5" customHeight="1" x14ac:dyDescent="0.25">
      <c r="D293" s="79" t="s">
        <v>61</v>
      </c>
      <c r="E293" s="163">
        <f>ProjectedP205_Consumption!J25</f>
        <v>0.26274518253301687</v>
      </c>
      <c r="F293" s="2">
        <f>ProjectedP205_Consumption!K25-E168-E229</f>
        <v>0.3388467797278466</v>
      </c>
      <c r="G293" s="2">
        <f>ProjectedP205_Consumption!L25-F168-F229</f>
        <v>0.37833697611080763</v>
      </c>
      <c r="H293" s="2">
        <f>ProjectedP205_Consumption!M25-G168-G229</f>
        <v>0.41279070787130401</v>
      </c>
      <c r="K293" s="76">
        <f t="shared" si="288"/>
        <v>0.35</v>
      </c>
      <c r="L293" s="238">
        <f t="shared" si="257"/>
        <v>0.35</v>
      </c>
      <c r="M293" s="238">
        <f t="shared" si="258"/>
        <v>0.35</v>
      </c>
      <c r="N293" s="238">
        <f t="shared" si="259"/>
        <v>0.35</v>
      </c>
      <c r="O293" s="238">
        <v>0</v>
      </c>
      <c r="P293" s="238">
        <f t="shared" si="260"/>
        <v>0</v>
      </c>
      <c r="Q293" s="238">
        <f t="shared" si="261"/>
        <v>0</v>
      </c>
      <c r="R293" s="238">
        <f t="shared" si="262"/>
        <v>0</v>
      </c>
      <c r="S293" s="238">
        <f t="shared" si="289"/>
        <v>0.5</v>
      </c>
      <c r="T293" s="238">
        <f t="shared" si="263"/>
        <v>0.5</v>
      </c>
      <c r="U293" s="238">
        <f t="shared" si="264"/>
        <v>0.5</v>
      </c>
      <c r="V293" s="238">
        <f t="shared" si="265"/>
        <v>0.5</v>
      </c>
      <c r="W293" s="238">
        <f t="shared" si="290"/>
        <v>0</v>
      </c>
      <c r="X293" s="238">
        <f t="shared" si="266"/>
        <v>0</v>
      </c>
      <c r="Y293" s="238">
        <f t="shared" si="267"/>
        <v>0</v>
      </c>
      <c r="Z293" s="238">
        <f t="shared" si="268"/>
        <v>0</v>
      </c>
      <c r="AA293" s="238">
        <f t="shared" si="291"/>
        <v>0.14666666666666667</v>
      </c>
      <c r="AB293" s="238">
        <f t="shared" si="269"/>
        <v>0.14666666666666667</v>
      </c>
      <c r="AC293" s="238">
        <f t="shared" si="270"/>
        <v>0.14666666666666667</v>
      </c>
      <c r="AD293" s="238">
        <f t="shared" si="271"/>
        <v>0.14666666666666667</v>
      </c>
      <c r="AF293" s="240">
        <f t="shared" si="292"/>
        <v>0.19991481279686066</v>
      </c>
      <c r="AG293" s="240">
        <f t="shared" si="293"/>
        <v>0.25781820196683974</v>
      </c>
      <c r="AH293" s="240">
        <f t="shared" si="294"/>
        <v>0.2878650905190927</v>
      </c>
      <c r="AI293" s="240">
        <f t="shared" si="295"/>
        <v>0.31407988642381823</v>
      </c>
      <c r="AJ293" s="240">
        <f t="shared" si="272"/>
        <v>0</v>
      </c>
      <c r="AK293" s="240">
        <f t="shared" si="273"/>
        <v>0</v>
      </c>
      <c r="AL293" s="240">
        <f t="shared" si="274"/>
        <v>0</v>
      </c>
      <c r="AM293" s="240">
        <f t="shared" si="275"/>
        <v>0</v>
      </c>
      <c r="AN293" s="240">
        <f t="shared" si="276"/>
        <v>1.1942962842409859</v>
      </c>
      <c r="AO293" s="240">
        <f t="shared" si="277"/>
        <v>1.5402126351265755</v>
      </c>
      <c r="AP293" s="240">
        <f t="shared" si="278"/>
        <v>1.7197135277763984</v>
      </c>
      <c r="AQ293" s="240">
        <f t="shared" si="279"/>
        <v>1.8763213994150183</v>
      </c>
      <c r="AR293" s="240">
        <f t="shared" si="280"/>
        <v>0</v>
      </c>
      <c r="AS293" s="240">
        <f t="shared" si="281"/>
        <v>0</v>
      </c>
      <c r="AT293" s="240">
        <f t="shared" si="282"/>
        <v>0</v>
      </c>
      <c r="AU293" s="240">
        <f t="shared" si="283"/>
        <v>0</v>
      </c>
      <c r="AV293" s="240">
        <f t="shared" si="284"/>
        <v>7.4107615586235534E-2</v>
      </c>
      <c r="AW293" s="240">
        <f t="shared" si="285"/>
        <v>9.5572168641187505E-2</v>
      </c>
      <c r="AX293" s="240">
        <f t="shared" si="286"/>
        <v>0.10671042915945855</v>
      </c>
      <c r="AY293" s="240">
        <f t="shared" si="287"/>
        <v>0.11642814837395754</v>
      </c>
    </row>
    <row r="294" spans="4:51" ht="13.5" customHeight="1" x14ac:dyDescent="0.25">
      <c r="D294" s="79" t="s">
        <v>119</v>
      </c>
      <c r="E294" s="163">
        <f>ProjectedP205_Consumption!J26</f>
        <v>5.8855574255981195E-2</v>
      </c>
      <c r="F294" s="2">
        <f>ProjectedP205_Consumption!K26-E169-E230</f>
        <v>6.3914946557960983E-2</v>
      </c>
      <c r="G294" s="2">
        <f>ProjectedP205_Consumption!L26-F169-F230</f>
        <v>6.7246959254155206E-2</v>
      </c>
      <c r="H294" s="2">
        <f>ProjectedP205_Consumption!M26-G169-G230</f>
        <v>7.0984888638229243E-2</v>
      </c>
      <c r="K294" s="76">
        <f t="shared" si="288"/>
        <v>0.35</v>
      </c>
      <c r="L294" s="238">
        <f t="shared" si="257"/>
        <v>0.35</v>
      </c>
      <c r="M294" s="238">
        <f t="shared" si="258"/>
        <v>0.35</v>
      </c>
      <c r="N294" s="238">
        <f t="shared" si="259"/>
        <v>0.35</v>
      </c>
      <c r="O294" s="238">
        <v>0</v>
      </c>
      <c r="P294" s="238">
        <f t="shared" si="260"/>
        <v>0</v>
      </c>
      <c r="Q294" s="238">
        <f t="shared" si="261"/>
        <v>0</v>
      </c>
      <c r="R294" s="238">
        <f t="shared" si="262"/>
        <v>0</v>
      </c>
      <c r="S294" s="238">
        <f t="shared" si="289"/>
        <v>0.5</v>
      </c>
      <c r="T294" s="238">
        <f t="shared" si="263"/>
        <v>0.5</v>
      </c>
      <c r="U294" s="238">
        <f t="shared" si="264"/>
        <v>0.5</v>
      </c>
      <c r="V294" s="238">
        <f t="shared" si="265"/>
        <v>0.5</v>
      </c>
      <c r="W294" s="238">
        <f t="shared" si="290"/>
        <v>0</v>
      </c>
      <c r="X294" s="238">
        <f t="shared" si="266"/>
        <v>0</v>
      </c>
      <c r="Y294" s="238">
        <f t="shared" si="267"/>
        <v>0</v>
      </c>
      <c r="Z294" s="238">
        <f t="shared" si="268"/>
        <v>0</v>
      </c>
      <c r="AA294" s="238">
        <f t="shared" si="291"/>
        <v>0.14666666666666667</v>
      </c>
      <c r="AB294" s="238">
        <f t="shared" si="269"/>
        <v>0.14666666666666667</v>
      </c>
      <c r="AC294" s="238">
        <f t="shared" si="270"/>
        <v>0.14666666666666667</v>
      </c>
      <c r="AD294" s="238">
        <f t="shared" si="271"/>
        <v>0.14666666666666667</v>
      </c>
      <c r="AF294" s="240">
        <f t="shared" si="292"/>
        <v>4.4781415194768297E-2</v>
      </c>
      <c r="AG294" s="240">
        <f t="shared" si="293"/>
        <v>4.8630937598448568E-2</v>
      </c>
      <c r="AH294" s="240">
        <f t="shared" si="294"/>
        <v>5.1166164649900689E-2</v>
      </c>
      <c r="AI294" s="240">
        <f t="shared" si="295"/>
        <v>5.4010241355174418E-2</v>
      </c>
      <c r="AJ294" s="240">
        <f t="shared" si="272"/>
        <v>0</v>
      </c>
      <c r="AK294" s="240">
        <f t="shared" si="273"/>
        <v>0</v>
      </c>
      <c r="AL294" s="240">
        <f t="shared" si="274"/>
        <v>0</v>
      </c>
      <c r="AM294" s="240">
        <f t="shared" si="275"/>
        <v>0</v>
      </c>
      <c r="AN294" s="240">
        <f t="shared" si="276"/>
        <v>0.26752533752718727</v>
      </c>
      <c r="AO294" s="240">
        <f t="shared" si="277"/>
        <v>0.29052248435436812</v>
      </c>
      <c r="AP294" s="240">
        <f t="shared" si="278"/>
        <v>0.30566799660979638</v>
      </c>
      <c r="AQ294" s="240">
        <f t="shared" si="279"/>
        <v>0.32265858471922382</v>
      </c>
      <c r="AR294" s="240">
        <f t="shared" si="280"/>
        <v>0</v>
      </c>
      <c r="AS294" s="240">
        <f t="shared" si="281"/>
        <v>0</v>
      </c>
      <c r="AT294" s="240">
        <f t="shared" si="282"/>
        <v>0</v>
      </c>
      <c r="AU294" s="240">
        <f t="shared" si="283"/>
        <v>0</v>
      </c>
      <c r="AV294" s="240">
        <f t="shared" si="284"/>
        <v>1.6600290174763926E-2</v>
      </c>
      <c r="AW294" s="240">
        <f t="shared" si="285"/>
        <v>1.8027292618912071E-2</v>
      </c>
      <c r="AX294" s="240">
        <f t="shared" si="286"/>
        <v>1.8967091071684799E-2</v>
      </c>
      <c r="AY294" s="240">
        <f t="shared" si="287"/>
        <v>2.0021378846680041E-2</v>
      </c>
    </row>
    <row r="295" spans="4:51" ht="13.5" customHeight="1" x14ac:dyDescent="0.25">
      <c r="D295" s="79" t="s">
        <v>161</v>
      </c>
      <c r="E295" s="163">
        <f>ProjectedP205_Consumption!J27</f>
        <v>0.30587346667595666</v>
      </c>
      <c r="F295" s="2">
        <f>ProjectedP205_Consumption!K27-E170-E231</f>
        <v>0.4090534982216541</v>
      </c>
      <c r="G295" s="2">
        <f>ProjectedP205_Consumption!L27-F170-F231</f>
        <v>0.47361477467479068</v>
      </c>
      <c r="H295" s="2">
        <f>ProjectedP205_Consumption!M27-G170-G231</f>
        <v>0.53585349944075134</v>
      </c>
      <c r="K295" s="76">
        <f t="shared" si="288"/>
        <v>0.35</v>
      </c>
      <c r="L295" s="238">
        <f t="shared" si="257"/>
        <v>0.35</v>
      </c>
      <c r="M295" s="238">
        <f t="shared" si="258"/>
        <v>0.35</v>
      </c>
      <c r="N295" s="238">
        <f t="shared" si="259"/>
        <v>0.35</v>
      </c>
      <c r="O295" s="238">
        <v>0</v>
      </c>
      <c r="P295" s="238">
        <f t="shared" si="260"/>
        <v>0</v>
      </c>
      <c r="Q295" s="238">
        <f t="shared" si="261"/>
        <v>0</v>
      </c>
      <c r="R295" s="238">
        <f t="shared" si="262"/>
        <v>0</v>
      </c>
      <c r="S295" s="238">
        <f t="shared" si="289"/>
        <v>0.5</v>
      </c>
      <c r="T295" s="238">
        <f t="shared" si="263"/>
        <v>0.5</v>
      </c>
      <c r="U295" s="238">
        <f t="shared" si="264"/>
        <v>0.5</v>
      </c>
      <c r="V295" s="238">
        <f t="shared" si="265"/>
        <v>0.5</v>
      </c>
      <c r="W295" s="238">
        <f t="shared" si="290"/>
        <v>0</v>
      </c>
      <c r="X295" s="238">
        <f t="shared" si="266"/>
        <v>0</v>
      </c>
      <c r="Y295" s="238">
        <f t="shared" si="267"/>
        <v>0</v>
      </c>
      <c r="Z295" s="238">
        <f t="shared" si="268"/>
        <v>0</v>
      </c>
      <c r="AA295" s="238">
        <f t="shared" si="291"/>
        <v>0.14666666666666667</v>
      </c>
      <c r="AB295" s="238">
        <f t="shared" si="269"/>
        <v>0.14666666666666667</v>
      </c>
      <c r="AC295" s="238">
        <f t="shared" si="270"/>
        <v>0.14666666666666667</v>
      </c>
      <c r="AD295" s="238">
        <f t="shared" si="271"/>
        <v>0.14666666666666667</v>
      </c>
      <c r="AF295" s="240">
        <f t="shared" si="292"/>
        <v>0.23272981160127135</v>
      </c>
      <c r="AG295" s="240">
        <f t="shared" si="293"/>
        <v>0.31123635734256289</v>
      </c>
      <c r="AH295" s="240">
        <f t="shared" si="294"/>
        <v>0.36035906768734072</v>
      </c>
      <c r="AI295" s="240">
        <f t="shared" si="295"/>
        <v>0.40771461913970208</v>
      </c>
      <c r="AJ295" s="240">
        <f t="shared" si="272"/>
        <v>0</v>
      </c>
      <c r="AK295" s="240">
        <f t="shared" si="273"/>
        <v>0</v>
      </c>
      <c r="AL295" s="240">
        <f t="shared" si="274"/>
        <v>0</v>
      </c>
      <c r="AM295" s="240">
        <f t="shared" si="275"/>
        <v>0</v>
      </c>
      <c r="AN295" s="240">
        <f t="shared" si="276"/>
        <v>1.3903339394361667</v>
      </c>
      <c r="AO295" s="240">
        <f t="shared" si="277"/>
        <v>1.8593340828257003</v>
      </c>
      <c r="AP295" s="240">
        <f t="shared" si="278"/>
        <v>2.1527944303399575</v>
      </c>
      <c r="AQ295" s="240">
        <f t="shared" si="279"/>
        <v>2.4356977247306877</v>
      </c>
      <c r="AR295" s="240">
        <f t="shared" si="280"/>
        <v>0</v>
      </c>
      <c r="AS295" s="240">
        <f t="shared" si="281"/>
        <v>0</v>
      </c>
      <c r="AT295" s="240">
        <f t="shared" si="282"/>
        <v>0</v>
      </c>
      <c r="AU295" s="240">
        <f t="shared" si="283"/>
        <v>0</v>
      </c>
      <c r="AV295" s="240">
        <f t="shared" si="284"/>
        <v>8.6272003421423674E-2</v>
      </c>
      <c r="AW295" s="240">
        <f t="shared" si="285"/>
        <v>0.11537406360097936</v>
      </c>
      <c r="AX295" s="240">
        <f t="shared" si="286"/>
        <v>0.13358365439545378</v>
      </c>
      <c r="AY295" s="240">
        <f t="shared" si="287"/>
        <v>0.15113816650892986</v>
      </c>
    </row>
    <row r="296" spans="4:51" ht="13.5" customHeight="1" x14ac:dyDescent="0.25">
      <c r="D296" s="79" t="s">
        <v>54</v>
      </c>
      <c r="E296" s="163">
        <f>ProjectedP205_Consumption!J28</f>
        <v>4.0461296689297752E-2</v>
      </c>
      <c r="F296" s="2">
        <f>ProjectedP205_Consumption!K28-E171-E232</f>
        <v>4.3939450905951513E-2</v>
      </c>
      <c r="G296" s="2">
        <f>ProjectedP205_Consumption!L28-F171-F232</f>
        <v>4.500057749318534E-2</v>
      </c>
      <c r="H296" s="2">
        <f>ProjectedP205_Consumption!M28-G171-G232</f>
        <v>4.6088706211258268E-2</v>
      </c>
      <c r="K296" s="76">
        <f t="shared" si="288"/>
        <v>0.35</v>
      </c>
      <c r="L296" s="238">
        <f t="shared" si="257"/>
        <v>0.35</v>
      </c>
      <c r="M296" s="238">
        <f t="shared" si="258"/>
        <v>0.35</v>
      </c>
      <c r="N296" s="238">
        <f t="shared" si="259"/>
        <v>0.35</v>
      </c>
      <c r="O296" s="238">
        <v>0</v>
      </c>
      <c r="P296" s="238">
        <f t="shared" si="260"/>
        <v>0</v>
      </c>
      <c r="Q296" s="238">
        <f t="shared" si="261"/>
        <v>0</v>
      </c>
      <c r="R296" s="238">
        <f t="shared" si="262"/>
        <v>0</v>
      </c>
      <c r="S296" s="238">
        <f t="shared" si="289"/>
        <v>0.5</v>
      </c>
      <c r="T296" s="238">
        <f t="shared" si="263"/>
        <v>0.5</v>
      </c>
      <c r="U296" s="238">
        <f t="shared" si="264"/>
        <v>0.5</v>
      </c>
      <c r="V296" s="238">
        <f t="shared" si="265"/>
        <v>0.5</v>
      </c>
      <c r="W296" s="238">
        <f t="shared" si="290"/>
        <v>0</v>
      </c>
      <c r="X296" s="238">
        <f t="shared" si="266"/>
        <v>0</v>
      </c>
      <c r="Y296" s="238">
        <f t="shared" si="267"/>
        <v>0</v>
      </c>
      <c r="Z296" s="238">
        <f t="shared" si="268"/>
        <v>0</v>
      </c>
      <c r="AA296" s="238">
        <f t="shared" si="291"/>
        <v>0.14666666666666667</v>
      </c>
      <c r="AB296" s="238">
        <f t="shared" si="269"/>
        <v>0.14666666666666667</v>
      </c>
      <c r="AC296" s="238">
        <f t="shared" si="270"/>
        <v>0.14666666666666667</v>
      </c>
      <c r="AD296" s="238">
        <f t="shared" si="271"/>
        <v>0.14666666666666667</v>
      </c>
      <c r="AF296" s="240">
        <f t="shared" si="292"/>
        <v>3.0785769220117849E-2</v>
      </c>
      <c r="AG296" s="240">
        <f t="shared" si="293"/>
        <v>3.3432190906702235E-2</v>
      </c>
      <c r="AH296" s="240">
        <f t="shared" si="294"/>
        <v>3.4239569831771448E-2</v>
      </c>
      <c r="AI296" s="240">
        <f t="shared" si="295"/>
        <v>3.5067493856392157E-2</v>
      </c>
      <c r="AJ296" s="240">
        <f t="shared" si="272"/>
        <v>0</v>
      </c>
      <c r="AK296" s="240">
        <f t="shared" si="273"/>
        <v>0</v>
      </c>
      <c r="AL296" s="240">
        <f t="shared" si="274"/>
        <v>0</v>
      </c>
      <c r="AM296" s="240">
        <f t="shared" si="275"/>
        <v>0</v>
      </c>
      <c r="AN296" s="240">
        <f t="shared" si="276"/>
        <v>0.18391498495135342</v>
      </c>
      <c r="AO296" s="240">
        <f t="shared" si="277"/>
        <v>0.19972477684523415</v>
      </c>
      <c r="AP296" s="240">
        <f t="shared" si="278"/>
        <v>0.20454807951447881</v>
      </c>
      <c r="AQ296" s="240">
        <f t="shared" si="279"/>
        <v>0.20949411914208305</v>
      </c>
      <c r="AR296" s="240">
        <f t="shared" si="280"/>
        <v>0</v>
      </c>
      <c r="AS296" s="240">
        <f t="shared" si="281"/>
        <v>0</v>
      </c>
      <c r="AT296" s="240">
        <f t="shared" si="282"/>
        <v>0</v>
      </c>
      <c r="AU296" s="240">
        <f t="shared" si="283"/>
        <v>0</v>
      </c>
      <c r="AV296" s="240">
        <f t="shared" si="284"/>
        <v>1.1412160604673724E-2</v>
      </c>
      <c r="AW296" s="240">
        <f t="shared" si="285"/>
        <v>1.2393178460652989E-2</v>
      </c>
      <c r="AX296" s="240">
        <f t="shared" si="286"/>
        <v>1.2692470575000992E-2</v>
      </c>
      <c r="AY296" s="240">
        <f t="shared" si="287"/>
        <v>1.299937867497028E-2</v>
      </c>
    </row>
    <row r="297" spans="4:51" ht="13.5" customHeight="1" x14ac:dyDescent="0.25">
      <c r="D297" s="79" t="s">
        <v>234</v>
      </c>
      <c r="E297" s="163">
        <f>ProjectedP205_Consumption!J29</f>
        <v>0.21247866231340404</v>
      </c>
      <c r="F297" s="2">
        <f>ProjectedP205_Consumption!K29-E172-E233</f>
        <v>0.28174451683595192</v>
      </c>
      <c r="G297" s="2">
        <f>ProjectedP205_Consumption!L29-F172-F233</f>
        <v>0.32344649335931641</v>
      </c>
      <c r="H297" s="2">
        <f>ProjectedP205_Consumption!M29-G172-G233</f>
        <v>0.36284832266015432</v>
      </c>
      <c r="K297" s="76">
        <f t="shared" si="288"/>
        <v>0.35</v>
      </c>
      <c r="L297" s="238">
        <f t="shared" si="257"/>
        <v>0.35</v>
      </c>
      <c r="M297" s="238">
        <f t="shared" si="258"/>
        <v>0.35</v>
      </c>
      <c r="N297" s="238">
        <f t="shared" si="259"/>
        <v>0.35</v>
      </c>
      <c r="O297" s="238">
        <v>0</v>
      </c>
      <c r="P297" s="238">
        <f t="shared" si="260"/>
        <v>0</v>
      </c>
      <c r="Q297" s="238">
        <f t="shared" si="261"/>
        <v>0</v>
      </c>
      <c r="R297" s="238">
        <f t="shared" si="262"/>
        <v>0</v>
      </c>
      <c r="S297" s="238">
        <f t="shared" si="289"/>
        <v>0.5</v>
      </c>
      <c r="T297" s="238">
        <f t="shared" si="263"/>
        <v>0.5</v>
      </c>
      <c r="U297" s="238">
        <f t="shared" si="264"/>
        <v>0.5</v>
      </c>
      <c r="V297" s="238">
        <f t="shared" si="265"/>
        <v>0.5</v>
      </c>
      <c r="W297" s="238">
        <f t="shared" si="290"/>
        <v>0</v>
      </c>
      <c r="X297" s="238">
        <f t="shared" si="266"/>
        <v>0</v>
      </c>
      <c r="Y297" s="238">
        <f t="shared" si="267"/>
        <v>0</v>
      </c>
      <c r="Z297" s="238">
        <f t="shared" si="268"/>
        <v>0</v>
      </c>
      <c r="AA297" s="238">
        <f t="shared" si="291"/>
        <v>0.14666666666666667</v>
      </c>
      <c r="AB297" s="238">
        <f t="shared" si="269"/>
        <v>0.14666666666666667</v>
      </c>
      <c r="AC297" s="238">
        <f t="shared" si="270"/>
        <v>0.14666666666666667</v>
      </c>
      <c r="AD297" s="238">
        <f t="shared" si="271"/>
        <v>0.14666666666666667</v>
      </c>
      <c r="AF297" s="240">
        <f t="shared" si="292"/>
        <v>0.16166854741237263</v>
      </c>
      <c r="AG297" s="240">
        <f t="shared" si="293"/>
        <v>0.21437082802735469</v>
      </c>
      <c r="AH297" s="240">
        <f t="shared" si="294"/>
        <v>0.24610059277339288</v>
      </c>
      <c r="AI297" s="240">
        <f t="shared" si="295"/>
        <v>0.27608024550229132</v>
      </c>
      <c r="AJ297" s="240">
        <f t="shared" si="272"/>
        <v>0</v>
      </c>
      <c r="AK297" s="240">
        <f t="shared" si="273"/>
        <v>0</v>
      </c>
      <c r="AL297" s="240">
        <f t="shared" si="274"/>
        <v>0</v>
      </c>
      <c r="AM297" s="240">
        <f t="shared" si="275"/>
        <v>0</v>
      </c>
      <c r="AN297" s="240">
        <f t="shared" si="276"/>
        <v>0.96581210142456375</v>
      </c>
      <c r="AO297" s="240">
        <f t="shared" si="277"/>
        <v>1.2806568947088723</v>
      </c>
      <c r="AP297" s="240">
        <f t="shared" si="278"/>
        <v>1.4702113334514382</v>
      </c>
      <c r="AQ297" s="240">
        <f t="shared" si="279"/>
        <v>1.649310557546156</v>
      </c>
      <c r="AR297" s="240">
        <f t="shared" si="280"/>
        <v>0</v>
      </c>
      <c r="AS297" s="240">
        <f t="shared" si="281"/>
        <v>0</v>
      </c>
      <c r="AT297" s="240">
        <f t="shared" si="282"/>
        <v>0</v>
      </c>
      <c r="AU297" s="240">
        <f t="shared" si="283"/>
        <v>0</v>
      </c>
      <c r="AV297" s="240">
        <f t="shared" si="284"/>
        <v>5.9929879114037035E-2</v>
      </c>
      <c r="AW297" s="240">
        <f t="shared" si="285"/>
        <v>7.9466402184499255E-2</v>
      </c>
      <c r="AX297" s="240">
        <f t="shared" si="286"/>
        <v>9.1228498126986676E-2</v>
      </c>
      <c r="AY297" s="240">
        <f t="shared" si="287"/>
        <v>0.10234183459645378</v>
      </c>
    </row>
    <row r="298" spans="4:51" ht="13.5" customHeight="1" x14ac:dyDescent="0.25">
      <c r="D298" s="79" t="s">
        <v>152</v>
      </c>
      <c r="E298" s="163">
        <f>ProjectedP205_Consumption!J30</f>
        <v>3.8075833055165424E-2</v>
      </c>
      <c r="F298" s="2">
        <f>ProjectedP205_Consumption!K30-E173-E234</f>
        <v>4.1116746498090391E-2</v>
      </c>
      <c r="G298" s="2">
        <f>ProjectedP205_Consumption!L30-F173-F234</f>
        <v>4.3017331206989133E-2</v>
      </c>
      <c r="H298" s="2">
        <f>ProjectedP205_Consumption!M30-G173-G234</f>
        <v>4.5153478934657459E-2</v>
      </c>
      <c r="K298" s="76">
        <f t="shared" si="288"/>
        <v>0.35</v>
      </c>
      <c r="L298" s="238">
        <f t="shared" si="257"/>
        <v>0.35</v>
      </c>
      <c r="M298" s="238">
        <f t="shared" si="258"/>
        <v>0.35</v>
      </c>
      <c r="N298" s="238">
        <f t="shared" si="259"/>
        <v>0.35</v>
      </c>
      <c r="O298" s="238">
        <v>0</v>
      </c>
      <c r="P298" s="238">
        <f t="shared" si="260"/>
        <v>0</v>
      </c>
      <c r="Q298" s="238">
        <f t="shared" si="261"/>
        <v>0</v>
      </c>
      <c r="R298" s="238">
        <f t="shared" si="262"/>
        <v>0</v>
      </c>
      <c r="S298" s="238">
        <f t="shared" si="289"/>
        <v>0.5</v>
      </c>
      <c r="T298" s="238">
        <f t="shared" si="263"/>
        <v>0.5</v>
      </c>
      <c r="U298" s="238">
        <f t="shared" si="264"/>
        <v>0.5</v>
      </c>
      <c r="V298" s="238">
        <f t="shared" si="265"/>
        <v>0.5</v>
      </c>
      <c r="W298" s="238">
        <f t="shared" si="290"/>
        <v>0</v>
      </c>
      <c r="X298" s="238">
        <f t="shared" si="266"/>
        <v>0</v>
      </c>
      <c r="Y298" s="238">
        <f t="shared" si="267"/>
        <v>0</v>
      </c>
      <c r="Z298" s="238">
        <f t="shared" si="268"/>
        <v>0</v>
      </c>
      <c r="AA298" s="238">
        <f t="shared" si="291"/>
        <v>0.14666666666666667</v>
      </c>
      <c r="AB298" s="238">
        <f t="shared" si="269"/>
        <v>0.14666666666666667</v>
      </c>
      <c r="AC298" s="238">
        <f t="shared" si="270"/>
        <v>0.14666666666666667</v>
      </c>
      <c r="AD298" s="238">
        <f t="shared" si="271"/>
        <v>0.14666666666666667</v>
      </c>
      <c r="AF298" s="240">
        <f t="shared" si="292"/>
        <v>2.8970742541973692E-2</v>
      </c>
      <c r="AG298" s="240">
        <f t="shared" si="293"/>
        <v>3.1284481031155727E-2</v>
      </c>
      <c r="AH298" s="240">
        <f t="shared" si="294"/>
        <v>3.2730578092274337E-2</v>
      </c>
      <c r="AI298" s="240">
        <f t="shared" si="295"/>
        <v>3.4355907885065456E-2</v>
      </c>
      <c r="AJ298" s="240">
        <f t="shared" si="272"/>
        <v>0</v>
      </c>
      <c r="AK298" s="240">
        <f t="shared" si="273"/>
        <v>0</v>
      </c>
      <c r="AL298" s="240">
        <f t="shared" si="274"/>
        <v>0</v>
      </c>
      <c r="AM298" s="240">
        <f t="shared" si="275"/>
        <v>0</v>
      </c>
      <c r="AN298" s="240">
        <f t="shared" si="276"/>
        <v>0.17307196843257011</v>
      </c>
      <c r="AO298" s="240">
        <f t="shared" si="277"/>
        <v>0.18689430226404724</v>
      </c>
      <c r="AP298" s="240">
        <f t="shared" si="278"/>
        <v>0.19553332366813242</v>
      </c>
      <c r="AQ298" s="240">
        <f t="shared" si="279"/>
        <v>0.20524308606662481</v>
      </c>
      <c r="AR298" s="240">
        <f t="shared" si="280"/>
        <v>0</v>
      </c>
      <c r="AS298" s="240">
        <f t="shared" si="281"/>
        <v>0</v>
      </c>
      <c r="AT298" s="240">
        <f t="shared" si="282"/>
        <v>0</v>
      </c>
      <c r="AU298" s="240">
        <f t="shared" si="283"/>
        <v>0</v>
      </c>
      <c r="AV298" s="240">
        <f t="shared" si="284"/>
        <v>1.0739337528379991E-2</v>
      </c>
      <c r="AW298" s="240">
        <f t="shared" si="285"/>
        <v>1.1597031063563957E-2</v>
      </c>
      <c r="AX298" s="240">
        <f t="shared" si="286"/>
        <v>1.213309341735591E-2</v>
      </c>
      <c r="AY298" s="240">
        <f t="shared" si="287"/>
        <v>1.2735596622595694E-2</v>
      </c>
    </row>
    <row r="299" spans="4:51" ht="13.5" customHeight="1" x14ac:dyDescent="0.25">
      <c r="D299" s="79" t="s">
        <v>250</v>
      </c>
      <c r="E299" s="163">
        <f>ProjectedP205_Consumption!J31</f>
        <v>7.3752245286296467E-2</v>
      </c>
      <c r="F299" s="2">
        <f>ProjectedP205_Consumption!K31-E174-E235</f>
        <v>8.1156292475344588E-2</v>
      </c>
      <c r="G299" s="2">
        <f>ProjectedP205_Consumption!L31-F174-F235</f>
        <v>7.7317174724636395E-2</v>
      </c>
      <c r="H299" s="2">
        <f>ProjectedP205_Consumption!M31-G174-G235</f>
        <v>7.1978940816937689E-2</v>
      </c>
      <c r="K299" s="76">
        <f t="shared" si="288"/>
        <v>0.35</v>
      </c>
      <c r="L299" s="238">
        <f t="shared" si="257"/>
        <v>0.35</v>
      </c>
      <c r="M299" s="238">
        <f t="shared" si="258"/>
        <v>0.35</v>
      </c>
      <c r="N299" s="238">
        <f t="shared" si="259"/>
        <v>0.35</v>
      </c>
      <c r="O299" s="238">
        <v>0</v>
      </c>
      <c r="P299" s="238">
        <f t="shared" si="260"/>
        <v>0</v>
      </c>
      <c r="Q299" s="238">
        <f t="shared" si="261"/>
        <v>0</v>
      </c>
      <c r="R299" s="238">
        <f t="shared" si="262"/>
        <v>0</v>
      </c>
      <c r="S299" s="238">
        <f t="shared" si="289"/>
        <v>0.5</v>
      </c>
      <c r="T299" s="238">
        <f t="shared" si="263"/>
        <v>0.5</v>
      </c>
      <c r="U299" s="238">
        <f t="shared" si="264"/>
        <v>0.5</v>
      </c>
      <c r="V299" s="238">
        <f t="shared" si="265"/>
        <v>0.5</v>
      </c>
      <c r="W299" s="238">
        <f t="shared" si="290"/>
        <v>0</v>
      </c>
      <c r="X299" s="238">
        <f t="shared" si="266"/>
        <v>0</v>
      </c>
      <c r="Y299" s="238">
        <f t="shared" si="267"/>
        <v>0</v>
      </c>
      <c r="Z299" s="238">
        <f t="shared" si="268"/>
        <v>0</v>
      </c>
      <c r="AA299" s="238">
        <f t="shared" si="291"/>
        <v>0.14666666666666667</v>
      </c>
      <c r="AB299" s="238">
        <f t="shared" si="269"/>
        <v>0.14666666666666667</v>
      </c>
      <c r="AC299" s="238">
        <f t="shared" si="270"/>
        <v>0.14666666666666667</v>
      </c>
      <c r="AD299" s="238">
        <f t="shared" si="271"/>
        <v>0.14666666666666667</v>
      </c>
      <c r="AF299" s="240">
        <f t="shared" si="292"/>
        <v>5.6115838804790791E-2</v>
      </c>
      <c r="AG299" s="240">
        <f t="shared" si="293"/>
        <v>6.1749352970370874E-2</v>
      </c>
      <c r="AH299" s="240">
        <f t="shared" si="294"/>
        <v>5.8828285116571163E-2</v>
      </c>
      <c r="AI299" s="240">
        <f t="shared" si="295"/>
        <v>5.4766585404191714E-2</v>
      </c>
      <c r="AJ299" s="240">
        <f t="shared" si="272"/>
        <v>0</v>
      </c>
      <c r="AK299" s="240">
        <f t="shared" si="273"/>
        <v>0</v>
      </c>
      <c r="AL299" s="240">
        <f t="shared" si="274"/>
        <v>0</v>
      </c>
      <c r="AM299" s="240">
        <f t="shared" si="275"/>
        <v>0</v>
      </c>
      <c r="AN299" s="240">
        <f t="shared" si="276"/>
        <v>0.33523747857407482</v>
      </c>
      <c r="AO299" s="240">
        <f t="shared" si="277"/>
        <v>0.36889223852429359</v>
      </c>
      <c r="AP299" s="240">
        <f t="shared" si="278"/>
        <v>0.35144170329380181</v>
      </c>
      <c r="AQ299" s="240">
        <f t="shared" si="279"/>
        <v>0.32717700371335312</v>
      </c>
      <c r="AR299" s="240">
        <f t="shared" si="280"/>
        <v>0</v>
      </c>
      <c r="AS299" s="240">
        <f t="shared" si="281"/>
        <v>0</v>
      </c>
      <c r="AT299" s="240">
        <f t="shared" si="282"/>
        <v>0</v>
      </c>
      <c r="AU299" s="240">
        <f t="shared" si="283"/>
        <v>0</v>
      </c>
      <c r="AV299" s="240">
        <f t="shared" si="284"/>
        <v>2.080191533716054E-2</v>
      </c>
      <c r="AW299" s="240">
        <f t="shared" si="285"/>
        <v>2.2890236339199756E-2</v>
      </c>
      <c r="AX299" s="240">
        <f t="shared" si="286"/>
        <v>2.1807408255666676E-2</v>
      </c>
      <c r="AY299" s="240">
        <f t="shared" si="287"/>
        <v>2.0301752538110628E-2</v>
      </c>
    </row>
    <row r="300" spans="4:51" ht="13.5" customHeight="1" x14ac:dyDescent="0.25">
      <c r="D300" s="79" t="s">
        <v>244</v>
      </c>
      <c r="E300" s="163">
        <f>ProjectedP205_Consumption!J32</f>
        <v>3.3205005553983813E-2</v>
      </c>
      <c r="F300" s="2">
        <f>ProjectedP205_Consumption!K32-E175-E236</f>
        <v>3.7055659122894699E-2</v>
      </c>
      <c r="G300" s="2">
        <f>ProjectedP205_Consumption!L32-F175-F236</f>
        <v>3.5802417536946983E-2</v>
      </c>
      <c r="H300" s="2">
        <f>ProjectedP205_Consumption!M32-G175-G236</f>
        <v>3.3802269654902711E-2</v>
      </c>
      <c r="K300" s="76">
        <f t="shared" si="288"/>
        <v>0.35</v>
      </c>
      <c r="L300" s="238">
        <f t="shared" si="257"/>
        <v>0.35</v>
      </c>
      <c r="M300" s="238">
        <f t="shared" si="258"/>
        <v>0.35</v>
      </c>
      <c r="N300" s="238">
        <f t="shared" si="259"/>
        <v>0.35</v>
      </c>
      <c r="O300" s="238">
        <v>0</v>
      </c>
      <c r="P300" s="238">
        <f t="shared" si="260"/>
        <v>0</v>
      </c>
      <c r="Q300" s="238">
        <f t="shared" si="261"/>
        <v>0</v>
      </c>
      <c r="R300" s="238">
        <f t="shared" si="262"/>
        <v>0</v>
      </c>
      <c r="S300" s="238">
        <f t="shared" si="289"/>
        <v>0.5</v>
      </c>
      <c r="T300" s="238">
        <f t="shared" si="263"/>
        <v>0.5</v>
      </c>
      <c r="U300" s="238">
        <f t="shared" si="264"/>
        <v>0.5</v>
      </c>
      <c r="V300" s="238">
        <f t="shared" si="265"/>
        <v>0.5</v>
      </c>
      <c r="W300" s="238">
        <f t="shared" si="290"/>
        <v>0</v>
      </c>
      <c r="X300" s="238">
        <f t="shared" si="266"/>
        <v>0</v>
      </c>
      <c r="Y300" s="238">
        <f t="shared" si="267"/>
        <v>0</v>
      </c>
      <c r="Z300" s="238">
        <f t="shared" si="268"/>
        <v>0</v>
      </c>
      <c r="AA300" s="238">
        <f t="shared" si="291"/>
        <v>0.14666666666666667</v>
      </c>
      <c r="AB300" s="238">
        <f t="shared" si="269"/>
        <v>0.14666666666666667</v>
      </c>
      <c r="AC300" s="238">
        <f t="shared" si="270"/>
        <v>0.14666666666666667</v>
      </c>
      <c r="AD300" s="238">
        <f t="shared" si="271"/>
        <v>0.14666666666666667</v>
      </c>
      <c r="AF300" s="240">
        <f t="shared" si="292"/>
        <v>2.5264678138900723E-2</v>
      </c>
      <c r="AG300" s="240">
        <f t="shared" si="293"/>
        <v>2.8194523245680746E-2</v>
      </c>
      <c r="AH300" s="240">
        <f t="shared" si="294"/>
        <v>2.7240969865068354E-2</v>
      </c>
      <c r="AI300" s="240">
        <f t="shared" si="295"/>
        <v>2.5719118215686846E-2</v>
      </c>
      <c r="AJ300" s="240">
        <f t="shared" si="272"/>
        <v>0</v>
      </c>
      <c r="AK300" s="240">
        <f t="shared" si="273"/>
        <v>0</v>
      </c>
      <c r="AL300" s="240">
        <f t="shared" si="274"/>
        <v>0</v>
      </c>
      <c r="AM300" s="240">
        <f t="shared" si="275"/>
        <v>0</v>
      </c>
      <c r="AN300" s="240">
        <f t="shared" si="276"/>
        <v>0.15093184342719915</v>
      </c>
      <c r="AO300" s="240">
        <f t="shared" si="277"/>
        <v>0.16843481419497591</v>
      </c>
      <c r="AP300" s="240">
        <f t="shared" si="278"/>
        <v>0.16273826153157719</v>
      </c>
      <c r="AQ300" s="240">
        <f t="shared" si="279"/>
        <v>0.15364668024955777</v>
      </c>
      <c r="AR300" s="240">
        <f t="shared" si="280"/>
        <v>0</v>
      </c>
      <c r="AS300" s="240">
        <f t="shared" si="281"/>
        <v>0</v>
      </c>
      <c r="AT300" s="240">
        <f t="shared" si="282"/>
        <v>0</v>
      </c>
      <c r="AU300" s="240">
        <f t="shared" si="283"/>
        <v>0</v>
      </c>
      <c r="AV300" s="240">
        <f t="shared" si="284"/>
        <v>9.365514387021075E-3</v>
      </c>
      <c r="AW300" s="240">
        <f t="shared" si="285"/>
        <v>1.0451596162867735E-2</v>
      </c>
      <c r="AX300" s="240">
        <f t="shared" si="286"/>
        <v>1.0098117766831201E-2</v>
      </c>
      <c r="AY300" s="240">
        <f t="shared" si="287"/>
        <v>9.5339734924084572E-3</v>
      </c>
    </row>
    <row r="301" spans="4:51" ht="13.5" customHeight="1" x14ac:dyDescent="0.25">
      <c r="D301" s="79" t="s">
        <v>123</v>
      </c>
      <c r="E301" s="163">
        <f>ProjectedP205_Consumption!J33</f>
        <v>2.9516129212614282E-2</v>
      </c>
      <c r="F301" s="2">
        <f>ProjectedP205_Consumption!K33-E176-E237</f>
        <v>3.2196617421816877E-2</v>
      </c>
      <c r="G301" s="2">
        <f>ProjectedP205_Consumption!L33-F176-F237</f>
        <v>3.3121479223120101E-2</v>
      </c>
      <c r="H301" s="2">
        <f>ProjectedP205_Consumption!M33-G176-G237</f>
        <v>3.4073925516658346E-2</v>
      </c>
      <c r="K301" s="76">
        <f t="shared" si="288"/>
        <v>0.35</v>
      </c>
      <c r="L301" s="238">
        <f t="shared" si="257"/>
        <v>0.35</v>
      </c>
      <c r="M301" s="238">
        <f t="shared" si="258"/>
        <v>0.35</v>
      </c>
      <c r="N301" s="238">
        <f t="shared" si="259"/>
        <v>0.35</v>
      </c>
      <c r="O301" s="238">
        <v>0</v>
      </c>
      <c r="P301" s="238">
        <f t="shared" si="260"/>
        <v>0</v>
      </c>
      <c r="Q301" s="238">
        <f t="shared" si="261"/>
        <v>0</v>
      </c>
      <c r="R301" s="238">
        <f t="shared" si="262"/>
        <v>0</v>
      </c>
      <c r="S301" s="238">
        <f t="shared" si="289"/>
        <v>0.5</v>
      </c>
      <c r="T301" s="238">
        <f t="shared" si="263"/>
        <v>0.5</v>
      </c>
      <c r="U301" s="238">
        <f t="shared" si="264"/>
        <v>0.5</v>
      </c>
      <c r="V301" s="238">
        <f t="shared" si="265"/>
        <v>0.5</v>
      </c>
      <c r="W301" s="238">
        <f t="shared" si="290"/>
        <v>0</v>
      </c>
      <c r="X301" s="238">
        <f t="shared" si="266"/>
        <v>0</v>
      </c>
      <c r="Y301" s="238">
        <f t="shared" si="267"/>
        <v>0</v>
      </c>
      <c r="Z301" s="238">
        <f t="shared" si="268"/>
        <v>0</v>
      </c>
      <c r="AA301" s="238">
        <f t="shared" si="291"/>
        <v>0.14666666666666667</v>
      </c>
      <c r="AB301" s="238">
        <f t="shared" si="269"/>
        <v>0.14666666666666667</v>
      </c>
      <c r="AC301" s="238">
        <f t="shared" si="270"/>
        <v>0.14666666666666667</v>
      </c>
      <c r="AD301" s="238">
        <f t="shared" si="271"/>
        <v>0.14666666666666667</v>
      </c>
      <c r="AF301" s="240">
        <f t="shared" si="292"/>
        <v>2.245792440090217E-2</v>
      </c>
      <c r="AG301" s="240">
        <f t="shared" si="293"/>
        <v>2.4497426299208491E-2</v>
      </c>
      <c r="AH301" s="240">
        <f t="shared" si="294"/>
        <v>2.5201125495852249E-2</v>
      </c>
      <c r="AI301" s="240">
        <f t="shared" si="295"/>
        <v>2.5925812893109607E-2</v>
      </c>
      <c r="AJ301" s="240">
        <f t="shared" si="272"/>
        <v>0</v>
      </c>
      <c r="AK301" s="240">
        <f t="shared" si="273"/>
        <v>0</v>
      </c>
      <c r="AL301" s="240">
        <f t="shared" si="274"/>
        <v>0</v>
      </c>
      <c r="AM301" s="240">
        <f t="shared" si="275"/>
        <v>0</v>
      </c>
      <c r="AN301" s="240">
        <f t="shared" si="276"/>
        <v>0.13416422369370129</v>
      </c>
      <c r="AO301" s="240">
        <f t="shared" si="277"/>
        <v>0.14634826100825854</v>
      </c>
      <c r="AP301" s="240">
        <f t="shared" si="278"/>
        <v>0.15055217828690956</v>
      </c>
      <c r="AQ301" s="240">
        <f t="shared" si="279"/>
        <v>0.1548814796211743</v>
      </c>
      <c r="AR301" s="240">
        <f t="shared" si="280"/>
        <v>0</v>
      </c>
      <c r="AS301" s="240">
        <f t="shared" si="281"/>
        <v>0</v>
      </c>
      <c r="AT301" s="240">
        <f t="shared" si="282"/>
        <v>0</v>
      </c>
      <c r="AU301" s="240">
        <f t="shared" si="283"/>
        <v>0</v>
      </c>
      <c r="AV301" s="240">
        <f t="shared" si="284"/>
        <v>8.3250620856091563E-3</v>
      </c>
      <c r="AW301" s="240">
        <f t="shared" si="285"/>
        <v>9.0810972215380932E-3</v>
      </c>
      <c r="AX301" s="240">
        <f t="shared" si="286"/>
        <v>9.341955678315925E-3</v>
      </c>
      <c r="AY301" s="240">
        <f t="shared" si="287"/>
        <v>9.61059437649338E-3</v>
      </c>
    </row>
    <row r="302" spans="4:51" ht="13.5" customHeight="1" x14ac:dyDescent="0.25">
      <c r="D302" s="79" t="s">
        <v>252</v>
      </c>
      <c r="E302" s="163">
        <f>ProjectedP205_Consumption!J34</f>
        <v>9.3395637698486758E-2</v>
      </c>
      <c r="F302" s="2">
        <f>ProjectedP205_Consumption!K34-E177-E238</f>
        <v>9.3788173716213508E-2</v>
      </c>
      <c r="G302" s="2">
        <f>ProjectedP205_Consumption!L34-F177-F238</f>
        <v>9.1248337206267863E-2</v>
      </c>
      <c r="H302" s="2">
        <f>ProjectedP205_Consumption!M34-G177-G238</f>
        <v>8.9068650425555562E-2</v>
      </c>
      <c r="K302" s="76">
        <f t="shared" si="288"/>
        <v>0.35</v>
      </c>
      <c r="L302" s="238">
        <f t="shared" si="257"/>
        <v>0.35</v>
      </c>
      <c r="M302" s="238">
        <f t="shared" si="258"/>
        <v>0.35</v>
      </c>
      <c r="N302" s="238">
        <f t="shared" si="259"/>
        <v>0.35</v>
      </c>
      <c r="O302" s="238">
        <v>0</v>
      </c>
      <c r="P302" s="238">
        <f t="shared" si="260"/>
        <v>0</v>
      </c>
      <c r="Q302" s="238">
        <f t="shared" si="261"/>
        <v>0</v>
      </c>
      <c r="R302" s="238">
        <f t="shared" si="262"/>
        <v>0</v>
      </c>
      <c r="S302" s="238">
        <f t="shared" si="289"/>
        <v>0.5</v>
      </c>
      <c r="T302" s="238">
        <f t="shared" si="263"/>
        <v>0.5</v>
      </c>
      <c r="U302" s="238">
        <f t="shared" si="264"/>
        <v>0.5</v>
      </c>
      <c r="V302" s="238">
        <f t="shared" si="265"/>
        <v>0.5</v>
      </c>
      <c r="W302" s="238">
        <f t="shared" si="290"/>
        <v>0</v>
      </c>
      <c r="X302" s="238">
        <f t="shared" si="266"/>
        <v>0</v>
      </c>
      <c r="Y302" s="238">
        <f t="shared" si="267"/>
        <v>0</v>
      </c>
      <c r="Z302" s="238">
        <f t="shared" si="268"/>
        <v>0</v>
      </c>
      <c r="AA302" s="238">
        <f t="shared" si="291"/>
        <v>0.14666666666666667</v>
      </c>
      <c r="AB302" s="238">
        <f t="shared" si="269"/>
        <v>0.14666666666666667</v>
      </c>
      <c r="AC302" s="238">
        <f t="shared" si="270"/>
        <v>0.14666666666666667</v>
      </c>
      <c r="AD302" s="238">
        <f t="shared" si="271"/>
        <v>0.14666666666666667</v>
      </c>
      <c r="AF302" s="240">
        <f t="shared" si="292"/>
        <v>7.1061898248848621E-2</v>
      </c>
      <c r="AG302" s="240">
        <f t="shared" si="293"/>
        <v>7.1360566957988536E-2</v>
      </c>
      <c r="AH302" s="240">
        <f t="shared" si="294"/>
        <v>6.9428082656942933E-2</v>
      </c>
      <c r="AI302" s="240">
        <f t="shared" si="295"/>
        <v>6.7769625323792271E-2</v>
      </c>
      <c r="AJ302" s="240">
        <f t="shared" si="272"/>
        <v>0</v>
      </c>
      <c r="AK302" s="240">
        <f t="shared" si="273"/>
        <v>0</v>
      </c>
      <c r="AL302" s="240">
        <f t="shared" si="274"/>
        <v>0</v>
      </c>
      <c r="AM302" s="240">
        <f t="shared" si="275"/>
        <v>0</v>
      </c>
      <c r="AN302" s="240">
        <f t="shared" si="276"/>
        <v>0.42452562590221254</v>
      </c>
      <c r="AO302" s="240">
        <f t="shared" si="277"/>
        <v>0.4263098805282432</v>
      </c>
      <c r="AP302" s="240">
        <f t="shared" si="278"/>
        <v>0.41476516911939937</v>
      </c>
      <c r="AQ302" s="240">
        <f t="shared" si="279"/>
        <v>0.40485750193434344</v>
      </c>
      <c r="AR302" s="240">
        <f t="shared" si="280"/>
        <v>0</v>
      </c>
      <c r="AS302" s="240">
        <f t="shared" si="281"/>
        <v>0</v>
      </c>
      <c r="AT302" s="240">
        <f t="shared" si="282"/>
        <v>0</v>
      </c>
      <c r="AU302" s="240">
        <f t="shared" si="283"/>
        <v>0</v>
      </c>
      <c r="AV302" s="240">
        <f t="shared" si="284"/>
        <v>2.634235935085524E-2</v>
      </c>
      <c r="AW302" s="240">
        <f t="shared" si="285"/>
        <v>2.6453074637906374E-2</v>
      </c>
      <c r="AX302" s="240">
        <f t="shared" si="286"/>
        <v>2.5736710494075551E-2</v>
      </c>
      <c r="AY302" s="240">
        <f t="shared" si="287"/>
        <v>2.5121927043105414E-2</v>
      </c>
    </row>
    <row r="303" spans="4:51" ht="13.5" customHeight="1" x14ac:dyDescent="0.25">
      <c r="D303" s="79" t="s">
        <v>117</v>
      </c>
      <c r="E303" s="163">
        <f>ProjectedP205_Consumption!J35</f>
        <v>2.5472334788361903E-2</v>
      </c>
      <c r="F303" s="2">
        <f>ProjectedP205_Consumption!K35-E178-E239</f>
        <v>2.9145731341937469E-2</v>
      </c>
      <c r="G303" s="2">
        <f>ProjectedP205_Consumption!L35-F178-F239</f>
        <v>2.8872739045466903E-2</v>
      </c>
      <c r="H303" s="2">
        <f>ProjectedP205_Consumption!M35-G178-G239</f>
        <v>2.794967179001541E-2</v>
      </c>
      <c r="K303" s="76">
        <f t="shared" si="288"/>
        <v>0.35</v>
      </c>
      <c r="L303" s="238">
        <f t="shared" si="257"/>
        <v>0.35</v>
      </c>
      <c r="M303" s="238">
        <f t="shared" si="258"/>
        <v>0.35</v>
      </c>
      <c r="N303" s="238">
        <f t="shared" si="259"/>
        <v>0.35</v>
      </c>
      <c r="O303" s="238">
        <v>0</v>
      </c>
      <c r="P303" s="238">
        <f t="shared" si="260"/>
        <v>0</v>
      </c>
      <c r="Q303" s="238">
        <f t="shared" si="261"/>
        <v>0</v>
      </c>
      <c r="R303" s="238">
        <f t="shared" si="262"/>
        <v>0</v>
      </c>
      <c r="S303" s="238">
        <f t="shared" si="289"/>
        <v>0.5</v>
      </c>
      <c r="T303" s="238">
        <f t="shared" si="263"/>
        <v>0.5</v>
      </c>
      <c r="U303" s="238">
        <f t="shared" si="264"/>
        <v>0.5</v>
      </c>
      <c r="V303" s="238">
        <f t="shared" si="265"/>
        <v>0.5</v>
      </c>
      <c r="W303" s="238">
        <f t="shared" si="290"/>
        <v>0</v>
      </c>
      <c r="X303" s="238">
        <f t="shared" si="266"/>
        <v>0</v>
      </c>
      <c r="Y303" s="238">
        <f t="shared" si="267"/>
        <v>0</v>
      </c>
      <c r="Z303" s="238">
        <f t="shared" si="268"/>
        <v>0</v>
      </c>
      <c r="AA303" s="238">
        <f t="shared" si="291"/>
        <v>0.14666666666666667</v>
      </c>
      <c r="AB303" s="238">
        <f t="shared" si="269"/>
        <v>0.14666666666666667</v>
      </c>
      <c r="AC303" s="238">
        <f t="shared" si="270"/>
        <v>0.14666666666666667</v>
      </c>
      <c r="AD303" s="238">
        <f t="shared" si="271"/>
        <v>0.14666666666666667</v>
      </c>
      <c r="AF303" s="240">
        <f t="shared" si="292"/>
        <v>1.9381124295492748E-2</v>
      </c>
      <c r="AG303" s="240">
        <f t="shared" si="293"/>
        <v>2.2176099934082854E-2</v>
      </c>
      <c r="AH303" s="240">
        <f t="shared" si="294"/>
        <v>2.19683884041596E-2</v>
      </c>
      <c r="AI303" s="240">
        <f t="shared" si="295"/>
        <v>2.1266054622837809E-2</v>
      </c>
      <c r="AJ303" s="240">
        <f t="shared" si="272"/>
        <v>0</v>
      </c>
      <c r="AK303" s="240">
        <f t="shared" si="273"/>
        <v>0</v>
      </c>
      <c r="AL303" s="240">
        <f t="shared" si="274"/>
        <v>0</v>
      </c>
      <c r="AM303" s="240">
        <f t="shared" si="275"/>
        <v>0</v>
      </c>
      <c r="AN303" s="240">
        <f t="shared" si="276"/>
        <v>0.11578333994709956</v>
      </c>
      <c r="AO303" s="240">
        <f t="shared" si="277"/>
        <v>0.13248059700880668</v>
      </c>
      <c r="AP303" s="240">
        <f t="shared" si="278"/>
        <v>0.13123972293394046</v>
      </c>
      <c r="AQ303" s="240">
        <f t="shared" si="279"/>
        <v>0.12704396268188822</v>
      </c>
      <c r="AR303" s="240">
        <f t="shared" si="280"/>
        <v>0</v>
      </c>
      <c r="AS303" s="240">
        <f t="shared" si="281"/>
        <v>0</v>
      </c>
      <c r="AT303" s="240">
        <f t="shared" si="282"/>
        <v>0</v>
      </c>
      <c r="AU303" s="240">
        <f t="shared" si="283"/>
        <v>0</v>
      </c>
      <c r="AV303" s="240">
        <f t="shared" si="284"/>
        <v>7.1845046838969464E-3</v>
      </c>
      <c r="AW303" s="240">
        <f t="shared" si="285"/>
        <v>8.2205908913156964E-3</v>
      </c>
      <c r="AX303" s="240">
        <f t="shared" si="286"/>
        <v>8.1435930641060479E-3</v>
      </c>
      <c r="AY303" s="240">
        <f t="shared" si="287"/>
        <v>7.8832407612863965E-3</v>
      </c>
    </row>
    <row r="304" spans="4:51" ht="13.5" customHeight="1" x14ac:dyDescent="0.25">
      <c r="D304" s="79" t="s">
        <v>240</v>
      </c>
      <c r="E304" s="163">
        <f>ProjectedP205_Consumption!J36</f>
        <v>2.010761451622815E-2</v>
      </c>
      <c r="F304" s="2">
        <f>ProjectedP205_Consumption!K36-E179-E240</f>
        <v>2.2094411501073094E-2</v>
      </c>
      <c r="G304" s="2">
        <f>ProjectedP205_Consumption!L36-F179-F240</f>
        <v>2.1018956480214471E-2</v>
      </c>
      <c r="H304" s="2">
        <f>ProjectedP205_Consumption!M36-G179-G240</f>
        <v>1.9539595189937413E-2</v>
      </c>
      <c r="K304" s="76">
        <f t="shared" si="288"/>
        <v>0.35</v>
      </c>
      <c r="L304" s="238">
        <f t="shared" si="257"/>
        <v>0.35</v>
      </c>
      <c r="M304" s="238">
        <f t="shared" si="258"/>
        <v>0.35</v>
      </c>
      <c r="N304" s="238">
        <f t="shared" si="259"/>
        <v>0.35</v>
      </c>
      <c r="O304" s="238">
        <v>0</v>
      </c>
      <c r="P304" s="238">
        <f t="shared" si="260"/>
        <v>0</v>
      </c>
      <c r="Q304" s="238">
        <f t="shared" si="261"/>
        <v>0</v>
      </c>
      <c r="R304" s="238">
        <f t="shared" si="262"/>
        <v>0</v>
      </c>
      <c r="S304" s="238">
        <f t="shared" si="289"/>
        <v>0.5</v>
      </c>
      <c r="T304" s="238">
        <f t="shared" si="263"/>
        <v>0.5</v>
      </c>
      <c r="U304" s="238">
        <f t="shared" si="264"/>
        <v>0.5</v>
      </c>
      <c r="V304" s="238">
        <f t="shared" si="265"/>
        <v>0.5</v>
      </c>
      <c r="W304" s="238">
        <f t="shared" si="290"/>
        <v>0</v>
      </c>
      <c r="X304" s="238">
        <f t="shared" si="266"/>
        <v>0</v>
      </c>
      <c r="Y304" s="238">
        <f t="shared" si="267"/>
        <v>0</v>
      </c>
      <c r="Z304" s="238">
        <f t="shared" si="268"/>
        <v>0</v>
      </c>
      <c r="AA304" s="238">
        <f t="shared" si="291"/>
        <v>0.14666666666666667</v>
      </c>
      <c r="AB304" s="238">
        <f t="shared" si="269"/>
        <v>0.14666666666666667</v>
      </c>
      <c r="AC304" s="238">
        <f t="shared" si="270"/>
        <v>0.14666666666666667</v>
      </c>
      <c r="AD304" s="238">
        <f t="shared" si="271"/>
        <v>0.14666666666666667</v>
      </c>
      <c r="AF304" s="240">
        <f t="shared" si="292"/>
        <v>1.5299271914521417E-2</v>
      </c>
      <c r="AG304" s="240">
        <f t="shared" si="293"/>
        <v>1.6810965272555614E-2</v>
      </c>
      <c r="AH304" s="240">
        <f t="shared" si="294"/>
        <v>1.5992684278424051E-2</v>
      </c>
      <c r="AI304" s="240">
        <f t="shared" si="295"/>
        <v>1.486708329669151E-2</v>
      </c>
      <c r="AJ304" s="240">
        <f t="shared" si="272"/>
        <v>0</v>
      </c>
      <c r="AK304" s="240">
        <f t="shared" si="273"/>
        <v>0</v>
      </c>
      <c r="AL304" s="240">
        <f t="shared" si="274"/>
        <v>0</v>
      </c>
      <c r="AM304" s="240">
        <f t="shared" si="275"/>
        <v>0</v>
      </c>
      <c r="AN304" s="240">
        <f t="shared" si="276"/>
        <v>9.1398247801037044E-2</v>
      </c>
      <c r="AO304" s="240">
        <f t="shared" si="277"/>
        <v>0.10042914318669588</v>
      </c>
      <c r="AP304" s="240">
        <f t="shared" si="278"/>
        <v>9.5540711273702145E-2</v>
      </c>
      <c r="AQ304" s="240">
        <f t="shared" si="279"/>
        <v>8.8816341772442783E-2</v>
      </c>
      <c r="AR304" s="240">
        <f t="shared" si="280"/>
        <v>0</v>
      </c>
      <c r="AS304" s="240">
        <f t="shared" si="281"/>
        <v>0</v>
      </c>
      <c r="AT304" s="240">
        <f t="shared" si="282"/>
        <v>0</v>
      </c>
      <c r="AU304" s="240">
        <f t="shared" si="283"/>
        <v>0</v>
      </c>
      <c r="AV304" s="240">
        <f t="shared" si="284"/>
        <v>5.6713784532951188E-3</v>
      </c>
      <c r="AW304" s="240">
        <f t="shared" si="285"/>
        <v>6.231757090046257E-3</v>
      </c>
      <c r="AX304" s="240">
        <f t="shared" si="286"/>
        <v>5.9284236226245946E-3</v>
      </c>
      <c r="AY304" s="240">
        <f t="shared" si="287"/>
        <v>5.5111678740849112E-3</v>
      </c>
    </row>
    <row r="305" spans="4:51" ht="13.5" customHeight="1" thickBot="1" x14ac:dyDescent="0.3">
      <c r="D305" s="232" t="s">
        <v>13</v>
      </c>
      <c r="E305" s="232">
        <f>SUM(E281:E304)</f>
        <v>11.695624956645831</v>
      </c>
      <c r="F305" s="232">
        <f>SUM(F281:F304)</f>
        <v>14.054775232596789</v>
      </c>
      <c r="G305" s="232">
        <f>SUM(G281:G304)</f>
        <v>15.431762843663765</v>
      </c>
      <c r="H305" s="232">
        <f>SUM(H281:H304)</f>
        <v>16.834694456051295</v>
      </c>
      <c r="AF305" s="7"/>
      <c r="AG305" s="7"/>
      <c r="AH305" s="7"/>
      <c r="AI305" s="7"/>
      <c r="AJ305" s="7"/>
      <c r="AK305" s="7"/>
      <c r="AL305" s="7"/>
      <c r="AM305" s="7"/>
      <c r="AN305" s="7"/>
      <c r="AO305" s="7"/>
      <c r="AP305" s="7"/>
    </row>
    <row r="306" spans="4:51" ht="13.5" customHeight="1" thickTop="1" thickBot="1" x14ac:dyDescent="0.3">
      <c r="D306" s="236" t="s">
        <v>205</v>
      </c>
      <c r="E306" s="236"/>
      <c r="F306" s="236">
        <f>F305/46%</f>
        <v>30.553859201297367</v>
      </c>
      <c r="G306" s="236">
        <f t="shared" ref="G306:H306" si="296">G305/46%</f>
        <v>33.547310529703836</v>
      </c>
      <c r="H306" s="236">
        <f t="shared" si="296"/>
        <v>36.597161860981075</v>
      </c>
      <c r="AF306" s="232">
        <f t="shared" ref="AF306:AY306" si="297">SUM(AF281:AF304)</f>
        <v>8.8988450757087811</v>
      </c>
      <c r="AG306" s="232">
        <f t="shared" si="297"/>
        <v>10.693850720454073</v>
      </c>
      <c r="AH306" s="232">
        <f t="shared" si="297"/>
        <v>11.741558685396342</v>
      </c>
      <c r="AI306" s="232">
        <f t="shared" si="297"/>
        <v>12.809006651343376</v>
      </c>
      <c r="AJ306" s="232">
        <f t="shared" si="297"/>
        <v>0</v>
      </c>
      <c r="AK306" s="232">
        <f t="shared" si="297"/>
        <v>0</v>
      </c>
      <c r="AL306" s="232">
        <f t="shared" si="297"/>
        <v>0</v>
      </c>
      <c r="AM306" s="232">
        <f t="shared" si="297"/>
        <v>0</v>
      </c>
      <c r="AN306" s="232">
        <f t="shared" si="297"/>
        <v>53.161931621117411</v>
      </c>
      <c r="AO306" s="232">
        <f t="shared" si="297"/>
        <v>63.885341966349039</v>
      </c>
      <c r="AP306" s="232">
        <f t="shared" si="297"/>
        <v>70.144376562108022</v>
      </c>
      <c r="AQ306" s="232">
        <f t="shared" si="297"/>
        <v>76.521338436596793</v>
      </c>
      <c r="AR306" s="232">
        <f t="shared" si="297"/>
        <v>0</v>
      </c>
      <c r="AS306" s="232">
        <f t="shared" si="297"/>
        <v>0</v>
      </c>
      <c r="AT306" s="232">
        <f t="shared" si="297"/>
        <v>0</v>
      </c>
      <c r="AU306" s="232">
        <f t="shared" si="297"/>
        <v>0</v>
      </c>
      <c r="AV306" s="232">
        <f t="shared" si="297"/>
        <v>3.2987660134129255</v>
      </c>
      <c r="AW306" s="232">
        <f t="shared" si="297"/>
        <v>3.9641673732965295</v>
      </c>
      <c r="AX306" s="232">
        <f t="shared" si="297"/>
        <v>4.3525484943667028</v>
      </c>
      <c r="AY306" s="232">
        <f t="shared" si="297"/>
        <v>4.7482471542708788</v>
      </c>
    </row>
    <row r="307" spans="4:51" ht="13.5" customHeight="1" thickTop="1" x14ac:dyDescent="0.25">
      <c r="D307" s="244" t="s">
        <v>212</v>
      </c>
      <c r="E307" s="244"/>
      <c r="F307" s="245">
        <f>F305+E241+E180-ProjectedP205_Consumption!K37</f>
        <v>0</v>
      </c>
      <c r="G307" s="245">
        <f>G305+F241+F180-ProjectedP205_Consumption!L37</f>
        <v>0</v>
      </c>
      <c r="H307" s="245">
        <f>H305+G241+G180-ProjectedP205_Consumption!M37</f>
        <v>0</v>
      </c>
      <c r="AE307" s="245"/>
      <c r="AF307" s="245"/>
      <c r="AG307" s="245"/>
      <c r="AH307" s="245"/>
      <c r="AI307" s="245"/>
      <c r="AJ307" s="245"/>
      <c r="AK307" s="245"/>
      <c r="AL307" s="245"/>
      <c r="AM307" s="245"/>
      <c r="AN307" s="245"/>
      <c r="AO307" s="245"/>
      <c r="AP307" s="245"/>
      <c r="AQ307" s="245"/>
      <c r="AR307" s="245"/>
      <c r="AS307" s="245"/>
    </row>
    <row r="309" spans="4:51" ht="13.5" customHeight="1" x14ac:dyDescent="0.35">
      <c r="D309" s="235" t="s">
        <v>208</v>
      </c>
      <c r="E309" s="235"/>
      <c r="K309" s="235" t="s">
        <v>209</v>
      </c>
      <c r="L309" s="235"/>
      <c r="AF309" s="235" t="s">
        <v>210</v>
      </c>
      <c r="AG309" s="235"/>
    </row>
    <row r="310" spans="4:51" ht="13.5" customHeight="1" x14ac:dyDescent="0.3">
      <c r="D310" s="214" t="s">
        <v>72</v>
      </c>
      <c r="E310" s="214"/>
      <c r="K310" s="214" t="s">
        <v>211</v>
      </c>
      <c r="AF310" s="214" t="s">
        <v>204</v>
      </c>
    </row>
    <row r="311" spans="4:51" ht="13.5" customHeight="1" x14ac:dyDescent="0.25">
      <c r="K311" s="218" t="s">
        <v>182</v>
      </c>
      <c r="L311" s="218" t="s">
        <v>182</v>
      </c>
      <c r="M311" s="218"/>
      <c r="N311" s="218"/>
      <c r="O311" s="218" t="s">
        <v>199</v>
      </c>
      <c r="Q311" s="218"/>
      <c r="R311" s="218"/>
      <c r="S311" s="218" t="s">
        <v>184</v>
      </c>
      <c r="U311" s="218"/>
      <c r="V311" s="218"/>
      <c r="W311" s="218" t="s">
        <v>321</v>
      </c>
      <c r="Y311" s="218"/>
      <c r="Z311" s="218"/>
      <c r="AA311" s="218"/>
      <c r="AB311" s="218"/>
      <c r="AC311" s="218" t="s">
        <v>257</v>
      </c>
      <c r="AE311" s="218"/>
      <c r="AF311" s="218" t="s">
        <v>182</v>
      </c>
      <c r="AI311" s="218"/>
      <c r="AJ311" s="218" t="s">
        <v>199</v>
      </c>
      <c r="AK311" s="218"/>
      <c r="AM311" s="218"/>
      <c r="AN311" s="218" t="s">
        <v>184</v>
      </c>
      <c r="AO311" s="218"/>
      <c r="AP311" s="218"/>
      <c r="AQ311" s="218"/>
      <c r="AR311" s="1" t="s">
        <v>297</v>
      </c>
      <c r="AS311" s="218"/>
      <c r="AV311" s="1" t="s">
        <v>257</v>
      </c>
    </row>
    <row r="312" spans="4:51" ht="13.5" customHeight="1" x14ac:dyDescent="0.25">
      <c r="D312" s="220" t="s">
        <v>186</v>
      </c>
      <c r="E312" s="220">
        <v>2022</v>
      </c>
      <c r="F312" s="220">
        <v>2023</v>
      </c>
      <c r="G312" s="220">
        <v>2024</v>
      </c>
      <c r="H312" s="220">
        <v>2025</v>
      </c>
      <c r="K312" s="220">
        <v>2022</v>
      </c>
      <c r="L312" s="220">
        <v>2023</v>
      </c>
      <c r="M312" s="220">
        <v>2024</v>
      </c>
      <c r="N312" s="220">
        <v>2025</v>
      </c>
      <c r="O312" s="220">
        <v>2022</v>
      </c>
      <c r="P312" s="220">
        <v>2023</v>
      </c>
      <c r="Q312" s="220">
        <v>2024</v>
      </c>
      <c r="R312" s="220">
        <v>2025</v>
      </c>
      <c r="S312" s="220">
        <v>2022</v>
      </c>
      <c r="T312" s="220">
        <v>2023</v>
      </c>
      <c r="U312" s="220">
        <v>2024</v>
      </c>
      <c r="V312" s="220">
        <v>2025</v>
      </c>
      <c r="W312" s="220">
        <v>2022</v>
      </c>
      <c r="X312" s="220">
        <v>2023</v>
      </c>
      <c r="Y312" s="220">
        <v>2024</v>
      </c>
      <c r="Z312" s="220">
        <v>2025</v>
      </c>
      <c r="AA312" s="220">
        <v>2022</v>
      </c>
      <c r="AB312" s="220">
        <v>2023</v>
      </c>
      <c r="AC312" s="220">
        <v>2024</v>
      </c>
      <c r="AD312" s="220">
        <v>2025</v>
      </c>
      <c r="AF312" s="220">
        <v>2022</v>
      </c>
      <c r="AG312" s="220">
        <v>2023</v>
      </c>
      <c r="AH312" s="220">
        <v>2024</v>
      </c>
      <c r="AI312" s="220">
        <v>2025</v>
      </c>
      <c r="AJ312" s="220">
        <v>2022</v>
      </c>
      <c r="AK312" s="220">
        <v>2023</v>
      </c>
      <c r="AL312" s="220">
        <v>2024</v>
      </c>
      <c r="AM312" s="220">
        <v>2025</v>
      </c>
      <c r="AN312" s="220">
        <v>2022</v>
      </c>
      <c r="AO312" s="220">
        <v>2023</v>
      </c>
      <c r="AP312" s="220">
        <v>2024</v>
      </c>
      <c r="AQ312" s="220">
        <v>2025</v>
      </c>
      <c r="AR312" s="220">
        <v>2022</v>
      </c>
      <c r="AS312" s="220">
        <v>2023</v>
      </c>
      <c r="AT312" s="220">
        <v>2024</v>
      </c>
      <c r="AU312" s="220">
        <v>2025</v>
      </c>
      <c r="AV312" s="220">
        <v>2022</v>
      </c>
      <c r="AW312" s="220">
        <v>2023</v>
      </c>
      <c r="AX312" s="220">
        <v>2024</v>
      </c>
      <c r="AY312" s="220">
        <v>2025</v>
      </c>
    </row>
    <row r="313" spans="4:51" ht="13.5" customHeight="1" x14ac:dyDescent="0.25">
      <c r="D313" s="79" t="str">
        <f t="shared" ref="D313:D336" si="298">D281</f>
        <v>Plantains and cooking bananas</v>
      </c>
      <c r="E313" s="163">
        <f>ProjectedP205_Consumption!J44</f>
        <v>1.4279764462596622</v>
      </c>
      <c r="F313" s="2">
        <f>ProjectedP205_Consumption!K44-E184-E245</f>
        <v>1.4768846395440556</v>
      </c>
      <c r="G313" s="2">
        <f>ProjectedP205_Consumption!L44-F184-F245</f>
        <v>1.4798833900812007</v>
      </c>
      <c r="H313" s="2">
        <f>ProjectedP205_Consumption!M44-G184-G245</f>
        <v>1.4877551102412072</v>
      </c>
      <c r="K313" s="76">
        <f>L313</f>
        <v>0.35</v>
      </c>
      <c r="L313" s="238">
        <f t="shared" ref="L313:L336" si="299">Y123</f>
        <v>0.35</v>
      </c>
      <c r="M313" s="238">
        <f t="shared" ref="M313:M336" si="300">Z123</f>
        <v>0.35</v>
      </c>
      <c r="N313" s="238">
        <f t="shared" ref="N313:N336" si="301">AA123</f>
        <v>0.35</v>
      </c>
      <c r="O313" s="238">
        <f>P313</f>
        <v>0</v>
      </c>
      <c r="P313" s="238">
        <f t="shared" ref="P313:P336" si="302">AB123</f>
        <v>0</v>
      </c>
      <c r="Q313" s="238">
        <f t="shared" ref="Q313:Q336" si="303">AC123</f>
        <v>0</v>
      </c>
      <c r="R313" s="238">
        <f t="shared" ref="R313:R336" si="304">AD123</f>
        <v>0</v>
      </c>
      <c r="S313" s="238">
        <f>T313</f>
        <v>0.5</v>
      </c>
      <c r="T313" s="238">
        <f t="shared" ref="T313:T336" si="305">AE123</f>
        <v>0.5</v>
      </c>
      <c r="U313" s="238">
        <f t="shared" ref="U313:U336" si="306">AF123</f>
        <v>0.5</v>
      </c>
      <c r="V313" s="238">
        <f t="shared" ref="V313:V336" si="307">AG123</f>
        <v>0.5</v>
      </c>
      <c r="W313" s="238">
        <f>X313</f>
        <v>0</v>
      </c>
      <c r="X313" s="238">
        <f t="shared" ref="X313:X336" si="308">AH123</f>
        <v>0</v>
      </c>
      <c r="Y313" s="238">
        <f t="shared" ref="Y313:Y336" si="309">AI123</f>
        <v>0</v>
      </c>
      <c r="Z313" s="238">
        <f t="shared" ref="Z313:Z336" si="310">AJ123</f>
        <v>0</v>
      </c>
      <c r="AA313" s="238">
        <f>AB313</f>
        <v>0.14666666666666667</v>
      </c>
      <c r="AB313" s="238">
        <f t="shared" ref="AB313:AB336" si="311">AK123</f>
        <v>0.14666666666666667</v>
      </c>
      <c r="AC313" s="238">
        <f t="shared" ref="AC313:AC336" si="312">AL123</f>
        <v>0.14666666666666667</v>
      </c>
      <c r="AD313" s="238">
        <f t="shared" ref="AD313:AD336" si="313">AM123</f>
        <v>0.14666666666666667</v>
      </c>
      <c r="AF313" s="240">
        <f t="shared" ref="AF313:AF336" si="314">(E313*K313)/$K$11</f>
        <v>1.0865038178062645</v>
      </c>
      <c r="AG313" s="240">
        <f t="shared" ref="AG313:AG336" si="315">(F313*L313)/$K$11</f>
        <v>1.123716573566129</v>
      </c>
      <c r="AH313" s="240">
        <f t="shared" ref="AH313:AH336" si="316">(G313*M313)/$K$11</f>
        <v>1.1259982315835222</v>
      </c>
      <c r="AI313" s="240">
        <f t="shared" ref="AI313:AI336" si="317">(H313*N313)/$K$11</f>
        <v>1.1319875838791793</v>
      </c>
      <c r="AJ313" s="240">
        <f t="shared" ref="AJ313:AJ336" si="318">(E313*O313)/$K$12</f>
        <v>0</v>
      </c>
      <c r="AK313" s="240">
        <f t="shared" ref="AK313:AK336" si="319">(F313*P313)/$K$12</f>
        <v>0</v>
      </c>
      <c r="AL313" s="240">
        <f t="shared" ref="AL313:AL336" si="320">(G313*Q313)/$K$12</f>
        <v>0</v>
      </c>
      <c r="AM313" s="240">
        <f t="shared" ref="AM313:AM336" si="321">(H313*R313)/$K$12</f>
        <v>0</v>
      </c>
      <c r="AN313" s="240">
        <f t="shared" ref="AN313:AN336" si="322">(E313*S313)/$K$13</f>
        <v>6.4908020284530101</v>
      </c>
      <c r="AO313" s="240">
        <f t="shared" ref="AO313:AO336" si="323">(F313*T313)/$K$13</f>
        <v>6.7131119979275251</v>
      </c>
      <c r="AP313" s="240">
        <f t="shared" ref="AP313:AP336" si="324">(G313*U313)/$K$13</f>
        <v>6.7267426821872762</v>
      </c>
      <c r="AQ313" s="240">
        <f t="shared" ref="AQ313:AQ336" si="325">(H313*V313)/$K$13</f>
        <v>6.7625232283691235</v>
      </c>
      <c r="AR313" s="240">
        <f t="shared" ref="AR313:AR336" si="326">(E313*W313)/$K$14</f>
        <v>0</v>
      </c>
      <c r="AS313" s="240">
        <f t="shared" ref="AS313:AS336" si="327">(F313*X313)/$K$14</f>
        <v>0</v>
      </c>
      <c r="AT313" s="240">
        <f t="shared" ref="AT313:AT336" si="328">(G313*Y313)/$K$14</f>
        <v>0</v>
      </c>
      <c r="AU313" s="240">
        <f t="shared" ref="AU313:AU336" si="329">(H313*Z313)/$K$14</f>
        <v>0</v>
      </c>
      <c r="AV313" s="240">
        <f t="shared" ref="AV313:AV336" si="330">(E313*AA313)/$K$15</f>
        <v>0.40276258740657139</v>
      </c>
      <c r="AW313" s="240">
        <f t="shared" ref="AW313:AW336" si="331">(F313*AB313)/$K$15</f>
        <v>0.41655720602524643</v>
      </c>
      <c r="AX313" s="240">
        <f t="shared" ref="AX313:AX336" si="332">(G313*AC313)/$K$15</f>
        <v>0.41740300745880016</v>
      </c>
      <c r="AY313" s="240">
        <f t="shared" ref="AY313:AY336" si="333">(H313*AD313)/$K$15</f>
        <v>0.41962323622187897</v>
      </c>
    </row>
    <row r="314" spans="4:51" ht="13.5" customHeight="1" x14ac:dyDescent="0.25">
      <c r="D314" s="79" t="str">
        <f t="shared" si="298"/>
        <v>Maize (corn)</v>
      </c>
      <c r="E314" s="163">
        <f>ProjectedP205_Consumption!J45</f>
        <v>4.2918297521550333</v>
      </c>
      <c r="F314" s="2">
        <f>ProjectedP205_Consumption!K45-E185-E246</f>
        <v>5.5802370437519748</v>
      </c>
      <c r="G314" s="2">
        <f>ProjectedP205_Consumption!L45-F185-F246</f>
        <v>7.1575903329580211</v>
      </c>
      <c r="H314" s="2">
        <f>ProjectedP205_Consumption!M45-G185-G246</f>
        <v>7.9502172545154401</v>
      </c>
      <c r="K314" s="76">
        <f t="shared" ref="K314:K336" si="334">L314</f>
        <v>0.35</v>
      </c>
      <c r="L314" s="238">
        <f t="shared" si="299"/>
        <v>0.35</v>
      </c>
      <c r="M314" s="238">
        <f t="shared" si="300"/>
        <v>0.35</v>
      </c>
      <c r="N314" s="238">
        <f t="shared" si="301"/>
        <v>0.35</v>
      </c>
      <c r="O314" s="238">
        <f t="shared" ref="O314:O336" si="335">P314</f>
        <v>0</v>
      </c>
      <c r="P314" s="238">
        <f t="shared" si="302"/>
        <v>0</v>
      </c>
      <c r="Q314" s="238">
        <f t="shared" si="303"/>
        <v>0</v>
      </c>
      <c r="R314" s="238">
        <f t="shared" si="304"/>
        <v>0</v>
      </c>
      <c r="S314" s="238">
        <f t="shared" ref="S314:S336" si="336">T314</f>
        <v>0.5</v>
      </c>
      <c r="T314" s="238">
        <f t="shared" si="305"/>
        <v>0.5</v>
      </c>
      <c r="U314" s="238">
        <f t="shared" si="306"/>
        <v>0.5</v>
      </c>
      <c r="V314" s="238">
        <f t="shared" si="307"/>
        <v>0.5</v>
      </c>
      <c r="W314" s="238">
        <f t="shared" ref="W314:W336" si="337">X314</f>
        <v>0</v>
      </c>
      <c r="X314" s="238">
        <f t="shared" si="308"/>
        <v>0</v>
      </c>
      <c r="Y314" s="238">
        <f t="shared" si="309"/>
        <v>0</v>
      </c>
      <c r="Z314" s="238">
        <f t="shared" si="310"/>
        <v>0</v>
      </c>
      <c r="AA314" s="238">
        <f t="shared" ref="AA314:AA336" si="338">AB314</f>
        <v>0.14666666666666667</v>
      </c>
      <c r="AB314" s="238">
        <f t="shared" si="311"/>
        <v>0.14666666666666667</v>
      </c>
      <c r="AC314" s="238">
        <f t="shared" si="312"/>
        <v>0.14666666666666667</v>
      </c>
      <c r="AD314" s="238">
        <f t="shared" si="313"/>
        <v>0.14666666666666667</v>
      </c>
      <c r="AF314" s="240">
        <f t="shared" si="314"/>
        <v>3.2655226375092639</v>
      </c>
      <c r="AG314" s="240">
        <f t="shared" si="315"/>
        <v>4.2458325332895459</v>
      </c>
      <c r="AH314" s="240">
        <f t="shared" si="316"/>
        <v>5.4459926446419722</v>
      </c>
      <c r="AI314" s="240">
        <f t="shared" si="317"/>
        <v>6.049078345826965</v>
      </c>
      <c r="AJ314" s="240">
        <f t="shared" si="318"/>
        <v>0</v>
      </c>
      <c r="AK314" s="240">
        <f t="shared" si="319"/>
        <v>0</v>
      </c>
      <c r="AL314" s="240">
        <f t="shared" si="320"/>
        <v>0</v>
      </c>
      <c r="AM314" s="240">
        <f t="shared" si="321"/>
        <v>0</v>
      </c>
      <c r="AN314" s="240">
        <f t="shared" si="322"/>
        <v>19.508317055250153</v>
      </c>
      <c r="AO314" s="240">
        <f t="shared" si="323"/>
        <v>25.364713835236248</v>
      </c>
      <c r="AP314" s="240">
        <f t="shared" si="324"/>
        <v>32.534501513445548</v>
      </c>
      <c r="AQ314" s="240">
        <f t="shared" si="325"/>
        <v>36.137351156888364</v>
      </c>
      <c r="AR314" s="240">
        <f t="shared" si="326"/>
        <v>0</v>
      </c>
      <c r="AS314" s="240">
        <f t="shared" si="327"/>
        <v>0</v>
      </c>
      <c r="AT314" s="240">
        <f t="shared" si="328"/>
        <v>0</v>
      </c>
      <c r="AU314" s="240">
        <f t="shared" si="329"/>
        <v>0</v>
      </c>
      <c r="AV314" s="240">
        <f t="shared" si="330"/>
        <v>1.2105160839411631</v>
      </c>
      <c r="AW314" s="240">
        <f t="shared" si="331"/>
        <v>1.5739130123403007</v>
      </c>
      <c r="AX314" s="240">
        <f t="shared" si="332"/>
        <v>2.0188075298086727</v>
      </c>
      <c r="AY314" s="240">
        <f t="shared" si="333"/>
        <v>2.2423689692223037</v>
      </c>
    </row>
    <row r="315" spans="4:51" ht="13.5" customHeight="1" x14ac:dyDescent="0.25">
      <c r="D315" s="79" t="str">
        <f t="shared" si="298"/>
        <v>Cassava, fresh</v>
      </c>
      <c r="E315" s="163">
        <f>ProjectedP205_Consumption!J46</f>
        <v>1.2785405827782028</v>
      </c>
      <c r="F315" s="2">
        <f>ProjectedP205_Consumption!K46-E186-E247</f>
        <v>1.3884471276252743</v>
      </c>
      <c r="G315" s="2">
        <f>ProjectedP205_Consumption!L46-F186-F247</f>
        <v>2.4361197365472163</v>
      </c>
      <c r="H315" s="2">
        <f>ProjectedP205_Consumption!M46-G186-G247</f>
        <v>3.0797166155302369</v>
      </c>
      <c r="K315" s="76">
        <f t="shared" si="334"/>
        <v>0.35</v>
      </c>
      <c r="L315" s="238">
        <f t="shared" si="299"/>
        <v>0.35</v>
      </c>
      <c r="M315" s="238">
        <f t="shared" si="300"/>
        <v>0.35</v>
      </c>
      <c r="N315" s="238">
        <f t="shared" si="301"/>
        <v>0.35</v>
      </c>
      <c r="O315" s="238">
        <f t="shared" si="335"/>
        <v>0</v>
      </c>
      <c r="P315" s="238">
        <f t="shared" si="302"/>
        <v>0</v>
      </c>
      <c r="Q315" s="238">
        <f t="shared" si="303"/>
        <v>0</v>
      </c>
      <c r="R315" s="238">
        <f t="shared" si="304"/>
        <v>0</v>
      </c>
      <c r="S315" s="238">
        <f t="shared" si="336"/>
        <v>0.5</v>
      </c>
      <c r="T315" s="238">
        <f t="shared" si="305"/>
        <v>0.5</v>
      </c>
      <c r="U315" s="238">
        <f t="shared" si="306"/>
        <v>0.5</v>
      </c>
      <c r="V315" s="238">
        <f t="shared" si="307"/>
        <v>0.5</v>
      </c>
      <c r="W315" s="238">
        <f t="shared" si="337"/>
        <v>0</v>
      </c>
      <c r="X315" s="238">
        <f t="shared" si="308"/>
        <v>0</v>
      </c>
      <c r="Y315" s="238">
        <f t="shared" si="309"/>
        <v>0</v>
      </c>
      <c r="Z315" s="238">
        <f t="shared" si="310"/>
        <v>0</v>
      </c>
      <c r="AA315" s="238">
        <f t="shared" si="338"/>
        <v>0.14666666666666667</v>
      </c>
      <c r="AB315" s="238">
        <f t="shared" si="311"/>
        <v>0.14666666666666667</v>
      </c>
      <c r="AC315" s="238">
        <f t="shared" si="312"/>
        <v>0.14666666666666667</v>
      </c>
      <c r="AD315" s="238">
        <f t="shared" si="313"/>
        <v>0.14666666666666667</v>
      </c>
      <c r="AF315" s="240">
        <f t="shared" si="314"/>
        <v>0.97280261733124118</v>
      </c>
      <c r="AG315" s="240">
        <f t="shared" si="315"/>
        <v>1.0564271623235781</v>
      </c>
      <c r="AH315" s="240">
        <f t="shared" si="316"/>
        <v>1.853569364764186</v>
      </c>
      <c r="AI315" s="240">
        <f t="shared" si="317"/>
        <v>2.343262642251267</v>
      </c>
      <c r="AJ315" s="240">
        <f t="shared" si="318"/>
        <v>0</v>
      </c>
      <c r="AK315" s="240">
        <f t="shared" si="319"/>
        <v>0</v>
      </c>
      <c r="AL315" s="240">
        <f t="shared" si="320"/>
        <v>0</v>
      </c>
      <c r="AM315" s="240">
        <f t="shared" si="321"/>
        <v>0</v>
      </c>
      <c r="AN315" s="240">
        <f t="shared" si="322"/>
        <v>5.8115481035372856</v>
      </c>
      <c r="AO315" s="240">
        <f t="shared" si="323"/>
        <v>6.3111233073876107</v>
      </c>
      <c r="AP315" s="240">
        <f t="shared" si="324"/>
        <v>11.073271529760074</v>
      </c>
      <c r="AQ315" s="240">
        <f t="shared" si="325"/>
        <v>13.998711888773805</v>
      </c>
      <c r="AR315" s="240">
        <f t="shared" si="326"/>
        <v>0</v>
      </c>
      <c r="AS315" s="240">
        <f t="shared" si="327"/>
        <v>0</v>
      </c>
      <c r="AT315" s="240">
        <f t="shared" si="328"/>
        <v>0</v>
      </c>
      <c r="AU315" s="240">
        <f t="shared" si="329"/>
        <v>0</v>
      </c>
      <c r="AV315" s="240">
        <f t="shared" si="330"/>
        <v>0.36061401052718539</v>
      </c>
      <c r="AW315" s="240">
        <f t="shared" si="331"/>
        <v>0.39161329240712861</v>
      </c>
      <c r="AX315" s="240">
        <f t="shared" si="332"/>
        <v>0.68711069492357379</v>
      </c>
      <c r="AY315" s="240">
        <f t="shared" si="333"/>
        <v>0.8686380197649386</v>
      </c>
    </row>
    <row r="316" spans="4:51" ht="13.5" customHeight="1" x14ac:dyDescent="0.25">
      <c r="D316" s="79" t="str">
        <f t="shared" si="298"/>
        <v>Coffee, green</v>
      </c>
      <c r="E316" s="163">
        <f>ProjectedP205_Consumption!J47</f>
        <v>1.7334655421356007</v>
      </c>
      <c r="F316" s="2">
        <f>ProjectedP205_Consumption!K47-E187-E248</f>
        <v>2.1578828459723121</v>
      </c>
      <c r="G316" s="2">
        <f>ProjectedP205_Consumption!L47-F187-F248</f>
        <v>7.7683640575220849</v>
      </c>
      <c r="H316" s="2">
        <f>ProjectedP205_Consumption!M47-G187-G248</f>
        <v>10.607821845893955</v>
      </c>
      <c r="K316" s="76">
        <f t="shared" si="334"/>
        <v>0.35</v>
      </c>
      <c r="L316" s="238">
        <f t="shared" si="299"/>
        <v>0.35</v>
      </c>
      <c r="M316" s="238">
        <f t="shared" si="300"/>
        <v>0.35</v>
      </c>
      <c r="N316" s="238">
        <f t="shared" si="301"/>
        <v>0.35</v>
      </c>
      <c r="O316" s="238">
        <f t="shared" si="335"/>
        <v>0</v>
      </c>
      <c r="P316" s="238">
        <f t="shared" si="302"/>
        <v>0</v>
      </c>
      <c r="Q316" s="238">
        <f t="shared" si="303"/>
        <v>0</v>
      </c>
      <c r="R316" s="238">
        <f t="shared" si="304"/>
        <v>0</v>
      </c>
      <c r="S316" s="238">
        <f t="shared" si="336"/>
        <v>0.5</v>
      </c>
      <c r="T316" s="238">
        <f t="shared" si="305"/>
        <v>0.5</v>
      </c>
      <c r="U316" s="238">
        <f t="shared" si="306"/>
        <v>0.5</v>
      </c>
      <c r="V316" s="238">
        <f t="shared" si="307"/>
        <v>0.5</v>
      </c>
      <c r="W316" s="238">
        <f t="shared" si="337"/>
        <v>0</v>
      </c>
      <c r="X316" s="238">
        <f t="shared" si="308"/>
        <v>0</v>
      </c>
      <c r="Y316" s="238">
        <f t="shared" si="309"/>
        <v>0</v>
      </c>
      <c r="Z316" s="238">
        <f t="shared" si="310"/>
        <v>0</v>
      </c>
      <c r="AA316" s="238">
        <f t="shared" si="338"/>
        <v>0.14666666666666667</v>
      </c>
      <c r="AB316" s="238">
        <f t="shared" si="311"/>
        <v>0.14666666666666667</v>
      </c>
      <c r="AC316" s="238">
        <f t="shared" si="312"/>
        <v>0.14666666666666667</v>
      </c>
      <c r="AD316" s="238">
        <f t="shared" si="313"/>
        <v>0.14666666666666667</v>
      </c>
      <c r="AF316" s="240">
        <f t="shared" si="314"/>
        <v>1.3189411733640439</v>
      </c>
      <c r="AG316" s="240">
        <f t="shared" si="315"/>
        <v>1.6418673828050199</v>
      </c>
      <c r="AH316" s="240">
        <f t="shared" si="316"/>
        <v>5.9107117828972378</v>
      </c>
      <c r="AI316" s="240">
        <f t="shared" si="317"/>
        <v>8.0711687957888785</v>
      </c>
      <c r="AJ316" s="240">
        <f t="shared" si="318"/>
        <v>0</v>
      </c>
      <c r="AK316" s="240">
        <f t="shared" si="319"/>
        <v>0</v>
      </c>
      <c r="AL316" s="240">
        <f t="shared" si="320"/>
        <v>0</v>
      </c>
      <c r="AM316" s="240">
        <f t="shared" si="321"/>
        <v>0</v>
      </c>
      <c r="AN316" s="240">
        <f t="shared" si="322"/>
        <v>7.8793888278890938</v>
      </c>
      <c r="AO316" s="240">
        <f t="shared" si="323"/>
        <v>9.8085583907832365</v>
      </c>
      <c r="AP316" s="240">
        <f t="shared" si="324"/>
        <v>35.310745716009478</v>
      </c>
      <c r="AQ316" s="240">
        <f t="shared" si="325"/>
        <v>48.217372026790706</v>
      </c>
      <c r="AR316" s="240">
        <f t="shared" si="326"/>
        <v>0</v>
      </c>
      <c r="AS316" s="240">
        <f t="shared" si="327"/>
        <v>0</v>
      </c>
      <c r="AT316" s="240">
        <f t="shared" si="328"/>
        <v>0</v>
      </c>
      <c r="AU316" s="240">
        <f t="shared" si="329"/>
        <v>0</v>
      </c>
      <c r="AV316" s="240">
        <f t="shared" si="330"/>
        <v>0.48892617855106685</v>
      </c>
      <c r="AW316" s="240">
        <f t="shared" si="331"/>
        <v>0.60863362322295977</v>
      </c>
      <c r="AX316" s="240">
        <f t="shared" si="332"/>
        <v>2.1910770418652032</v>
      </c>
      <c r="AY316" s="240">
        <f t="shared" si="333"/>
        <v>2.9919497514059876</v>
      </c>
    </row>
    <row r="317" spans="4:51" ht="13.5" customHeight="1" x14ac:dyDescent="0.25">
      <c r="D317" s="79" t="str">
        <f t="shared" si="298"/>
        <v>Beans, dry</v>
      </c>
      <c r="E317" s="163">
        <f>ProjectedP205_Consumption!J48</f>
        <v>0.35686119445163828</v>
      </c>
      <c r="F317" s="2">
        <f>ProjectedP205_Consumption!K48-E188-E249</f>
        <v>0.41131579194812373</v>
      </c>
      <c r="G317" s="2">
        <f>ProjectedP205_Consumption!L48-F188-F249</f>
        <v>0.53882942284912239</v>
      </c>
      <c r="H317" s="2">
        <f>ProjectedP205_Consumption!M48-G188-G249</f>
        <v>0.57558087207686937</v>
      </c>
      <c r="K317" s="76">
        <f t="shared" si="334"/>
        <v>0.35</v>
      </c>
      <c r="L317" s="238">
        <f t="shared" si="299"/>
        <v>0.35</v>
      </c>
      <c r="M317" s="238">
        <f t="shared" si="300"/>
        <v>0.35</v>
      </c>
      <c r="N317" s="238">
        <f t="shared" si="301"/>
        <v>0.35</v>
      </c>
      <c r="O317" s="238">
        <f t="shared" si="335"/>
        <v>0</v>
      </c>
      <c r="P317" s="238">
        <f t="shared" si="302"/>
        <v>0</v>
      </c>
      <c r="Q317" s="238">
        <f t="shared" si="303"/>
        <v>0</v>
      </c>
      <c r="R317" s="238">
        <f t="shared" si="304"/>
        <v>0</v>
      </c>
      <c r="S317" s="238">
        <f t="shared" si="336"/>
        <v>0.5</v>
      </c>
      <c r="T317" s="238">
        <f t="shared" si="305"/>
        <v>0.5</v>
      </c>
      <c r="U317" s="238">
        <f t="shared" si="306"/>
        <v>0.5</v>
      </c>
      <c r="V317" s="238">
        <f t="shared" si="307"/>
        <v>0.5</v>
      </c>
      <c r="W317" s="238">
        <f t="shared" si="337"/>
        <v>0</v>
      </c>
      <c r="X317" s="238">
        <f t="shared" si="308"/>
        <v>0</v>
      </c>
      <c r="Y317" s="238">
        <f t="shared" si="309"/>
        <v>0</v>
      </c>
      <c r="Z317" s="238">
        <f t="shared" si="310"/>
        <v>0</v>
      </c>
      <c r="AA317" s="238">
        <f t="shared" si="338"/>
        <v>0.14666666666666667</v>
      </c>
      <c r="AB317" s="238">
        <f t="shared" si="311"/>
        <v>0.14666666666666667</v>
      </c>
      <c r="AC317" s="238">
        <f t="shared" si="312"/>
        <v>0.14666666666666667</v>
      </c>
      <c r="AD317" s="238">
        <f t="shared" si="313"/>
        <v>0.14666666666666667</v>
      </c>
      <c r="AF317" s="240">
        <f t="shared" si="314"/>
        <v>0.27152482186537691</v>
      </c>
      <c r="AG317" s="240">
        <f t="shared" si="315"/>
        <v>0.31295766778661582</v>
      </c>
      <c r="AH317" s="240">
        <f t="shared" si="316"/>
        <v>0.40997890868954961</v>
      </c>
      <c r="AI317" s="240">
        <f t="shared" si="317"/>
        <v>0.43794196788457451</v>
      </c>
      <c r="AJ317" s="240">
        <f t="shared" si="318"/>
        <v>0</v>
      </c>
      <c r="AK317" s="240">
        <f t="shared" si="319"/>
        <v>0</v>
      </c>
      <c r="AL317" s="240">
        <f t="shared" si="320"/>
        <v>0</v>
      </c>
      <c r="AM317" s="240">
        <f t="shared" si="321"/>
        <v>0</v>
      </c>
      <c r="AN317" s="240">
        <f t="shared" si="322"/>
        <v>1.6220963384165377</v>
      </c>
      <c r="AO317" s="240">
        <f t="shared" si="323"/>
        <v>1.8696172361278351</v>
      </c>
      <c r="AP317" s="240">
        <f t="shared" si="324"/>
        <v>2.4492246493141927</v>
      </c>
      <c r="AQ317" s="240">
        <f t="shared" si="325"/>
        <v>2.6162766912584972</v>
      </c>
      <c r="AR317" s="240">
        <f t="shared" si="326"/>
        <v>0</v>
      </c>
      <c r="AS317" s="240">
        <f t="shared" si="327"/>
        <v>0</v>
      </c>
      <c r="AT317" s="240">
        <f t="shared" si="328"/>
        <v>0</v>
      </c>
      <c r="AU317" s="240">
        <f t="shared" si="329"/>
        <v>0</v>
      </c>
      <c r="AV317" s="240">
        <f t="shared" si="330"/>
        <v>0.10065315740943644</v>
      </c>
      <c r="AW317" s="240">
        <f t="shared" si="331"/>
        <v>0.11601214644690669</v>
      </c>
      <c r="AX317" s="240">
        <f t="shared" si="332"/>
        <v>0.15197752952154733</v>
      </c>
      <c r="AY317" s="240">
        <f t="shared" si="333"/>
        <v>0.16234332289347597</v>
      </c>
    </row>
    <row r="318" spans="4:51" ht="13.5" customHeight="1" x14ac:dyDescent="0.25">
      <c r="D318" s="79" t="str">
        <f t="shared" si="298"/>
        <v>Groundnuts, excluding shelled</v>
      </c>
      <c r="E318" s="163">
        <f>ProjectedP205_Consumption!J49</f>
        <v>0.2396465325900404</v>
      </c>
      <c r="F318" s="2">
        <f>ProjectedP205_Consumption!K49-E189-E250</f>
        <v>0.25965701806130881</v>
      </c>
      <c r="G318" s="2">
        <f>ProjectedP205_Consumption!L49-F189-F250</f>
        <v>0.34831377336791708</v>
      </c>
      <c r="H318" s="2">
        <f>ProjectedP205_Consumption!M49-G189-G250</f>
        <v>0.38990394798741673</v>
      </c>
      <c r="K318" s="76">
        <f t="shared" si="334"/>
        <v>0.35</v>
      </c>
      <c r="L318" s="238">
        <f t="shared" si="299"/>
        <v>0.35</v>
      </c>
      <c r="M318" s="238">
        <f t="shared" si="300"/>
        <v>0.35</v>
      </c>
      <c r="N318" s="238">
        <f t="shared" si="301"/>
        <v>0.35</v>
      </c>
      <c r="O318" s="238">
        <f t="shared" si="335"/>
        <v>0</v>
      </c>
      <c r="P318" s="238">
        <f t="shared" si="302"/>
        <v>0</v>
      </c>
      <c r="Q318" s="238">
        <f t="shared" si="303"/>
        <v>0</v>
      </c>
      <c r="R318" s="238">
        <f t="shared" si="304"/>
        <v>0</v>
      </c>
      <c r="S318" s="238">
        <f t="shared" si="336"/>
        <v>0.5</v>
      </c>
      <c r="T318" s="238">
        <f t="shared" si="305"/>
        <v>0.5</v>
      </c>
      <c r="U318" s="238">
        <f t="shared" si="306"/>
        <v>0.5</v>
      </c>
      <c r="V318" s="238">
        <f t="shared" si="307"/>
        <v>0.5</v>
      </c>
      <c r="W318" s="238">
        <f t="shared" si="337"/>
        <v>0</v>
      </c>
      <c r="X318" s="238">
        <f t="shared" si="308"/>
        <v>0</v>
      </c>
      <c r="Y318" s="238">
        <f t="shared" si="309"/>
        <v>0</v>
      </c>
      <c r="Z318" s="238">
        <f t="shared" si="310"/>
        <v>0</v>
      </c>
      <c r="AA318" s="238">
        <f t="shared" si="338"/>
        <v>0.14666666666666667</v>
      </c>
      <c r="AB318" s="238">
        <f t="shared" si="311"/>
        <v>0.14666666666666667</v>
      </c>
      <c r="AC318" s="238">
        <f t="shared" si="312"/>
        <v>0.14666666666666667</v>
      </c>
      <c r="AD318" s="238">
        <f t="shared" si="313"/>
        <v>0.14666666666666667</v>
      </c>
      <c r="AF318" s="240">
        <f t="shared" si="314"/>
        <v>0.18233975305763941</v>
      </c>
      <c r="AG318" s="240">
        <f t="shared" si="315"/>
        <v>0.19756512243795235</v>
      </c>
      <c r="AH318" s="240">
        <f t="shared" si="316"/>
        <v>0.26502134930167603</v>
      </c>
      <c r="AI318" s="240">
        <f t="shared" si="317"/>
        <v>0.29666604738173008</v>
      </c>
      <c r="AJ318" s="240">
        <f t="shared" si="318"/>
        <v>0</v>
      </c>
      <c r="AK318" s="240">
        <f t="shared" si="319"/>
        <v>0</v>
      </c>
      <c r="AL318" s="240">
        <f t="shared" si="320"/>
        <v>0</v>
      </c>
      <c r="AM318" s="240">
        <f t="shared" si="321"/>
        <v>0</v>
      </c>
      <c r="AN318" s="240">
        <f t="shared" si="322"/>
        <v>1.08930242086382</v>
      </c>
      <c r="AO318" s="240">
        <f t="shared" si="323"/>
        <v>1.1802591730059491</v>
      </c>
      <c r="AP318" s="240">
        <f t="shared" si="324"/>
        <v>1.5832444243996231</v>
      </c>
      <c r="AQ318" s="240">
        <f t="shared" si="325"/>
        <v>1.772290672670076</v>
      </c>
      <c r="AR318" s="240">
        <f t="shared" si="326"/>
        <v>0</v>
      </c>
      <c r="AS318" s="240">
        <f t="shared" si="327"/>
        <v>0</v>
      </c>
      <c r="AT318" s="240">
        <f t="shared" si="328"/>
        <v>0</v>
      </c>
      <c r="AU318" s="240">
        <f t="shared" si="329"/>
        <v>0</v>
      </c>
      <c r="AV318" s="240">
        <f t="shared" si="330"/>
        <v>6.7592611756165238E-2</v>
      </c>
      <c r="AW318" s="240">
        <f t="shared" si="331"/>
        <v>7.323659483780505E-2</v>
      </c>
      <c r="AX318" s="240">
        <f t="shared" si="332"/>
        <v>9.8242346334540723E-2</v>
      </c>
      <c r="AY318" s="240">
        <f t="shared" si="333"/>
        <v>0.10997290840670729</v>
      </c>
    </row>
    <row r="319" spans="4:51" ht="13.5" customHeight="1" x14ac:dyDescent="0.25">
      <c r="D319" s="79" t="str">
        <f t="shared" si="298"/>
        <v>Sweet potatoes</v>
      </c>
      <c r="E319" s="163">
        <f>ProjectedP205_Consumption!J50</f>
        <v>0.45615279599318653</v>
      </c>
      <c r="F319" s="2">
        <f>ProjectedP205_Consumption!K50-E190-E251</f>
        <v>0.51895363218154855</v>
      </c>
      <c r="G319" s="2">
        <f>ProjectedP205_Consumption!L50-F190-F251</f>
        <v>0.85962284744115902</v>
      </c>
      <c r="H319" s="2">
        <f>ProjectedP205_Consumption!M50-G190-G251</f>
        <v>1.0683207156802659</v>
      </c>
      <c r="K319" s="76">
        <f t="shared" si="334"/>
        <v>0.35</v>
      </c>
      <c r="L319" s="238">
        <f t="shared" si="299"/>
        <v>0.35</v>
      </c>
      <c r="M319" s="238">
        <f t="shared" si="300"/>
        <v>0.35</v>
      </c>
      <c r="N319" s="238">
        <f t="shared" si="301"/>
        <v>0.35</v>
      </c>
      <c r="O319" s="238">
        <f t="shared" si="335"/>
        <v>0</v>
      </c>
      <c r="P319" s="238">
        <f t="shared" si="302"/>
        <v>0</v>
      </c>
      <c r="Q319" s="238">
        <f t="shared" si="303"/>
        <v>0</v>
      </c>
      <c r="R319" s="238">
        <f t="shared" si="304"/>
        <v>0</v>
      </c>
      <c r="S319" s="238">
        <f t="shared" si="336"/>
        <v>0.5</v>
      </c>
      <c r="T319" s="238">
        <f t="shared" si="305"/>
        <v>0.5</v>
      </c>
      <c r="U319" s="238">
        <f t="shared" si="306"/>
        <v>0.5</v>
      </c>
      <c r="V319" s="238">
        <f t="shared" si="307"/>
        <v>0.5</v>
      </c>
      <c r="W319" s="238">
        <f t="shared" si="337"/>
        <v>0</v>
      </c>
      <c r="X319" s="238">
        <f t="shared" si="308"/>
        <v>0</v>
      </c>
      <c r="Y319" s="238">
        <f t="shared" si="309"/>
        <v>0</v>
      </c>
      <c r="Z319" s="238">
        <f t="shared" si="310"/>
        <v>0</v>
      </c>
      <c r="AA319" s="238">
        <f t="shared" si="338"/>
        <v>0.14666666666666667</v>
      </c>
      <c r="AB319" s="238">
        <f t="shared" si="311"/>
        <v>0.14666666666666667</v>
      </c>
      <c r="AC319" s="238">
        <f t="shared" si="312"/>
        <v>0.14666666666666667</v>
      </c>
      <c r="AD319" s="238">
        <f t="shared" si="313"/>
        <v>0.14666666666666667</v>
      </c>
      <c r="AF319" s="240">
        <f t="shared" si="314"/>
        <v>0.34707277956003318</v>
      </c>
      <c r="AG319" s="240">
        <f t="shared" si="315"/>
        <v>0.39485602448596085</v>
      </c>
      <c r="AH319" s="240">
        <f t="shared" si="316"/>
        <v>0.65406086218349058</v>
      </c>
      <c r="AI319" s="240">
        <f t="shared" si="317"/>
        <v>0.81285271845237606</v>
      </c>
      <c r="AJ319" s="240">
        <f t="shared" si="318"/>
        <v>0</v>
      </c>
      <c r="AK319" s="240">
        <f t="shared" si="319"/>
        <v>0</v>
      </c>
      <c r="AL319" s="240">
        <f t="shared" si="320"/>
        <v>0</v>
      </c>
      <c r="AM319" s="240">
        <f t="shared" si="321"/>
        <v>0</v>
      </c>
      <c r="AN319" s="240">
        <f t="shared" si="322"/>
        <v>2.0734217999690299</v>
      </c>
      <c r="AO319" s="240">
        <f t="shared" si="323"/>
        <v>2.3588801462797662</v>
      </c>
      <c r="AP319" s="240">
        <f t="shared" si="324"/>
        <v>3.9073765792779955</v>
      </c>
      <c r="AQ319" s="240">
        <f t="shared" si="325"/>
        <v>4.8560032530921173</v>
      </c>
      <c r="AR319" s="240">
        <f t="shared" si="326"/>
        <v>0</v>
      </c>
      <c r="AS319" s="240">
        <f t="shared" si="327"/>
        <v>0</v>
      </c>
      <c r="AT319" s="240">
        <f t="shared" si="328"/>
        <v>0</v>
      </c>
      <c r="AU319" s="240">
        <f t="shared" si="329"/>
        <v>0</v>
      </c>
      <c r="AV319" s="240">
        <f t="shared" si="330"/>
        <v>0.12865848092115517</v>
      </c>
      <c r="AW319" s="240">
        <f t="shared" si="331"/>
        <v>0.14637153728197524</v>
      </c>
      <c r="AX319" s="240">
        <f t="shared" si="332"/>
        <v>0.24245772620135256</v>
      </c>
      <c r="AY319" s="240">
        <f t="shared" si="333"/>
        <v>0.30132122749956214</v>
      </c>
    </row>
    <row r="320" spans="4:51" ht="13.5" customHeight="1" x14ac:dyDescent="0.25">
      <c r="D320" s="79" t="str">
        <f t="shared" si="298"/>
        <v>Sunflower seed</v>
      </c>
      <c r="E320" s="163">
        <f>ProjectedP205_Consumption!J51</f>
        <v>0.20379858019434013</v>
      </c>
      <c r="F320" s="2">
        <f>ProjectedP205_Consumption!K51-E191-E252</f>
        <v>0.22131761564429614</v>
      </c>
      <c r="G320" s="2">
        <f>ProjectedP205_Consumption!L51-F191-F252</f>
        <v>0.51813445916533307</v>
      </c>
      <c r="H320" s="2">
        <f>ProjectedP205_Consumption!M51-G191-G252</f>
        <v>0.71951975375725119</v>
      </c>
      <c r="K320" s="76">
        <f t="shared" si="334"/>
        <v>0.35</v>
      </c>
      <c r="L320" s="238">
        <f t="shared" si="299"/>
        <v>0.35</v>
      </c>
      <c r="M320" s="238">
        <f t="shared" si="300"/>
        <v>0.35</v>
      </c>
      <c r="N320" s="238">
        <f t="shared" si="301"/>
        <v>0.35</v>
      </c>
      <c r="O320" s="238">
        <f t="shared" si="335"/>
        <v>0</v>
      </c>
      <c r="P320" s="238">
        <f t="shared" si="302"/>
        <v>0</v>
      </c>
      <c r="Q320" s="238">
        <f t="shared" si="303"/>
        <v>0</v>
      </c>
      <c r="R320" s="238">
        <f t="shared" si="304"/>
        <v>0</v>
      </c>
      <c r="S320" s="238">
        <f t="shared" si="336"/>
        <v>0.5</v>
      </c>
      <c r="T320" s="238">
        <f t="shared" si="305"/>
        <v>0.5</v>
      </c>
      <c r="U320" s="238">
        <f t="shared" si="306"/>
        <v>0.5</v>
      </c>
      <c r="V320" s="238">
        <f t="shared" si="307"/>
        <v>0.5</v>
      </c>
      <c r="W320" s="238">
        <f t="shared" si="337"/>
        <v>0</v>
      </c>
      <c r="X320" s="238">
        <f t="shared" si="308"/>
        <v>0</v>
      </c>
      <c r="Y320" s="238">
        <f t="shared" si="309"/>
        <v>0</v>
      </c>
      <c r="Z320" s="238">
        <f t="shared" si="310"/>
        <v>0</v>
      </c>
      <c r="AA320" s="238">
        <f t="shared" si="338"/>
        <v>0.14666666666666667</v>
      </c>
      <c r="AB320" s="238">
        <f t="shared" si="311"/>
        <v>0.14666666666666667</v>
      </c>
      <c r="AC320" s="238">
        <f t="shared" si="312"/>
        <v>0.14666666666666667</v>
      </c>
      <c r="AD320" s="238">
        <f t="shared" si="313"/>
        <v>0.14666666666666667</v>
      </c>
      <c r="AF320" s="240">
        <f t="shared" si="314"/>
        <v>0.15506413710438921</v>
      </c>
      <c r="AG320" s="240">
        <f t="shared" si="315"/>
        <v>0.16839383799022531</v>
      </c>
      <c r="AH320" s="240">
        <f t="shared" si="316"/>
        <v>0.39423274066927516</v>
      </c>
      <c r="AI320" s="240">
        <f t="shared" si="317"/>
        <v>0.54746068220660404</v>
      </c>
      <c r="AJ320" s="240">
        <f t="shared" si="318"/>
        <v>0</v>
      </c>
      <c r="AK320" s="240">
        <f t="shared" si="319"/>
        <v>0</v>
      </c>
      <c r="AL320" s="240">
        <f t="shared" si="320"/>
        <v>0</v>
      </c>
      <c r="AM320" s="240">
        <f t="shared" si="321"/>
        <v>0</v>
      </c>
      <c r="AN320" s="240">
        <f t="shared" si="322"/>
        <v>0.9263571827015461</v>
      </c>
      <c r="AO320" s="240">
        <f t="shared" si="323"/>
        <v>1.0059891620195278</v>
      </c>
      <c r="AP320" s="240">
        <f t="shared" si="324"/>
        <v>2.3551566325696958</v>
      </c>
      <c r="AQ320" s="240">
        <f t="shared" si="325"/>
        <v>3.2705443352602326</v>
      </c>
      <c r="AR320" s="240">
        <f t="shared" si="326"/>
        <v>0</v>
      </c>
      <c r="AS320" s="240">
        <f t="shared" si="327"/>
        <v>0</v>
      </c>
      <c r="AT320" s="240">
        <f t="shared" si="328"/>
        <v>0</v>
      </c>
      <c r="AU320" s="240">
        <f t="shared" si="329"/>
        <v>0</v>
      </c>
      <c r="AV320" s="240">
        <f t="shared" si="330"/>
        <v>5.7481650824044654E-2</v>
      </c>
      <c r="AW320" s="240">
        <f t="shared" si="331"/>
        <v>6.2422917233006595E-2</v>
      </c>
      <c r="AX320" s="240">
        <f t="shared" si="332"/>
        <v>0.14614048848252983</v>
      </c>
      <c r="AY320" s="240">
        <f t="shared" si="333"/>
        <v>0.20294146900845544</v>
      </c>
    </row>
    <row r="321" spans="4:51" ht="13.5" customHeight="1" x14ac:dyDescent="0.25">
      <c r="D321" s="79" t="str">
        <f t="shared" si="298"/>
        <v>Sesame seed</v>
      </c>
      <c r="E321" s="163">
        <f>ProjectedP205_Consumption!J52</f>
        <v>0.16394001434000491</v>
      </c>
      <c r="F321" s="2">
        <f>ProjectedP205_Consumption!K52-E192-E253</f>
        <v>0.18651045581426509</v>
      </c>
      <c r="G321" s="2">
        <f>ProjectedP205_Consumption!L52-F192-F253</f>
        <v>0.2411688749138709</v>
      </c>
      <c r="H321" s="2">
        <f>ProjectedP205_Consumption!M52-G192-G253</f>
        <v>0.25428366557788307</v>
      </c>
      <c r="K321" s="76">
        <f t="shared" si="334"/>
        <v>0.35</v>
      </c>
      <c r="L321" s="238">
        <f t="shared" si="299"/>
        <v>0.35</v>
      </c>
      <c r="M321" s="238">
        <f t="shared" si="300"/>
        <v>0.35</v>
      </c>
      <c r="N321" s="238">
        <f t="shared" si="301"/>
        <v>0.35</v>
      </c>
      <c r="O321" s="238">
        <f t="shared" si="335"/>
        <v>0</v>
      </c>
      <c r="P321" s="238">
        <f t="shared" si="302"/>
        <v>0</v>
      </c>
      <c r="Q321" s="238">
        <f t="shared" si="303"/>
        <v>0</v>
      </c>
      <c r="R321" s="238">
        <f t="shared" si="304"/>
        <v>0</v>
      </c>
      <c r="S321" s="238">
        <f t="shared" si="336"/>
        <v>0.5</v>
      </c>
      <c r="T321" s="238">
        <f t="shared" si="305"/>
        <v>0.5</v>
      </c>
      <c r="U321" s="238">
        <f t="shared" si="306"/>
        <v>0.5</v>
      </c>
      <c r="V321" s="238">
        <f t="shared" si="307"/>
        <v>0.5</v>
      </c>
      <c r="W321" s="238">
        <f t="shared" si="337"/>
        <v>0</v>
      </c>
      <c r="X321" s="238">
        <f t="shared" si="308"/>
        <v>0</v>
      </c>
      <c r="Y321" s="238">
        <f t="shared" si="309"/>
        <v>0</v>
      </c>
      <c r="Z321" s="238">
        <f t="shared" si="310"/>
        <v>0</v>
      </c>
      <c r="AA321" s="238">
        <f t="shared" si="338"/>
        <v>0.14666666666666667</v>
      </c>
      <c r="AB321" s="238">
        <f t="shared" si="311"/>
        <v>0.14666666666666667</v>
      </c>
      <c r="AC321" s="238">
        <f t="shared" si="312"/>
        <v>0.14666666666666667</v>
      </c>
      <c r="AD321" s="238">
        <f t="shared" si="313"/>
        <v>0.14666666666666667</v>
      </c>
      <c r="AF321" s="240">
        <f t="shared" si="314"/>
        <v>0.12473696743261242</v>
      </c>
      <c r="AG321" s="240">
        <f t="shared" si="315"/>
        <v>0.14191012942389733</v>
      </c>
      <c r="AH321" s="240">
        <f t="shared" si="316"/>
        <v>0.18349805699968436</v>
      </c>
      <c r="AI321" s="240">
        <f t="shared" si="317"/>
        <v>0.19347670207012838</v>
      </c>
      <c r="AJ321" s="240">
        <f t="shared" si="318"/>
        <v>0</v>
      </c>
      <c r="AK321" s="240">
        <f t="shared" si="319"/>
        <v>0</v>
      </c>
      <c r="AL321" s="240">
        <f t="shared" si="320"/>
        <v>0</v>
      </c>
      <c r="AM321" s="240">
        <f t="shared" si="321"/>
        <v>0</v>
      </c>
      <c r="AN321" s="240">
        <f t="shared" si="322"/>
        <v>0.74518188336365865</v>
      </c>
      <c r="AO321" s="240">
        <f t="shared" si="323"/>
        <v>0.84777479915575038</v>
      </c>
      <c r="AP321" s="240">
        <f t="shared" si="324"/>
        <v>1.0962221586994132</v>
      </c>
      <c r="AQ321" s="240">
        <f t="shared" si="325"/>
        <v>1.1558348435358321</v>
      </c>
      <c r="AR321" s="240">
        <f t="shared" si="326"/>
        <v>0</v>
      </c>
      <c r="AS321" s="240">
        <f t="shared" si="327"/>
        <v>0</v>
      </c>
      <c r="AT321" s="240">
        <f t="shared" si="328"/>
        <v>0</v>
      </c>
      <c r="AU321" s="240">
        <f t="shared" si="329"/>
        <v>0</v>
      </c>
      <c r="AV321" s="240">
        <f t="shared" si="330"/>
        <v>4.6239491224103951E-2</v>
      </c>
      <c r="AW321" s="240">
        <f t="shared" si="331"/>
        <v>5.2605513178382461E-2</v>
      </c>
      <c r="AX321" s="240">
        <f t="shared" si="332"/>
        <v>6.8021990360322554E-2</v>
      </c>
      <c r="AY321" s="240">
        <f t="shared" si="333"/>
        <v>7.1721033880941379E-2</v>
      </c>
    </row>
    <row r="322" spans="4:51" ht="13.5" customHeight="1" x14ac:dyDescent="0.25">
      <c r="D322" s="79" t="str">
        <f t="shared" si="298"/>
        <v>Sorghum</v>
      </c>
      <c r="E322" s="163">
        <f>ProjectedP205_Consumption!J53</f>
        <v>0.16657258596562757</v>
      </c>
      <c r="F322" s="2">
        <f>ProjectedP205_Consumption!K53-E193-E254</f>
        <v>0.18089158188669782</v>
      </c>
      <c r="G322" s="2">
        <f>ProjectedP205_Consumption!L53-F193-F254</f>
        <v>0.23414907043752223</v>
      </c>
      <c r="H322" s="2">
        <f>ProjectedP205_Consumption!M53-G193-G254</f>
        <v>0.27084222876881248</v>
      </c>
      <c r="K322" s="76">
        <f t="shared" si="334"/>
        <v>0.35</v>
      </c>
      <c r="L322" s="238">
        <f t="shared" si="299"/>
        <v>0.35</v>
      </c>
      <c r="M322" s="238">
        <f t="shared" si="300"/>
        <v>0.35</v>
      </c>
      <c r="N322" s="238">
        <f t="shared" si="301"/>
        <v>0.35</v>
      </c>
      <c r="O322" s="238">
        <f t="shared" si="335"/>
        <v>0</v>
      </c>
      <c r="P322" s="238">
        <f t="shared" si="302"/>
        <v>0</v>
      </c>
      <c r="Q322" s="238">
        <f t="shared" si="303"/>
        <v>0</v>
      </c>
      <c r="R322" s="238">
        <f t="shared" si="304"/>
        <v>0</v>
      </c>
      <c r="S322" s="238">
        <f t="shared" si="336"/>
        <v>0.5</v>
      </c>
      <c r="T322" s="238">
        <f t="shared" si="305"/>
        <v>0.5</v>
      </c>
      <c r="U322" s="238">
        <f t="shared" si="306"/>
        <v>0.5</v>
      </c>
      <c r="V322" s="238">
        <f t="shared" si="307"/>
        <v>0.5</v>
      </c>
      <c r="W322" s="238">
        <f t="shared" si="337"/>
        <v>0</v>
      </c>
      <c r="X322" s="238">
        <f t="shared" si="308"/>
        <v>0</v>
      </c>
      <c r="Y322" s="238">
        <f t="shared" si="309"/>
        <v>0</v>
      </c>
      <c r="Z322" s="238">
        <f t="shared" si="310"/>
        <v>0</v>
      </c>
      <c r="AA322" s="238">
        <f t="shared" si="338"/>
        <v>0.14666666666666667</v>
      </c>
      <c r="AB322" s="238">
        <f t="shared" si="311"/>
        <v>0.14666666666666667</v>
      </c>
      <c r="AC322" s="238">
        <f t="shared" si="312"/>
        <v>0.14666666666666667</v>
      </c>
      <c r="AD322" s="238">
        <f t="shared" si="313"/>
        <v>0.14666666666666667</v>
      </c>
      <c r="AF322" s="240">
        <f t="shared" si="314"/>
        <v>0.12674001106080357</v>
      </c>
      <c r="AG322" s="240">
        <f t="shared" si="315"/>
        <v>0.1376348992616179</v>
      </c>
      <c r="AH322" s="240">
        <f t="shared" si="316"/>
        <v>0.17815690141985385</v>
      </c>
      <c r="AI322" s="240">
        <f t="shared" si="317"/>
        <v>0.20607560884583556</v>
      </c>
      <c r="AJ322" s="240">
        <f t="shared" si="318"/>
        <v>0</v>
      </c>
      <c r="AK322" s="240">
        <f t="shared" si="319"/>
        <v>0</v>
      </c>
      <c r="AL322" s="240">
        <f t="shared" si="320"/>
        <v>0</v>
      </c>
      <c r="AM322" s="240">
        <f t="shared" si="321"/>
        <v>0</v>
      </c>
      <c r="AN322" s="240">
        <f t="shared" si="322"/>
        <v>0.75714811802557991</v>
      </c>
      <c r="AO322" s="240">
        <f t="shared" si="323"/>
        <v>0.82223446312135373</v>
      </c>
      <c r="AP322" s="240">
        <f t="shared" si="324"/>
        <v>1.0643139565341919</v>
      </c>
      <c r="AQ322" s="240">
        <f t="shared" si="325"/>
        <v>1.2311010398582385</v>
      </c>
      <c r="AR322" s="240">
        <f t="shared" si="326"/>
        <v>0</v>
      </c>
      <c r="AS322" s="240">
        <f t="shared" si="327"/>
        <v>0</v>
      </c>
      <c r="AT322" s="240">
        <f t="shared" si="328"/>
        <v>0</v>
      </c>
      <c r="AU322" s="240">
        <f t="shared" si="329"/>
        <v>0</v>
      </c>
      <c r="AV322" s="240">
        <f t="shared" si="330"/>
        <v>4.6982011426202654E-2</v>
      </c>
      <c r="AW322" s="240">
        <f t="shared" si="331"/>
        <v>5.1020702583427592E-2</v>
      </c>
      <c r="AX322" s="240">
        <f t="shared" si="332"/>
        <v>6.6042045508019093E-2</v>
      </c>
      <c r="AY322" s="240">
        <f t="shared" si="333"/>
        <v>7.6391397857870191E-2</v>
      </c>
    </row>
    <row r="323" spans="4:51" ht="13.5" customHeight="1" x14ac:dyDescent="0.25">
      <c r="D323" s="79" t="str">
        <f t="shared" si="298"/>
        <v>Other vegetables, fresh n.e.c.</v>
      </c>
      <c r="E323" s="163">
        <f>ProjectedP205_Consumption!J54</f>
        <v>0.11084459206355737</v>
      </c>
      <c r="F323" s="2">
        <f>ProjectedP205_Consumption!K54-E194-E255</f>
        <v>0.12037307030882093</v>
      </c>
      <c r="G323" s="2">
        <f>ProjectedP205_Consumption!L54-F194-F255</f>
        <v>0.31790487166609427</v>
      </c>
      <c r="H323" s="2">
        <f>ProjectedP205_Consumption!M54-G194-G255</f>
        <v>0.45182038171752803</v>
      </c>
      <c r="K323" s="76">
        <f t="shared" si="334"/>
        <v>0.35</v>
      </c>
      <c r="L323" s="238">
        <f t="shared" si="299"/>
        <v>0.35</v>
      </c>
      <c r="M323" s="238">
        <f t="shared" si="300"/>
        <v>0.35</v>
      </c>
      <c r="N323" s="238">
        <f t="shared" si="301"/>
        <v>0.35</v>
      </c>
      <c r="O323" s="238">
        <f t="shared" si="335"/>
        <v>0</v>
      </c>
      <c r="P323" s="238">
        <f t="shared" si="302"/>
        <v>0</v>
      </c>
      <c r="Q323" s="238">
        <f t="shared" si="303"/>
        <v>0</v>
      </c>
      <c r="R323" s="238">
        <f t="shared" si="304"/>
        <v>0</v>
      </c>
      <c r="S323" s="238">
        <f t="shared" si="336"/>
        <v>0.5</v>
      </c>
      <c r="T323" s="238">
        <f t="shared" si="305"/>
        <v>0.5</v>
      </c>
      <c r="U323" s="238">
        <f t="shared" si="306"/>
        <v>0.5</v>
      </c>
      <c r="V323" s="238">
        <f t="shared" si="307"/>
        <v>0.5</v>
      </c>
      <c r="W323" s="238">
        <f t="shared" si="337"/>
        <v>0</v>
      </c>
      <c r="X323" s="238">
        <f t="shared" si="308"/>
        <v>0</v>
      </c>
      <c r="Y323" s="238">
        <f t="shared" si="309"/>
        <v>0</v>
      </c>
      <c r="Z323" s="238">
        <f t="shared" si="310"/>
        <v>0</v>
      </c>
      <c r="AA323" s="238">
        <f t="shared" si="338"/>
        <v>0.14666666666666667</v>
      </c>
      <c r="AB323" s="238">
        <f t="shared" si="311"/>
        <v>0.14666666666666667</v>
      </c>
      <c r="AC323" s="238">
        <f t="shared" si="312"/>
        <v>0.14666666666666667</v>
      </c>
      <c r="AD323" s="238">
        <f t="shared" si="313"/>
        <v>0.14666666666666667</v>
      </c>
      <c r="AF323" s="240">
        <f t="shared" si="314"/>
        <v>8.4338276570098E-2</v>
      </c>
      <c r="AG323" s="240">
        <f t="shared" si="315"/>
        <v>9.1588205669755035E-2</v>
      </c>
      <c r="AH323" s="240">
        <f t="shared" si="316"/>
        <v>0.24188414148507167</v>
      </c>
      <c r="AI323" s="240">
        <f t="shared" si="317"/>
        <v>0.34377637739377126</v>
      </c>
      <c r="AJ323" s="240">
        <f t="shared" si="318"/>
        <v>0</v>
      </c>
      <c r="AK323" s="240">
        <f t="shared" si="319"/>
        <v>0</v>
      </c>
      <c r="AL323" s="240">
        <f t="shared" si="320"/>
        <v>0</v>
      </c>
      <c r="AM323" s="240">
        <f t="shared" si="321"/>
        <v>0</v>
      </c>
      <c r="AN323" s="240">
        <f t="shared" si="322"/>
        <v>0.50383905483435165</v>
      </c>
      <c r="AO323" s="240">
        <f t="shared" si="323"/>
        <v>0.5471503195855496</v>
      </c>
      <c r="AP323" s="240">
        <f t="shared" si="324"/>
        <v>1.4450221439367921</v>
      </c>
      <c r="AQ323" s="240">
        <f t="shared" si="325"/>
        <v>2.0537290078069455</v>
      </c>
      <c r="AR323" s="240">
        <f t="shared" si="326"/>
        <v>0</v>
      </c>
      <c r="AS323" s="240">
        <f t="shared" si="327"/>
        <v>0</v>
      </c>
      <c r="AT323" s="240">
        <f t="shared" si="328"/>
        <v>0</v>
      </c>
      <c r="AU323" s="240">
        <f t="shared" si="329"/>
        <v>0</v>
      </c>
      <c r="AV323" s="240">
        <f t="shared" si="330"/>
        <v>3.1263859299977714E-2</v>
      </c>
      <c r="AW323" s="240">
        <f t="shared" si="331"/>
        <v>3.3951378805052057E-2</v>
      </c>
      <c r="AX323" s="240">
        <f t="shared" si="332"/>
        <v>8.9665476623770182E-2</v>
      </c>
      <c r="AY323" s="240">
        <f t="shared" si="333"/>
        <v>0.12743651792032842</v>
      </c>
    </row>
    <row r="324" spans="4:51" ht="13.5" customHeight="1" x14ac:dyDescent="0.25">
      <c r="D324" s="79" t="str">
        <f t="shared" si="298"/>
        <v>Seed cotton, unginned</v>
      </c>
      <c r="E324" s="163">
        <f>ProjectedP205_Consumption!J55</f>
        <v>7.2057355140141693E-2</v>
      </c>
      <c r="F324" s="2">
        <f>ProjectedP205_Consumption!K55-E195-E256</f>
        <v>7.8251585531376122E-2</v>
      </c>
      <c r="G324" s="2">
        <f>ProjectedP205_Consumption!L55-F195-F256</f>
        <v>0.18319754091917137</v>
      </c>
      <c r="H324" s="2">
        <f>ProjectedP205_Consumption!M55-G195-G256</f>
        <v>0.25440162722131382</v>
      </c>
      <c r="K324" s="76">
        <f t="shared" si="334"/>
        <v>0.35</v>
      </c>
      <c r="L324" s="238">
        <f t="shared" si="299"/>
        <v>0.35</v>
      </c>
      <c r="M324" s="238">
        <f t="shared" si="300"/>
        <v>0.35</v>
      </c>
      <c r="N324" s="238">
        <f t="shared" si="301"/>
        <v>0.35</v>
      </c>
      <c r="O324" s="238">
        <f t="shared" si="335"/>
        <v>0</v>
      </c>
      <c r="P324" s="238">
        <f t="shared" si="302"/>
        <v>0</v>
      </c>
      <c r="Q324" s="238">
        <f t="shared" si="303"/>
        <v>0</v>
      </c>
      <c r="R324" s="238">
        <f t="shared" si="304"/>
        <v>0</v>
      </c>
      <c r="S324" s="238">
        <f t="shared" si="336"/>
        <v>0.5</v>
      </c>
      <c r="T324" s="238">
        <f t="shared" si="305"/>
        <v>0.5</v>
      </c>
      <c r="U324" s="238">
        <f t="shared" si="306"/>
        <v>0.5</v>
      </c>
      <c r="V324" s="238">
        <f t="shared" si="307"/>
        <v>0.5</v>
      </c>
      <c r="W324" s="238">
        <f t="shared" si="337"/>
        <v>0</v>
      </c>
      <c r="X324" s="238">
        <f t="shared" si="308"/>
        <v>0</v>
      </c>
      <c r="Y324" s="238">
        <f t="shared" si="309"/>
        <v>0</v>
      </c>
      <c r="Z324" s="238">
        <f t="shared" si="310"/>
        <v>0</v>
      </c>
      <c r="AA324" s="238">
        <f t="shared" si="338"/>
        <v>0.14666666666666667</v>
      </c>
      <c r="AB324" s="238">
        <f t="shared" si="311"/>
        <v>0.14666666666666667</v>
      </c>
      <c r="AC324" s="238">
        <f t="shared" si="312"/>
        <v>0.14666666666666667</v>
      </c>
      <c r="AD324" s="238">
        <f t="shared" si="313"/>
        <v>0.14666666666666667</v>
      </c>
      <c r="AF324" s="240">
        <f t="shared" si="314"/>
        <v>5.4826248476194765E-2</v>
      </c>
      <c r="AG324" s="240">
        <f t="shared" si="315"/>
        <v>5.9539249860829653E-2</v>
      </c>
      <c r="AH324" s="240">
        <f t="shared" si="316"/>
        <v>0.13938943330806514</v>
      </c>
      <c r="AI324" s="240">
        <f t="shared" si="317"/>
        <v>0.19356645549447787</v>
      </c>
      <c r="AJ324" s="240">
        <f t="shared" si="318"/>
        <v>0</v>
      </c>
      <c r="AK324" s="240">
        <f t="shared" si="319"/>
        <v>0</v>
      </c>
      <c r="AL324" s="240">
        <f t="shared" si="320"/>
        <v>0</v>
      </c>
      <c r="AM324" s="240">
        <f t="shared" si="321"/>
        <v>0</v>
      </c>
      <c r="AN324" s="240">
        <f t="shared" si="322"/>
        <v>0.32753343245518951</v>
      </c>
      <c r="AO324" s="240">
        <f t="shared" si="323"/>
        <v>0.35568902514261874</v>
      </c>
      <c r="AP324" s="240">
        <f t="shared" si="324"/>
        <v>0.83271609508714262</v>
      </c>
      <c r="AQ324" s="240">
        <f t="shared" si="325"/>
        <v>1.1563710328241537</v>
      </c>
      <c r="AR324" s="240">
        <f t="shared" si="326"/>
        <v>0</v>
      </c>
      <c r="AS324" s="240">
        <f t="shared" si="327"/>
        <v>0</v>
      </c>
      <c r="AT324" s="240">
        <f t="shared" si="328"/>
        <v>0</v>
      </c>
      <c r="AU324" s="240">
        <f t="shared" si="329"/>
        <v>0</v>
      </c>
      <c r="AV324" s="240">
        <f t="shared" si="330"/>
        <v>2.0323869398501504E-2</v>
      </c>
      <c r="AW324" s="240">
        <f t="shared" si="331"/>
        <v>2.2070960021670187E-2</v>
      </c>
      <c r="AX324" s="240">
        <f t="shared" si="332"/>
        <v>5.1671101284894487E-2</v>
      </c>
      <c r="AY324" s="240">
        <f t="shared" si="333"/>
        <v>7.1754305113703898E-2</v>
      </c>
    </row>
    <row r="325" spans="4:51" ht="13.5" customHeight="1" x14ac:dyDescent="0.25">
      <c r="D325" s="79" t="str">
        <f t="shared" si="298"/>
        <v>Rice</v>
      </c>
      <c r="E325" s="163">
        <f>ProjectedP205_Consumption!J56</f>
        <v>0.26274518253301687</v>
      </c>
      <c r="F325" s="2">
        <f>ProjectedP205_Consumption!K56-E196-E257</f>
        <v>0.3388467797278466</v>
      </c>
      <c r="G325" s="2">
        <f>ProjectedP205_Consumption!L56-F196-F257</f>
        <v>0.49682131188100381</v>
      </c>
      <c r="H325" s="2">
        <f>ProjectedP205_Consumption!M56-G196-G257</f>
        <v>0.56176120252885675</v>
      </c>
      <c r="K325" s="76">
        <f t="shared" si="334"/>
        <v>0.35</v>
      </c>
      <c r="L325" s="238">
        <f t="shared" si="299"/>
        <v>0.35</v>
      </c>
      <c r="M325" s="238">
        <f t="shared" si="300"/>
        <v>0.35</v>
      </c>
      <c r="N325" s="238">
        <f t="shared" si="301"/>
        <v>0.35</v>
      </c>
      <c r="O325" s="238">
        <f t="shared" si="335"/>
        <v>0</v>
      </c>
      <c r="P325" s="238">
        <f t="shared" si="302"/>
        <v>0</v>
      </c>
      <c r="Q325" s="238">
        <f t="shared" si="303"/>
        <v>0</v>
      </c>
      <c r="R325" s="238">
        <f t="shared" si="304"/>
        <v>0</v>
      </c>
      <c r="S325" s="238">
        <f t="shared" si="336"/>
        <v>0.5</v>
      </c>
      <c r="T325" s="238">
        <f t="shared" si="305"/>
        <v>0.5</v>
      </c>
      <c r="U325" s="238">
        <f t="shared" si="306"/>
        <v>0.5</v>
      </c>
      <c r="V325" s="238">
        <f t="shared" si="307"/>
        <v>0.5</v>
      </c>
      <c r="W325" s="238">
        <f t="shared" si="337"/>
        <v>0</v>
      </c>
      <c r="X325" s="238">
        <f t="shared" si="308"/>
        <v>0</v>
      </c>
      <c r="Y325" s="238">
        <f t="shared" si="309"/>
        <v>0</v>
      </c>
      <c r="Z325" s="238">
        <f t="shared" si="310"/>
        <v>0</v>
      </c>
      <c r="AA325" s="238">
        <f t="shared" si="338"/>
        <v>0.14666666666666667</v>
      </c>
      <c r="AB325" s="238">
        <f t="shared" si="311"/>
        <v>0.14666666666666667</v>
      </c>
      <c r="AC325" s="238">
        <f t="shared" si="312"/>
        <v>0.14666666666666667</v>
      </c>
      <c r="AD325" s="238">
        <f t="shared" si="313"/>
        <v>0.14666666666666667</v>
      </c>
      <c r="AF325" s="240">
        <f t="shared" si="314"/>
        <v>0.19991481279686066</v>
      </c>
      <c r="AG325" s="240">
        <f t="shared" si="315"/>
        <v>0.25781820196683974</v>
      </c>
      <c r="AH325" s="240">
        <f t="shared" si="316"/>
        <v>0.37801621556163328</v>
      </c>
      <c r="AI325" s="240">
        <f t="shared" si="317"/>
        <v>0.42742700192413008</v>
      </c>
      <c r="AJ325" s="240">
        <f t="shared" si="318"/>
        <v>0</v>
      </c>
      <c r="AK325" s="240">
        <f t="shared" si="319"/>
        <v>0</v>
      </c>
      <c r="AL325" s="240">
        <f t="shared" si="320"/>
        <v>0</v>
      </c>
      <c r="AM325" s="240">
        <f t="shared" si="321"/>
        <v>0</v>
      </c>
      <c r="AN325" s="240">
        <f t="shared" si="322"/>
        <v>1.1942962842409859</v>
      </c>
      <c r="AO325" s="240">
        <f t="shared" si="323"/>
        <v>1.5402126351265755</v>
      </c>
      <c r="AP325" s="240">
        <f t="shared" si="324"/>
        <v>2.2582786903681993</v>
      </c>
      <c r="AQ325" s="240">
        <f t="shared" si="325"/>
        <v>2.5534600114948036</v>
      </c>
      <c r="AR325" s="240">
        <f t="shared" si="326"/>
        <v>0</v>
      </c>
      <c r="AS325" s="240">
        <f t="shared" si="327"/>
        <v>0</v>
      </c>
      <c r="AT325" s="240">
        <f t="shared" si="328"/>
        <v>0</v>
      </c>
      <c r="AU325" s="240">
        <f t="shared" si="329"/>
        <v>0</v>
      </c>
      <c r="AV325" s="240">
        <f t="shared" si="330"/>
        <v>7.4107615586235534E-2</v>
      </c>
      <c r="AW325" s="240">
        <f t="shared" si="331"/>
        <v>9.5572168641187505E-2</v>
      </c>
      <c r="AX325" s="240">
        <f t="shared" si="332"/>
        <v>0.14012908796643697</v>
      </c>
      <c r="AY325" s="240">
        <f t="shared" si="333"/>
        <v>0.15844546737993395</v>
      </c>
    </row>
    <row r="326" spans="4:51" ht="13.5" customHeight="1" x14ac:dyDescent="0.25">
      <c r="D326" s="79" t="str">
        <f t="shared" si="298"/>
        <v>Onions and shallots, dry (excluding dehydrated)</v>
      </c>
      <c r="E326" s="163">
        <f>ProjectedP205_Consumption!J57</f>
        <v>5.8855574255981195E-2</v>
      </c>
      <c r="F326" s="2">
        <f>ProjectedP205_Consumption!K57-E197-E258</f>
        <v>6.3914946557960983E-2</v>
      </c>
      <c r="G326" s="2">
        <f>ProjectedP205_Consumption!L57-F197-F258</f>
        <v>0.16879915774288343</v>
      </c>
      <c r="H326" s="2">
        <f>ProjectedP205_Consumption!M57-G197-G258</f>
        <v>0.23990478499207266</v>
      </c>
      <c r="K326" s="76">
        <f t="shared" si="334"/>
        <v>0.35</v>
      </c>
      <c r="L326" s="238">
        <f t="shared" si="299"/>
        <v>0.35</v>
      </c>
      <c r="M326" s="238">
        <f t="shared" si="300"/>
        <v>0.35</v>
      </c>
      <c r="N326" s="238">
        <f t="shared" si="301"/>
        <v>0.35</v>
      </c>
      <c r="O326" s="238">
        <f t="shared" si="335"/>
        <v>0</v>
      </c>
      <c r="P326" s="238">
        <f t="shared" si="302"/>
        <v>0</v>
      </c>
      <c r="Q326" s="238">
        <f t="shared" si="303"/>
        <v>0</v>
      </c>
      <c r="R326" s="238">
        <f t="shared" si="304"/>
        <v>0</v>
      </c>
      <c r="S326" s="238">
        <f t="shared" si="336"/>
        <v>0.5</v>
      </c>
      <c r="T326" s="238">
        <f t="shared" si="305"/>
        <v>0.5</v>
      </c>
      <c r="U326" s="238">
        <f t="shared" si="306"/>
        <v>0.5</v>
      </c>
      <c r="V326" s="238">
        <f t="shared" si="307"/>
        <v>0.5</v>
      </c>
      <c r="W326" s="238">
        <f t="shared" si="337"/>
        <v>0</v>
      </c>
      <c r="X326" s="238">
        <f t="shared" si="308"/>
        <v>0</v>
      </c>
      <c r="Y326" s="238">
        <f t="shared" si="309"/>
        <v>0</v>
      </c>
      <c r="Z326" s="238">
        <f t="shared" si="310"/>
        <v>0</v>
      </c>
      <c r="AA326" s="238">
        <f t="shared" si="338"/>
        <v>0.14666666666666667</v>
      </c>
      <c r="AB326" s="238">
        <f t="shared" si="311"/>
        <v>0.14666666666666667</v>
      </c>
      <c r="AC326" s="238">
        <f t="shared" si="312"/>
        <v>0.14666666666666667</v>
      </c>
      <c r="AD326" s="238">
        <f t="shared" si="313"/>
        <v>0.14666666666666667</v>
      </c>
      <c r="AF326" s="240">
        <f t="shared" si="314"/>
        <v>4.4781415194768297E-2</v>
      </c>
      <c r="AG326" s="240">
        <f t="shared" si="315"/>
        <v>4.8630937598448568E-2</v>
      </c>
      <c r="AH326" s="240">
        <f t="shared" si="316"/>
        <v>0.12843414176088955</v>
      </c>
      <c r="AI326" s="240">
        <f t="shared" si="317"/>
        <v>0.18253624945049005</v>
      </c>
      <c r="AJ326" s="240">
        <f t="shared" si="318"/>
        <v>0</v>
      </c>
      <c r="AK326" s="240">
        <f t="shared" si="319"/>
        <v>0</v>
      </c>
      <c r="AL326" s="240">
        <f t="shared" si="320"/>
        <v>0</v>
      </c>
      <c r="AM326" s="240">
        <f t="shared" si="321"/>
        <v>0</v>
      </c>
      <c r="AN326" s="240">
        <f t="shared" si="322"/>
        <v>0.26752533752718727</v>
      </c>
      <c r="AO326" s="240">
        <f t="shared" si="323"/>
        <v>0.29052248435436812</v>
      </c>
      <c r="AP326" s="240">
        <f t="shared" si="324"/>
        <v>0.76726889883128835</v>
      </c>
      <c r="AQ326" s="240">
        <f t="shared" si="325"/>
        <v>1.0904762954185121</v>
      </c>
      <c r="AR326" s="240">
        <f t="shared" si="326"/>
        <v>0</v>
      </c>
      <c r="AS326" s="240">
        <f t="shared" si="327"/>
        <v>0</v>
      </c>
      <c r="AT326" s="240">
        <f t="shared" si="328"/>
        <v>0</v>
      </c>
      <c r="AU326" s="240">
        <f t="shared" si="329"/>
        <v>0</v>
      </c>
      <c r="AV326" s="240">
        <f t="shared" si="330"/>
        <v>1.6600290174763926E-2</v>
      </c>
      <c r="AW326" s="240">
        <f t="shared" si="331"/>
        <v>1.8027292618912071E-2</v>
      </c>
      <c r="AX326" s="240">
        <f t="shared" si="332"/>
        <v>4.7610018850556865E-2</v>
      </c>
      <c r="AY326" s="240">
        <f t="shared" si="333"/>
        <v>6.7665452177251256E-2</v>
      </c>
    </row>
    <row r="327" spans="4:51" ht="13.5" customHeight="1" x14ac:dyDescent="0.25">
      <c r="D327" s="79" t="str">
        <f t="shared" si="298"/>
        <v>Sugar cane</v>
      </c>
      <c r="E327" s="163">
        <f>ProjectedP205_Consumption!J58</f>
        <v>0.30587346667595666</v>
      </c>
      <c r="F327" s="2">
        <f>ProjectedP205_Consumption!K58-E198-E259</f>
        <v>0.4090534982216541</v>
      </c>
      <c r="G327" s="2">
        <f>ProjectedP205_Consumption!L58-F198-F259</f>
        <v>0.51539474537940511</v>
      </c>
      <c r="H327" s="2">
        <f>ProjectedP205_Consumption!M58-G198-G259</f>
        <v>0.56181393305732108</v>
      </c>
      <c r="K327" s="76">
        <f t="shared" si="334"/>
        <v>0.35</v>
      </c>
      <c r="L327" s="238">
        <f t="shared" si="299"/>
        <v>0.35</v>
      </c>
      <c r="M327" s="238">
        <f t="shared" si="300"/>
        <v>0.35</v>
      </c>
      <c r="N327" s="238">
        <f t="shared" si="301"/>
        <v>0.35</v>
      </c>
      <c r="O327" s="238">
        <f t="shared" si="335"/>
        <v>0</v>
      </c>
      <c r="P327" s="238">
        <f t="shared" si="302"/>
        <v>0</v>
      </c>
      <c r="Q327" s="238">
        <f t="shared" si="303"/>
        <v>0</v>
      </c>
      <c r="R327" s="238">
        <f t="shared" si="304"/>
        <v>0</v>
      </c>
      <c r="S327" s="238">
        <f t="shared" si="336"/>
        <v>0.5</v>
      </c>
      <c r="T327" s="238">
        <f t="shared" si="305"/>
        <v>0.5</v>
      </c>
      <c r="U327" s="238">
        <f t="shared" si="306"/>
        <v>0.5</v>
      </c>
      <c r="V327" s="238">
        <f t="shared" si="307"/>
        <v>0.5</v>
      </c>
      <c r="W327" s="238">
        <f t="shared" si="337"/>
        <v>0</v>
      </c>
      <c r="X327" s="238">
        <f t="shared" si="308"/>
        <v>0</v>
      </c>
      <c r="Y327" s="238">
        <f t="shared" si="309"/>
        <v>0</v>
      </c>
      <c r="Z327" s="238">
        <f t="shared" si="310"/>
        <v>0</v>
      </c>
      <c r="AA327" s="238">
        <f t="shared" si="338"/>
        <v>0.14666666666666667</v>
      </c>
      <c r="AB327" s="238">
        <f t="shared" si="311"/>
        <v>0.14666666666666667</v>
      </c>
      <c r="AC327" s="238">
        <f t="shared" si="312"/>
        <v>0.14666666666666667</v>
      </c>
      <c r="AD327" s="238">
        <f t="shared" si="313"/>
        <v>0.14666666666666667</v>
      </c>
      <c r="AF327" s="240">
        <f t="shared" si="314"/>
        <v>0.23272981160127135</v>
      </c>
      <c r="AG327" s="240">
        <f t="shared" si="315"/>
        <v>0.31123635734256289</v>
      </c>
      <c r="AH327" s="240">
        <f t="shared" si="316"/>
        <v>0.392148175832156</v>
      </c>
      <c r="AI327" s="240">
        <f t="shared" si="317"/>
        <v>0.42746712297839645</v>
      </c>
      <c r="AJ327" s="240">
        <f t="shared" si="318"/>
        <v>0</v>
      </c>
      <c r="AK327" s="240">
        <f t="shared" si="319"/>
        <v>0</v>
      </c>
      <c r="AL327" s="240">
        <f t="shared" si="320"/>
        <v>0</v>
      </c>
      <c r="AM327" s="240">
        <f t="shared" si="321"/>
        <v>0</v>
      </c>
      <c r="AN327" s="240">
        <f t="shared" si="322"/>
        <v>1.3903339394361667</v>
      </c>
      <c r="AO327" s="240">
        <f t="shared" si="323"/>
        <v>1.8593340828257003</v>
      </c>
      <c r="AP327" s="240">
        <f t="shared" si="324"/>
        <v>2.3427033880882049</v>
      </c>
      <c r="AQ327" s="240">
        <f t="shared" si="325"/>
        <v>2.5536996957150957</v>
      </c>
      <c r="AR327" s="240">
        <f t="shared" si="326"/>
        <v>0</v>
      </c>
      <c r="AS327" s="240">
        <f t="shared" si="327"/>
        <v>0</v>
      </c>
      <c r="AT327" s="240">
        <f t="shared" si="328"/>
        <v>0</v>
      </c>
      <c r="AU327" s="240">
        <f t="shared" si="329"/>
        <v>0</v>
      </c>
      <c r="AV327" s="240">
        <f t="shared" si="330"/>
        <v>8.6272003421423674E-2</v>
      </c>
      <c r="AW327" s="240">
        <f t="shared" si="331"/>
        <v>0.11537406360097936</v>
      </c>
      <c r="AX327" s="240">
        <f t="shared" si="332"/>
        <v>0.14536774869675528</v>
      </c>
      <c r="AY327" s="240">
        <f t="shared" si="333"/>
        <v>0.15846034009309054</v>
      </c>
    </row>
    <row r="328" spans="4:51" ht="13.5" customHeight="1" x14ac:dyDescent="0.25">
      <c r="D328" s="79" t="str">
        <f t="shared" si="298"/>
        <v>Millet</v>
      </c>
      <c r="E328" s="163">
        <f>ProjectedP205_Consumption!J59</f>
        <v>4.0461296689297752E-2</v>
      </c>
      <c r="F328" s="2">
        <f>ProjectedP205_Consumption!K59-E199-E260</f>
        <v>4.3939450905951513E-2</v>
      </c>
      <c r="G328" s="2">
        <f>ProjectedP205_Consumption!L59-F199-F260</f>
        <v>5.3008000355987225E-2</v>
      </c>
      <c r="H328" s="2">
        <f>ProjectedP205_Consumption!M59-G199-G260</f>
        <v>5.830499812392638E-2</v>
      </c>
      <c r="K328" s="76">
        <f t="shared" si="334"/>
        <v>0.35</v>
      </c>
      <c r="L328" s="238">
        <f t="shared" si="299"/>
        <v>0.35</v>
      </c>
      <c r="M328" s="238">
        <f t="shared" si="300"/>
        <v>0.35</v>
      </c>
      <c r="N328" s="238">
        <f t="shared" si="301"/>
        <v>0.35</v>
      </c>
      <c r="O328" s="238">
        <f t="shared" si="335"/>
        <v>0</v>
      </c>
      <c r="P328" s="238">
        <f t="shared" si="302"/>
        <v>0</v>
      </c>
      <c r="Q328" s="238">
        <f t="shared" si="303"/>
        <v>0</v>
      </c>
      <c r="R328" s="238">
        <f t="shared" si="304"/>
        <v>0</v>
      </c>
      <c r="S328" s="238">
        <f t="shared" si="336"/>
        <v>0.5</v>
      </c>
      <c r="T328" s="238">
        <f t="shared" si="305"/>
        <v>0.5</v>
      </c>
      <c r="U328" s="238">
        <f t="shared" si="306"/>
        <v>0.5</v>
      </c>
      <c r="V328" s="238">
        <f t="shared" si="307"/>
        <v>0.5</v>
      </c>
      <c r="W328" s="238">
        <f t="shared" si="337"/>
        <v>0</v>
      </c>
      <c r="X328" s="238">
        <f t="shared" si="308"/>
        <v>0</v>
      </c>
      <c r="Y328" s="238">
        <f t="shared" si="309"/>
        <v>0</v>
      </c>
      <c r="Z328" s="238">
        <f t="shared" si="310"/>
        <v>0</v>
      </c>
      <c r="AA328" s="238">
        <f t="shared" si="338"/>
        <v>0.14666666666666667</v>
      </c>
      <c r="AB328" s="238">
        <f t="shared" si="311"/>
        <v>0.14666666666666667</v>
      </c>
      <c r="AC328" s="238">
        <f t="shared" si="312"/>
        <v>0.14666666666666667</v>
      </c>
      <c r="AD328" s="238">
        <f t="shared" si="313"/>
        <v>0.14666666666666667</v>
      </c>
      <c r="AF328" s="240">
        <f t="shared" si="314"/>
        <v>3.0785769220117849E-2</v>
      </c>
      <c r="AG328" s="240">
        <f t="shared" si="315"/>
        <v>3.3432190906702235E-2</v>
      </c>
      <c r="AH328" s="240">
        <f t="shared" si="316"/>
        <v>4.0332174183903315E-2</v>
      </c>
      <c r="AI328" s="240">
        <f t="shared" si="317"/>
        <v>4.4362498572552672E-2</v>
      </c>
      <c r="AJ328" s="240">
        <f t="shared" si="318"/>
        <v>0</v>
      </c>
      <c r="AK328" s="240">
        <f t="shared" si="319"/>
        <v>0</v>
      </c>
      <c r="AL328" s="240">
        <f t="shared" si="320"/>
        <v>0</v>
      </c>
      <c r="AM328" s="240">
        <f t="shared" si="321"/>
        <v>0</v>
      </c>
      <c r="AN328" s="240">
        <f t="shared" si="322"/>
        <v>0.18391498495135342</v>
      </c>
      <c r="AO328" s="240">
        <f t="shared" si="323"/>
        <v>0.19972477684523415</v>
      </c>
      <c r="AP328" s="240">
        <f t="shared" si="324"/>
        <v>0.24094545616357829</v>
      </c>
      <c r="AQ328" s="240">
        <f t="shared" si="325"/>
        <v>0.2650227187451199</v>
      </c>
      <c r="AR328" s="240">
        <f t="shared" si="326"/>
        <v>0</v>
      </c>
      <c r="AS328" s="240">
        <f t="shared" si="327"/>
        <v>0</v>
      </c>
      <c r="AT328" s="240">
        <f t="shared" si="328"/>
        <v>0</v>
      </c>
      <c r="AU328" s="240">
        <f t="shared" si="329"/>
        <v>0</v>
      </c>
      <c r="AV328" s="240">
        <f t="shared" si="330"/>
        <v>1.1412160604673724E-2</v>
      </c>
      <c r="AW328" s="240">
        <f t="shared" si="331"/>
        <v>1.2393178460652989E-2</v>
      </c>
      <c r="AX328" s="240">
        <f t="shared" si="332"/>
        <v>1.4950974459381013E-2</v>
      </c>
      <c r="AY328" s="240">
        <f t="shared" si="333"/>
        <v>1.644499947085103E-2</v>
      </c>
    </row>
    <row r="329" spans="4:51" ht="13.5" customHeight="1" x14ac:dyDescent="0.25">
      <c r="D329" s="79" t="str">
        <f t="shared" si="298"/>
        <v>Cocoa beans</v>
      </c>
      <c r="E329" s="163">
        <f>ProjectedP205_Consumption!J60</f>
        <v>0.21247866231340404</v>
      </c>
      <c r="F329" s="2">
        <f>ProjectedP205_Consumption!K60-E200-E261</f>
        <v>0.28174451683595192</v>
      </c>
      <c r="G329" s="2">
        <f>ProjectedP205_Consumption!L60-F200-F261</f>
        <v>0.87527835468303072</v>
      </c>
      <c r="H329" s="2">
        <f>ProjectedP205_Consumption!M60-G200-G261</f>
        <v>1.195769693864118</v>
      </c>
      <c r="K329" s="76">
        <f t="shared" si="334"/>
        <v>0.35</v>
      </c>
      <c r="L329" s="238">
        <f t="shared" si="299"/>
        <v>0.35</v>
      </c>
      <c r="M329" s="238">
        <f t="shared" si="300"/>
        <v>0.35</v>
      </c>
      <c r="N329" s="238">
        <f t="shared" si="301"/>
        <v>0.35</v>
      </c>
      <c r="O329" s="238">
        <f t="shared" si="335"/>
        <v>0</v>
      </c>
      <c r="P329" s="238">
        <f t="shared" si="302"/>
        <v>0</v>
      </c>
      <c r="Q329" s="238">
        <f t="shared" si="303"/>
        <v>0</v>
      </c>
      <c r="R329" s="238">
        <f t="shared" si="304"/>
        <v>0</v>
      </c>
      <c r="S329" s="238">
        <f t="shared" si="336"/>
        <v>0.5</v>
      </c>
      <c r="T329" s="238">
        <f t="shared" si="305"/>
        <v>0.5</v>
      </c>
      <c r="U329" s="238">
        <f t="shared" si="306"/>
        <v>0.5</v>
      </c>
      <c r="V329" s="238">
        <f t="shared" si="307"/>
        <v>0.5</v>
      </c>
      <c r="W329" s="238">
        <f t="shared" si="337"/>
        <v>0</v>
      </c>
      <c r="X329" s="238">
        <f t="shared" si="308"/>
        <v>0</v>
      </c>
      <c r="Y329" s="238">
        <f t="shared" si="309"/>
        <v>0</v>
      </c>
      <c r="Z329" s="238">
        <f t="shared" si="310"/>
        <v>0</v>
      </c>
      <c r="AA329" s="238">
        <f t="shared" si="338"/>
        <v>0.14666666666666667</v>
      </c>
      <c r="AB329" s="238">
        <f t="shared" si="311"/>
        <v>0.14666666666666667</v>
      </c>
      <c r="AC329" s="238">
        <f t="shared" si="312"/>
        <v>0.14666666666666667</v>
      </c>
      <c r="AD329" s="238">
        <f t="shared" si="313"/>
        <v>0.14666666666666667</v>
      </c>
      <c r="AF329" s="240">
        <f t="shared" si="314"/>
        <v>0.16166854741237263</v>
      </c>
      <c r="AG329" s="240">
        <f t="shared" si="315"/>
        <v>0.21437082802735469</v>
      </c>
      <c r="AH329" s="240">
        <f t="shared" si="316"/>
        <v>0.66597266117187115</v>
      </c>
      <c r="AI329" s="240">
        <f t="shared" si="317"/>
        <v>0.90982476707052451</v>
      </c>
      <c r="AJ329" s="240">
        <f t="shared" si="318"/>
        <v>0</v>
      </c>
      <c r="AK329" s="240">
        <f t="shared" si="319"/>
        <v>0</v>
      </c>
      <c r="AL329" s="240">
        <f t="shared" si="320"/>
        <v>0</v>
      </c>
      <c r="AM329" s="240">
        <f t="shared" si="321"/>
        <v>0</v>
      </c>
      <c r="AN329" s="240">
        <f t="shared" si="322"/>
        <v>0.96581210142456375</v>
      </c>
      <c r="AO329" s="240">
        <f t="shared" si="323"/>
        <v>1.2806568947088723</v>
      </c>
      <c r="AP329" s="240">
        <f t="shared" si="324"/>
        <v>3.9785379758319577</v>
      </c>
      <c r="AQ329" s="240">
        <f t="shared" si="325"/>
        <v>5.4353167902914459</v>
      </c>
      <c r="AR329" s="240">
        <f t="shared" si="326"/>
        <v>0</v>
      </c>
      <c r="AS329" s="240">
        <f t="shared" si="327"/>
        <v>0</v>
      </c>
      <c r="AT329" s="240">
        <f t="shared" si="328"/>
        <v>0</v>
      </c>
      <c r="AU329" s="240">
        <f t="shared" si="329"/>
        <v>0</v>
      </c>
      <c r="AV329" s="240">
        <f t="shared" si="330"/>
        <v>5.9929879114037035E-2</v>
      </c>
      <c r="AW329" s="240">
        <f t="shared" si="331"/>
        <v>7.9466402184499255E-2</v>
      </c>
      <c r="AX329" s="240">
        <f t="shared" si="332"/>
        <v>0.24687338209008561</v>
      </c>
      <c r="AY329" s="240">
        <f t="shared" si="333"/>
        <v>0.33726837519244351</v>
      </c>
    </row>
    <row r="330" spans="4:51" ht="13.5" customHeight="1" x14ac:dyDescent="0.25">
      <c r="D330" s="79" t="str">
        <f t="shared" si="298"/>
        <v>Other oil seeds, n.e.c.</v>
      </c>
      <c r="E330" s="163">
        <f>ProjectedP205_Consumption!J61</f>
        <v>3.8075833055165424E-2</v>
      </c>
      <c r="F330" s="2">
        <f>ProjectedP205_Consumption!K61-E201-E262</f>
        <v>4.1116746498090391E-2</v>
      </c>
      <c r="G330" s="2">
        <f>ProjectedP205_Consumption!L61-F201-F262</f>
        <v>8.5567257716268663E-2</v>
      </c>
      <c r="H330" s="2">
        <f>ProjectedP205_Consumption!M61-G201-G262</f>
        <v>0.11120741814973811</v>
      </c>
      <c r="K330" s="76">
        <f t="shared" si="334"/>
        <v>0.35</v>
      </c>
      <c r="L330" s="238">
        <f t="shared" si="299"/>
        <v>0.35</v>
      </c>
      <c r="M330" s="238">
        <f t="shared" si="300"/>
        <v>0.35</v>
      </c>
      <c r="N330" s="238">
        <f t="shared" si="301"/>
        <v>0.35</v>
      </c>
      <c r="O330" s="238">
        <f t="shared" si="335"/>
        <v>0</v>
      </c>
      <c r="P330" s="238">
        <f t="shared" si="302"/>
        <v>0</v>
      </c>
      <c r="Q330" s="238">
        <f t="shared" si="303"/>
        <v>0</v>
      </c>
      <c r="R330" s="238">
        <f t="shared" si="304"/>
        <v>0</v>
      </c>
      <c r="S330" s="238">
        <f t="shared" si="336"/>
        <v>0.5</v>
      </c>
      <c r="T330" s="238">
        <f t="shared" si="305"/>
        <v>0.5</v>
      </c>
      <c r="U330" s="238">
        <f t="shared" si="306"/>
        <v>0.5</v>
      </c>
      <c r="V330" s="238">
        <f t="shared" si="307"/>
        <v>0.5</v>
      </c>
      <c r="W330" s="238">
        <f t="shared" si="337"/>
        <v>0</v>
      </c>
      <c r="X330" s="238">
        <f t="shared" si="308"/>
        <v>0</v>
      </c>
      <c r="Y330" s="238">
        <f t="shared" si="309"/>
        <v>0</v>
      </c>
      <c r="Z330" s="238">
        <f t="shared" si="310"/>
        <v>0</v>
      </c>
      <c r="AA330" s="238">
        <f t="shared" si="338"/>
        <v>0.14666666666666667</v>
      </c>
      <c r="AB330" s="238">
        <f t="shared" si="311"/>
        <v>0.14666666666666667</v>
      </c>
      <c r="AC330" s="238">
        <f t="shared" si="312"/>
        <v>0.14666666666666667</v>
      </c>
      <c r="AD330" s="238">
        <f t="shared" si="313"/>
        <v>0.14666666666666667</v>
      </c>
      <c r="AF330" s="240">
        <f t="shared" si="314"/>
        <v>2.8970742541973692E-2</v>
      </c>
      <c r="AG330" s="240">
        <f t="shared" si="315"/>
        <v>3.1284481031155727E-2</v>
      </c>
      <c r="AH330" s="240">
        <f t="shared" si="316"/>
        <v>6.5105522175421801E-2</v>
      </c>
      <c r="AI330" s="240">
        <f t="shared" si="317"/>
        <v>8.4614339896539853E-2</v>
      </c>
      <c r="AJ330" s="240">
        <f t="shared" si="318"/>
        <v>0</v>
      </c>
      <c r="AK330" s="240">
        <f t="shared" si="319"/>
        <v>0</v>
      </c>
      <c r="AL330" s="240">
        <f t="shared" si="320"/>
        <v>0</v>
      </c>
      <c r="AM330" s="240">
        <f t="shared" si="321"/>
        <v>0</v>
      </c>
      <c r="AN330" s="240">
        <f t="shared" si="322"/>
        <v>0.17307196843257011</v>
      </c>
      <c r="AO330" s="240">
        <f t="shared" si="323"/>
        <v>0.18689430226404724</v>
      </c>
      <c r="AP330" s="240">
        <f t="shared" si="324"/>
        <v>0.38894208052849394</v>
      </c>
      <c r="AQ330" s="240">
        <f t="shared" si="325"/>
        <v>0.50548826431699145</v>
      </c>
      <c r="AR330" s="240">
        <f t="shared" si="326"/>
        <v>0</v>
      </c>
      <c r="AS330" s="240">
        <f t="shared" si="327"/>
        <v>0</v>
      </c>
      <c r="AT330" s="240">
        <f t="shared" si="328"/>
        <v>0</v>
      </c>
      <c r="AU330" s="240">
        <f t="shared" si="329"/>
        <v>0</v>
      </c>
      <c r="AV330" s="240">
        <f t="shared" si="330"/>
        <v>1.0739337528379991E-2</v>
      </c>
      <c r="AW330" s="240">
        <f t="shared" si="331"/>
        <v>1.1597031063563957E-2</v>
      </c>
      <c r="AX330" s="240">
        <f t="shared" si="332"/>
        <v>2.413435474048603E-2</v>
      </c>
      <c r="AY330" s="240">
        <f t="shared" si="333"/>
        <v>3.1366194862746645E-2</v>
      </c>
    </row>
    <row r="331" spans="4:51" ht="13.5" customHeight="1" x14ac:dyDescent="0.25">
      <c r="D331" s="79" t="str">
        <f t="shared" si="298"/>
        <v>Soya beans</v>
      </c>
      <c r="E331" s="163">
        <f>ProjectedP205_Consumption!J62</f>
        <v>7.3752245286296467E-2</v>
      </c>
      <c r="F331" s="2">
        <f>ProjectedP205_Consumption!K62-E202-E263</f>
        <v>8.1156292475344588E-2</v>
      </c>
      <c r="G331" s="2">
        <f>ProjectedP205_Consumption!L62-F202-F263</f>
        <v>8.7840243648100474E-2</v>
      </c>
      <c r="H331" s="2">
        <f>ProjectedP205_Consumption!M62-G202-G263</f>
        <v>8.4244396818444173E-2</v>
      </c>
      <c r="K331" s="76">
        <f t="shared" si="334"/>
        <v>0.35</v>
      </c>
      <c r="L331" s="238">
        <f t="shared" si="299"/>
        <v>0.35</v>
      </c>
      <c r="M331" s="238">
        <f t="shared" si="300"/>
        <v>0.35</v>
      </c>
      <c r="N331" s="238">
        <f t="shared" si="301"/>
        <v>0.35</v>
      </c>
      <c r="O331" s="238">
        <f t="shared" si="335"/>
        <v>0</v>
      </c>
      <c r="P331" s="238">
        <f t="shared" si="302"/>
        <v>0</v>
      </c>
      <c r="Q331" s="238">
        <f t="shared" si="303"/>
        <v>0</v>
      </c>
      <c r="R331" s="238">
        <f t="shared" si="304"/>
        <v>0</v>
      </c>
      <c r="S331" s="238">
        <f t="shared" si="336"/>
        <v>0.5</v>
      </c>
      <c r="T331" s="238">
        <f t="shared" si="305"/>
        <v>0.5</v>
      </c>
      <c r="U331" s="238">
        <f t="shared" si="306"/>
        <v>0.5</v>
      </c>
      <c r="V331" s="238">
        <f t="shared" si="307"/>
        <v>0.5</v>
      </c>
      <c r="W331" s="238">
        <f t="shared" si="337"/>
        <v>0</v>
      </c>
      <c r="X331" s="238">
        <f t="shared" si="308"/>
        <v>0</v>
      </c>
      <c r="Y331" s="238">
        <f t="shared" si="309"/>
        <v>0</v>
      </c>
      <c r="Z331" s="238">
        <f t="shared" si="310"/>
        <v>0</v>
      </c>
      <c r="AA331" s="238">
        <f t="shared" si="338"/>
        <v>0.14666666666666667</v>
      </c>
      <c r="AB331" s="238">
        <f t="shared" si="311"/>
        <v>0.14666666666666667</v>
      </c>
      <c r="AC331" s="238">
        <f t="shared" si="312"/>
        <v>0.14666666666666667</v>
      </c>
      <c r="AD331" s="238">
        <f t="shared" si="313"/>
        <v>0.14666666666666667</v>
      </c>
      <c r="AF331" s="240">
        <f t="shared" si="314"/>
        <v>5.6115838804790791E-2</v>
      </c>
      <c r="AG331" s="240">
        <f t="shared" si="315"/>
        <v>6.1749352970370874E-2</v>
      </c>
      <c r="AH331" s="240">
        <f t="shared" si="316"/>
        <v>6.6834967993119915E-2</v>
      </c>
      <c r="AI331" s="240">
        <f t="shared" si="317"/>
        <v>6.4098997579250999E-2</v>
      </c>
      <c r="AJ331" s="240">
        <f t="shared" si="318"/>
        <v>0</v>
      </c>
      <c r="AK331" s="240">
        <f t="shared" si="319"/>
        <v>0</v>
      </c>
      <c r="AL331" s="240">
        <f t="shared" si="320"/>
        <v>0</v>
      </c>
      <c r="AM331" s="240">
        <f t="shared" si="321"/>
        <v>0</v>
      </c>
      <c r="AN331" s="240">
        <f t="shared" si="322"/>
        <v>0.33523747857407482</v>
      </c>
      <c r="AO331" s="240">
        <f t="shared" si="323"/>
        <v>0.36889223852429359</v>
      </c>
      <c r="AP331" s="240">
        <f t="shared" si="324"/>
        <v>0.39927383476409306</v>
      </c>
      <c r="AQ331" s="240">
        <f t="shared" si="325"/>
        <v>0.38292907644747354</v>
      </c>
      <c r="AR331" s="240">
        <f t="shared" si="326"/>
        <v>0</v>
      </c>
      <c r="AS331" s="240">
        <f t="shared" si="327"/>
        <v>0</v>
      </c>
      <c r="AT331" s="240">
        <f t="shared" si="328"/>
        <v>0</v>
      </c>
      <c r="AU331" s="240">
        <f t="shared" si="329"/>
        <v>0</v>
      </c>
      <c r="AV331" s="240">
        <f t="shared" si="330"/>
        <v>2.080191533716054E-2</v>
      </c>
      <c r="AW331" s="240">
        <f t="shared" si="331"/>
        <v>2.2890236339199756E-2</v>
      </c>
      <c r="AX331" s="240">
        <f t="shared" si="332"/>
        <v>2.4775453336643723E-2</v>
      </c>
      <c r="AY331" s="240">
        <f t="shared" si="333"/>
        <v>2.3761240128279123E-2</v>
      </c>
    </row>
    <row r="332" spans="4:51" ht="13.5" customHeight="1" x14ac:dyDescent="0.25">
      <c r="D332" s="79" t="str">
        <f t="shared" si="298"/>
        <v>Pigeon peas, dry</v>
      </c>
      <c r="E332" s="163">
        <f>ProjectedP205_Consumption!J63</f>
        <v>3.3205005553983813E-2</v>
      </c>
      <c r="F332" s="2">
        <f>ProjectedP205_Consumption!K63-E203-E264</f>
        <v>3.7055659122894699E-2</v>
      </c>
      <c r="G332" s="2">
        <f>ProjectedP205_Consumption!L63-F203-F264</f>
        <v>4.7000814834953122E-2</v>
      </c>
      <c r="H332" s="2">
        <f>ProjectedP205_Consumption!M63-G203-G264</f>
        <v>4.8611090506329856E-2</v>
      </c>
      <c r="K332" s="76">
        <f t="shared" si="334"/>
        <v>0.35</v>
      </c>
      <c r="L332" s="238">
        <f t="shared" si="299"/>
        <v>0.35</v>
      </c>
      <c r="M332" s="238">
        <f t="shared" si="300"/>
        <v>0.35</v>
      </c>
      <c r="N332" s="238">
        <f t="shared" si="301"/>
        <v>0.35</v>
      </c>
      <c r="O332" s="238">
        <f t="shared" si="335"/>
        <v>0</v>
      </c>
      <c r="P332" s="238">
        <f t="shared" si="302"/>
        <v>0</v>
      </c>
      <c r="Q332" s="238">
        <f t="shared" si="303"/>
        <v>0</v>
      </c>
      <c r="R332" s="238">
        <f t="shared" si="304"/>
        <v>0</v>
      </c>
      <c r="S332" s="238">
        <f t="shared" si="336"/>
        <v>0.5</v>
      </c>
      <c r="T332" s="238">
        <f t="shared" si="305"/>
        <v>0.5</v>
      </c>
      <c r="U332" s="238">
        <f t="shared" si="306"/>
        <v>0.5</v>
      </c>
      <c r="V332" s="238">
        <f t="shared" si="307"/>
        <v>0.5</v>
      </c>
      <c r="W332" s="238">
        <f t="shared" si="337"/>
        <v>0</v>
      </c>
      <c r="X332" s="238">
        <f t="shared" si="308"/>
        <v>0</v>
      </c>
      <c r="Y332" s="238">
        <f t="shared" si="309"/>
        <v>0</v>
      </c>
      <c r="Z332" s="238">
        <f t="shared" si="310"/>
        <v>0</v>
      </c>
      <c r="AA332" s="238">
        <f t="shared" si="338"/>
        <v>0.14666666666666667</v>
      </c>
      <c r="AB332" s="238">
        <f t="shared" si="311"/>
        <v>0.14666666666666667</v>
      </c>
      <c r="AC332" s="238">
        <f t="shared" si="312"/>
        <v>0.14666666666666667</v>
      </c>
      <c r="AD332" s="238">
        <f t="shared" si="313"/>
        <v>0.14666666666666667</v>
      </c>
      <c r="AF332" s="240">
        <f t="shared" si="314"/>
        <v>2.5264678138900723E-2</v>
      </c>
      <c r="AG332" s="240">
        <f t="shared" si="315"/>
        <v>2.8194523245680746E-2</v>
      </c>
      <c r="AH332" s="240">
        <f t="shared" si="316"/>
        <v>3.5761489548333893E-2</v>
      </c>
      <c r="AI332" s="240">
        <f t="shared" si="317"/>
        <v>3.698669929829445E-2</v>
      </c>
      <c r="AJ332" s="240">
        <f t="shared" si="318"/>
        <v>0</v>
      </c>
      <c r="AK332" s="240">
        <f t="shared" si="319"/>
        <v>0</v>
      </c>
      <c r="AL332" s="240">
        <f t="shared" si="320"/>
        <v>0</v>
      </c>
      <c r="AM332" s="240">
        <f t="shared" si="321"/>
        <v>0</v>
      </c>
      <c r="AN332" s="240">
        <f t="shared" si="322"/>
        <v>0.15093184342719915</v>
      </c>
      <c r="AO332" s="240">
        <f t="shared" si="323"/>
        <v>0.16843481419497591</v>
      </c>
      <c r="AP332" s="240">
        <f t="shared" si="324"/>
        <v>0.2136400674316051</v>
      </c>
      <c r="AQ332" s="240">
        <f t="shared" si="325"/>
        <v>0.22095950230149936</v>
      </c>
      <c r="AR332" s="240">
        <f t="shared" si="326"/>
        <v>0</v>
      </c>
      <c r="AS332" s="240">
        <f t="shared" si="327"/>
        <v>0</v>
      </c>
      <c r="AT332" s="240">
        <f t="shared" si="328"/>
        <v>0</v>
      </c>
      <c r="AU332" s="240">
        <f t="shared" si="329"/>
        <v>0</v>
      </c>
      <c r="AV332" s="240">
        <f t="shared" si="330"/>
        <v>9.365514387021075E-3</v>
      </c>
      <c r="AW332" s="240">
        <f t="shared" si="331"/>
        <v>1.0451596162867735E-2</v>
      </c>
      <c r="AX332" s="240">
        <f t="shared" si="332"/>
        <v>1.3256640081653445E-2</v>
      </c>
      <c r="AY332" s="240">
        <f t="shared" si="333"/>
        <v>1.3710820399221241E-2</v>
      </c>
    </row>
    <row r="333" spans="4:51" ht="13.5" customHeight="1" x14ac:dyDescent="0.25">
      <c r="D333" s="79" t="str">
        <f t="shared" si="298"/>
        <v>Potatoes</v>
      </c>
      <c r="E333" s="163">
        <f>ProjectedP205_Consumption!J64</f>
        <v>2.9516129212614282E-2</v>
      </c>
      <c r="F333" s="2">
        <f>ProjectedP205_Consumption!K64-E204-E265</f>
        <v>3.2196617421816877E-2</v>
      </c>
      <c r="G333" s="2">
        <f>ProjectedP205_Consumption!L64-F204-F265</f>
        <v>8.2197320573890412E-2</v>
      </c>
      <c r="H333" s="2">
        <f>ProjectedP205_Consumption!M64-G204-G265</f>
        <v>0.10934921341651364</v>
      </c>
      <c r="K333" s="76">
        <f t="shared" si="334"/>
        <v>0.35</v>
      </c>
      <c r="L333" s="238">
        <f t="shared" si="299"/>
        <v>0.35</v>
      </c>
      <c r="M333" s="238">
        <f t="shared" si="300"/>
        <v>0.35</v>
      </c>
      <c r="N333" s="238">
        <f t="shared" si="301"/>
        <v>0.35</v>
      </c>
      <c r="O333" s="238">
        <f t="shared" si="335"/>
        <v>0</v>
      </c>
      <c r="P333" s="238">
        <f t="shared" si="302"/>
        <v>0</v>
      </c>
      <c r="Q333" s="238">
        <f t="shared" si="303"/>
        <v>0</v>
      </c>
      <c r="R333" s="238">
        <f t="shared" si="304"/>
        <v>0</v>
      </c>
      <c r="S333" s="238">
        <f t="shared" si="336"/>
        <v>0.5</v>
      </c>
      <c r="T333" s="238">
        <f t="shared" si="305"/>
        <v>0.5</v>
      </c>
      <c r="U333" s="238">
        <f t="shared" si="306"/>
        <v>0.5</v>
      </c>
      <c r="V333" s="238">
        <f t="shared" si="307"/>
        <v>0.5</v>
      </c>
      <c r="W333" s="238">
        <f t="shared" si="337"/>
        <v>0</v>
      </c>
      <c r="X333" s="238">
        <f t="shared" si="308"/>
        <v>0</v>
      </c>
      <c r="Y333" s="238">
        <f t="shared" si="309"/>
        <v>0</v>
      </c>
      <c r="Z333" s="238">
        <f t="shared" si="310"/>
        <v>0</v>
      </c>
      <c r="AA333" s="238">
        <f t="shared" si="338"/>
        <v>0.14666666666666667</v>
      </c>
      <c r="AB333" s="238">
        <f t="shared" si="311"/>
        <v>0.14666666666666667</v>
      </c>
      <c r="AC333" s="238">
        <f t="shared" si="312"/>
        <v>0.14666666666666667</v>
      </c>
      <c r="AD333" s="238">
        <f t="shared" si="313"/>
        <v>0.14666666666666667</v>
      </c>
      <c r="AF333" s="240">
        <f t="shared" si="314"/>
        <v>2.245792440090217E-2</v>
      </c>
      <c r="AG333" s="240">
        <f t="shared" si="315"/>
        <v>2.4497426299208491E-2</v>
      </c>
      <c r="AH333" s="240">
        <f t="shared" si="316"/>
        <v>6.2541439567090518E-2</v>
      </c>
      <c r="AI333" s="240">
        <f t="shared" si="317"/>
        <v>8.3200488469086467E-2</v>
      </c>
      <c r="AJ333" s="240">
        <f t="shared" si="318"/>
        <v>0</v>
      </c>
      <c r="AK333" s="240">
        <f t="shared" si="319"/>
        <v>0</v>
      </c>
      <c r="AL333" s="240">
        <f t="shared" si="320"/>
        <v>0</v>
      </c>
      <c r="AM333" s="240">
        <f t="shared" si="321"/>
        <v>0</v>
      </c>
      <c r="AN333" s="240">
        <f t="shared" si="322"/>
        <v>0.13416422369370129</v>
      </c>
      <c r="AO333" s="240">
        <f t="shared" si="323"/>
        <v>0.14634826100825854</v>
      </c>
      <c r="AP333" s="240">
        <f t="shared" si="324"/>
        <v>0.37362418442677459</v>
      </c>
      <c r="AQ333" s="240">
        <f t="shared" si="325"/>
        <v>0.49704187916597109</v>
      </c>
      <c r="AR333" s="240">
        <f t="shared" si="326"/>
        <v>0</v>
      </c>
      <c r="AS333" s="240">
        <f t="shared" si="327"/>
        <v>0</v>
      </c>
      <c r="AT333" s="240">
        <f t="shared" si="328"/>
        <v>0</v>
      </c>
      <c r="AU333" s="240">
        <f t="shared" si="329"/>
        <v>0</v>
      </c>
      <c r="AV333" s="240">
        <f t="shared" si="330"/>
        <v>8.3250620856091563E-3</v>
      </c>
      <c r="AW333" s="240">
        <f t="shared" si="331"/>
        <v>9.0810972215380932E-3</v>
      </c>
      <c r="AX333" s="240">
        <f t="shared" si="332"/>
        <v>2.3183859649046012E-2</v>
      </c>
      <c r="AY333" s="240">
        <f t="shared" si="333"/>
        <v>3.084208583542692E-2</v>
      </c>
    </row>
    <row r="334" spans="4:51" ht="13.5" customHeight="1" x14ac:dyDescent="0.25">
      <c r="D334" s="79" t="str">
        <f t="shared" si="298"/>
        <v>Tea leaves</v>
      </c>
      <c r="E334" s="163">
        <f>ProjectedP205_Consumption!J65</f>
        <v>9.3395637698486758E-2</v>
      </c>
      <c r="F334" s="2">
        <f>ProjectedP205_Consumption!K65-E205-E266</f>
        <v>9.3788173716213508E-2</v>
      </c>
      <c r="G334" s="2">
        <f>ProjectedP205_Consumption!L65-F205-F266</f>
        <v>9.42115455493895E-2</v>
      </c>
      <c r="H334" s="2">
        <f>ProjectedP205_Consumption!M65-G205-G266</f>
        <v>9.211136656708116E-2</v>
      </c>
      <c r="K334" s="76">
        <f t="shared" si="334"/>
        <v>0.35</v>
      </c>
      <c r="L334" s="238">
        <f t="shared" si="299"/>
        <v>0.35</v>
      </c>
      <c r="M334" s="238">
        <f t="shared" si="300"/>
        <v>0.35</v>
      </c>
      <c r="N334" s="238">
        <f t="shared" si="301"/>
        <v>0.35</v>
      </c>
      <c r="O334" s="238">
        <f t="shared" si="335"/>
        <v>0</v>
      </c>
      <c r="P334" s="238">
        <f t="shared" si="302"/>
        <v>0</v>
      </c>
      <c r="Q334" s="238">
        <f t="shared" si="303"/>
        <v>0</v>
      </c>
      <c r="R334" s="238">
        <f t="shared" si="304"/>
        <v>0</v>
      </c>
      <c r="S334" s="238">
        <f t="shared" si="336"/>
        <v>0.5</v>
      </c>
      <c r="T334" s="238">
        <f t="shared" si="305"/>
        <v>0.5</v>
      </c>
      <c r="U334" s="238">
        <f t="shared" si="306"/>
        <v>0.5</v>
      </c>
      <c r="V334" s="238">
        <f t="shared" si="307"/>
        <v>0.5</v>
      </c>
      <c r="W334" s="238">
        <f t="shared" si="337"/>
        <v>0</v>
      </c>
      <c r="X334" s="238">
        <f t="shared" si="308"/>
        <v>0</v>
      </c>
      <c r="Y334" s="238">
        <f t="shared" si="309"/>
        <v>0</v>
      </c>
      <c r="Z334" s="238">
        <f t="shared" si="310"/>
        <v>0</v>
      </c>
      <c r="AA334" s="238">
        <f t="shared" si="338"/>
        <v>0.14666666666666667</v>
      </c>
      <c r="AB334" s="238">
        <f t="shared" si="311"/>
        <v>0.14666666666666667</v>
      </c>
      <c r="AC334" s="238">
        <f t="shared" si="312"/>
        <v>0.14666666666666667</v>
      </c>
      <c r="AD334" s="238">
        <f t="shared" si="313"/>
        <v>0.14666666666666667</v>
      </c>
      <c r="AF334" s="240">
        <f t="shared" si="314"/>
        <v>7.1061898248848621E-2</v>
      </c>
      <c r="AG334" s="240">
        <f t="shared" si="315"/>
        <v>7.1360566957988536E-2</v>
      </c>
      <c r="AH334" s="240">
        <f t="shared" si="316"/>
        <v>7.1682697700622439E-2</v>
      </c>
      <c r="AI334" s="240">
        <f t="shared" si="317"/>
        <v>7.0084735431474782E-2</v>
      </c>
      <c r="AJ334" s="240">
        <f t="shared" si="318"/>
        <v>0</v>
      </c>
      <c r="AK334" s="240">
        <f t="shared" si="319"/>
        <v>0</v>
      </c>
      <c r="AL334" s="240">
        <f t="shared" si="320"/>
        <v>0</v>
      </c>
      <c r="AM334" s="240">
        <f t="shared" si="321"/>
        <v>0</v>
      </c>
      <c r="AN334" s="240">
        <f t="shared" si="322"/>
        <v>0.42452562590221254</v>
      </c>
      <c r="AO334" s="240">
        <f t="shared" si="323"/>
        <v>0.4263098805282432</v>
      </c>
      <c r="AP334" s="240">
        <f t="shared" si="324"/>
        <v>0.42823429795177043</v>
      </c>
      <c r="AQ334" s="240">
        <f t="shared" si="325"/>
        <v>0.4186880298503689</v>
      </c>
      <c r="AR334" s="240">
        <f t="shared" si="326"/>
        <v>0</v>
      </c>
      <c r="AS334" s="240">
        <f t="shared" si="327"/>
        <v>0</v>
      </c>
      <c r="AT334" s="240">
        <f t="shared" si="328"/>
        <v>0</v>
      </c>
      <c r="AU334" s="240">
        <f t="shared" si="329"/>
        <v>0</v>
      </c>
      <c r="AV334" s="240">
        <f t="shared" si="330"/>
        <v>2.634235935085524E-2</v>
      </c>
      <c r="AW334" s="240">
        <f t="shared" si="331"/>
        <v>2.6453074637906374E-2</v>
      </c>
      <c r="AX334" s="240">
        <f t="shared" si="332"/>
        <v>2.6572487206238064E-2</v>
      </c>
      <c r="AY334" s="240">
        <f t="shared" si="333"/>
        <v>2.598012903174084E-2</v>
      </c>
    </row>
    <row r="335" spans="4:51" ht="13.5" customHeight="1" x14ac:dyDescent="0.25">
      <c r="D335" s="79" t="str">
        <f t="shared" si="298"/>
        <v>Cow peas, dry</v>
      </c>
      <c r="E335" s="163">
        <f>ProjectedP205_Consumption!J66</f>
        <v>2.5472334788361903E-2</v>
      </c>
      <c r="F335" s="2">
        <f>ProjectedP205_Consumption!K66-E206-E267</f>
        <v>2.9145731341937469E-2</v>
      </c>
      <c r="G335" s="2">
        <f>ProjectedP205_Consumption!L66-F206-F267</f>
        <v>3.7903648831911572E-2</v>
      </c>
      <c r="H335" s="2">
        <f>ProjectedP205_Consumption!M66-G206-G267</f>
        <v>4.019446146302165E-2</v>
      </c>
      <c r="K335" s="76">
        <f t="shared" si="334"/>
        <v>0.35</v>
      </c>
      <c r="L335" s="238">
        <f t="shared" si="299"/>
        <v>0.35</v>
      </c>
      <c r="M335" s="238">
        <f t="shared" si="300"/>
        <v>0.35</v>
      </c>
      <c r="N335" s="238">
        <f t="shared" si="301"/>
        <v>0.35</v>
      </c>
      <c r="O335" s="238">
        <f t="shared" si="335"/>
        <v>0</v>
      </c>
      <c r="P335" s="238">
        <f t="shared" si="302"/>
        <v>0</v>
      </c>
      <c r="Q335" s="238">
        <f t="shared" si="303"/>
        <v>0</v>
      </c>
      <c r="R335" s="238">
        <f t="shared" si="304"/>
        <v>0</v>
      </c>
      <c r="S335" s="238">
        <f t="shared" si="336"/>
        <v>0.5</v>
      </c>
      <c r="T335" s="238">
        <f t="shared" si="305"/>
        <v>0.5</v>
      </c>
      <c r="U335" s="238">
        <f t="shared" si="306"/>
        <v>0.5</v>
      </c>
      <c r="V335" s="238">
        <f t="shared" si="307"/>
        <v>0.5</v>
      </c>
      <c r="W335" s="238">
        <f t="shared" si="337"/>
        <v>0</v>
      </c>
      <c r="X335" s="238">
        <f t="shared" si="308"/>
        <v>0</v>
      </c>
      <c r="Y335" s="238">
        <f t="shared" si="309"/>
        <v>0</v>
      </c>
      <c r="Z335" s="238">
        <f t="shared" si="310"/>
        <v>0</v>
      </c>
      <c r="AA335" s="238">
        <f t="shared" si="338"/>
        <v>0.14666666666666667</v>
      </c>
      <c r="AB335" s="238">
        <f t="shared" si="311"/>
        <v>0.14666666666666667</v>
      </c>
      <c r="AC335" s="238">
        <f t="shared" si="312"/>
        <v>0.14666666666666667</v>
      </c>
      <c r="AD335" s="238">
        <f t="shared" si="313"/>
        <v>0.14666666666666667</v>
      </c>
      <c r="AF335" s="240">
        <f t="shared" si="314"/>
        <v>1.9381124295492748E-2</v>
      </c>
      <c r="AG335" s="240">
        <f t="shared" si="315"/>
        <v>2.2176099934082854E-2</v>
      </c>
      <c r="AH335" s="240">
        <f t="shared" si="316"/>
        <v>2.8839732806889236E-2</v>
      </c>
      <c r="AI335" s="240">
        <f t="shared" si="317"/>
        <v>3.0582742417516469E-2</v>
      </c>
      <c r="AJ335" s="240">
        <f t="shared" si="318"/>
        <v>0</v>
      </c>
      <c r="AK335" s="240">
        <f t="shared" si="319"/>
        <v>0</v>
      </c>
      <c r="AL335" s="240">
        <f t="shared" si="320"/>
        <v>0</v>
      </c>
      <c r="AM335" s="240">
        <f t="shared" si="321"/>
        <v>0</v>
      </c>
      <c r="AN335" s="240">
        <f t="shared" si="322"/>
        <v>0.11578333994709956</v>
      </c>
      <c r="AO335" s="240">
        <f t="shared" si="323"/>
        <v>0.13248059700880668</v>
      </c>
      <c r="AP335" s="240">
        <f t="shared" si="324"/>
        <v>0.17228931287232532</v>
      </c>
      <c r="AQ335" s="240">
        <f t="shared" si="325"/>
        <v>0.18270209755918931</v>
      </c>
      <c r="AR335" s="240">
        <f t="shared" si="326"/>
        <v>0</v>
      </c>
      <c r="AS335" s="240">
        <f t="shared" si="327"/>
        <v>0</v>
      </c>
      <c r="AT335" s="240">
        <f t="shared" si="328"/>
        <v>0</v>
      </c>
      <c r="AU335" s="240">
        <f t="shared" si="329"/>
        <v>0</v>
      </c>
      <c r="AV335" s="240">
        <f t="shared" si="330"/>
        <v>7.1845046838969464E-3</v>
      </c>
      <c r="AW335" s="240">
        <f t="shared" si="331"/>
        <v>8.2205908913156964E-3</v>
      </c>
      <c r="AX335" s="240">
        <f t="shared" si="332"/>
        <v>1.0690772747462237E-2</v>
      </c>
      <c r="AY335" s="240">
        <f t="shared" si="333"/>
        <v>1.1336899387006105E-2</v>
      </c>
    </row>
    <row r="336" spans="4:51" ht="13.5" customHeight="1" x14ac:dyDescent="0.25">
      <c r="D336" s="79" t="str">
        <f t="shared" si="298"/>
        <v>Peas, dry</v>
      </c>
      <c r="E336" s="163">
        <f>ProjectedP205_Consumption!J67</f>
        <v>2.010761451622815E-2</v>
      </c>
      <c r="F336" s="2">
        <f>ProjectedP205_Consumption!K67-E207-E268</f>
        <v>2.2094411501073094E-2</v>
      </c>
      <c r="G336" s="2">
        <f>ProjectedP205_Consumption!L67-F207-F268</f>
        <v>2.7593334459356217E-2</v>
      </c>
      <c r="H336" s="2">
        <f>ProjectedP205_Consumption!M67-G207-G268</f>
        <v>2.8099918731265709E-2</v>
      </c>
      <c r="K336" s="76">
        <f t="shared" si="334"/>
        <v>0.35</v>
      </c>
      <c r="L336" s="238">
        <f t="shared" si="299"/>
        <v>0.35</v>
      </c>
      <c r="M336" s="238">
        <f t="shared" si="300"/>
        <v>0.35</v>
      </c>
      <c r="N336" s="238">
        <f t="shared" si="301"/>
        <v>0.35</v>
      </c>
      <c r="O336" s="238">
        <f t="shared" si="335"/>
        <v>0</v>
      </c>
      <c r="P336" s="238">
        <f t="shared" si="302"/>
        <v>0</v>
      </c>
      <c r="Q336" s="238">
        <f t="shared" si="303"/>
        <v>0</v>
      </c>
      <c r="R336" s="238">
        <f t="shared" si="304"/>
        <v>0</v>
      </c>
      <c r="S336" s="238">
        <f t="shared" si="336"/>
        <v>0.5</v>
      </c>
      <c r="T336" s="238">
        <f t="shared" si="305"/>
        <v>0.5</v>
      </c>
      <c r="U336" s="238">
        <f t="shared" si="306"/>
        <v>0.5</v>
      </c>
      <c r="V336" s="238">
        <f t="shared" si="307"/>
        <v>0.5</v>
      </c>
      <c r="W336" s="238">
        <f t="shared" si="337"/>
        <v>0</v>
      </c>
      <c r="X336" s="238">
        <f t="shared" si="308"/>
        <v>0</v>
      </c>
      <c r="Y336" s="238">
        <f t="shared" si="309"/>
        <v>0</v>
      </c>
      <c r="Z336" s="238">
        <f t="shared" si="310"/>
        <v>0</v>
      </c>
      <c r="AA336" s="238">
        <f t="shared" si="338"/>
        <v>0.14666666666666667</v>
      </c>
      <c r="AB336" s="238">
        <f t="shared" si="311"/>
        <v>0.14666666666666667</v>
      </c>
      <c r="AC336" s="238">
        <f t="shared" si="312"/>
        <v>0.14666666666666667</v>
      </c>
      <c r="AD336" s="238">
        <f t="shared" si="313"/>
        <v>0.14666666666666667</v>
      </c>
      <c r="AF336" s="240">
        <f t="shared" si="314"/>
        <v>1.5299271914521417E-2</v>
      </c>
      <c r="AG336" s="240">
        <f t="shared" si="315"/>
        <v>1.6810965272555614E-2</v>
      </c>
      <c r="AH336" s="240">
        <f t="shared" si="316"/>
        <v>2.0994928392988423E-2</v>
      </c>
      <c r="AI336" s="240">
        <f t="shared" si="317"/>
        <v>2.1380372947702168E-2</v>
      </c>
      <c r="AJ336" s="240">
        <f t="shared" si="318"/>
        <v>0</v>
      </c>
      <c r="AK336" s="240">
        <f t="shared" si="319"/>
        <v>0</v>
      </c>
      <c r="AL336" s="240">
        <f t="shared" si="320"/>
        <v>0</v>
      </c>
      <c r="AM336" s="240">
        <f t="shared" si="321"/>
        <v>0</v>
      </c>
      <c r="AN336" s="240">
        <f t="shared" si="322"/>
        <v>9.1398247801037044E-2</v>
      </c>
      <c r="AO336" s="240">
        <f t="shared" si="323"/>
        <v>0.10042914318669588</v>
      </c>
      <c r="AP336" s="240">
        <f t="shared" si="324"/>
        <v>0.12542424754252826</v>
      </c>
      <c r="AQ336" s="240">
        <f t="shared" si="325"/>
        <v>0.12772690332393505</v>
      </c>
      <c r="AR336" s="240">
        <f t="shared" si="326"/>
        <v>0</v>
      </c>
      <c r="AS336" s="240">
        <f t="shared" si="327"/>
        <v>0</v>
      </c>
      <c r="AT336" s="240">
        <f t="shared" si="328"/>
        <v>0</v>
      </c>
      <c r="AU336" s="240">
        <f t="shared" si="329"/>
        <v>0</v>
      </c>
      <c r="AV336" s="240">
        <f t="shared" si="330"/>
        <v>5.6713784532951188E-3</v>
      </c>
      <c r="AW336" s="240">
        <f t="shared" si="331"/>
        <v>6.231757090046257E-3</v>
      </c>
      <c r="AX336" s="240">
        <f t="shared" si="332"/>
        <v>7.7827353603312404E-3</v>
      </c>
      <c r="AY336" s="240">
        <f t="shared" si="333"/>
        <v>7.9256181036903278E-3</v>
      </c>
    </row>
    <row r="337" spans="4:51" ht="13.5" customHeight="1" thickBot="1" x14ac:dyDescent="0.3">
      <c r="D337" s="232" t="s">
        <v>13</v>
      </c>
      <c r="E337" s="232">
        <f>SUM(E313:E336)</f>
        <v>11.695624956645831</v>
      </c>
      <c r="F337" s="232">
        <f>SUM(F313:F336)</f>
        <v>14.054775232596789</v>
      </c>
      <c r="G337" s="232">
        <f>SUM(G313:G336)</f>
        <v>24.654894113524882</v>
      </c>
      <c r="H337" s="232">
        <f>SUM(H313:H336)</f>
        <v>30.241556497186874</v>
      </c>
      <c r="AF337" s="7"/>
      <c r="AG337" s="7"/>
      <c r="AH337" s="7"/>
      <c r="AI337" s="7"/>
      <c r="AJ337" s="7"/>
      <c r="AK337" s="7"/>
      <c r="AL337" s="7"/>
      <c r="AM337" s="7"/>
      <c r="AN337" s="7"/>
      <c r="AO337" s="7"/>
      <c r="AP337" s="7"/>
    </row>
    <row r="338" spans="4:51" ht="13.5" customHeight="1" thickTop="1" thickBot="1" x14ac:dyDescent="0.3">
      <c r="D338" s="236" t="s">
        <v>205</v>
      </c>
      <c r="E338" s="236"/>
      <c r="F338" s="236">
        <f>F337/46%</f>
        <v>30.553859201297367</v>
      </c>
      <c r="G338" s="236">
        <f t="shared" ref="G338:H338" si="339">G337/46%</f>
        <v>53.597595898967135</v>
      </c>
      <c r="H338" s="236">
        <f t="shared" si="339"/>
        <v>65.742514124319285</v>
      </c>
      <c r="AF338" s="232">
        <f t="shared" ref="AF338:AQ338" si="340">SUM(AF313:AF336)</f>
        <v>8.8988450757087811</v>
      </c>
      <c r="AG338" s="232">
        <f t="shared" si="340"/>
        <v>10.693850720454073</v>
      </c>
      <c r="AH338" s="232">
        <f t="shared" si="340"/>
        <v>18.759158564638504</v>
      </c>
      <c r="AI338" s="232">
        <f t="shared" si="340"/>
        <v>23.009879943511741</v>
      </c>
      <c r="AJ338" s="232">
        <f t="shared" si="340"/>
        <v>0</v>
      </c>
      <c r="AK338" s="232">
        <f t="shared" si="340"/>
        <v>0</v>
      </c>
      <c r="AL338" s="232">
        <f t="shared" si="340"/>
        <v>0</v>
      </c>
      <c r="AM338" s="232">
        <f t="shared" si="340"/>
        <v>0</v>
      </c>
      <c r="AN338" s="232">
        <f t="shared" si="340"/>
        <v>53.161931621117411</v>
      </c>
      <c r="AO338" s="232">
        <f t="shared" si="340"/>
        <v>63.885341966349039</v>
      </c>
      <c r="AP338" s="232">
        <f t="shared" si="340"/>
        <v>112.06770051602226</v>
      </c>
      <c r="AQ338" s="232">
        <f t="shared" si="340"/>
        <v>137.4616204417585</v>
      </c>
      <c r="AR338" s="232">
        <f t="shared" ref="AR338:AY338" si="341">SUM(AR313:AR336)</f>
        <v>0</v>
      </c>
      <c r="AS338" s="232">
        <f t="shared" si="341"/>
        <v>0</v>
      </c>
      <c r="AT338" s="232">
        <f t="shared" si="341"/>
        <v>0</v>
      </c>
      <c r="AU338" s="232">
        <f t="shared" si="341"/>
        <v>0</v>
      </c>
      <c r="AV338" s="232">
        <f t="shared" si="341"/>
        <v>3.2987660134129255</v>
      </c>
      <c r="AW338" s="232">
        <f t="shared" si="341"/>
        <v>3.9641673732965295</v>
      </c>
      <c r="AX338" s="232">
        <f t="shared" si="341"/>
        <v>6.9539444935583026</v>
      </c>
      <c r="AY338" s="232">
        <f t="shared" si="341"/>
        <v>8.5296697812578373</v>
      </c>
    </row>
    <row r="339" spans="4:51" ht="13.5" customHeight="1" thickTop="1" x14ac:dyDescent="0.25"/>
  </sheetData>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0C91-8E7D-44D2-89E6-6D4146B0A2FC}">
  <dimension ref="A1:AJ837"/>
  <sheetViews>
    <sheetView showGridLines="0" topLeftCell="D1" zoomScale="86" zoomScaleNormal="100" workbookViewId="0">
      <selection activeCell="H68" sqref="H68"/>
    </sheetView>
  </sheetViews>
  <sheetFormatPr defaultColWidth="9.26953125" defaultRowHeight="13.5" customHeight="1" x14ac:dyDescent="0.25"/>
  <cols>
    <col min="1" max="1" width="1.7265625" style="298" customWidth="1"/>
    <col min="2" max="2" width="2.7265625" style="298" customWidth="1"/>
    <col min="3" max="3" width="2" style="298" customWidth="1"/>
    <col min="4" max="4" width="53.7265625" style="298" bestFit="1" customWidth="1"/>
    <col min="5" max="6" width="20" style="298" customWidth="1"/>
    <col min="7" max="7" width="16.1796875" style="298" customWidth="1"/>
    <col min="8" max="13" width="20" style="298" customWidth="1"/>
    <col min="14" max="14" width="11.453125" style="298" customWidth="1"/>
    <col min="15" max="15" width="11.7265625" style="298" customWidth="1"/>
    <col min="16" max="16384" width="9.26953125" style="298"/>
  </cols>
  <sheetData>
    <row r="1" spans="1:36" s="287" customFormat="1" ht="13.5" customHeight="1" x14ac:dyDescent="0.25">
      <c r="A1" s="285"/>
      <c r="B1" s="285"/>
      <c r="C1" s="285"/>
      <c r="D1" s="286" t="s">
        <v>70</v>
      </c>
      <c r="E1" s="286"/>
    </row>
    <row r="2" spans="1:36" s="287" customFormat="1" ht="13.5" customHeight="1" x14ac:dyDescent="0.25">
      <c r="A2" s="285"/>
      <c r="B2" s="285"/>
      <c r="C2" s="285"/>
      <c r="D2" s="286"/>
      <c r="E2" s="288" t="s">
        <v>305</v>
      </c>
    </row>
    <row r="3" spans="1:36" s="287" customFormat="1" ht="13.5" customHeight="1" x14ac:dyDescent="0.25">
      <c r="A3" s="285"/>
      <c r="B3" s="285"/>
      <c r="C3" s="285"/>
      <c r="D3" s="286"/>
      <c r="E3" s="289" t="str">
        <f ca="1">MID(CELL("filename",E3),FIND("]",CELL("filename",E3))+1,256)</f>
        <v xml:space="preserve">OCP_CropsMix </v>
      </c>
    </row>
    <row r="4" spans="1:36" s="287" customFormat="1" ht="13.5" customHeight="1" x14ac:dyDescent="0.25">
      <c r="A4" s="285"/>
      <c r="B4" s="285"/>
      <c r="C4" s="285"/>
      <c r="D4" s="286"/>
      <c r="E4" s="286"/>
    </row>
    <row r="5" spans="1:36" s="293" customFormat="1" ht="13.5" customHeight="1" x14ac:dyDescent="0.3">
      <c r="A5" s="290"/>
      <c r="B5" s="290"/>
      <c r="C5" s="290"/>
      <c r="D5" s="291"/>
      <c r="E5" s="292"/>
    </row>
    <row r="6" spans="1:36" s="297" customFormat="1" ht="13.5" customHeight="1" x14ac:dyDescent="0.3">
      <c r="A6" s="294"/>
      <c r="B6" s="294"/>
      <c r="C6" s="294"/>
      <c r="D6" s="295"/>
      <c r="E6" s="296"/>
    </row>
    <row r="7" spans="1:36" ht="13.5" customHeight="1" x14ac:dyDescent="0.3">
      <c r="D7" s="299" t="s">
        <v>302</v>
      </c>
      <c r="L7" s="287"/>
      <c r="M7" s="287"/>
      <c r="N7" s="287"/>
    </row>
    <row r="8" spans="1:36" ht="13.5" customHeight="1" x14ac:dyDescent="0.3">
      <c r="D8" s="300" t="s">
        <v>204</v>
      </c>
      <c r="J8" s="300" t="s">
        <v>303</v>
      </c>
      <c r="L8" s="287"/>
      <c r="M8" s="287"/>
      <c r="N8" s="287"/>
    </row>
    <row r="9" spans="1:36" ht="13.5" customHeight="1" x14ac:dyDescent="0.3">
      <c r="E9" s="301" t="s">
        <v>182</v>
      </c>
      <c r="F9" s="301" t="s">
        <v>183</v>
      </c>
      <c r="G9" s="301" t="s">
        <v>321</v>
      </c>
      <c r="H9" s="301" t="s">
        <v>257</v>
      </c>
      <c r="J9" s="301" t="s">
        <v>182</v>
      </c>
      <c r="K9" s="301" t="s">
        <v>183</v>
      </c>
      <c r="L9" s="301" t="s">
        <v>321</v>
      </c>
      <c r="M9" s="301" t="s">
        <v>257</v>
      </c>
    </row>
    <row r="10" spans="1:36" ht="13.5" customHeight="1" x14ac:dyDescent="0.3">
      <c r="D10" s="302" t="s">
        <v>15</v>
      </c>
      <c r="E10" s="303">
        <v>2025</v>
      </c>
      <c r="F10" s="303"/>
      <c r="G10" s="303"/>
      <c r="H10" s="303"/>
      <c r="J10" s="303">
        <v>2025</v>
      </c>
      <c r="K10" s="303"/>
      <c r="L10" s="303"/>
      <c r="M10" s="303"/>
    </row>
    <row r="11" spans="1:36" ht="13.5" customHeight="1" x14ac:dyDescent="0.25">
      <c r="A11" s="287"/>
      <c r="B11" s="287"/>
      <c r="C11" s="287"/>
      <c r="D11" s="304" t="str">
        <f>OCP_SalesProduct!D123</f>
        <v>Plantains and cooking bananas</v>
      </c>
      <c r="E11" s="305">
        <f>OCP_SalesProduct!Z156+OCP_SalesProduct!Z217</f>
        <v>0.35936113773942208</v>
      </c>
      <c r="F11" s="305">
        <f>OCP_SalesProduct!AC156+OCP_SalesProduct!AC217</f>
        <v>0</v>
      </c>
      <c r="G11" s="305">
        <f>OCP_SalesProduct!AF156+OCP_SalesProduct!AF217</f>
        <v>0</v>
      </c>
      <c r="H11" s="305">
        <f>OCP_SalesProduct!AI156+OCP_SalesProduct!AI217</f>
        <v>0</v>
      </c>
      <c r="J11" s="306">
        <f t="shared" ref="J11:J34" si="0">E11/SUM($E11:$H11)</f>
        <v>1</v>
      </c>
      <c r="K11" s="306">
        <f t="shared" ref="K11:K34" si="1">F11/SUM($E11:$H11)</f>
        <v>0</v>
      </c>
      <c r="L11" s="306">
        <f t="shared" ref="L11:L34" si="2">G11/SUM($E11:$H11)</f>
        <v>0</v>
      </c>
      <c r="M11" s="306">
        <f t="shared" ref="M11:M34" si="3">H11/SUM($E11:$H11)</f>
        <v>0</v>
      </c>
      <c r="P11" s="287"/>
      <c r="Q11" s="287"/>
      <c r="R11" s="287"/>
      <c r="S11" s="287"/>
      <c r="T11" s="287"/>
      <c r="U11" s="287"/>
      <c r="V11" s="287"/>
      <c r="W11" s="287"/>
      <c r="X11" s="287"/>
      <c r="Y11" s="287"/>
      <c r="Z11" s="287"/>
      <c r="AA11" s="287"/>
      <c r="AB11" s="287"/>
      <c r="AC11" s="287"/>
      <c r="AD11" s="287"/>
      <c r="AE11" s="287"/>
      <c r="AF11" s="287"/>
      <c r="AG11" s="287"/>
      <c r="AH11" s="287"/>
      <c r="AI11" s="287"/>
      <c r="AJ11" s="287"/>
    </row>
    <row r="12" spans="1:36" ht="13.5" customHeight="1" x14ac:dyDescent="0.25">
      <c r="A12" s="287"/>
      <c r="B12" s="287"/>
      <c r="C12" s="287"/>
      <c r="D12" s="304" t="str">
        <f>OCP_SalesProduct!D124</f>
        <v>Maize (corn)</v>
      </c>
      <c r="E12" s="305">
        <f>OCP_SalesProduct!Z157+OCP_SalesProduct!Z218</f>
        <v>0</v>
      </c>
      <c r="F12" s="305">
        <f>OCP_SalesProduct!AC157+OCP_SalesProduct!AC218</f>
        <v>0</v>
      </c>
      <c r="G12" s="305">
        <f>OCP_SalesProduct!AF157+OCP_SalesProduct!AF218</f>
        <v>5.3647125496763639</v>
      </c>
      <c r="H12" s="305">
        <f>OCP_SalesProduct!AI157+OCP_SalesProduct!AI218</f>
        <v>0</v>
      </c>
      <c r="J12" s="306">
        <f t="shared" si="0"/>
        <v>0</v>
      </c>
      <c r="K12" s="306">
        <f t="shared" si="1"/>
        <v>0</v>
      </c>
      <c r="L12" s="306">
        <f t="shared" si="2"/>
        <v>1</v>
      </c>
      <c r="M12" s="306">
        <f t="shared" si="3"/>
        <v>0</v>
      </c>
      <c r="P12" s="287"/>
      <c r="Q12" s="287"/>
      <c r="R12" s="287"/>
      <c r="S12" s="287"/>
      <c r="T12" s="287"/>
      <c r="U12" s="287"/>
      <c r="V12" s="287"/>
      <c r="W12" s="287"/>
      <c r="X12" s="287"/>
      <c r="Y12" s="287"/>
      <c r="Z12" s="287"/>
      <c r="AA12" s="287"/>
      <c r="AB12" s="287"/>
      <c r="AC12" s="287"/>
      <c r="AD12" s="287"/>
      <c r="AE12" s="287"/>
      <c r="AF12" s="287"/>
      <c r="AG12" s="287"/>
      <c r="AH12" s="287"/>
      <c r="AI12" s="287"/>
      <c r="AJ12" s="287"/>
    </row>
    <row r="13" spans="1:36" ht="13.5" customHeight="1" x14ac:dyDescent="0.25">
      <c r="A13" s="287"/>
      <c r="B13" s="287"/>
      <c r="C13" s="287"/>
      <c r="D13" s="304" t="str">
        <f>OCP_SalesProduct!D125</f>
        <v>Cassava, fresh</v>
      </c>
      <c r="E13" s="305">
        <f>OCP_SalesProduct!Z158+OCP_SalesProduct!Z219</f>
        <v>0.27935326000161143</v>
      </c>
      <c r="F13" s="305">
        <f>OCP_SalesProduct!AC158+OCP_SalesProduct!AC219</f>
        <v>0</v>
      </c>
      <c r="G13" s="305">
        <f>OCP_SalesProduct!AF158+OCP_SalesProduct!AF219</f>
        <v>0.27935326000161143</v>
      </c>
      <c r="H13" s="305">
        <f>OCP_SalesProduct!AI158+OCP_SalesProduct!AI219</f>
        <v>0</v>
      </c>
      <c r="J13" s="306">
        <f t="shared" si="0"/>
        <v>0.5</v>
      </c>
      <c r="K13" s="306">
        <f t="shared" si="1"/>
        <v>0</v>
      </c>
      <c r="L13" s="306">
        <f t="shared" si="2"/>
        <v>0.5</v>
      </c>
      <c r="M13" s="306">
        <f t="shared" si="3"/>
        <v>0</v>
      </c>
      <c r="P13" s="287"/>
      <c r="Q13" s="287"/>
      <c r="R13" s="287"/>
      <c r="S13" s="287"/>
      <c r="T13" s="287"/>
      <c r="U13" s="287"/>
      <c r="V13" s="287"/>
      <c r="W13" s="287"/>
      <c r="X13" s="287"/>
      <c r="Y13" s="287"/>
      <c r="Z13" s="287"/>
      <c r="AA13" s="287"/>
      <c r="AB13" s="287"/>
      <c r="AC13" s="287"/>
      <c r="AD13" s="287"/>
      <c r="AE13" s="287"/>
      <c r="AF13" s="287"/>
      <c r="AG13" s="287"/>
      <c r="AH13" s="287"/>
      <c r="AI13" s="287"/>
      <c r="AJ13" s="287"/>
    </row>
    <row r="14" spans="1:36" ht="13.5" customHeight="1" x14ac:dyDescent="0.35">
      <c r="A14" s="287"/>
      <c r="B14" s="307"/>
      <c r="C14" s="287"/>
      <c r="D14" s="304" t="str">
        <f>OCP_SalesProduct!D126</f>
        <v>Coffee, green</v>
      </c>
      <c r="E14" s="305">
        <f>OCP_SalesProduct!Z159+OCP_SalesProduct!Z220</f>
        <v>0.38032654896337542</v>
      </c>
      <c r="F14" s="305">
        <f>OCP_SalesProduct!AC159+OCP_SalesProduct!AC220</f>
        <v>1.5213061958535017</v>
      </c>
      <c r="G14" s="305">
        <f>OCP_SalesProduct!AF159+OCP_SalesProduct!AF220</f>
        <v>0</v>
      </c>
      <c r="H14" s="305">
        <f>OCP_SalesProduct!AI159+OCP_SalesProduct!AI220</f>
        <v>0</v>
      </c>
      <c r="J14" s="306">
        <f t="shared" si="0"/>
        <v>0.2</v>
      </c>
      <c r="K14" s="306">
        <f t="shared" si="1"/>
        <v>0.8</v>
      </c>
      <c r="L14" s="306">
        <f t="shared" si="2"/>
        <v>0</v>
      </c>
      <c r="M14" s="306">
        <f t="shared" si="3"/>
        <v>0</v>
      </c>
      <c r="P14" s="287"/>
      <c r="Q14" s="287"/>
      <c r="R14" s="287"/>
      <c r="S14" s="287"/>
      <c r="T14" s="287"/>
      <c r="U14" s="287"/>
      <c r="V14" s="287"/>
      <c r="W14" s="287"/>
      <c r="X14" s="287"/>
      <c r="Y14" s="287"/>
      <c r="Z14" s="287"/>
      <c r="AA14" s="287"/>
      <c r="AB14" s="287"/>
      <c r="AC14" s="287"/>
      <c r="AD14" s="287"/>
      <c r="AE14" s="287"/>
      <c r="AF14" s="287"/>
      <c r="AG14" s="287"/>
      <c r="AH14" s="287"/>
      <c r="AI14" s="287"/>
      <c r="AJ14" s="287"/>
    </row>
    <row r="15" spans="1:36" ht="13.5" customHeight="1" x14ac:dyDescent="0.25">
      <c r="A15" s="287"/>
      <c r="B15" s="287"/>
      <c r="C15" s="287"/>
      <c r="D15" s="304" t="str">
        <f>OCP_SalesProduct!D127</f>
        <v>Beans, dry</v>
      </c>
      <c r="E15" s="305">
        <f>OCP_SalesProduct!Z160+OCP_SalesProduct!Z221</f>
        <v>7.4578257108677035E-2</v>
      </c>
      <c r="F15" s="305">
        <f>OCP_SalesProduct!AC160+OCP_SalesProduct!AC221</f>
        <v>0.29831302843470814</v>
      </c>
      <c r="G15" s="305">
        <f>OCP_SalesProduct!AF160+OCP_SalesProduct!AF221</f>
        <v>0</v>
      </c>
      <c r="H15" s="305">
        <f>OCP_SalesProduct!AI160+OCP_SalesProduct!AI221</f>
        <v>0</v>
      </c>
      <c r="J15" s="306">
        <f t="shared" si="0"/>
        <v>0.19999999999999998</v>
      </c>
      <c r="K15" s="306">
        <f t="shared" si="1"/>
        <v>0.79999999999999993</v>
      </c>
      <c r="L15" s="306">
        <f t="shared" si="2"/>
        <v>0</v>
      </c>
      <c r="M15" s="306">
        <f t="shared" si="3"/>
        <v>0</v>
      </c>
      <c r="P15" s="287"/>
      <c r="Q15" s="287"/>
      <c r="R15" s="287"/>
      <c r="S15" s="287"/>
      <c r="T15" s="287"/>
      <c r="U15" s="287"/>
      <c r="V15" s="287"/>
      <c r="W15" s="287"/>
      <c r="X15" s="287"/>
      <c r="Y15" s="287"/>
      <c r="Z15" s="287"/>
      <c r="AA15" s="287"/>
      <c r="AB15" s="287"/>
      <c r="AC15" s="287"/>
      <c r="AD15" s="287"/>
      <c r="AE15" s="287"/>
      <c r="AF15" s="287"/>
      <c r="AG15" s="287"/>
      <c r="AH15" s="287"/>
      <c r="AI15" s="287"/>
      <c r="AJ15" s="287"/>
    </row>
    <row r="16" spans="1:36" ht="13.5" customHeight="1" x14ac:dyDescent="0.3">
      <c r="A16" s="287"/>
      <c r="B16" s="287"/>
      <c r="C16" s="287"/>
      <c r="D16" s="304" t="str">
        <f>OCP_SalesProduct!D128</f>
        <v>Groundnuts, excluding shelled</v>
      </c>
      <c r="E16" s="305">
        <f>OCP_SalesProduct!Z161+OCP_SalesProduct!Z222</f>
        <v>2.0802360970261561E-2</v>
      </c>
      <c r="F16" s="305">
        <f>OCP_SalesProduct!AC161+OCP_SalesProduct!AC222</f>
        <v>8.3209443881046244E-2</v>
      </c>
      <c r="G16" s="305">
        <f>OCP_SalesProduct!AF161+OCP_SalesProduct!AF222</f>
        <v>0</v>
      </c>
      <c r="H16" s="305">
        <f>OCP_SalesProduct!AI161+OCP_SalesProduct!AI222</f>
        <v>0</v>
      </c>
      <c r="J16" s="306">
        <f t="shared" si="0"/>
        <v>0.2</v>
      </c>
      <c r="K16" s="306">
        <f t="shared" si="1"/>
        <v>0.8</v>
      </c>
      <c r="L16" s="306">
        <f t="shared" si="2"/>
        <v>0</v>
      </c>
      <c r="M16" s="306">
        <f t="shared" si="3"/>
        <v>0</v>
      </c>
      <c r="P16" s="287"/>
      <c r="Q16" s="287"/>
      <c r="R16" s="287"/>
      <c r="S16" s="287"/>
      <c r="T16" s="287"/>
      <c r="U16" s="287"/>
      <c r="V16" s="287"/>
      <c r="W16" s="308"/>
      <c r="X16" s="287"/>
      <c r="Y16" s="287"/>
      <c r="Z16" s="287"/>
      <c r="AA16" s="287"/>
      <c r="AB16" s="287"/>
      <c r="AC16" s="287"/>
      <c r="AD16" s="287"/>
      <c r="AE16" s="287"/>
      <c r="AF16" s="287"/>
      <c r="AG16" s="287"/>
      <c r="AH16" s="287"/>
      <c r="AI16" s="287"/>
      <c r="AJ16" s="287"/>
    </row>
    <row r="17" spans="1:36" ht="13.5" customHeight="1" x14ac:dyDescent="0.3">
      <c r="A17" s="287"/>
      <c r="B17" s="287"/>
      <c r="C17" s="287"/>
      <c r="D17" s="304" t="str">
        <f>OCP_SalesProduct!D129</f>
        <v>Sweet potatoes</v>
      </c>
      <c r="E17" s="305">
        <f>OCP_SalesProduct!Z162+OCP_SalesProduct!Z223</f>
        <v>0.11459343177626197</v>
      </c>
      <c r="F17" s="305">
        <f>OCP_SalesProduct!AC162+OCP_SalesProduct!AC223</f>
        <v>0</v>
      </c>
      <c r="G17" s="305">
        <f>OCP_SalesProduct!AF162+OCP_SalesProduct!AF223</f>
        <v>0.11459343177626197</v>
      </c>
      <c r="H17" s="305">
        <f>OCP_SalesProduct!AI162+OCP_SalesProduct!AI223</f>
        <v>0</v>
      </c>
      <c r="J17" s="306">
        <f t="shared" si="0"/>
        <v>0.5</v>
      </c>
      <c r="K17" s="306">
        <f t="shared" si="1"/>
        <v>0</v>
      </c>
      <c r="L17" s="306">
        <f t="shared" si="2"/>
        <v>0.5</v>
      </c>
      <c r="M17" s="306">
        <f t="shared" si="3"/>
        <v>0</v>
      </c>
      <c r="P17" s="287"/>
      <c r="Q17" s="287"/>
      <c r="R17" s="287"/>
      <c r="S17" s="287"/>
      <c r="T17" s="287"/>
      <c r="U17" s="287"/>
      <c r="V17" s="287"/>
      <c r="W17" s="308"/>
      <c r="X17" s="287"/>
      <c r="Y17" s="287"/>
      <c r="Z17" s="287"/>
      <c r="AA17" s="287"/>
      <c r="AB17" s="287"/>
      <c r="AC17" s="287"/>
      <c r="AD17" s="287"/>
      <c r="AE17" s="287"/>
      <c r="AF17" s="287"/>
      <c r="AG17" s="287"/>
      <c r="AH17" s="287"/>
      <c r="AI17" s="287"/>
      <c r="AJ17" s="287"/>
    </row>
    <row r="18" spans="1:36" ht="13.5" customHeight="1" x14ac:dyDescent="0.25">
      <c r="A18" s="287"/>
      <c r="B18" s="287"/>
      <c r="C18" s="287"/>
      <c r="D18" s="304" t="str">
        <f>OCP_SalesProduct!D130</f>
        <v>Sunflower seed</v>
      </c>
      <c r="E18" s="305">
        <f>OCP_SalesProduct!Z163+OCP_SalesProduct!Z224</f>
        <v>1.187432995147825E-2</v>
      </c>
      <c r="F18" s="305">
        <f>OCP_SalesProduct!AC163+OCP_SalesProduct!AC224</f>
        <v>3.5622989854434746E-2</v>
      </c>
      <c r="G18" s="305">
        <f>OCP_SalesProduct!AF163+OCP_SalesProduct!AF224</f>
        <v>1.187432995147825E-2</v>
      </c>
      <c r="H18" s="305">
        <f>OCP_SalesProduct!AI163+OCP_SalesProduct!AI224</f>
        <v>0</v>
      </c>
      <c r="J18" s="306">
        <f t="shared" si="0"/>
        <v>0.2</v>
      </c>
      <c r="K18" s="306">
        <f t="shared" si="1"/>
        <v>0.6</v>
      </c>
      <c r="L18" s="306">
        <f t="shared" si="2"/>
        <v>0.2</v>
      </c>
      <c r="M18" s="306">
        <f t="shared" si="3"/>
        <v>0</v>
      </c>
      <c r="P18" s="287"/>
      <c r="Q18" s="287"/>
      <c r="R18" s="287"/>
      <c r="S18" s="287"/>
      <c r="T18" s="287"/>
      <c r="U18" s="287"/>
      <c r="V18" s="287"/>
      <c r="W18" s="287"/>
      <c r="X18" s="287"/>
      <c r="Y18" s="287"/>
      <c r="Z18" s="287"/>
      <c r="AA18" s="287"/>
      <c r="AB18" s="287"/>
      <c r="AC18" s="287"/>
      <c r="AD18" s="287"/>
      <c r="AE18" s="287"/>
      <c r="AF18" s="287"/>
      <c r="AG18" s="287"/>
      <c r="AH18" s="287"/>
      <c r="AI18" s="287"/>
      <c r="AJ18" s="287"/>
    </row>
    <row r="19" spans="1:36" ht="13.5" customHeight="1" x14ac:dyDescent="0.3">
      <c r="A19" s="287"/>
      <c r="B19" s="287"/>
      <c r="C19" s="287"/>
      <c r="D19" s="304" t="str">
        <f>OCP_SalesProduct!D131</f>
        <v>Sesame seed</v>
      </c>
      <c r="E19" s="305">
        <f>OCP_SalesProduct!Z164+OCP_SalesProduct!Z225</f>
        <v>3.294764212989959E-2</v>
      </c>
      <c r="F19" s="305">
        <f>OCP_SalesProduct!AC164+OCP_SalesProduct!AC225</f>
        <v>0.13179056851959836</v>
      </c>
      <c r="G19" s="305">
        <f>OCP_SalesProduct!AF164+OCP_SalesProduct!AF225</f>
        <v>0</v>
      </c>
      <c r="H19" s="305">
        <f>OCP_SalesProduct!AI164+OCP_SalesProduct!AI225</f>
        <v>0</v>
      </c>
      <c r="J19" s="306">
        <f t="shared" si="0"/>
        <v>0.2</v>
      </c>
      <c r="K19" s="306">
        <f t="shared" si="1"/>
        <v>0.8</v>
      </c>
      <c r="L19" s="306">
        <f t="shared" si="2"/>
        <v>0</v>
      </c>
      <c r="M19" s="306">
        <f t="shared" si="3"/>
        <v>0</v>
      </c>
      <c r="P19" s="309"/>
      <c r="Q19" s="309"/>
      <c r="R19" s="309"/>
      <c r="S19" s="309"/>
      <c r="T19" s="309"/>
      <c r="U19" s="309"/>
      <c r="V19" s="310"/>
      <c r="W19" s="309"/>
      <c r="X19" s="309"/>
      <c r="Y19" s="309"/>
      <c r="Z19" s="309"/>
      <c r="AA19" s="309"/>
      <c r="AB19" s="309"/>
      <c r="AC19" s="309"/>
      <c r="AD19" s="309"/>
      <c r="AE19" s="309"/>
      <c r="AF19" s="311"/>
      <c r="AG19" s="311"/>
      <c r="AH19" s="311"/>
      <c r="AI19" s="311"/>
      <c r="AJ19" s="287"/>
    </row>
    <row r="20" spans="1:36" ht="13.5" customHeight="1" x14ac:dyDescent="0.25">
      <c r="A20" s="287"/>
      <c r="B20" s="287"/>
      <c r="C20" s="287"/>
      <c r="D20" s="304" t="str">
        <f>OCP_SalesProduct!D132</f>
        <v>Sorghum</v>
      </c>
      <c r="E20" s="305">
        <f>OCP_SalesProduct!Z165+OCP_SalesProduct!Z226</f>
        <v>0</v>
      </c>
      <c r="F20" s="305">
        <f>OCP_SalesProduct!AC165+OCP_SalesProduct!AC226</f>
        <v>0</v>
      </c>
      <c r="G20" s="305">
        <f>OCP_SalesProduct!AF165+OCP_SalesProduct!AF226</f>
        <v>4.8526781804384918E-2</v>
      </c>
      <c r="H20" s="305">
        <f>OCP_SalesProduct!AI165+OCP_SalesProduct!AI226</f>
        <v>0</v>
      </c>
      <c r="J20" s="306">
        <f t="shared" si="0"/>
        <v>0</v>
      </c>
      <c r="K20" s="306">
        <f t="shared" si="1"/>
        <v>0</v>
      </c>
      <c r="L20" s="306">
        <f t="shared" si="2"/>
        <v>1</v>
      </c>
      <c r="M20" s="306">
        <f t="shared" si="3"/>
        <v>0</v>
      </c>
      <c r="P20" s="204"/>
      <c r="Q20" s="204"/>
      <c r="R20" s="204"/>
      <c r="S20" s="204"/>
      <c r="T20" s="204"/>
      <c r="U20" s="204"/>
      <c r="V20" s="204"/>
      <c r="W20" s="204"/>
      <c r="X20" s="204"/>
      <c r="Y20" s="204"/>
      <c r="Z20" s="204"/>
      <c r="AA20" s="204"/>
      <c r="AB20" s="204"/>
      <c r="AC20" s="204"/>
      <c r="AD20" s="204"/>
      <c r="AE20" s="204"/>
      <c r="AF20" s="287"/>
      <c r="AG20" s="287"/>
      <c r="AH20" s="287"/>
      <c r="AI20" s="287"/>
      <c r="AJ20" s="287"/>
    </row>
    <row r="21" spans="1:36" ht="13.5" customHeight="1" x14ac:dyDescent="0.25">
      <c r="A21" s="287"/>
      <c r="B21" s="287"/>
      <c r="C21" s="287"/>
      <c r="D21" s="304" t="str">
        <f>OCP_SalesProduct!D133</f>
        <v>Other vegetables, fresh n.e.c.</v>
      </c>
      <c r="E21" s="305">
        <f>OCP_SalesProduct!Z166+OCP_SalesProduct!Z227</f>
        <v>3.2291816219832549E-2</v>
      </c>
      <c r="F21" s="305">
        <f>OCP_SalesProduct!AC166+OCP_SalesProduct!AC227</f>
        <v>0</v>
      </c>
      <c r="G21" s="305">
        <f>OCP_SalesProduct!AF166+OCP_SalesProduct!AF227</f>
        <v>0</v>
      </c>
      <c r="H21" s="305">
        <f>OCP_SalesProduct!AI166+OCP_SalesProduct!AI227</f>
        <v>0</v>
      </c>
      <c r="J21" s="306">
        <f t="shared" si="0"/>
        <v>1</v>
      </c>
      <c r="K21" s="306">
        <f t="shared" si="1"/>
        <v>0</v>
      </c>
      <c r="L21" s="306">
        <f t="shared" si="2"/>
        <v>0</v>
      </c>
      <c r="M21" s="306">
        <f t="shared" si="3"/>
        <v>0</v>
      </c>
      <c r="P21" s="204"/>
      <c r="Q21" s="204"/>
      <c r="R21" s="204"/>
      <c r="S21" s="204"/>
      <c r="T21" s="204"/>
      <c r="U21" s="204"/>
      <c r="V21" s="204"/>
      <c r="W21" s="204"/>
      <c r="X21" s="204"/>
      <c r="Y21" s="204"/>
      <c r="Z21" s="204"/>
      <c r="AA21" s="204"/>
      <c r="AB21" s="204"/>
      <c r="AC21" s="204"/>
      <c r="AD21" s="204"/>
      <c r="AE21" s="204"/>
      <c r="AF21" s="287"/>
      <c r="AG21" s="287"/>
      <c r="AH21" s="287"/>
      <c r="AI21" s="287"/>
      <c r="AJ21" s="287"/>
    </row>
    <row r="22" spans="1:36" ht="13.5" customHeight="1" x14ac:dyDescent="0.25">
      <c r="A22" s="287"/>
      <c r="B22" s="287"/>
      <c r="C22" s="287"/>
      <c r="D22" s="304" t="str">
        <f>OCP_SalesProduct!D134</f>
        <v>Seed cotton, unginned</v>
      </c>
      <c r="E22" s="305">
        <f>OCP_SalesProduct!Z167+OCP_SalesProduct!Z228</f>
        <v>2.0992119021363335E-2</v>
      </c>
      <c r="F22" s="305">
        <f>OCP_SalesProduct!AC167+OCP_SalesProduct!AC228</f>
        <v>0</v>
      </c>
      <c r="G22" s="305">
        <f>OCP_SalesProduct!AF167+OCP_SalesProduct!AF228</f>
        <v>0</v>
      </c>
      <c r="H22" s="305">
        <f>OCP_SalesProduct!AI167+OCP_SalesProduct!AI228</f>
        <v>0</v>
      </c>
      <c r="J22" s="306">
        <f t="shared" si="0"/>
        <v>1</v>
      </c>
      <c r="K22" s="306">
        <f t="shared" si="1"/>
        <v>0</v>
      </c>
      <c r="L22" s="306">
        <f t="shared" si="2"/>
        <v>0</v>
      </c>
      <c r="M22" s="306">
        <f t="shared" si="3"/>
        <v>0</v>
      </c>
      <c r="P22" s="204"/>
      <c r="Q22" s="204"/>
      <c r="R22" s="204"/>
      <c r="S22" s="204"/>
      <c r="T22" s="204"/>
      <c r="U22" s="204"/>
      <c r="V22" s="204"/>
      <c r="W22" s="204"/>
      <c r="X22" s="204"/>
      <c r="Y22" s="204"/>
      <c r="Z22" s="204"/>
      <c r="AA22" s="204"/>
      <c r="AB22" s="204"/>
      <c r="AC22" s="204"/>
      <c r="AD22" s="204"/>
      <c r="AE22" s="204"/>
      <c r="AF22" s="287"/>
      <c r="AG22" s="287"/>
      <c r="AH22" s="287"/>
      <c r="AI22" s="287"/>
      <c r="AJ22" s="287"/>
    </row>
    <row r="23" spans="1:36" ht="13.5" customHeight="1" x14ac:dyDescent="0.25">
      <c r="A23" s="287"/>
      <c r="B23" s="287"/>
      <c r="C23" s="287"/>
      <c r="D23" s="304" t="str">
        <f>OCP_SalesProduct!D135</f>
        <v>Rice</v>
      </c>
      <c r="E23" s="305">
        <f>OCP_SalesProduct!Z168+OCP_SalesProduct!Z229</f>
        <v>7.6917523205833033E-2</v>
      </c>
      <c r="F23" s="305">
        <f>OCP_SalesProduct!AC168+OCP_SalesProduct!AC229</f>
        <v>0.30767009282333213</v>
      </c>
      <c r="G23" s="305">
        <f>OCP_SalesProduct!AF168+OCP_SalesProduct!AF229</f>
        <v>0</v>
      </c>
      <c r="H23" s="305">
        <f>OCP_SalesProduct!AI168+OCP_SalesProduct!AI229</f>
        <v>0</v>
      </c>
      <c r="J23" s="306">
        <f t="shared" si="0"/>
        <v>0.2</v>
      </c>
      <c r="K23" s="306">
        <f t="shared" si="1"/>
        <v>0.8</v>
      </c>
      <c r="L23" s="306">
        <f t="shared" si="2"/>
        <v>0</v>
      </c>
      <c r="M23" s="306">
        <f t="shared" si="3"/>
        <v>0</v>
      </c>
      <c r="P23" s="204"/>
      <c r="Q23" s="204"/>
      <c r="R23" s="204"/>
      <c r="S23" s="204"/>
      <c r="T23" s="204"/>
      <c r="U23" s="204"/>
      <c r="V23" s="204"/>
      <c r="W23" s="204"/>
      <c r="X23" s="204"/>
      <c r="Y23" s="204"/>
      <c r="Z23" s="204"/>
      <c r="AA23" s="204"/>
      <c r="AB23" s="204"/>
      <c r="AC23" s="204"/>
      <c r="AD23" s="204"/>
      <c r="AE23" s="204"/>
      <c r="AF23" s="287"/>
      <c r="AG23" s="287"/>
      <c r="AH23" s="287"/>
      <c r="AI23" s="287"/>
      <c r="AJ23" s="287"/>
    </row>
    <row r="24" spans="1:36" ht="13.5" customHeight="1" x14ac:dyDescent="0.25">
      <c r="A24" s="287"/>
      <c r="B24" s="287"/>
      <c r="C24" s="287"/>
      <c r="D24" s="304" t="str">
        <f>OCP_SalesProduct!D136</f>
        <v>Onions and shallots, dry (excluding dehydrated)</v>
      </c>
      <c r="E24" s="305">
        <f>OCP_SalesProduct!Z169+OCP_SalesProduct!Z230</f>
        <v>1.7146108366722038E-2</v>
      </c>
      <c r="F24" s="305">
        <f>OCP_SalesProduct!AC169+OCP_SalesProduct!AC230</f>
        <v>0</v>
      </c>
      <c r="G24" s="305">
        <f>OCP_SalesProduct!AF169+OCP_SalesProduct!AF230</f>
        <v>0</v>
      </c>
      <c r="H24" s="305">
        <f>OCP_SalesProduct!AI169+OCP_SalesProduct!AI230</f>
        <v>0</v>
      </c>
      <c r="J24" s="306">
        <f t="shared" si="0"/>
        <v>1</v>
      </c>
      <c r="K24" s="306">
        <f t="shared" si="1"/>
        <v>0</v>
      </c>
      <c r="L24" s="306">
        <f t="shared" si="2"/>
        <v>0</v>
      </c>
      <c r="M24" s="306">
        <f t="shared" si="3"/>
        <v>0</v>
      </c>
      <c r="P24" s="204"/>
      <c r="Q24" s="204"/>
      <c r="R24" s="204"/>
      <c r="S24" s="204"/>
      <c r="T24" s="204"/>
      <c r="U24" s="204"/>
      <c r="V24" s="204"/>
      <c r="W24" s="204"/>
      <c r="X24" s="204"/>
      <c r="Y24" s="204"/>
      <c r="Z24" s="204"/>
      <c r="AA24" s="204"/>
      <c r="AB24" s="204"/>
      <c r="AC24" s="204"/>
      <c r="AD24" s="204"/>
      <c r="AE24" s="204"/>
      <c r="AF24" s="312"/>
      <c r="AG24" s="287"/>
      <c r="AH24" s="287"/>
      <c r="AI24" s="287"/>
      <c r="AJ24" s="287"/>
    </row>
    <row r="25" spans="1:36" ht="13.5" customHeight="1" x14ac:dyDescent="0.25">
      <c r="A25" s="287"/>
      <c r="B25" s="287"/>
      <c r="C25" s="287"/>
      <c r="D25" s="304" t="str">
        <f>OCP_SalesProduct!D137</f>
        <v>Sugar cane</v>
      </c>
      <c r="E25" s="305">
        <f>OCP_SalesProduct!Z170+OCP_SalesProduct!Z231</f>
        <v>9.984847815666173E-2</v>
      </c>
      <c r="F25" s="305">
        <f>OCP_SalesProduct!AC170+OCP_SalesProduct!AC231</f>
        <v>0.39939391262664692</v>
      </c>
      <c r="G25" s="305">
        <f>OCP_SalesProduct!AF170+OCP_SalesProduct!AF231</f>
        <v>0</v>
      </c>
      <c r="H25" s="305">
        <f>OCP_SalesProduct!AI170+OCP_SalesProduct!AI231</f>
        <v>0</v>
      </c>
      <c r="J25" s="306">
        <f t="shared" si="0"/>
        <v>0.19999999999999998</v>
      </c>
      <c r="K25" s="306">
        <f t="shared" si="1"/>
        <v>0.79999999999999993</v>
      </c>
      <c r="L25" s="306">
        <f t="shared" si="2"/>
        <v>0</v>
      </c>
      <c r="M25" s="306">
        <f t="shared" si="3"/>
        <v>0</v>
      </c>
      <c r="P25" s="204"/>
      <c r="Q25" s="204"/>
      <c r="R25" s="204"/>
      <c r="S25" s="204"/>
      <c r="T25" s="204"/>
      <c r="U25" s="204"/>
      <c r="V25" s="204"/>
      <c r="W25" s="204"/>
      <c r="X25" s="204"/>
      <c r="Y25" s="204"/>
      <c r="Z25" s="204"/>
      <c r="AA25" s="204"/>
      <c r="AB25" s="204"/>
      <c r="AC25" s="204"/>
      <c r="AD25" s="204"/>
      <c r="AE25" s="204"/>
      <c r="AF25" s="287"/>
      <c r="AG25" s="287"/>
      <c r="AH25" s="287"/>
      <c r="AI25" s="287"/>
      <c r="AJ25" s="287"/>
    </row>
    <row r="26" spans="1:36" ht="13.5" customHeight="1" x14ac:dyDescent="0.25">
      <c r="A26" s="287"/>
      <c r="B26" s="287"/>
      <c r="C26" s="287"/>
      <c r="D26" s="304" t="str">
        <f>OCP_SalesProduct!D138</f>
        <v>Millet</v>
      </c>
      <c r="E26" s="305">
        <f>OCP_SalesProduct!Z171+OCP_SalesProduct!Z232</f>
        <v>0</v>
      </c>
      <c r="F26" s="305">
        <f>OCP_SalesProduct!AC171+OCP_SalesProduct!AC232</f>
        <v>0</v>
      </c>
      <c r="G26" s="305">
        <f>OCP_SalesProduct!AF171+OCP_SalesProduct!AF232</f>
        <v>1.7681089339357393E-2</v>
      </c>
      <c r="H26" s="305">
        <f>OCP_SalesProduct!AI171+OCP_SalesProduct!AI232</f>
        <v>0</v>
      </c>
      <c r="J26" s="306">
        <f t="shared" si="0"/>
        <v>0</v>
      </c>
      <c r="K26" s="306">
        <f t="shared" si="1"/>
        <v>0</v>
      </c>
      <c r="L26" s="306">
        <f t="shared" si="2"/>
        <v>1</v>
      </c>
      <c r="M26" s="306">
        <f t="shared" si="3"/>
        <v>0</v>
      </c>
      <c r="P26" s="204"/>
      <c r="Q26" s="204"/>
      <c r="R26" s="204"/>
      <c r="S26" s="204"/>
      <c r="T26" s="204"/>
      <c r="U26" s="204"/>
      <c r="V26" s="204"/>
      <c r="W26" s="204"/>
      <c r="X26" s="204"/>
      <c r="Y26" s="204"/>
      <c r="Z26" s="204"/>
      <c r="AA26" s="204"/>
      <c r="AB26" s="204"/>
      <c r="AC26" s="204"/>
      <c r="AD26" s="204"/>
      <c r="AE26" s="204"/>
      <c r="AF26" s="287"/>
      <c r="AG26" s="287"/>
      <c r="AH26" s="287"/>
      <c r="AI26" s="287"/>
      <c r="AJ26" s="287"/>
    </row>
    <row r="27" spans="1:36" ht="13.5" customHeight="1" x14ac:dyDescent="0.25">
      <c r="A27" s="287"/>
      <c r="B27" s="287"/>
      <c r="C27" s="287"/>
      <c r="D27" s="304" t="str">
        <f>OCP_SalesProduct!D139</f>
        <v>Cocoa beans</v>
      </c>
      <c r="E27" s="305">
        <f>OCP_SalesProduct!Z172+OCP_SalesProduct!Z233</f>
        <v>6.7611488694438698E-2</v>
      </c>
      <c r="F27" s="305">
        <f>OCP_SalesProduct!AC172+OCP_SalesProduct!AC233</f>
        <v>0.27044595477775479</v>
      </c>
      <c r="G27" s="305">
        <f>OCP_SalesProduct!AF172+OCP_SalesProduct!AF233</f>
        <v>0</v>
      </c>
      <c r="H27" s="305">
        <f>OCP_SalesProduct!AI172+OCP_SalesProduct!AI233</f>
        <v>0</v>
      </c>
      <c r="J27" s="306">
        <f t="shared" si="0"/>
        <v>0.2</v>
      </c>
      <c r="K27" s="306">
        <f t="shared" si="1"/>
        <v>0.8</v>
      </c>
      <c r="L27" s="306">
        <f t="shared" si="2"/>
        <v>0</v>
      </c>
      <c r="M27" s="306">
        <f t="shared" si="3"/>
        <v>0</v>
      </c>
      <c r="P27" s="204"/>
      <c r="Q27" s="204"/>
      <c r="R27" s="204"/>
      <c r="S27" s="204"/>
      <c r="T27" s="204"/>
      <c r="U27" s="204"/>
      <c r="V27" s="204"/>
      <c r="W27" s="204"/>
      <c r="X27" s="204"/>
      <c r="Y27" s="204"/>
      <c r="Z27" s="204"/>
      <c r="AA27" s="204"/>
      <c r="AB27" s="204"/>
      <c r="AC27" s="204"/>
      <c r="AD27" s="204"/>
      <c r="AE27" s="204"/>
      <c r="AF27" s="287"/>
      <c r="AG27" s="287"/>
      <c r="AH27" s="287"/>
      <c r="AI27" s="287"/>
      <c r="AJ27" s="287"/>
    </row>
    <row r="28" spans="1:36" ht="13.5" customHeight="1" x14ac:dyDescent="0.25">
      <c r="A28" s="287"/>
      <c r="B28" s="287"/>
      <c r="C28" s="287"/>
      <c r="D28" s="304" t="str">
        <f>OCP_SalesProduct!D140</f>
        <v>Other oil seeds, n.e.c.</v>
      </c>
      <c r="E28" s="305">
        <f>OCP_SalesProduct!Z173+OCP_SalesProduct!Z234</f>
        <v>2.1813274847660613E-3</v>
      </c>
      <c r="F28" s="305">
        <f>OCP_SalesProduct!AC173+OCP_SalesProduct!AC234</f>
        <v>8.7253099390642453E-3</v>
      </c>
      <c r="G28" s="305">
        <f>OCP_SalesProduct!AF173+OCP_SalesProduct!AF234</f>
        <v>0</v>
      </c>
      <c r="H28" s="305">
        <f>OCP_SalesProduct!AI173+OCP_SalesProduct!AI234</f>
        <v>0</v>
      </c>
      <c r="J28" s="306">
        <f t="shared" si="0"/>
        <v>0.2</v>
      </c>
      <c r="K28" s="306">
        <f t="shared" si="1"/>
        <v>0.8</v>
      </c>
      <c r="L28" s="306">
        <f t="shared" si="2"/>
        <v>0</v>
      </c>
      <c r="M28" s="306">
        <f t="shared" si="3"/>
        <v>0</v>
      </c>
      <c r="P28" s="204"/>
      <c r="Q28" s="204"/>
      <c r="R28" s="204"/>
      <c r="S28" s="204"/>
      <c r="T28" s="204"/>
      <c r="U28" s="204"/>
      <c r="V28" s="204"/>
      <c r="W28" s="204"/>
      <c r="X28" s="204"/>
      <c r="Y28" s="204"/>
      <c r="Z28" s="204"/>
      <c r="AA28" s="204"/>
      <c r="AB28" s="204"/>
      <c r="AC28" s="204"/>
      <c r="AD28" s="204"/>
      <c r="AE28" s="204"/>
      <c r="AF28" s="287"/>
      <c r="AG28" s="287"/>
      <c r="AH28" s="287"/>
      <c r="AI28" s="287"/>
      <c r="AJ28" s="287"/>
    </row>
    <row r="29" spans="1:36" ht="13.5" customHeight="1" x14ac:dyDescent="0.25">
      <c r="A29" s="287"/>
      <c r="B29" s="287"/>
      <c r="C29" s="287"/>
      <c r="D29" s="304" t="str">
        <f>OCP_SalesProduct!D141</f>
        <v>Soya beans</v>
      </c>
      <c r="E29" s="305">
        <f>OCP_SalesProduct!Z174+OCP_SalesProduct!Z235</f>
        <v>1.3412224996944911E-2</v>
      </c>
      <c r="F29" s="305">
        <f>OCP_SalesProduct!AC174+OCP_SalesProduct!AC235</f>
        <v>5.3648899987779643E-2</v>
      </c>
      <c r="G29" s="305">
        <f>OCP_SalesProduct!AF174+OCP_SalesProduct!AF235</f>
        <v>0</v>
      </c>
      <c r="H29" s="305">
        <f>OCP_SalesProduct!AI174+OCP_SalesProduct!AI235</f>
        <v>0</v>
      </c>
      <c r="J29" s="306">
        <f t="shared" si="0"/>
        <v>0.2</v>
      </c>
      <c r="K29" s="306">
        <f t="shared" si="1"/>
        <v>0.8</v>
      </c>
      <c r="L29" s="306">
        <f t="shared" si="2"/>
        <v>0</v>
      </c>
      <c r="M29" s="306">
        <f t="shared" si="3"/>
        <v>0</v>
      </c>
      <c r="P29" s="204"/>
      <c r="Q29" s="204"/>
      <c r="R29" s="204"/>
      <c r="S29" s="204"/>
      <c r="T29" s="204"/>
      <c r="U29" s="204"/>
      <c r="V29" s="204"/>
      <c r="W29" s="204"/>
      <c r="X29" s="204"/>
      <c r="Y29" s="204"/>
      <c r="Z29" s="204"/>
      <c r="AA29" s="204"/>
      <c r="AB29" s="204"/>
      <c r="AC29" s="204"/>
      <c r="AD29" s="204"/>
      <c r="AE29" s="204"/>
      <c r="AF29" s="287"/>
      <c r="AG29" s="287"/>
      <c r="AH29" s="287"/>
      <c r="AI29" s="287"/>
      <c r="AJ29" s="287"/>
    </row>
    <row r="30" spans="1:36" ht="13.5" customHeight="1" x14ac:dyDescent="0.25">
      <c r="A30" s="287"/>
      <c r="B30" s="287"/>
      <c r="C30" s="287"/>
      <c r="D30" s="304" t="str">
        <f>OCP_SalesProduct!D142</f>
        <v>Pigeon peas, dry</v>
      </c>
      <c r="E30" s="305">
        <f>OCP_SalesProduct!Z175+OCP_SalesProduct!Z236</f>
        <v>6.2985595630253499E-3</v>
      </c>
      <c r="F30" s="305">
        <f>OCP_SalesProduct!AC175+OCP_SalesProduct!AC236</f>
        <v>2.51942382521014E-2</v>
      </c>
      <c r="G30" s="305">
        <f>OCP_SalesProduct!AF175+OCP_SalesProduct!AF236</f>
        <v>0</v>
      </c>
      <c r="H30" s="305">
        <f>OCP_SalesProduct!AI175+OCP_SalesProduct!AI236</f>
        <v>0</v>
      </c>
      <c r="J30" s="306">
        <f t="shared" si="0"/>
        <v>0.2</v>
      </c>
      <c r="K30" s="306">
        <f t="shared" si="1"/>
        <v>0.8</v>
      </c>
      <c r="L30" s="306">
        <f t="shared" si="2"/>
        <v>0</v>
      </c>
      <c r="M30" s="306">
        <f t="shared" si="3"/>
        <v>0</v>
      </c>
      <c r="P30" s="204"/>
      <c r="Q30" s="204"/>
      <c r="R30" s="204"/>
      <c r="S30" s="204"/>
      <c r="T30" s="204"/>
      <c r="U30" s="204"/>
      <c r="V30" s="204"/>
      <c r="W30" s="204"/>
      <c r="X30" s="204"/>
      <c r="Y30" s="204"/>
      <c r="Z30" s="204"/>
      <c r="AA30" s="204"/>
      <c r="AB30" s="204"/>
      <c r="AC30" s="204"/>
      <c r="AD30" s="204"/>
      <c r="AE30" s="204"/>
      <c r="AF30" s="287"/>
      <c r="AG30" s="287"/>
      <c r="AH30" s="287"/>
      <c r="AI30" s="287"/>
      <c r="AJ30" s="287"/>
    </row>
    <row r="31" spans="1:36" ht="13.5" customHeight="1" x14ac:dyDescent="0.25">
      <c r="A31" s="287"/>
      <c r="B31" s="287"/>
      <c r="C31" s="287"/>
      <c r="D31" s="304" t="str">
        <f>OCP_SalesProduct!D143</f>
        <v>Potatoes</v>
      </c>
      <c r="E31" s="305">
        <f>OCP_SalesProduct!Z176+OCP_SalesProduct!Z237</f>
        <v>6.5359192167503237E-3</v>
      </c>
      <c r="F31" s="305">
        <f>OCP_SalesProduct!AC176+OCP_SalesProduct!AC237</f>
        <v>0</v>
      </c>
      <c r="G31" s="305">
        <f>OCP_SalesProduct!AF176+OCP_SalesProduct!AF237</f>
        <v>6.5359192167503237E-3</v>
      </c>
      <c r="H31" s="305">
        <f>OCP_SalesProduct!AI176+OCP_SalesProduct!AI237</f>
        <v>0</v>
      </c>
      <c r="J31" s="306">
        <f t="shared" si="0"/>
        <v>0.5</v>
      </c>
      <c r="K31" s="306">
        <f t="shared" si="1"/>
        <v>0</v>
      </c>
      <c r="L31" s="306">
        <f t="shared" si="2"/>
        <v>0.5</v>
      </c>
      <c r="M31" s="306">
        <f t="shared" si="3"/>
        <v>0</v>
      </c>
      <c r="P31" s="204"/>
      <c r="Q31" s="204"/>
      <c r="R31" s="204"/>
      <c r="S31" s="204"/>
      <c r="T31" s="204"/>
      <c r="U31" s="204"/>
      <c r="V31" s="204"/>
      <c r="W31" s="204"/>
      <c r="X31" s="204"/>
      <c r="Y31" s="204"/>
      <c r="Z31" s="204"/>
      <c r="AA31" s="204"/>
      <c r="AB31" s="204"/>
      <c r="AC31" s="204"/>
      <c r="AD31" s="204"/>
      <c r="AE31" s="204"/>
      <c r="AF31" s="287"/>
      <c r="AG31" s="287"/>
      <c r="AH31" s="287"/>
      <c r="AI31" s="287"/>
      <c r="AJ31" s="287"/>
    </row>
    <row r="32" spans="1:36" ht="13.5" customHeight="1" x14ac:dyDescent="0.25">
      <c r="A32" s="287"/>
      <c r="B32" s="287"/>
      <c r="C32" s="287"/>
      <c r="D32" s="304" t="str">
        <f>OCP_SalesProduct!D144</f>
        <v>Tea leaves</v>
      </c>
      <c r="E32" s="305">
        <f>OCP_SalesProduct!Z177+OCP_SalesProduct!Z238</f>
        <v>2.1514166769457867E-2</v>
      </c>
      <c r="F32" s="305">
        <f>OCP_SalesProduct!AC177+OCP_SalesProduct!AC238</f>
        <v>0</v>
      </c>
      <c r="G32" s="305">
        <f>OCP_SalesProduct!AF177+OCP_SalesProduct!AF238</f>
        <v>0</v>
      </c>
      <c r="H32" s="305">
        <f>OCP_SalesProduct!AI177+OCP_SalesProduct!AI238</f>
        <v>0</v>
      </c>
      <c r="J32" s="306">
        <f t="shared" si="0"/>
        <v>1</v>
      </c>
      <c r="K32" s="306">
        <f t="shared" si="1"/>
        <v>0</v>
      </c>
      <c r="L32" s="306">
        <f t="shared" si="2"/>
        <v>0</v>
      </c>
      <c r="M32" s="306">
        <f t="shared" si="3"/>
        <v>0</v>
      </c>
      <c r="P32" s="204"/>
      <c r="Q32" s="204"/>
      <c r="R32" s="204"/>
      <c r="S32" s="204"/>
      <c r="T32" s="204"/>
      <c r="U32" s="204"/>
      <c r="V32" s="204"/>
      <c r="W32" s="204"/>
      <c r="X32" s="204"/>
      <c r="Y32" s="204"/>
      <c r="Z32" s="204"/>
      <c r="AA32" s="204"/>
      <c r="AB32" s="204"/>
      <c r="AC32" s="204"/>
      <c r="AD32" s="204"/>
      <c r="AE32" s="204"/>
      <c r="AF32" s="287"/>
      <c r="AG32" s="287"/>
      <c r="AH32" s="287"/>
      <c r="AI32" s="287"/>
      <c r="AJ32" s="287"/>
    </row>
    <row r="33" spans="1:36" ht="13.5" customHeight="1" x14ac:dyDescent="0.25">
      <c r="A33" s="287"/>
      <c r="B33" s="287"/>
      <c r="C33" s="287"/>
      <c r="D33" s="304" t="str">
        <f>OCP_SalesProduct!D145</f>
        <v>Cow peas, dry</v>
      </c>
      <c r="E33" s="305">
        <f>OCP_SalesProduct!Z178+OCP_SalesProduct!Z239</f>
        <v>5.2080133770215043E-3</v>
      </c>
      <c r="F33" s="305">
        <f>OCP_SalesProduct!AC178+OCP_SalesProduct!AC239</f>
        <v>2.0832053508086017E-2</v>
      </c>
      <c r="G33" s="305">
        <f>OCP_SalesProduct!AF178+OCP_SalesProduct!AF239</f>
        <v>0</v>
      </c>
      <c r="H33" s="305">
        <f>OCP_SalesProduct!AI178+OCP_SalesProduct!AI239</f>
        <v>0</v>
      </c>
      <c r="J33" s="306">
        <f t="shared" si="0"/>
        <v>0.19999999999999998</v>
      </c>
      <c r="K33" s="306">
        <f t="shared" si="1"/>
        <v>0.79999999999999993</v>
      </c>
      <c r="L33" s="306">
        <f t="shared" si="2"/>
        <v>0</v>
      </c>
      <c r="M33" s="306">
        <f t="shared" si="3"/>
        <v>0</v>
      </c>
      <c r="P33" s="204"/>
      <c r="Q33" s="204"/>
      <c r="R33" s="204"/>
      <c r="S33" s="204"/>
      <c r="T33" s="204"/>
      <c r="U33" s="204"/>
      <c r="V33" s="204"/>
      <c r="W33" s="204"/>
      <c r="X33" s="204"/>
      <c r="Y33" s="204"/>
      <c r="Z33" s="204"/>
      <c r="AA33" s="204"/>
      <c r="AB33" s="204"/>
      <c r="AC33" s="204"/>
      <c r="AD33" s="204"/>
      <c r="AE33" s="204"/>
      <c r="AF33" s="287"/>
      <c r="AG33" s="287"/>
      <c r="AH33" s="287"/>
      <c r="AI33" s="287"/>
      <c r="AJ33" s="287"/>
    </row>
    <row r="34" spans="1:36" ht="13.5" customHeight="1" x14ac:dyDescent="0.25">
      <c r="A34" s="287"/>
      <c r="B34" s="287"/>
      <c r="C34" s="287"/>
      <c r="D34" s="304" t="str">
        <f>OCP_SalesProduct!D146</f>
        <v>Peas, dry</v>
      </c>
      <c r="E34" s="305">
        <f>OCP_SalesProduct!Z179+OCP_SalesProduct!Z240</f>
        <v>3.6409183583734307E-3</v>
      </c>
      <c r="F34" s="305">
        <f>OCP_SalesProduct!AC179+OCP_SalesProduct!AC240</f>
        <v>1.4563673433493723E-2</v>
      </c>
      <c r="G34" s="305">
        <f>OCP_SalesProduct!AF179+OCP_SalesProduct!AF240</f>
        <v>0</v>
      </c>
      <c r="H34" s="305">
        <f>OCP_SalesProduct!AI179+OCP_SalesProduct!AI240</f>
        <v>0</v>
      </c>
      <c r="J34" s="306">
        <f t="shared" si="0"/>
        <v>0.19999999999999998</v>
      </c>
      <c r="K34" s="306">
        <f t="shared" si="1"/>
        <v>0.79999999999999993</v>
      </c>
      <c r="L34" s="306">
        <f t="shared" si="2"/>
        <v>0</v>
      </c>
      <c r="M34" s="306">
        <f t="shared" si="3"/>
        <v>0</v>
      </c>
      <c r="P34" s="204"/>
      <c r="Q34" s="204"/>
      <c r="R34" s="204"/>
      <c r="S34" s="204"/>
      <c r="T34" s="204"/>
      <c r="U34" s="204"/>
      <c r="V34" s="204"/>
      <c r="W34" s="204"/>
      <c r="X34" s="204"/>
      <c r="Y34" s="204"/>
      <c r="Z34" s="204"/>
      <c r="AA34" s="204"/>
      <c r="AB34" s="204"/>
      <c r="AC34" s="204"/>
      <c r="AD34" s="204"/>
      <c r="AE34" s="204"/>
      <c r="AF34" s="287"/>
      <c r="AG34" s="287"/>
      <c r="AH34" s="287"/>
      <c r="AI34" s="287"/>
      <c r="AJ34" s="287"/>
    </row>
    <row r="35" spans="1:36" ht="13.5" customHeight="1" thickBot="1" x14ac:dyDescent="0.3">
      <c r="A35" s="287"/>
      <c r="B35" s="287"/>
      <c r="C35" s="287"/>
      <c r="D35" s="313" t="s">
        <v>31</v>
      </c>
      <c r="E35" s="314">
        <f>SUM(E11:E34)</f>
        <v>1.6474356320721781</v>
      </c>
      <c r="F35" s="314">
        <f t="shared" ref="F35:H35" si="4">SUM(F11:F34)</f>
        <v>3.1707163618915484</v>
      </c>
      <c r="G35" s="314">
        <f t="shared" si="4"/>
        <v>5.8432773617662086</v>
      </c>
      <c r="H35" s="314">
        <f t="shared" si="4"/>
        <v>0</v>
      </c>
      <c r="J35" s="315">
        <f>E35/SUM($E$35:$H$35)</f>
        <v>0.15452296095614718</v>
      </c>
      <c r="K35" s="315">
        <f>F35/SUM($E$35:$H$35)</f>
        <v>0.29740068203776648</v>
      </c>
      <c r="L35" s="315">
        <f>G35/SUM($E$35:$H$35)</f>
        <v>0.54807635700608626</v>
      </c>
      <c r="M35" s="315">
        <f>H35/SUM($E$35:$H$35)</f>
        <v>0</v>
      </c>
      <c r="P35" s="204"/>
      <c r="Q35" s="204"/>
      <c r="R35" s="204"/>
      <c r="S35" s="204"/>
      <c r="T35" s="204"/>
      <c r="U35" s="204"/>
      <c r="V35" s="204"/>
      <c r="W35" s="204"/>
      <c r="X35" s="204"/>
      <c r="Y35" s="204"/>
      <c r="Z35" s="204"/>
      <c r="AA35" s="204"/>
      <c r="AB35" s="204"/>
      <c r="AC35" s="204"/>
      <c r="AD35" s="204"/>
      <c r="AE35" s="204"/>
      <c r="AF35" s="287"/>
      <c r="AG35" s="287"/>
      <c r="AH35" s="287"/>
      <c r="AI35" s="287"/>
      <c r="AJ35" s="287"/>
    </row>
    <row r="36" spans="1:36" ht="13.5" customHeight="1" thickTop="1" x14ac:dyDescent="0.25">
      <c r="A36" s="287"/>
      <c r="B36" s="287"/>
      <c r="C36" s="287"/>
      <c r="D36" s="298" t="s">
        <v>212</v>
      </c>
      <c r="E36" s="316">
        <f>OCP_SalesProduct!G71-E35</f>
        <v>0</v>
      </c>
      <c r="F36" s="316">
        <f>OCP_SalesProduct!G72-F35</f>
        <v>0</v>
      </c>
      <c r="G36" s="316">
        <f>OCP_SalesProduct!G73-G35</f>
        <v>0</v>
      </c>
      <c r="H36" s="316">
        <f>OCP_SalesProduct!G74-H35</f>
        <v>0</v>
      </c>
      <c r="L36" s="287"/>
      <c r="M36" s="204"/>
      <c r="N36" s="204"/>
      <c r="O36" s="204"/>
      <c r="P36" s="204"/>
      <c r="Q36" s="204"/>
      <c r="R36" s="204"/>
      <c r="S36" s="204"/>
      <c r="T36" s="204"/>
      <c r="U36" s="204"/>
      <c r="V36" s="204"/>
      <c r="W36" s="204"/>
      <c r="X36" s="204"/>
      <c r="Y36" s="204"/>
      <c r="Z36" s="204"/>
      <c r="AA36" s="204"/>
      <c r="AB36" s="204"/>
      <c r="AC36" s="204"/>
      <c r="AD36" s="204"/>
      <c r="AE36" s="204"/>
      <c r="AF36" s="287"/>
      <c r="AG36" s="287"/>
      <c r="AH36" s="287"/>
      <c r="AI36" s="287"/>
      <c r="AJ36" s="287"/>
    </row>
    <row r="37" spans="1:36" ht="13.5" customHeight="1" x14ac:dyDescent="0.25">
      <c r="A37" s="287"/>
      <c r="B37" s="287"/>
      <c r="C37" s="287"/>
      <c r="D37" s="287"/>
      <c r="E37" s="321"/>
      <c r="F37" s="321"/>
      <c r="G37" s="321"/>
      <c r="H37" s="320"/>
      <c r="I37" s="320"/>
      <c r="J37" s="320"/>
      <c r="K37" s="287"/>
      <c r="L37" s="318"/>
      <c r="M37" s="287"/>
      <c r="N37" s="287"/>
      <c r="O37" s="287"/>
      <c r="P37" s="287"/>
      <c r="Q37" s="287"/>
      <c r="R37" s="287"/>
      <c r="S37" s="287"/>
      <c r="T37" s="287"/>
      <c r="U37" s="287"/>
      <c r="V37" s="287"/>
      <c r="W37" s="287"/>
      <c r="X37" s="287"/>
      <c r="Y37" s="287"/>
      <c r="Z37" s="287"/>
      <c r="AA37" s="287"/>
      <c r="AB37" s="287"/>
      <c r="AC37" s="287"/>
      <c r="AD37" s="287"/>
      <c r="AE37" s="287"/>
      <c r="AF37" s="287"/>
      <c r="AG37" s="287"/>
      <c r="AH37" s="287"/>
    </row>
    <row r="38" spans="1:36" ht="13.5" customHeight="1" x14ac:dyDescent="0.3">
      <c r="E38" s="301" t="s">
        <v>182</v>
      </c>
      <c r="F38" s="301" t="s">
        <v>183</v>
      </c>
      <c r="G38" s="301" t="s">
        <v>321</v>
      </c>
      <c r="H38" s="301" t="s">
        <v>257</v>
      </c>
      <c r="J38" s="301" t="s">
        <v>182</v>
      </c>
      <c r="K38" s="301" t="s">
        <v>183</v>
      </c>
      <c r="L38" s="301" t="s">
        <v>321</v>
      </c>
      <c r="M38" s="301" t="s">
        <v>257</v>
      </c>
    </row>
    <row r="39" spans="1:36" ht="13.5" customHeight="1" x14ac:dyDescent="0.3">
      <c r="D39" s="302" t="s">
        <v>186</v>
      </c>
      <c r="E39" s="303">
        <v>2025</v>
      </c>
      <c r="F39" s="303"/>
      <c r="G39" s="303"/>
      <c r="H39" s="303"/>
      <c r="J39" s="303">
        <v>2025</v>
      </c>
      <c r="K39" s="303"/>
      <c r="L39" s="303"/>
      <c r="M39" s="303"/>
    </row>
    <row r="40" spans="1:36" ht="13.5" customHeight="1" x14ac:dyDescent="0.25">
      <c r="A40" s="287"/>
      <c r="B40" s="287"/>
      <c r="C40" s="287"/>
      <c r="D40" s="304" t="str">
        <f>D11</f>
        <v>Plantains and cooking bananas</v>
      </c>
      <c r="E40" s="305">
        <f>OCP_SalesProduct!Z184+OCP_SalesProduct!Z245</f>
        <v>0.35936113773942208</v>
      </c>
      <c r="F40" s="305">
        <f>OCP_SalesProduct!AC184+OCP_SalesProduct!AC245</f>
        <v>0</v>
      </c>
      <c r="G40" s="305">
        <f>OCP_SalesProduct!AF184+OCP_SalesProduct!AF245</f>
        <v>0</v>
      </c>
      <c r="H40" s="305">
        <f>OCP_SalesProduct!AI184+OCP_SalesProduct!AI245</f>
        <v>0</v>
      </c>
      <c r="J40" s="306">
        <f t="shared" ref="J40:J63" si="5">E40/SUM($E40:$H40)</f>
        <v>1</v>
      </c>
      <c r="K40" s="306">
        <f t="shared" ref="K40:K63" si="6">F40/SUM($E40:$H40)</f>
        <v>0</v>
      </c>
      <c r="L40" s="306">
        <f t="shared" ref="L40:L63" si="7">G40/SUM($E40:$H40)</f>
        <v>0</v>
      </c>
      <c r="M40" s="306">
        <f t="shared" ref="M40:M63" si="8">H40/SUM($E40:$H40)</f>
        <v>0</v>
      </c>
      <c r="P40" s="287"/>
      <c r="Q40" s="287"/>
      <c r="R40" s="287"/>
      <c r="S40" s="287"/>
      <c r="T40" s="287"/>
      <c r="U40" s="287"/>
      <c r="V40" s="287"/>
      <c r="W40" s="287"/>
      <c r="X40" s="287"/>
      <c r="Y40" s="287"/>
      <c r="Z40" s="287"/>
      <c r="AA40" s="287"/>
      <c r="AB40" s="287"/>
      <c r="AC40" s="287"/>
      <c r="AD40" s="287"/>
      <c r="AE40" s="287"/>
      <c r="AF40" s="287"/>
      <c r="AG40" s="287"/>
      <c r="AH40" s="287"/>
      <c r="AI40" s="287"/>
      <c r="AJ40" s="287"/>
    </row>
    <row r="41" spans="1:36" ht="13.5" customHeight="1" x14ac:dyDescent="0.25">
      <c r="A41" s="287"/>
      <c r="B41" s="287"/>
      <c r="C41" s="287"/>
      <c r="D41" s="304" t="str">
        <f t="shared" ref="D41:D63" si="9">D12</f>
        <v>Maize (corn)</v>
      </c>
      <c r="E41" s="305">
        <f>OCP_SalesProduct!Z185+OCP_SalesProduct!Z246</f>
        <v>0</v>
      </c>
      <c r="F41" s="305">
        <f>OCP_SalesProduct!AC185+OCP_SalesProduct!AC246</f>
        <v>0</v>
      </c>
      <c r="G41" s="305">
        <f>OCP_SalesProduct!AF185+OCP_SalesProduct!AF246</f>
        <v>5.7610269960256808</v>
      </c>
      <c r="H41" s="305">
        <f>OCP_SalesProduct!AI185+OCP_SalesProduct!AI246</f>
        <v>0</v>
      </c>
      <c r="J41" s="306">
        <f t="shared" si="5"/>
        <v>0</v>
      </c>
      <c r="K41" s="306">
        <f t="shared" si="6"/>
        <v>0</v>
      </c>
      <c r="L41" s="306">
        <f t="shared" si="7"/>
        <v>1</v>
      </c>
      <c r="M41" s="306">
        <f t="shared" si="8"/>
        <v>0</v>
      </c>
      <c r="P41" s="287"/>
      <c r="Q41" s="287"/>
      <c r="R41" s="287"/>
      <c r="S41" s="287"/>
      <c r="T41" s="287"/>
      <c r="U41" s="287"/>
      <c r="V41" s="287"/>
      <c r="W41" s="287"/>
      <c r="X41" s="287"/>
      <c r="Y41" s="287"/>
      <c r="Z41" s="287"/>
      <c r="AA41" s="287"/>
      <c r="AB41" s="287"/>
      <c r="AC41" s="287"/>
      <c r="AD41" s="287"/>
      <c r="AE41" s="287"/>
      <c r="AF41" s="287"/>
      <c r="AG41" s="287"/>
      <c r="AH41" s="287"/>
      <c r="AI41" s="287"/>
      <c r="AJ41" s="287"/>
    </row>
    <row r="42" spans="1:36" ht="13.5" customHeight="1" x14ac:dyDescent="0.25">
      <c r="A42" s="287"/>
      <c r="B42" s="287"/>
      <c r="C42" s="287"/>
      <c r="D42" s="304" t="str">
        <f t="shared" si="9"/>
        <v>Cassava, fresh</v>
      </c>
      <c r="E42" s="305">
        <f>OCP_SalesProduct!Z186+OCP_SalesProduct!Z247</f>
        <v>0.59073848123981532</v>
      </c>
      <c r="F42" s="305">
        <f>OCP_SalesProduct!AC186+OCP_SalesProduct!AC247</f>
        <v>0</v>
      </c>
      <c r="G42" s="305">
        <f>OCP_SalesProduct!AF186+OCP_SalesProduct!AF247</f>
        <v>0.59073848123981532</v>
      </c>
      <c r="H42" s="305">
        <f>OCP_SalesProduct!AI186+OCP_SalesProduct!AI247</f>
        <v>0</v>
      </c>
      <c r="J42" s="306">
        <f t="shared" si="5"/>
        <v>0.5</v>
      </c>
      <c r="K42" s="306">
        <f t="shared" si="6"/>
        <v>0</v>
      </c>
      <c r="L42" s="306">
        <f t="shared" si="7"/>
        <v>0.5</v>
      </c>
      <c r="M42" s="306">
        <f t="shared" si="8"/>
        <v>0</v>
      </c>
      <c r="P42" s="287"/>
      <c r="Q42" s="287"/>
      <c r="R42" s="287"/>
      <c r="S42" s="287"/>
      <c r="T42" s="287"/>
      <c r="U42" s="287"/>
      <c r="V42" s="287"/>
      <c r="W42" s="287"/>
      <c r="X42" s="287"/>
      <c r="Y42" s="287"/>
      <c r="Z42" s="287"/>
      <c r="AA42" s="287"/>
      <c r="AB42" s="287"/>
      <c r="AC42" s="287"/>
      <c r="AD42" s="287"/>
      <c r="AE42" s="287"/>
      <c r="AF42" s="287"/>
      <c r="AG42" s="287"/>
      <c r="AH42" s="287"/>
      <c r="AI42" s="287"/>
      <c r="AJ42" s="287"/>
    </row>
    <row r="43" spans="1:36" ht="13.5" customHeight="1" x14ac:dyDescent="0.35">
      <c r="A43" s="287"/>
      <c r="B43" s="307"/>
      <c r="C43" s="287"/>
      <c r="D43" s="304" t="str">
        <f t="shared" si="9"/>
        <v>Coffee, green</v>
      </c>
      <c r="E43" s="305">
        <f>OCP_SalesProduct!Z187+OCP_SalesProduct!Z248</f>
        <v>1.5373654849121676</v>
      </c>
      <c r="F43" s="305">
        <f>OCP_SalesProduct!AC187+OCP_SalesProduct!AC248</f>
        <v>6.1494619396486705</v>
      </c>
      <c r="G43" s="305">
        <f>OCP_SalesProduct!AF187+OCP_SalesProduct!AF248</f>
        <v>0</v>
      </c>
      <c r="H43" s="305">
        <f>OCP_SalesProduct!AI187+OCP_SalesProduct!AI248</f>
        <v>0</v>
      </c>
      <c r="J43" s="306">
        <f t="shared" si="5"/>
        <v>0.2</v>
      </c>
      <c r="K43" s="306">
        <f t="shared" si="6"/>
        <v>0.8</v>
      </c>
      <c r="L43" s="306">
        <f t="shared" si="7"/>
        <v>0</v>
      </c>
      <c r="M43" s="306">
        <f t="shared" si="8"/>
        <v>0</v>
      </c>
      <c r="P43" s="287"/>
      <c r="Q43" s="287"/>
      <c r="R43" s="287"/>
      <c r="S43" s="287"/>
      <c r="T43" s="287"/>
      <c r="U43" s="287"/>
      <c r="V43" s="287"/>
      <c r="W43" s="287"/>
      <c r="X43" s="287"/>
      <c r="Y43" s="287"/>
      <c r="Z43" s="287"/>
      <c r="AA43" s="287"/>
      <c r="AB43" s="287"/>
      <c r="AC43" s="287"/>
      <c r="AD43" s="287"/>
      <c r="AE43" s="287"/>
      <c r="AF43" s="287"/>
      <c r="AG43" s="287"/>
      <c r="AH43" s="287"/>
      <c r="AI43" s="287"/>
      <c r="AJ43" s="287"/>
    </row>
    <row r="44" spans="1:36" ht="13.5" customHeight="1" x14ac:dyDescent="0.25">
      <c r="A44" s="287"/>
      <c r="B44" s="287"/>
      <c r="C44" s="287"/>
      <c r="D44" s="304" t="str">
        <f t="shared" si="9"/>
        <v>Beans, dry</v>
      </c>
      <c r="E44" s="305">
        <f>OCP_SalesProduct!Z188+OCP_SalesProduct!Z249</f>
        <v>0.10725109417581417</v>
      </c>
      <c r="F44" s="305">
        <f>OCP_SalesProduct!AC188+OCP_SalesProduct!AC249</f>
        <v>0.4290043767032567</v>
      </c>
      <c r="G44" s="305">
        <f>OCP_SalesProduct!AF188+OCP_SalesProduct!AF249</f>
        <v>0</v>
      </c>
      <c r="H44" s="305">
        <f>OCP_SalesProduct!AI188+OCP_SalesProduct!AI249</f>
        <v>0</v>
      </c>
      <c r="J44" s="306">
        <f t="shared" si="5"/>
        <v>0.19999999999999998</v>
      </c>
      <c r="K44" s="306">
        <f t="shared" si="6"/>
        <v>0.79999999999999993</v>
      </c>
      <c r="L44" s="306">
        <f t="shared" si="7"/>
        <v>0</v>
      </c>
      <c r="M44" s="306">
        <f t="shared" si="8"/>
        <v>0</v>
      </c>
      <c r="P44" s="287"/>
      <c r="Q44" s="287"/>
      <c r="R44" s="287"/>
      <c r="S44" s="287"/>
      <c r="T44" s="287"/>
      <c r="U44" s="287"/>
      <c r="V44" s="287"/>
      <c r="W44" s="287"/>
      <c r="X44" s="287"/>
      <c r="Y44" s="287"/>
      <c r="Z44" s="287"/>
      <c r="AA44" s="287"/>
      <c r="AB44" s="287"/>
      <c r="AC44" s="287"/>
      <c r="AD44" s="287"/>
      <c r="AE44" s="287"/>
      <c r="AF44" s="287"/>
      <c r="AG44" s="287"/>
      <c r="AH44" s="287"/>
      <c r="AI44" s="287"/>
      <c r="AJ44" s="287"/>
    </row>
    <row r="45" spans="1:36" ht="13.5" customHeight="1" x14ac:dyDescent="0.3">
      <c r="A45" s="287"/>
      <c r="B45" s="287"/>
      <c r="C45" s="287"/>
      <c r="D45" s="304" t="str">
        <f t="shared" si="9"/>
        <v>Groundnuts, excluding shelled</v>
      </c>
      <c r="E45" s="305">
        <f>OCP_SalesProduct!Z189+OCP_SalesProduct!Z250</f>
        <v>2.9915903937653462E-2</v>
      </c>
      <c r="F45" s="305">
        <f>OCP_SalesProduct!AC189+OCP_SalesProduct!AC250</f>
        <v>0.11966361575061385</v>
      </c>
      <c r="G45" s="305">
        <f>OCP_SalesProduct!AF189+OCP_SalesProduct!AF250</f>
        <v>0</v>
      </c>
      <c r="H45" s="305">
        <f>OCP_SalesProduct!AI189+OCP_SalesProduct!AI250</f>
        <v>0</v>
      </c>
      <c r="J45" s="306">
        <f t="shared" si="5"/>
        <v>0.19999999999999998</v>
      </c>
      <c r="K45" s="306">
        <f t="shared" si="6"/>
        <v>0.79999999999999993</v>
      </c>
      <c r="L45" s="306">
        <f t="shared" si="7"/>
        <v>0</v>
      </c>
      <c r="M45" s="306">
        <f t="shared" si="8"/>
        <v>0</v>
      </c>
      <c r="P45" s="287"/>
      <c r="Q45" s="287"/>
      <c r="R45" s="287"/>
      <c r="S45" s="287"/>
      <c r="T45" s="287"/>
      <c r="U45" s="287"/>
      <c r="V45" s="287"/>
      <c r="W45" s="308"/>
      <c r="X45" s="287"/>
      <c r="Y45" s="287"/>
      <c r="Z45" s="287"/>
      <c r="AA45" s="287"/>
      <c r="AB45" s="287"/>
      <c r="AC45" s="287"/>
      <c r="AD45" s="287"/>
      <c r="AE45" s="287"/>
      <c r="AF45" s="287"/>
      <c r="AG45" s="287"/>
      <c r="AH45" s="287"/>
      <c r="AI45" s="287"/>
      <c r="AJ45" s="287"/>
    </row>
    <row r="46" spans="1:36" ht="13.5" customHeight="1" x14ac:dyDescent="0.3">
      <c r="A46" s="287"/>
      <c r="B46" s="287"/>
      <c r="C46" s="287"/>
      <c r="D46" s="304" t="str">
        <f t="shared" si="9"/>
        <v>Sweet potatoes</v>
      </c>
      <c r="E46" s="305">
        <f>OCP_SalesProduct!Z190+OCP_SalesProduct!Z251</f>
        <v>0.20492085339135538</v>
      </c>
      <c r="F46" s="305">
        <f>OCP_SalesProduct!AC190+OCP_SalesProduct!AC251</f>
        <v>0</v>
      </c>
      <c r="G46" s="305">
        <f>OCP_SalesProduct!AF190+OCP_SalesProduct!AF251</f>
        <v>0.20492085339135538</v>
      </c>
      <c r="H46" s="305">
        <f>OCP_SalesProduct!AI190+OCP_SalesProduct!AI251</f>
        <v>0</v>
      </c>
      <c r="J46" s="306">
        <f t="shared" si="5"/>
        <v>0.5</v>
      </c>
      <c r="K46" s="306">
        <f t="shared" si="6"/>
        <v>0</v>
      </c>
      <c r="L46" s="306">
        <f t="shared" si="7"/>
        <v>0.5</v>
      </c>
      <c r="M46" s="306">
        <f t="shared" si="8"/>
        <v>0</v>
      </c>
      <c r="P46" s="287"/>
      <c r="Q46" s="287"/>
      <c r="R46" s="287"/>
      <c r="S46" s="287"/>
      <c r="T46" s="287"/>
      <c r="U46" s="287"/>
      <c r="V46" s="287"/>
      <c r="W46" s="308"/>
      <c r="X46" s="287"/>
      <c r="Y46" s="287"/>
      <c r="Z46" s="287"/>
      <c r="AA46" s="287"/>
      <c r="AB46" s="287"/>
      <c r="AC46" s="287"/>
      <c r="AD46" s="287"/>
      <c r="AE46" s="287"/>
      <c r="AF46" s="287"/>
      <c r="AG46" s="287"/>
      <c r="AH46" s="287"/>
      <c r="AI46" s="287"/>
      <c r="AJ46" s="287"/>
    </row>
    <row r="47" spans="1:36" ht="13.5" customHeight="1" x14ac:dyDescent="0.25">
      <c r="A47" s="287"/>
      <c r="B47" s="287"/>
      <c r="C47" s="287"/>
      <c r="D47" s="304" t="str">
        <f t="shared" si="9"/>
        <v>Sunflower seed</v>
      </c>
      <c r="E47" s="305">
        <f>OCP_SalesProduct!Z191+OCP_SalesProduct!Z252</f>
        <v>3.4759408394070115E-2</v>
      </c>
      <c r="F47" s="305">
        <f>OCP_SalesProduct!AC191+OCP_SalesProduct!AC252</f>
        <v>0.10427822518221032</v>
      </c>
      <c r="G47" s="305">
        <f>OCP_SalesProduct!AF191+OCP_SalesProduct!AF252</f>
        <v>3.4759408394070115E-2</v>
      </c>
      <c r="H47" s="305">
        <f>OCP_SalesProduct!AI191+OCP_SalesProduct!AI252</f>
        <v>0</v>
      </c>
      <c r="J47" s="306">
        <f t="shared" si="5"/>
        <v>0.2</v>
      </c>
      <c r="K47" s="306">
        <f t="shared" si="6"/>
        <v>0.59999999999999987</v>
      </c>
      <c r="L47" s="306">
        <f t="shared" si="7"/>
        <v>0.2</v>
      </c>
      <c r="M47" s="306">
        <f t="shared" si="8"/>
        <v>0</v>
      </c>
      <c r="P47" s="287"/>
      <c r="Q47" s="287"/>
      <c r="R47" s="287"/>
      <c r="S47" s="287"/>
      <c r="T47" s="287"/>
      <c r="U47" s="287"/>
      <c r="V47" s="287"/>
      <c r="W47" s="287"/>
      <c r="X47" s="287"/>
      <c r="Y47" s="287"/>
      <c r="Z47" s="287"/>
      <c r="AA47" s="287"/>
      <c r="AB47" s="287"/>
      <c r="AC47" s="287"/>
      <c r="AD47" s="287"/>
      <c r="AE47" s="287"/>
      <c r="AF47" s="287"/>
      <c r="AG47" s="287"/>
      <c r="AH47" s="287"/>
      <c r="AI47" s="287"/>
      <c r="AJ47" s="287"/>
    </row>
    <row r="48" spans="1:36" ht="13.5" customHeight="1" x14ac:dyDescent="0.3">
      <c r="A48" s="287"/>
      <c r="B48" s="287"/>
      <c r="C48" s="287"/>
      <c r="D48" s="304" t="str">
        <f t="shared" si="9"/>
        <v>Sesame seed</v>
      </c>
      <c r="E48" s="305">
        <f>OCP_SalesProduct!Z192+OCP_SalesProduct!Z253</f>
        <v>4.7382049486562064E-2</v>
      </c>
      <c r="F48" s="305">
        <f>OCP_SalesProduct!AC192+OCP_SalesProduct!AC253</f>
        <v>0.18952819794624826</v>
      </c>
      <c r="G48" s="305">
        <f>OCP_SalesProduct!AF192+OCP_SalesProduct!AF253</f>
        <v>0</v>
      </c>
      <c r="H48" s="305">
        <f>OCP_SalesProduct!AI192+OCP_SalesProduct!AI253</f>
        <v>0</v>
      </c>
      <c r="J48" s="306">
        <f t="shared" si="5"/>
        <v>0.2</v>
      </c>
      <c r="K48" s="306">
        <f t="shared" si="6"/>
        <v>0.8</v>
      </c>
      <c r="L48" s="306">
        <f t="shared" si="7"/>
        <v>0</v>
      </c>
      <c r="M48" s="306">
        <f t="shared" si="8"/>
        <v>0</v>
      </c>
      <c r="P48" s="309"/>
      <c r="Q48" s="309"/>
      <c r="R48" s="309"/>
      <c r="S48" s="309"/>
      <c r="T48" s="309"/>
      <c r="U48" s="309"/>
      <c r="V48" s="310"/>
      <c r="W48" s="309"/>
      <c r="X48" s="309"/>
      <c r="Y48" s="309"/>
      <c r="Z48" s="309"/>
      <c r="AA48" s="309"/>
      <c r="AB48" s="309"/>
      <c r="AC48" s="309"/>
      <c r="AD48" s="309"/>
      <c r="AE48" s="309"/>
      <c r="AF48" s="311"/>
      <c r="AG48" s="311"/>
      <c r="AH48" s="311"/>
      <c r="AI48" s="311"/>
      <c r="AJ48" s="287"/>
    </row>
    <row r="49" spans="1:36" ht="13.5" customHeight="1" x14ac:dyDescent="0.25">
      <c r="A49" s="287"/>
      <c r="B49" s="287"/>
      <c r="C49" s="287"/>
      <c r="D49" s="304" t="str">
        <f t="shared" si="9"/>
        <v>Sorghum</v>
      </c>
      <c r="E49" s="305">
        <f>OCP_SalesProduct!Z193+OCP_SalesProduct!Z254</f>
        <v>0</v>
      </c>
      <c r="F49" s="305">
        <f>OCP_SalesProduct!AC193+OCP_SalesProduct!AC254</f>
        <v>0</v>
      </c>
      <c r="G49" s="305">
        <f>OCP_SalesProduct!AF193+OCP_SalesProduct!AF254</f>
        <v>6.5420828205027176E-2</v>
      </c>
      <c r="H49" s="305">
        <f>OCP_SalesProduct!AI193+OCP_SalesProduct!AI254</f>
        <v>0</v>
      </c>
      <c r="J49" s="306">
        <f t="shared" si="5"/>
        <v>0</v>
      </c>
      <c r="K49" s="306">
        <f t="shared" si="6"/>
        <v>0</v>
      </c>
      <c r="L49" s="306">
        <f t="shared" si="7"/>
        <v>1</v>
      </c>
      <c r="M49" s="306">
        <f t="shared" si="8"/>
        <v>0</v>
      </c>
      <c r="P49" s="204"/>
      <c r="Q49" s="204"/>
      <c r="R49" s="204"/>
      <c r="S49" s="204"/>
      <c r="T49" s="204"/>
      <c r="U49" s="204"/>
      <c r="V49" s="204"/>
      <c r="W49" s="204"/>
      <c r="X49" s="204"/>
      <c r="Y49" s="204"/>
      <c r="Z49" s="204"/>
      <c r="AA49" s="204"/>
      <c r="AB49" s="204"/>
      <c r="AC49" s="204"/>
      <c r="AD49" s="204"/>
      <c r="AE49" s="204"/>
      <c r="AF49" s="287"/>
      <c r="AG49" s="287"/>
      <c r="AH49" s="287"/>
      <c r="AI49" s="287"/>
      <c r="AJ49" s="287"/>
    </row>
    <row r="50" spans="1:36" ht="13.5" customHeight="1" x14ac:dyDescent="0.25">
      <c r="A50" s="287"/>
      <c r="B50" s="287"/>
      <c r="C50" s="287"/>
      <c r="D50" s="304" t="str">
        <f t="shared" si="9"/>
        <v>Other vegetables, fresh n.e.c.</v>
      </c>
      <c r="E50" s="305">
        <f>OCP_SalesProduct!Z194+OCP_SalesProduct!Z255</f>
        <v>0.10913535790278454</v>
      </c>
      <c r="F50" s="305">
        <f>OCP_SalesProduct!AC194+OCP_SalesProduct!AC255</f>
        <v>0</v>
      </c>
      <c r="G50" s="305">
        <f>OCP_SalesProduct!AF194+OCP_SalesProduct!AF255</f>
        <v>0</v>
      </c>
      <c r="H50" s="305">
        <f>OCP_SalesProduct!AI194+OCP_SalesProduct!AI255</f>
        <v>0</v>
      </c>
      <c r="J50" s="306">
        <f t="shared" si="5"/>
        <v>1</v>
      </c>
      <c r="K50" s="306">
        <f t="shared" si="6"/>
        <v>0</v>
      </c>
      <c r="L50" s="306">
        <f t="shared" si="7"/>
        <v>0</v>
      </c>
      <c r="M50" s="306">
        <f t="shared" si="8"/>
        <v>0</v>
      </c>
      <c r="P50" s="204"/>
      <c r="Q50" s="204"/>
      <c r="R50" s="204"/>
      <c r="S50" s="204"/>
      <c r="T50" s="204"/>
      <c r="U50" s="204"/>
      <c r="V50" s="204"/>
      <c r="W50" s="204"/>
      <c r="X50" s="204"/>
      <c r="Y50" s="204"/>
      <c r="Z50" s="204"/>
      <c r="AA50" s="204"/>
      <c r="AB50" s="204"/>
      <c r="AC50" s="204"/>
      <c r="AD50" s="204"/>
      <c r="AE50" s="204"/>
      <c r="AF50" s="287"/>
      <c r="AG50" s="287"/>
      <c r="AH50" s="287"/>
      <c r="AI50" s="287"/>
      <c r="AJ50" s="287"/>
    </row>
    <row r="51" spans="1:36" ht="13.5" customHeight="1" x14ac:dyDescent="0.25">
      <c r="A51" s="287"/>
      <c r="B51" s="287"/>
      <c r="C51" s="287"/>
      <c r="D51" s="304" t="str">
        <f t="shared" si="9"/>
        <v>Seed cotton, unginned</v>
      </c>
      <c r="E51" s="305">
        <f>OCP_SalesProduct!Z195+OCP_SalesProduct!Z256</f>
        <v>6.144966841094536E-2</v>
      </c>
      <c r="F51" s="305">
        <f>OCP_SalesProduct!AC195+OCP_SalesProduct!AC256</f>
        <v>0</v>
      </c>
      <c r="G51" s="305">
        <f>OCP_SalesProduct!AF195+OCP_SalesProduct!AF256</f>
        <v>0</v>
      </c>
      <c r="H51" s="305">
        <f>OCP_SalesProduct!AI195+OCP_SalesProduct!AI256</f>
        <v>0</v>
      </c>
      <c r="J51" s="306">
        <f t="shared" si="5"/>
        <v>1</v>
      </c>
      <c r="K51" s="306">
        <f t="shared" si="6"/>
        <v>0</v>
      </c>
      <c r="L51" s="306">
        <f t="shared" si="7"/>
        <v>0</v>
      </c>
      <c r="M51" s="306">
        <f t="shared" si="8"/>
        <v>0</v>
      </c>
      <c r="P51" s="204"/>
      <c r="Q51" s="204"/>
      <c r="R51" s="204"/>
      <c r="S51" s="204"/>
      <c r="T51" s="204"/>
      <c r="U51" s="204"/>
      <c r="V51" s="204"/>
      <c r="W51" s="204"/>
      <c r="X51" s="204"/>
      <c r="Y51" s="204"/>
      <c r="Z51" s="204"/>
      <c r="AA51" s="204"/>
      <c r="AB51" s="204"/>
      <c r="AC51" s="204"/>
      <c r="AD51" s="204"/>
      <c r="AE51" s="204"/>
      <c r="AF51" s="287"/>
      <c r="AG51" s="287"/>
      <c r="AH51" s="287"/>
      <c r="AI51" s="287"/>
      <c r="AJ51" s="287"/>
    </row>
    <row r="52" spans="1:36" ht="13.5" customHeight="1" x14ac:dyDescent="0.25">
      <c r="A52" s="287"/>
      <c r="B52" s="287"/>
      <c r="C52" s="287"/>
      <c r="D52" s="304" t="str">
        <f t="shared" si="9"/>
        <v>Rice</v>
      </c>
      <c r="E52" s="305">
        <f>OCP_SalesProduct!Z196+OCP_SalesProduct!Z257</f>
        <v>0.10467600047121554</v>
      </c>
      <c r="F52" s="305">
        <f>OCP_SalesProduct!AC196+OCP_SalesProduct!AC257</f>
        <v>0.41870400188486218</v>
      </c>
      <c r="G52" s="305">
        <f>OCP_SalesProduct!AF196+OCP_SalesProduct!AF257</f>
        <v>0</v>
      </c>
      <c r="H52" s="305">
        <f>OCP_SalesProduct!AI196+OCP_SalesProduct!AI257</f>
        <v>0</v>
      </c>
      <c r="J52" s="306">
        <f t="shared" si="5"/>
        <v>0.19999999999999998</v>
      </c>
      <c r="K52" s="306">
        <f t="shared" si="6"/>
        <v>0.79999999999999993</v>
      </c>
      <c r="L52" s="306">
        <f t="shared" si="7"/>
        <v>0</v>
      </c>
      <c r="M52" s="306">
        <f t="shared" si="8"/>
        <v>0</v>
      </c>
      <c r="P52" s="204"/>
      <c r="Q52" s="204"/>
      <c r="R52" s="204"/>
      <c r="S52" s="204"/>
      <c r="T52" s="204"/>
      <c r="U52" s="204"/>
      <c r="V52" s="204"/>
      <c r="W52" s="204"/>
      <c r="X52" s="204"/>
      <c r="Y52" s="204"/>
      <c r="Z52" s="204"/>
      <c r="AA52" s="204"/>
      <c r="AB52" s="204"/>
      <c r="AC52" s="204"/>
      <c r="AD52" s="204"/>
      <c r="AE52" s="204"/>
      <c r="AF52" s="287"/>
      <c r="AG52" s="287"/>
      <c r="AH52" s="287"/>
      <c r="AI52" s="287"/>
      <c r="AJ52" s="287"/>
    </row>
    <row r="53" spans="1:36" ht="13.5" customHeight="1" x14ac:dyDescent="0.25">
      <c r="A53" s="287"/>
      <c r="B53" s="287"/>
      <c r="C53" s="287"/>
      <c r="D53" s="304" t="str">
        <f t="shared" si="9"/>
        <v>Onions and shallots, dry (excluding dehydrated)</v>
      </c>
      <c r="E53" s="305">
        <f>OCP_SalesProduct!Z197+OCP_SalesProduct!Z258</f>
        <v>5.7948015698568278E-2</v>
      </c>
      <c r="F53" s="305">
        <f>OCP_SalesProduct!AC197+OCP_SalesProduct!AC258</f>
        <v>0</v>
      </c>
      <c r="G53" s="305">
        <f>OCP_SalesProduct!AF197+OCP_SalesProduct!AF258</f>
        <v>0</v>
      </c>
      <c r="H53" s="305">
        <f>OCP_SalesProduct!AI197+OCP_SalesProduct!AI258</f>
        <v>0</v>
      </c>
      <c r="J53" s="306">
        <f t="shared" si="5"/>
        <v>1</v>
      </c>
      <c r="K53" s="306">
        <f t="shared" si="6"/>
        <v>0</v>
      </c>
      <c r="L53" s="306">
        <f t="shared" si="7"/>
        <v>0</v>
      </c>
      <c r="M53" s="306">
        <f t="shared" si="8"/>
        <v>0</v>
      </c>
      <c r="P53" s="204"/>
      <c r="Q53" s="204"/>
      <c r="R53" s="204"/>
      <c r="S53" s="204"/>
      <c r="T53" s="204"/>
      <c r="U53" s="204"/>
      <c r="V53" s="204"/>
      <c r="W53" s="204"/>
      <c r="X53" s="204"/>
      <c r="Y53" s="204"/>
      <c r="Z53" s="204"/>
      <c r="AA53" s="204"/>
      <c r="AB53" s="204"/>
      <c r="AC53" s="204"/>
      <c r="AD53" s="204"/>
      <c r="AE53" s="204"/>
      <c r="AF53" s="312"/>
      <c r="AG53" s="287"/>
      <c r="AH53" s="287"/>
      <c r="AI53" s="287"/>
      <c r="AJ53" s="287"/>
    </row>
    <row r="54" spans="1:36" ht="13.5" customHeight="1" x14ac:dyDescent="0.25">
      <c r="A54" s="287"/>
      <c r="B54" s="287"/>
      <c r="C54" s="287"/>
      <c r="D54" s="304" t="str">
        <f t="shared" si="9"/>
        <v>Sugar cane</v>
      </c>
      <c r="E54" s="305">
        <f>OCP_SalesProduct!Z198+OCP_SalesProduct!Z259</f>
        <v>0.10468582603552566</v>
      </c>
      <c r="F54" s="305">
        <f>OCP_SalesProduct!AC198+OCP_SalesProduct!AC259</f>
        <v>0.41874330414210265</v>
      </c>
      <c r="G54" s="305">
        <f>OCP_SalesProduct!AF198+OCP_SalesProduct!AF259</f>
        <v>0</v>
      </c>
      <c r="H54" s="305">
        <f>OCP_SalesProduct!AI198+OCP_SalesProduct!AI259</f>
        <v>0</v>
      </c>
      <c r="J54" s="306">
        <f t="shared" si="5"/>
        <v>0.2</v>
      </c>
      <c r="K54" s="306">
        <f t="shared" si="6"/>
        <v>0.8</v>
      </c>
      <c r="L54" s="306">
        <f t="shared" si="7"/>
        <v>0</v>
      </c>
      <c r="M54" s="306">
        <f t="shared" si="8"/>
        <v>0</v>
      </c>
      <c r="P54" s="204"/>
      <c r="Q54" s="204"/>
      <c r="R54" s="204"/>
      <c r="S54" s="204"/>
      <c r="T54" s="204"/>
      <c r="U54" s="204"/>
      <c r="V54" s="204"/>
      <c r="W54" s="204"/>
      <c r="X54" s="204"/>
      <c r="Y54" s="204"/>
      <c r="Z54" s="204"/>
      <c r="AA54" s="204"/>
      <c r="AB54" s="204"/>
      <c r="AC54" s="204"/>
      <c r="AD54" s="204"/>
      <c r="AE54" s="204"/>
      <c r="AF54" s="287"/>
      <c r="AG54" s="287"/>
      <c r="AH54" s="287"/>
      <c r="AI54" s="287"/>
      <c r="AJ54" s="287"/>
    </row>
    <row r="55" spans="1:36" ht="13.5" customHeight="1" x14ac:dyDescent="0.25">
      <c r="A55" s="287"/>
      <c r="B55" s="287"/>
      <c r="C55" s="287"/>
      <c r="D55" s="304" t="str">
        <f t="shared" si="9"/>
        <v>Millet</v>
      </c>
      <c r="E55" s="305">
        <f>OCP_SalesProduct!Z199+OCP_SalesProduct!Z260</f>
        <v>0</v>
      </c>
      <c r="F55" s="305">
        <f>OCP_SalesProduct!AC199+OCP_SalesProduct!AC260</f>
        <v>0</v>
      </c>
      <c r="G55" s="305">
        <f>OCP_SalesProduct!AF199+OCP_SalesProduct!AF260</f>
        <v>2.2367646339102199E-2</v>
      </c>
      <c r="H55" s="305">
        <f>OCP_SalesProduct!AI199+OCP_SalesProduct!AI260</f>
        <v>0</v>
      </c>
      <c r="J55" s="306">
        <f t="shared" si="5"/>
        <v>0</v>
      </c>
      <c r="K55" s="306">
        <f t="shared" si="6"/>
        <v>0</v>
      </c>
      <c r="L55" s="306">
        <f t="shared" si="7"/>
        <v>1</v>
      </c>
      <c r="M55" s="306">
        <f t="shared" si="8"/>
        <v>0</v>
      </c>
      <c r="P55" s="204"/>
      <c r="Q55" s="204"/>
      <c r="R55" s="204"/>
      <c r="S55" s="204"/>
      <c r="T55" s="204"/>
      <c r="U55" s="204"/>
      <c r="V55" s="204"/>
      <c r="W55" s="204"/>
      <c r="X55" s="204"/>
      <c r="Y55" s="204"/>
      <c r="Z55" s="204"/>
      <c r="AA55" s="204"/>
      <c r="AB55" s="204"/>
      <c r="AC55" s="204"/>
      <c r="AD55" s="204"/>
      <c r="AE55" s="204"/>
      <c r="AF55" s="287"/>
      <c r="AG55" s="287"/>
      <c r="AH55" s="287"/>
      <c r="AI55" s="287"/>
      <c r="AJ55" s="287"/>
    </row>
    <row r="56" spans="1:36" ht="13.5" customHeight="1" x14ac:dyDescent="0.25">
      <c r="A56" s="287"/>
      <c r="B56" s="287"/>
      <c r="C56" s="287"/>
      <c r="D56" s="304" t="str">
        <f t="shared" si="9"/>
        <v>Cocoa beans</v>
      </c>
      <c r="E56" s="305">
        <f>OCP_SalesProduct!Z200+OCP_SalesProduct!Z261</f>
        <v>0.22281422867033254</v>
      </c>
      <c r="F56" s="305">
        <f>OCP_SalesProduct!AC200+OCP_SalesProduct!AC261</f>
        <v>0.89125691468133017</v>
      </c>
      <c r="G56" s="305">
        <f>OCP_SalesProduct!AF200+OCP_SalesProduct!AF261</f>
        <v>0</v>
      </c>
      <c r="H56" s="305">
        <f>OCP_SalesProduct!AI200+OCP_SalesProduct!AI261</f>
        <v>0</v>
      </c>
      <c r="J56" s="306">
        <f t="shared" si="5"/>
        <v>0.19999999999999998</v>
      </c>
      <c r="K56" s="306">
        <f t="shared" si="6"/>
        <v>0.79999999999999993</v>
      </c>
      <c r="L56" s="306">
        <f t="shared" si="7"/>
        <v>0</v>
      </c>
      <c r="M56" s="306">
        <f t="shared" si="8"/>
        <v>0</v>
      </c>
      <c r="P56" s="204"/>
      <c r="Q56" s="204"/>
      <c r="R56" s="204"/>
      <c r="S56" s="204"/>
      <c r="T56" s="204"/>
      <c r="U56" s="204"/>
      <c r="V56" s="204"/>
      <c r="W56" s="204"/>
      <c r="X56" s="204"/>
      <c r="Y56" s="204"/>
      <c r="Z56" s="204"/>
      <c r="AA56" s="204"/>
      <c r="AB56" s="204"/>
      <c r="AC56" s="204"/>
      <c r="AD56" s="204"/>
      <c r="AE56" s="204"/>
      <c r="AF56" s="287"/>
      <c r="AG56" s="287"/>
      <c r="AH56" s="287"/>
      <c r="AI56" s="287"/>
      <c r="AJ56" s="287"/>
    </row>
    <row r="57" spans="1:36" ht="13.5" customHeight="1" x14ac:dyDescent="0.25">
      <c r="A57" s="287"/>
      <c r="B57" s="287"/>
      <c r="C57" s="287"/>
      <c r="D57" s="304" t="str">
        <f t="shared" si="9"/>
        <v>Other oil seeds, n.e.c.</v>
      </c>
      <c r="E57" s="305">
        <f>OCP_SalesProduct!Z201+OCP_SalesProduct!Z262</f>
        <v>5.3723390410501505E-3</v>
      </c>
      <c r="F57" s="305">
        <f>OCP_SalesProduct!AC201+OCP_SalesProduct!AC262</f>
        <v>2.1489356164200602E-2</v>
      </c>
      <c r="G57" s="305">
        <f>OCP_SalesProduct!AF201+OCP_SalesProduct!AF262</f>
        <v>0</v>
      </c>
      <c r="H57" s="305">
        <f>OCP_SalesProduct!AI201+OCP_SalesProduct!AI262</f>
        <v>0</v>
      </c>
      <c r="J57" s="306">
        <f t="shared" si="5"/>
        <v>0.2</v>
      </c>
      <c r="K57" s="306">
        <f t="shared" si="6"/>
        <v>0.8</v>
      </c>
      <c r="L57" s="306">
        <f t="shared" si="7"/>
        <v>0</v>
      </c>
      <c r="M57" s="306">
        <f t="shared" si="8"/>
        <v>0</v>
      </c>
      <c r="P57" s="204"/>
      <c r="Q57" s="204"/>
      <c r="R57" s="204"/>
      <c r="S57" s="204"/>
      <c r="T57" s="204"/>
      <c r="U57" s="204"/>
      <c r="V57" s="204"/>
      <c r="W57" s="204"/>
      <c r="X57" s="204"/>
      <c r="Y57" s="204"/>
      <c r="Z57" s="204"/>
      <c r="AA57" s="204"/>
      <c r="AB57" s="204"/>
      <c r="AC57" s="204"/>
      <c r="AD57" s="204"/>
      <c r="AE57" s="204"/>
      <c r="AF57" s="287"/>
      <c r="AG57" s="287"/>
      <c r="AH57" s="287"/>
      <c r="AI57" s="287"/>
      <c r="AJ57" s="287"/>
    </row>
    <row r="58" spans="1:36" ht="13.5" customHeight="1" x14ac:dyDescent="0.25">
      <c r="A58" s="287"/>
      <c r="B58" s="287"/>
      <c r="C58" s="287"/>
      <c r="D58" s="304" t="str">
        <f t="shared" si="9"/>
        <v>Soya beans</v>
      </c>
      <c r="E58" s="305">
        <f>OCP_SalesProduct!Z202+OCP_SalesProduct!Z263</f>
        <v>1.5697713692877795E-2</v>
      </c>
      <c r="F58" s="305">
        <f>OCP_SalesProduct!AC202+OCP_SalesProduct!AC263</f>
        <v>6.2790854771511181E-2</v>
      </c>
      <c r="G58" s="305">
        <f>OCP_SalesProduct!AF202+OCP_SalesProduct!AF263</f>
        <v>0</v>
      </c>
      <c r="H58" s="305">
        <f>OCP_SalesProduct!AI202+OCP_SalesProduct!AI263</f>
        <v>0</v>
      </c>
      <c r="J58" s="306">
        <f t="shared" si="5"/>
        <v>0.19999999999999998</v>
      </c>
      <c r="K58" s="306">
        <f t="shared" si="6"/>
        <v>0.79999999999999993</v>
      </c>
      <c r="L58" s="306">
        <f t="shared" si="7"/>
        <v>0</v>
      </c>
      <c r="M58" s="306">
        <f t="shared" si="8"/>
        <v>0</v>
      </c>
      <c r="P58" s="204"/>
      <c r="Q58" s="204"/>
      <c r="R58" s="204"/>
      <c r="S58" s="204"/>
      <c r="T58" s="204"/>
      <c r="U58" s="204"/>
      <c r="V58" s="204"/>
      <c r="W58" s="204"/>
      <c r="X58" s="204"/>
      <c r="Y58" s="204"/>
      <c r="Z58" s="204"/>
      <c r="AA58" s="204"/>
      <c r="AB58" s="204"/>
      <c r="AC58" s="204"/>
      <c r="AD58" s="204"/>
      <c r="AE58" s="204"/>
      <c r="AF58" s="287"/>
      <c r="AG58" s="287"/>
      <c r="AH58" s="287"/>
      <c r="AI58" s="287"/>
      <c r="AJ58" s="287"/>
    </row>
    <row r="59" spans="1:36" ht="13.5" customHeight="1" x14ac:dyDescent="0.25">
      <c r="A59" s="287"/>
      <c r="B59" s="287"/>
      <c r="C59" s="287"/>
      <c r="D59" s="304" t="str">
        <f t="shared" si="9"/>
        <v>Pigeon peas, dry</v>
      </c>
      <c r="E59" s="305">
        <f>OCP_SalesProduct!Z203+OCP_SalesProduct!Z264</f>
        <v>9.0579671750925204E-3</v>
      </c>
      <c r="F59" s="305">
        <f>OCP_SalesProduct!AC203+OCP_SalesProduct!AC264</f>
        <v>3.6231868700370082E-2</v>
      </c>
      <c r="G59" s="305">
        <f>OCP_SalesProduct!AF203+OCP_SalesProduct!AF264</f>
        <v>0</v>
      </c>
      <c r="H59" s="305">
        <f>OCP_SalesProduct!AI203+OCP_SalesProduct!AI264</f>
        <v>0</v>
      </c>
      <c r="J59" s="306">
        <f t="shared" si="5"/>
        <v>0.19999999999999998</v>
      </c>
      <c r="K59" s="306">
        <f t="shared" si="6"/>
        <v>0.79999999999999993</v>
      </c>
      <c r="L59" s="306">
        <f t="shared" si="7"/>
        <v>0</v>
      </c>
      <c r="M59" s="306">
        <f t="shared" si="8"/>
        <v>0</v>
      </c>
      <c r="P59" s="204"/>
      <c r="Q59" s="204"/>
      <c r="R59" s="204"/>
      <c r="S59" s="204"/>
      <c r="T59" s="204"/>
      <c r="U59" s="204"/>
      <c r="V59" s="204"/>
      <c r="W59" s="204"/>
      <c r="X59" s="204"/>
      <c r="Y59" s="204"/>
      <c r="Z59" s="204"/>
      <c r="AA59" s="204"/>
      <c r="AB59" s="204"/>
      <c r="AC59" s="204"/>
      <c r="AD59" s="204"/>
      <c r="AE59" s="204"/>
      <c r="AF59" s="287"/>
      <c r="AG59" s="287"/>
      <c r="AH59" s="287"/>
      <c r="AI59" s="287"/>
      <c r="AJ59" s="287"/>
    </row>
    <row r="60" spans="1:36" ht="13.5" customHeight="1" x14ac:dyDescent="0.25">
      <c r="A60" s="287"/>
      <c r="B60" s="287"/>
      <c r="C60" s="287"/>
      <c r="D60" s="304" t="str">
        <f t="shared" si="9"/>
        <v>Potatoes</v>
      </c>
      <c r="E60" s="305">
        <f>OCP_SalesProduct!Z204+OCP_SalesProduct!Z265</f>
        <v>2.0974913059433567E-2</v>
      </c>
      <c r="F60" s="305">
        <f>OCP_SalesProduct!AC204+OCP_SalesProduct!AC265</f>
        <v>0</v>
      </c>
      <c r="G60" s="305">
        <f>OCP_SalesProduct!AF204+OCP_SalesProduct!AF265</f>
        <v>2.0974913059433567E-2</v>
      </c>
      <c r="H60" s="305">
        <f>OCP_SalesProduct!AI204+OCP_SalesProduct!AI265</f>
        <v>0</v>
      </c>
      <c r="J60" s="306">
        <f t="shared" si="5"/>
        <v>0.5</v>
      </c>
      <c r="K60" s="306">
        <f t="shared" si="6"/>
        <v>0</v>
      </c>
      <c r="L60" s="306">
        <f t="shared" si="7"/>
        <v>0.5</v>
      </c>
      <c r="M60" s="306">
        <f t="shared" si="8"/>
        <v>0</v>
      </c>
      <c r="P60" s="204"/>
      <c r="Q60" s="204"/>
      <c r="R60" s="204"/>
      <c r="S60" s="204"/>
      <c r="T60" s="204"/>
      <c r="U60" s="204"/>
      <c r="V60" s="204"/>
      <c r="W60" s="204"/>
      <c r="X60" s="204"/>
      <c r="Y60" s="204"/>
      <c r="Z60" s="204"/>
      <c r="AA60" s="204"/>
      <c r="AB60" s="204"/>
      <c r="AC60" s="204"/>
      <c r="AD60" s="204"/>
      <c r="AE60" s="204"/>
      <c r="AF60" s="287"/>
      <c r="AG60" s="287"/>
      <c r="AH60" s="287"/>
      <c r="AI60" s="287"/>
      <c r="AJ60" s="287"/>
    </row>
    <row r="61" spans="1:36" ht="13.5" customHeight="1" x14ac:dyDescent="0.25">
      <c r="A61" s="287"/>
      <c r="B61" s="287"/>
      <c r="C61" s="287"/>
      <c r="D61" s="304" t="str">
        <f t="shared" si="9"/>
        <v>Tea leaves</v>
      </c>
      <c r="E61" s="305">
        <f>OCP_SalesProduct!Z205+OCP_SalesProduct!Z266</f>
        <v>2.2249122359198348E-2</v>
      </c>
      <c r="F61" s="305">
        <f>OCP_SalesProduct!AC205+OCP_SalesProduct!AC266</f>
        <v>0</v>
      </c>
      <c r="G61" s="305">
        <f>OCP_SalesProduct!AF205+OCP_SalesProduct!AF266</f>
        <v>0</v>
      </c>
      <c r="H61" s="305">
        <f>OCP_SalesProduct!AI205+OCP_SalesProduct!AI266</f>
        <v>0</v>
      </c>
      <c r="J61" s="306">
        <f t="shared" si="5"/>
        <v>1</v>
      </c>
      <c r="K61" s="306">
        <f t="shared" si="6"/>
        <v>0</v>
      </c>
      <c r="L61" s="306">
        <f t="shared" si="7"/>
        <v>0</v>
      </c>
      <c r="M61" s="306">
        <f t="shared" si="8"/>
        <v>0</v>
      </c>
      <c r="P61" s="204"/>
      <c r="Q61" s="204"/>
      <c r="R61" s="204"/>
      <c r="S61" s="204"/>
      <c r="T61" s="204"/>
      <c r="U61" s="204"/>
      <c r="V61" s="204"/>
      <c r="W61" s="204"/>
      <c r="X61" s="204"/>
      <c r="Y61" s="204"/>
      <c r="Z61" s="204"/>
      <c r="AA61" s="204"/>
      <c r="AB61" s="204"/>
      <c r="AC61" s="204"/>
      <c r="AD61" s="204"/>
      <c r="AE61" s="204"/>
      <c r="AF61" s="287"/>
      <c r="AG61" s="287"/>
      <c r="AH61" s="287"/>
      <c r="AI61" s="287"/>
      <c r="AJ61" s="287"/>
    </row>
    <row r="62" spans="1:36" ht="13.5" customHeight="1" x14ac:dyDescent="0.25">
      <c r="A62" s="287"/>
      <c r="B62" s="287"/>
      <c r="C62" s="287"/>
      <c r="D62" s="304" t="str">
        <f t="shared" si="9"/>
        <v>Cow peas, dry</v>
      </c>
      <c r="E62" s="305">
        <f>OCP_SalesProduct!Z206+OCP_SalesProduct!Z267</f>
        <v>7.4896512042897491E-3</v>
      </c>
      <c r="F62" s="305">
        <f>OCP_SalesProduct!AC206+OCP_SalesProduct!AC267</f>
        <v>2.9958604817158997E-2</v>
      </c>
      <c r="G62" s="305">
        <f>OCP_SalesProduct!AF206+OCP_SalesProduct!AF267</f>
        <v>0</v>
      </c>
      <c r="H62" s="305">
        <f>OCP_SalesProduct!AI206+OCP_SalesProduct!AI267</f>
        <v>0</v>
      </c>
      <c r="J62" s="306">
        <f t="shared" si="5"/>
        <v>0.2</v>
      </c>
      <c r="K62" s="306">
        <f t="shared" si="6"/>
        <v>0.8</v>
      </c>
      <c r="L62" s="306">
        <f t="shared" si="7"/>
        <v>0</v>
      </c>
      <c r="M62" s="306">
        <f t="shared" si="8"/>
        <v>0</v>
      </c>
      <c r="P62" s="204"/>
      <c r="Q62" s="204"/>
      <c r="R62" s="204"/>
      <c r="S62" s="204"/>
      <c r="T62" s="204"/>
      <c r="U62" s="204"/>
      <c r="V62" s="204"/>
      <c r="W62" s="204"/>
      <c r="X62" s="204"/>
      <c r="Y62" s="204"/>
      <c r="Z62" s="204"/>
      <c r="AA62" s="204"/>
      <c r="AB62" s="204"/>
      <c r="AC62" s="204"/>
      <c r="AD62" s="204"/>
      <c r="AE62" s="204"/>
      <c r="AF62" s="287"/>
      <c r="AG62" s="287"/>
      <c r="AH62" s="287"/>
      <c r="AI62" s="287"/>
      <c r="AJ62" s="287"/>
    </row>
    <row r="63" spans="1:36" ht="13.5" customHeight="1" x14ac:dyDescent="0.25">
      <c r="A63" s="287"/>
      <c r="B63" s="287"/>
      <c r="C63" s="287"/>
      <c r="D63" s="304" t="str">
        <f t="shared" si="9"/>
        <v>Peas, dry</v>
      </c>
      <c r="E63" s="305">
        <f>OCP_SalesProduct!Z207+OCP_SalesProduct!Z268</f>
        <v>5.2360097014780812E-3</v>
      </c>
      <c r="F63" s="305">
        <f>OCP_SalesProduct!AC207+OCP_SalesProduct!AC268</f>
        <v>2.0944038805912325E-2</v>
      </c>
      <c r="G63" s="305">
        <f>OCP_SalesProduct!AF207+OCP_SalesProduct!AF268</f>
        <v>0</v>
      </c>
      <c r="H63" s="305">
        <f>OCP_SalesProduct!AI207+OCP_SalesProduct!AI268</f>
        <v>0</v>
      </c>
      <c r="J63" s="306">
        <f t="shared" si="5"/>
        <v>0.2</v>
      </c>
      <c r="K63" s="306">
        <f t="shared" si="6"/>
        <v>0.8</v>
      </c>
      <c r="L63" s="306">
        <f t="shared" si="7"/>
        <v>0</v>
      </c>
      <c r="M63" s="306">
        <f t="shared" si="8"/>
        <v>0</v>
      </c>
      <c r="P63" s="204"/>
      <c r="Q63" s="204"/>
      <c r="R63" s="204"/>
      <c r="S63" s="204"/>
      <c r="T63" s="204"/>
      <c r="U63" s="204"/>
      <c r="V63" s="204"/>
      <c r="W63" s="204"/>
      <c r="X63" s="204"/>
      <c r="Y63" s="204"/>
      <c r="Z63" s="204"/>
      <c r="AA63" s="204"/>
      <c r="AB63" s="204"/>
      <c r="AC63" s="204"/>
      <c r="AD63" s="204"/>
      <c r="AE63" s="204"/>
      <c r="AF63" s="287"/>
      <c r="AG63" s="287"/>
      <c r="AH63" s="287"/>
      <c r="AI63" s="287"/>
      <c r="AJ63" s="287"/>
    </row>
    <row r="64" spans="1:36" ht="13.5" customHeight="1" thickBot="1" x14ac:dyDescent="0.3">
      <c r="A64" s="287"/>
      <c r="B64" s="287"/>
      <c r="C64" s="287"/>
      <c r="D64" s="313"/>
      <c r="E64" s="314">
        <f>SUM(E40:E63)</f>
        <v>3.6584812266996525</v>
      </c>
      <c r="F64" s="314">
        <f t="shared" ref="F64:H64" si="10">SUM(F40:F63)</f>
        <v>8.8920552991984483</v>
      </c>
      <c r="G64" s="314">
        <f t="shared" si="10"/>
        <v>6.7002091266544834</v>
      </c>
      <c r="H64" s="314">
        <f t="shared" si="10"/>
        <v>0</v>
      </c>
      <c r="J64" s="315">
        <f>E64/SUM($E$64:$H$64)</f>
        <v>0.19004361143873666</v>
      </c>
      <c r="K64" s="315">
        <f>F64/SUM($E$64:$H$64)</f>
        <v>0.46190705854655512</v>
      </c>
      <c r="L64" s="315">
        <f>G64/SUM($E$64:$H$64)</f>
        <v>0.34804933001470817</v>
      </c>
      <c r="M64" s="315">
        <f>H64/SUM($E$64:$H$64)</f>
        <v>0</v>
      </c>
      <c r="P64" s="204"/>
      <c r="Q64" s="204"/>
      <c r="R64" s="204"/>
      <c r="S64" s="204"/>
      <c r="T64" s="204"/>
      <c r="U64" s="204"/>
      <c r="V64" s="204"/>
      <c r="W64" s="204"/>
      <c r="X64" s="204"/>
      <c r="Y64" s="204"/>
      <c r="Z64" s="204"/>
      <c r="AA64" s="204"/>
      <c r="AB64" s="204"/>
      <c r="AC64" s="204"/>
      <c r="AD64" s="204"/>
      <c r="AE64" s="204"/>
      <c r="AF64" s="287"/>
      <c r="AG64" s="287"/>
      <c r="AH64" s="287"/>
      <c r="AI64" s="287"/>
      <c r="AJ64" s="287"/>
    </row>
    <row r="65" spans="1:34" ht="13.5" customHeight="1" thickTop="1" x14ac:dyDescent="0.25">
      <c r="A65" s="287"/>
      <c r="B65" s="287"/>
      <c r="C65" s="287"/>
      <c r="D65" s="287"/>
      <c r="E65" s="316">
        <f>OCP_SalesProduct!G82-E64</f>
        <v>0</v>
      </c>
      <c r="F65" s="316">
        <f>OCP_SalesProduct!G83-F64</f>
        <v>0</v>
      </c>
      <c r="G65" s="316">
        <f>OCP_SalesProduct!G84-G64</f>
        <v>0</v>
      </c>
      <c r="H65" s="316">
        <f>OCP_SalesProduct!G85-H64</f>
        <v>0</v>
      </c>
      <c r="I65" s="287"/>
      <c r="J65" s="287"/>
      <c r="K65" s="287"/>
      <c r="L65" s="287"/>
      <c r="M65" s="287"/>
      <c r="N65" s="287"/>
      <c r="O65" s="287"/>
      <c r="P65" s="287"/>
      <c r="Q65" s="287"/>
      <c r="R65" s="287"/>
      <c r="S65" s="287"/>
      <c r="T65" s="287"/>
      <c r="U65" s="287"/>
      <c r="V65" s="287"/>
      <c r="W65" s="287"/>
      <c r="X65" s="287"/>
      <c r="Y65" s="287"/>
      <c r="Z65" s="287"/>
      <c r="AA65" s="287"/>
      <c r="AB65" s="287"/>
      <c r="AC65" s="287"/>
      <c r="AD65" s="287"/>
      <c r="AE65" s="287"/>
      <c r="AF65" s="287"/>
      <c r="AG65" s="287"/>
      <c r="AH65" s="287"/>
    </row>
    <row r="66" spans="1:34" ht="13.5" customHeight="1" x14ac:dyDescent="0.3">
      <c r="A66" s="287"/>
      <c r="B66" s="287"/>
      <c r="C66" s="287"/>
      <c r="D66" s="298" t="s">
        <v>371</v>
      </c>
      <c r="E66" s="30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E66" s="287"/>
      <c r="AF66" s="287"/>
      <c r="AG66" s="287"/>
      <c r="AH66" s="287"/>
    </row>
    <row r="67" spans="1:34" ht="13.5" customHeight="1" x14ac:dyDescent="0.3">
      <c r="A67" s="287"/>
      <c r="B67" s="287"/>
      <c r="C67" s="287"/>
      <c r="D67" s="302" t="s">
        <v>372</v>
      </c>
      <c r="E67" s="303" t="s">
        <v>373</v>
      </c>
      <c r="F67" s="303" t="s">
        <v>374</v>
      </c>
      <c r="G67" s="287" t="s">
        <v>375</v>
      </c>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E67" s="287"/>
      <c r="AF67" s="287"/>
      <c r="AG67" s="287"/>
      <c r="AH67" s="287"/>
    </row>
    <row r="68" spans="1:34" ht="13.5" customHeight="1" x14ac:dyDescent="0.25">
      <c r="A68" s="287"/>
      <c r="B68" s="287"/>
      <c r="C68" s="287"/>
      <c r="D68" s="287" t="str">
        <f>D40</f>
        <v>Plantains and cooking bananas</v>
      </c>
      <c r="E68" s="287">
        <f>SUM(E11:H11)</f>
        <v>0.35936113773942208</v>
      </c>
      <c r="F68" s="287">
        <f>SUM(E40:H40)</f>
        <v>0.35936113773942208</v>
      </c>
      <c r="G68" s="287">
        <f>F68-E68</f>
        <v>0</v>
      </c>
      <c r="H68" s="375">
        <v>0</v>
      </c>
      <c r="I68" s="287"/>
      <c r="J68" s="287"/>
      <c r="K68" s="287"/>
      <c r="L68" s="287"/>
      <c r="M68" s="287"/>
      <c r="N68" s="287"/>
      <c r="O68" s="287"/>
      <c r="P68" s="287"/>
      <c r="Q68" s="287"/>
      <c r="R68" s="287"/>
      <c r="S68" s="287"/>
      <c r="T68" s="287"/>
      <c r="U68" s="287"/>
      <c r="V68" s="287"/>
      <c r="W68" s="287"/>
      <c r="X68" s="287"/>
      <c r="Y68" s="287"/>
      <c r="Z68" s="287"/>
      <c r="AA68" s="287"/>
      <c r="AB68" s="287"/>
      <c r="AC68" s="287"/>
      <c r="AD68" s="287"/>
      <c r="AE68" s="287"/>
      <c r="AF68" s="287"/>
      <c r="AG68" s="287"/>
      <c r="AH68" s="287"/>
    </row>
    <row r="69" spans="1:34" ht="13.5" customHeight="1" x14ac:dyDescent="0.25">
      <c r="A69" s="287"/>
      <c r="B69" s="287"/>
      <c r="C69" s="287"/>
      <c r="D69" s="287" t="str">
        <f t="shared" ref="D69:D91" si="11">D41</f>
        <v>Maize (corn)</v>
      </c>
      <c r="E69" s="287">
        <f t="shared" ref="E69:E91" si="12">SUM(E12:H12)</f>
        <v>5.3647125496763639</v>
      </c>
      <c r="F69" s="287">
        <f t="shared" ref="F69:F91" si="13">SUM(E41:H41)</f>
        <v>5.7610269960256808</v>
      </c>
      <c r="G69" s="287">
        <f t="shared" ref="G69:G92" si="14">F69-E69</f>
        <v>0.3963144463493169</v>
      </c>
      <c r="H69" s="374">
        <v>0.3963144463493169</v>
      </c>
      <c r="I69" s="322"/>
      <c r="J69" s="322"/>
      <c r="K69" s="287"/>
      <c r="L69" s="287"/>
      <c r="M69" s="287"/>
      <c r="N69" s="287"/>
      <c r="O69" s="287"/>
      <c r="P69" s="287"/>
      <c r="Q69" s="287"/>
      <c r="R69" s="287"/>
      <c r="S69" s="287"/>
      <c r="T69" s="287"/>
      <c r="U69" s="287"/>
      <c r="V69" s="287"/>
      <c r="W69" s="287"/>
      <c r="X69" s="287"/>
      <c r="Y69" s="287"/>
      <c r="Z69" s="287"/>
      <c r="AA69" s="287"/>
      <c r="AB69" s="287"/>
      <c r="AC69" s="287"/>
      <c r="AD69" s="287"/>
      <c r="AE69" s="287"/>
      <c r="AF69" s="287"/>
      <c r="AG69" s="287"/>
      <c r="AH69" s="287"/>
    </row>
    <row r="70" spans="1:34" ht="13.5" customHeight="1" x14ac:dyDescent="0.25">
      <c r="A70" s="287"/>
      <c r="B70" s="287"/>
      <c r="C70" s="287"/>
      <c r="D70" s="287" t="str">
        <f t="shared" si="11"/>
        <v>Cassava, fresh</v>
      </c>
      <c r="E70" s="287">
        <f t="shared" si="12"/>
        <v>0.55870652000322285</v>
      </c>
      <c r="F70" s="287">
        <f t="shared" si="13"/>
        <v>1.1814769624796306</v>
      </c>
      <c r="G70" s="287">
        <f t="shared" si="14"/>
        <v>0.62277044247640778</v>
      </c>
      <c r="H70" s="323">
        <v>0.62277044247640778</v>
      </c>
      <c r="I70" s="323"/>
      <c r="J70" s="323"/>
      <c r="K70" s="287"/>
      <c r="L70" s="287"/>
      <c r="M70" s="287"/>
      <c r="N70" s="287"/>
      <c r="O70" s="287"/>
      <c r="P70" s="287"/>
      <c r="Q70" s="287"/>
      <c r="R70" s="287"/>
      <c r="S70" s="287"/>
      <c r="T70" s="287"/>
      <c r="U70" s="287"/>
      <c r="V70" s="287"/>
      <c r="W70" s="287"/>
      <c r="X70" s="287"/>
      <c r="Y70" s="287"/>
      <c r="Z70" s="287"/>
      <c r="AA70" s="287"/>
      <c r="AB70" s="287"/>
      <c r="AC70" s="287"/>
      <c r="AD70" s="287"/>
      <c r="AE70" s="287"/>
      <c r="AF70" s="287"/>
      <c r="AG70" s="287"/>
      <c r="AH70" s="287"/>
    </row>
    <row r="71" spans="1:34" ht="13.5" customHeight="1" x14ac:dyDescent="0.25">
      <c r="A71" s="287"/>
      <c r="B71" s="287"/>
      <c r="C71" s="287"/>
      <c r="D71" s="287" t="str">
        <f t="shared" si="11"/>
        <v>Coffee, green</v>
      </c>
      <c r="E71" s="287">
        <f t="shared" si="12"/>
        <v>1.9016327448168771</v>
      </c>
      <c r="F71" s="287">
        <f t="shared" si="13"/>
        <v>7.6868274245608381</v>
      </c>
      <c r="G71" s="287">
        <f t="shared" si="14"/>
        <v>5.7851946797439613</v>
      </c>
      <c r="H71" s="323">
        <v>5.7851946797439613</v>
      </c>
      <c r="I71" s="323"/>
      <c r="J71" s="323"/>
      <c r="K71" s="287"/>
      <c r="L71" s="287"/>
      <c r="M71" s="287"/>
      <c r="N71" s="287"/>
      <c r="O71" s="287"/>
      <c r="P71" s="287"/>
      <c r="Q71" s="287"/>
      <c r="R71" s="287"/>
      <c r="S71" s="287"/>
      <c r="T71" s="287"/>
      <c r="U71" s="287"/>
      <c r="V71" s="287"/>
      <c r="W71" s="287"/>
      <c r="X71" s="287"/>
      <c r="Y71" s="287"/>
      <c r="Z71" s="287"/>
      <c r="AA71" s="287"/>
      <c r="AB71" s="287"/>
      <c r="AC71" s="287"/>
      <c r="AD71" s="287"/>
      <c r="AE71" s="287"/>
      <c r="AF71" s="287"/>
      <c r="AG71" s="287"/>
      <c r="AH71" s="287"/>
    </row>
    <row r="72" spans="1:34" ht="13.5" customHeight="1" x14ac:dyDescent="0.25">
      <c r="A72" s="287"/>
      <c r="B72" s="287"/>
      <c r="C72" s="287"/>
      <c r="D72" s="287" t="str">
        <f t="shared" si="11"/>
        <v>Beans, dry</v>
      </c>
      <c r="E72" s="287">
        <f t="shared" si="12"/>
        <v>0.37289128554338519</v>
      </c>
      <c r="F72" s="287">
        <f t="shared" si="13"/>
        <v>0.53625547087907088</v>
      </c>
      <c r="G72" s="287">
        <f t="shared" si="14"/>
        <v>0.1633641853356857</v>
      </c>
      <c r="H72" s="323">
        <v>0.1633641853356857</v>
      </c>
      <c r="I72" s="323"/>
      <c r="J72" s="323"/>
      <c r="K72" s="287"/>
      <c r="L72" s="287"/>
      <c r="M72" s="287"/>
      <c r="N72" s="287"/>
      <c r="O72" s="287"/>
      <c r="P72" s="287"/>
      <c r="Q72" s="287"/>
      <c r="R72" s="287"/>
      <c r="S72" s="287"/>
      <c r="T72" s="287"/>
      <c r="U72" s="287"/>
      <c r="V72" s="287"/>
      <c r="W72" s="287"/>
      <c r="X72" s="287"/>
      <c r="Y72" s="287"/>
      <c r="Z72" s="287"/>
      <c r="AA72" s="287"/>
      <c r="AB72" s="287"/>
      <c r="AC72" s="287"/>
      <c r="AD72" s="287"/>
      <c r="AE72" s="287"/>
      <c r="AF72" s="287"/>
      <c r="AG72" s="287"/>
      <c r="AH72" s="287"/>
    </row>
    <row r="73" spans="1:34" ht="13.5" customHeight="1" x14ac:dyDescent="0.25">
      <c r="A73" s="287"/>
      <c r="B73" s="287"/>
      <c r="C73" s="287"/>
      <c r="D73" s="287" t="str">
        <f t="shared" si="11"/>
        <v>Groundnuts, excluding shelled</v>
      </c>
      <c r="E73" s="287">
        <f t="shared" si="12"/>
        <v>0.1040118048513078</v>
      </c>
      <c r="F73" s="287">
        <f t="shared" si="13"/>
        <v>0.14957951968826733</v>
      </c>
      <c r="G73" s="287">
        <f t="shared" si="14"/>
        <v>4.5567714836959525E-2</v>
      </c>
      <c r="H73" s="323">
        <v>4.5567714836959525E-2</v>
      </c>
      <c r="I73" s="323"/>
      <c r="J73" s="323"/>
      <c r="K73" s="287"/>
      <c r="L73" s="287"/>
      <c r="M73" s="287"/>
      <c r="N73" s="287"/>
      <c r="O73" s="287"/>
      <c r="P73" s="287"/>
      <c r="Q73" s="287"/>
      <c r="R73" s="287"/>
      <c r="S73" s="287"/>
      <c r="T73" s="287"/>
      <c r="U73" s="287"/>
      <c r="V73" s="287"/>
      <c r="W73" s="287"/>
      <c r="X73" s="287"/>
      <c r="Y73" s="287"/>
      <c r="Z73" s="287"/>
      <c r="AA73" s="287"/>
      <c r="AB73" s="287"/>
      <c r="AC73" s="287"/>
      <c r="AD73" s="287"/>
      <c r="AE73" s="287"/>
      <c r="AF73" s="287"/>
      <c r="AG73" s="287"/>
      <c r="AH73" s="287"/>
    </row>
    <row r="74" spans="1:34" ht="13.5" customHeight="1" x14ac:dyDescent="0.25">
      <c r="A74" s="287"/>
      <c r="B74" s="287"/>
      <c r="C74" s="287"/>
      <c r="D74" s="287" t="str">
        <f t="shared" si="11"/>
        <v>Sweet potatoes</v>
      </c>
      <c r="E74" s="287">
        <f t="shared" si="12"/>
        <v>0.22918686355252393</v>
      </c>
      <c r="F74" s="287">
        <f t="shared" si="13"/>
        <v>0.40984170678271076</v>
      </c>
      <c r="G74" s="287">
        <f t="shared" si="14"/>
        <v>0.18065484323018682</v>
      </c>
      <c r="H74" s="323">
        <v>0.18065484323018682</v>
      </c>
      <c r="I74" s="323"/>
      <c r="J74" s="323"/>
      <c r="K74" s="287"/>
      <c r="L74" s="318"/>
      <c r="M74" s="287"/>
      <c r="N74" s="287"/>
      <c r="O74" s="287"/>
      <c r="P74" s="287"/>
      <c r="Q74" s="287"/>
      <c r="R74" s="287"/>
      <c r="S74" s="287"/>
      <c r="T74" s="287"/>
      <c r="U74" s="287"/>
      <c r="V74" s="287"/>
      <c r="W74" s="287"/>
      <c r="X74" s="287"/>
      <c r="Y74" s="287"/>
      <c r="Z74" s="287"/>
      <c r="AA74" s="287"/>
      <c r="AB74" s="287"/>
      <c r="AC74" s="287"/>
      <c r="AD74" s="287"/>
      <c r="AE74" s="287"/>
      <c r="AF74" s="287"/>
      <c r="AG74" s="287"/>
      <c r="AH74" s="287"/>
    </row>
    <row r="75" spans="1:34" ht="13.5" customHeight="1" x14ac:dyDescent="0.25">
      <c r="A75" s="287"/>
      <c r="B75" s="287"/>
      <c r="C75" s="287"/>
      <c r="D75" s="287" t="str">
        <f t="shared" si="11"/>
        <v>Sunflower seed</v>
      </c>
      <c r="E75" s="287">
        <f t="shared" si="12"/>
        <v>5.9371649757391246E-2</v>
      </c>
      <c r="F75" s="287">
        <f t="shared" si="13"/>
        <v>0.17379704197035056</v>
      </c>
      <c r="G75" s="287">
        <f t="shared" si="14"/>
        <v>0.11442539221295932</v>
      </c>
      <c r="H75" s="323">
        <v>0.11442539221295932</v>
      </c>
      <c r="I75" s="323"/>
      <c r="J75" s="323"/>
      <c r="K75" s="287"/>
      <c r="L75" s="318"/>
      <c r="M75" s="287"/>
      <c r="N75" s="287"/>
      <c r="O75" s="287"/>
      <c r="P75" s="287"/>
      <c r="Q75" s="287"/>
      <c r="R75" s="287"/>
      <c r="S75" s="287"/>
      <c r="T75" s="287"/>
      <c r="U75" s="287"/>
      <c r="V75" s="287"/>
      <c r="W75" s="287"/>
      <c r="X75" s="287"/>
      <c r="Y75" s="287"/>
      <c r="Z75" s="287"/>
      <c r="AA75" s="287"/>
      <c r="AB75" s="287"/>
      <c r="AC75" s="287"/>
      <c r="AD75" s="287"/>
      <c r="AE75" s="287"/>
      <c r="AF75" s="287"/>
      <c r="AG75" s="287"/>
      <c r="AH75" s="287"/>
    </row>
    <row r="76" spans="1:34" ht="13.5" customHeight="1" x14ac:dyDescent="0.25">
      <c r="A76" s="287"/>
      <c r="B76" s="287"/>
      <c r="C76" s="287"/>
      <c r="D76" s="287" t="str">
        <f t="shared" si="11"/>
        <v>Sesame seed</v>
      </c>
      <c r="E76" s="287">
        <f t="shared" si="12"/>
        <v>0.16473821064949795</v>
      </c>
      <c r="F76" s="287">
        <f t="shared" si="13"/>
        <v>0.23691024743281031</v>
      </c>
      <c r="G76" s="287">
        <f t="shared" si="14"/>
        <v>7.2172036783312354E-2</v>
      </c>
      <c r="H76" s="323">
        <v>7.2172036783312396E-2</v>
      </c>
      <c r="I76" s="323"/>
      <c r="J76" s="323"/>
      <c r="K76" s="287"/>
      <c r="L76" s="318"/>
      <c r="M76" s="287"/>
      <c r="N76" s="287"/>
      <c r="O76" s="287"/>
      <c r="P76" s="287"/>
      <c r="Q76" s="287"/>
      <c r="R76" s="287"/>
      <c r="S76" s="287"/>
      <c r="T76" s="287"/>
      <c r="U76" s="287"/>
      <c r="V76" s="287"/>
      <c r="W76" s="287"/>
      <c r="X76" s="287"/>
      <c r="Y76" s="287"/>
      <c r="Z76" s="287"/>
      <c r="AA76" s="287"/>
      <c r="AB76" s="287"/>
      <c r="AC76" s="287"/>
      <c r="AD76" s="287"/>
      <c r="AE76" s="287"/>
      <c r="AF76" s="287"/>
      <c r="AG76" s="287"/>
      <c r="AH76" s="287"/>
    </row>
    <row r="77" spans="1:34" ht="13.5" customHeight="1" x14ac:dyDescent="0.25">
      <c r="A77" s="287"/>
      <c r="B77" s="287"/>
      <c r="C77" s="287"/>
      <c r="D77" s="287" t="str">
        <f t="shared" si="11"/>
        <v>Sorghum</v>
      </c>
      <c r="E77" s="287">
        <f t="shared" si="12"/>
        <v>4.8526781804384918E-2</v>
      </c>
      <c r="F77" s="287">
        <f t="shared" si="13"/>
        <v>6.5420828205027176E-2</v>
      </c>
      <c r="G77" s="287">
        <f t="shared" si="14"/>
        <v>1.6894046400642258E-2</v>
      </c>
      <c r="H77" s="323">
        <v>1.68940464006423E-2</v>
      </c>
      <c r="I77" s="323"/>
      <c r="J77" s="323"/>
      <c r="K77" s="287"/>
      <c r="L77" s="318"/>
      <c r="M77" s="287"/>
      <c r="N77" s="287"/>
      <c r="O77" s="287"/>
      <c r="P77" s="287"/>
      <c r="Q77" s="287"/>
      <c r="R77" s="287"/>
      <c r="S77" s="287"/>
      <c r="T77" s="287"/>
      <c r="U77" s="287"/>
      <c r="V77" s="287"/>
      <c r="W77" s="287"/>
      <c r="X77" s="287"/>
      <c r="Y77" s="287"/>
      <c r="Z77" s="287"/>
      <c r="AA77" s="287"/>
      <c r="AB77" s="287"/>
      <c r="AC77" s="287"/>
      <c r="AD77" s="287"/>
      <c r="AE77" s="287"/>
      <c r="AF77" s="287"/>
      <c r="AG77" s="287"/>
      <c r="AH77" s="287"/>
    </row>
    <row r="78" spans="1:34" ht="13.5" customHeight="1" x14ac:dyDescent="0.25">
      <c r="A78" s="287"/>
      <c r="B78" s="287"/>
      <c r="C78" s="287"/>
      <c r="D78" s="287" t="str">
        <f t="shared" si="11"/>
        <v>Other vegetables, fresh n.e.c.</v>
      </c>
      <c r="E78" s="287">
        <f t="shared" si="12"/>
        <v>3.2291816219832549E-2</v>
      </c>
      <c r="F78" s="287">
        <f t="shared" si="13"/>
        <v>0.10913535790278454</v>
      </c>
      <c r="G78" s="287">
        <f t="shared" si="14"/>
        <v>7.6843541682951988E-2</v>
      </c>
      <c r="H78" s="323">
        <v>7.6843541682952002E-2</v>
      </c>
      <c r="I78" s="323"/>
      <c r="J78" s="323"/>
      <c r="K78" s="287"/>
      <c r="L78" s="318"/>
      <c r="M78" s="287"/>
      <c r="N78" s="287"/>
      <c r="O78" s="287"/>
      <c r="P78" s="287"/>
      <c r="Q78" s="287"/>
      <c r="R78" s="287"/>
      <c r="S78" s="287"/>
      <c r="T78" s="287"/>
      <c r="U78" s="287"/>
      <c r="V78" s="287"/>
      <c r="W78" s="287"/>
      <c r="X78" s="287"/>
      <c r="Y78" s="287"/>
      <c r="Z78" s="287"/>
      <c r="AA78" s="287"/>
      <c r="AB78" s="287"/>
      <c r="AC78" s="287"/>
      <c r="AD78" s="287"/>
      <c r="AE78" s="287"/>
      <c r="AF78" s="287"/>
      <c r="AG78" s="287"/>
      <c r="AH78" s="287"/>
    </row>
    <row r="79" spans="1:34" ht="13.5" customHeight="1" x14ac:dyDescent="0.25">
      <c r="A79" s="287"/>
      <c r="B79" s="287"/>
      <c r="C79" s="287"/>
      <c r="D79" s="287" t="str">
        <f t="shared" si="11"/>
        <v>Seed cotton, unginned</v>
      </c>
      <c r="E79" s="287">
        <f t="shared" si="12"/>
        <v>2.0992119021363335E-2</v>
      </c>
      <c r="F79" s="287">
        <f t="shared" si="13"/>
        <v>6.144966841094536E-2</v>
      </c>
      <c r="G79" s="287">
        <f t="shared" si="14"/>
        <v>4.0457549389582029E-2</v>
      </c>
      <c r="H79" s="323">
        <v>4.0457549389582029E-2</v>
      </c>
      <c r="I79" s="323"/>
      <c r="J79" s="323"/>
      <c r="K79" s="287"/>
      <c r="L79" s="318"/>
      <c r="M79" s="287"/>
      <c r="N79" s="287"/>
      <c r="O79" s="287"/>
      <c r="P79" s="287"/>
      <c r="Q79" s="287"/>
      <c r="R79" s="287"/>
      <c r="S79" s="287"/>
      <c r="T79" s="287"/>
      <c r="U79" s="287"/>
      <c r="V79" s="287"/>
      <c r="W79" s="287"/>
      <c r="X79" s="287"/>
      <c r="Y79" s="287"/>
      <c r="Z79" s="287"/>
      <c r="AA79" s="287"/>
      <c r="AB79" s="287"/>
      <c r="AC79" s="287"/>
      <c r="AD79" s="287"/>
      <c r="AE79" s="287"/>
      <c r="AF79" s="287"/>
      <c r="AG79" s="287"/>
      <c r="AH79" s="287"/>
    </row>
    <row r="80" spans="1:34" ht="13.5" customHeight="1" x14ac:dyDescent="0.25">
      <c r="A80" s="287"/>
      <c r="B80" s="287"/>
      <c r="C80" s="287"/>
      <c r="D80" s="287" t="str">
        <f t="shared" si="11"/>
        <v>Rice</v>
      </c>
      <c r="E80" s="287">
        <f t="shared" si="12"/>
        <v>0.38458761602916514</v>
      </c>
      <c r="F80" s="287">
        <f t="shared" si="13"/>
        <v>0.52338000235607773</v>
      </c>
      <c r="G80" s="287">
        <f t="shared" si="14"/>
        <v>0.1387923863269126</v>
      </c>
      <c r="H80" s="323">
        <v>0.1387923863269126</v>
      </c>
      <c r="I80" s="323"/>
      <c r="J80" s="323"/>
      <c r="K80" s="287"/>
      <c r="L80" s="318"/>
      <c r="M80" s="287"/>
      <c r="N80" s="287"/>
      <c r="O80" s="287"/>
      <c r="P80" s="287"/>
      <c r="Q80" s="287"/>
      <c r="R80" s="287"/>
      <c r="S80" s="287"/>
      <c r="T80" s="287"/>
      <c r="U80" s="287"/>
      <c r="V80" s="287"/>
      <c r="W80" s="287"/>
      <c r="X80" s="287"/>
      <c r="Y80" s="287"/>
      <c r="Z80" s="287"/>
      <c r="AA80" s="287"/>
      <c r="AB80" s="287"/>
      <c r="AC80" s="287"/>
      <c r="AD80" s="287"/>
      <c r="AE80" s="287"/>
      <c r="AF80" s="287"/>
      <c r="AG80" s="287"/>
      <c r="AH80" s="287"/>
    </row>
    <row r="81" spans="1:34" ht="13.5" customHeight="1" x14ac:dyDescent="0.25">
      <c r="A81" s="287"/>
      <c r="B81" s="287"/>
      <c r="C81" s="287"/>
      <c r="D81" s="287" t="str">
        <f t="shared" si="11"/>
        <v>Onions and shallots, dry (excluding dehydrated)</v>
      </c>
      <c r="E81" s="287">
        <f t="shared" si="12"/>
        <v>1.7146108366722038E-2</v>
      </c>
      <c r="F81" s="287">
        <f t="shared" si="13"/>
        <v>5.7948015698568278E-2</v>
      </c>
      <c r="G81" s="287">
        <f t="shared" si="14"/>
        <v>4.0801907331846243E-2</v>
      </c>
      <c r="H81" s="323">
        <v>4.0801907331846243E-2</v>
      </c>
      <c r="I81" s="323"/>
      <c r="J81" s="323"/>
      <c r="K81" s="287"/>
      <c r="L81" s="318"/>
      <c r="M81" s="287"/>
      <c r="N81" s="287"/>
      <c r="O81" s="287"/>
      <c r="P81" s="287"/>
      <c r="Q81" s="287"/>
      <c r="R81" s="287"/>
      <c r="S81" s="287"/>
      <c r="T81" s="287"/>
      <c r="U81" s="287"/>
      <c r="V81" s="287"/>
      <c r="W81" s="287"/>
      <c r="X81" s="287"/>
      <c r="Y81" s="287"/>
      <c r="Z81" s="287"/>
      <c r="AA81" s="287"/>
      <c r="AB81" s="287"/>
      <c r="AC81" s="287"/>
      <c r="AD81" s="287"/>
      <c r="AE81" s="287"/>
      <c r="AF81" s="287"/>
      <c r="AG81" s="287"/>
      <c r="AH81" s="287"/>
    </row>
    <row r="82" spans="1:34" ht="13.5" customHeight="1" x14ac:dyDescent="0.25">
      <c r="A82" s="287"/>
      <c r="B82" s="287"/>
      <c r="C82" s="287"/>
      <c r="D82" s="287" t="str">
        <f t="shared" si="11"/>
        <v>Sugar cane</v>
      </c>
      <c r="E82" s="287">
        <f t="shared" si="12"/>
        <v>0.49924239078330868</v>
      </c>
      <c r="F82" s="287">
        <f t="shared" si="13"/>
        <v>0.52342913017762827</v>
      </c>
      <c r="G82" s="287">
        <f t="shared" si="14"/>
        <v>2.418673939431959E-2</v>
      </c>
      <c r="H82" s="323">
        <v>2.418673939431959E-2</v>
      </c>
      <c r="I82" s="323"/>
      <c r="J82" s="323"/>
      <c r="K82" s="287"/>
      <c r="L82" s="318"/>
      <c r="M82" s="287"/>
      <c r="N82" s="287"/>
      <c r="O82" s="287"/>
      <c r="P82" s="287"/>
      <c r="Q82" s="287"/>
      <c r="R82" s="287"/>
      <c r="S82" s="287"/>
      <c r="T82" s="287"/>
      <c r="U82" s="287"/>
      <c r="V82" s="287"/>
      <c r="W82" s="287"/>
      <c r="X82" s="287"/>
      <c r="Y82" s="287"/>
      <c r="Z82" s="287"/>
      <c r="AA82" s="287"/>
      <c r="AB82" s="287"/>
      <c r="AC82" s="287"/>
      <c r="AD82" s="287"/>
      <c r="AE82" s="287"/>
      <c r="AF82" s="287"/>
      <c r="AG82" s="287"/>
      <c r="AH82" s="287"/>
    </row>
    <row r="83" spans="1:34" ht="13.5" customHeight="1" x14ac:dyDescent="0.25">
      <c r="A83" s="287"/>
      <c r="B83" s="287"/>
      <c r="C83" s="287"/>
      <c r="D83" s="287" t="str">
        <f t="shared" si="11"/>
        <v>Millet</v>
      </c>
      <c r="E83" s="287">
        <f t="shared" si="12"/>
        <v>1.7681089339357393E-2</v>
      </c>
      <c r="F83" s="287">
        <f t="shared" si="13"/>
        <v>2.2367646339102199E-2</v>
      </c>
      <c r="G83" s="287">
        <f t="shared" si="14"/>
        <v>4.6865569997448057E-3</v>
      </c>
      <c r="H83" s="323">
        <v>4.6865569997448057E-3</v>
      </c>
      <c r="I83" s="323"/>
      <c r="J83" s="323"/>
      <c r="K83" s="287"/>
      <c r="L83" s="318"/>
      <c r="M83" s="287"/>
      <c r="N83" s="287"/>
      <c r="O83" s="287"/>
      <c r="P83" s="287"/>
      <c r="Q83" s="287"/>
      <c r="R83" s="287"/>
      <c r="S83" s="287"/>
      <c r="T83" s="287"/>
      <c r="U83" s="287"/>
      <c r="V83" s="287"/>
      <c r="W83" s="287"/>
      <c r="X83" s="287"/>
      <c r="Y83" s="287"/>
      <c r="Z83" s="287"/>
      <c r="AA83" s="287"/>
      <c r="AB83" s="287"/>
      <c r="AC83" s="287"/>
      <c r="AD83" s="287"/>
      <c r="AE83" s="287"/>
      <c r="AF83" s="287"/>
      <c r="AG83" s="287"/>
      <c r="AH83" s="287"/>
    </row>
    <row r="84" spans="1:34" ht="13.5" customHeight="1" x14ac:dyDescent="0.25">
      <c r="A84" s="287"/>
      <c r="B84" s="287"/>
      <c r="C84" s="287"/>
      <c r="D84" s="287" t="str">
        <f t="shared" si="11"/>
        <v>Cocoa beans</v>
      </c>
      <c r="E84" s="287">
        <f t="shared" si="12"/>
        <v>0.33805744347219346</v>
      </c>
      <c r="F84" s="287">
        <f t="shared" si="13"/>
        <v>1.1140711433516628</v>
      </c>
      <c r="G84" s="287">
        <f t="shared" si="14"/>
        <v>0.77601369987946933</v>
      </c>
      <c r="H84" s="323">
        <v>0.77601369987946933</v>
      </c>
      <c r="I84" s="323"/>
      <c r="J84" s="323"/>
      <c r="K84" s="287"/>
      <c r="L84" s="318"/>
      <c r="M84" s="287"/>
      <c r="N84" s="287"/>
      <c r="O84" s="287"/>
      <c r="P84" s="287"/>
      <c r="Q84" s="287"/>
      <c r="R84" s="287"/>
      <c r="S84" s="287"/>
      <c r="T84" s="287"/>
      <c r="U84" s="287"/>
      <c r="V84" s="287"/>
      <c r="W84" s="287"/>
      <c r="X84" s="287"/>
      <c r="Y84" s="287"/>
      <c r="Z84" s="287"/>
      <c r="AA84" s="287"/>
      <c r="AB84" s="287"/>
      <c r="AC84" s="287"/>
      <c r="AD84" s="287"/>
      <c r="AE84" s="287"/>
      <c r="AF84" s="287"/>
      <c r="AG84" s="287"/>
      <c r="AH84" s="287"/>
    </row>
    <row r="85" spans="1:34" ht="13.5" customHeight="1" x14ac:dyDescent="0.25">
      <c r="A85" s="287"/>
      <c r="B85" s="287"/>
      <c r="C85" s="287"/>
      <c r="D85" s="287" t="str">
        <f t="shared" si="11"/>
        <v>Other oil seeds, n.e.c.</v>
      </c>
      <c r="E85" s="287">
        <f t="shared" si="12"/>
        <v>1.0906637423830306E-2</v>
      </c>
      <c r="F85" s="287">
        <f t="shared" si="13"/>
        <v>2.6861695205250752E-2</v>
      </c>
      <c r="G85" s="287">
        <f t="shared" si="14"/>
        <v>1.5955057781420444E-2</v>
      </c>
      <c r="H85" s="323">
        <v>1.5955057781420399E-2</v>
      </c>
      <c r="I85" s="323"/>
      <c r="J85" s="323"/>
      <c r="K85" s="287"/>
      <c r="L85" s="318"/>
      <c r="M85" s="287"/>
      <c r="N85" s="287"/>
      <c r="O85" s="287"/>
      <c r="P85" s="287"/>
      <c r="Q85" s="287"/>
      <c r="R85" s="287"/>
      <c r="S85" s="287"/>
      <c r="T85" s="287"/>
      <c r="U85" s="287"/>
      <c r="V85" s="287"/>
      <c r="W85" s="287"/>
      <c r="X85" s="287"/>
      <c r="Y85" s="287"/>
      <c r="Z85" s="287"/>
      <c r="AA85" s="287"/>
      <c r="AB85" s="287"/>
      <c r="AC85" s="287"/>
      <c r="AD85" s="287"/>
      <c r="AE85" s="287"/>
      <c r="AF85" s="287"/>
      <c r="AG85" s="287"/>
      <c r="AH85" s="287"/>
    </row>
    <row r="86" spans="1:34" ht="13.5" customHeight="1" x14ac:dyDescent="0.25">
      <c r="A86" s="287"/>
      <c r="B86" s="287"/>
      <c r="C86" s="287"/>
      <c r="D86" s="287" t="str">
        <f t="shared" si="11"/>
        <v>Soya beans</v>
      </c>
      <c r="E86" s="287">
        <f t="shared" si="12"/>
        <v>6.7061124984724552E-2</v>
      </c>
      <c r="F86" s="287">
        <f t="shared" si="13"/>
        <v>7.848856846438898E-2</v>
      </c>
      <c r="G86" s="287">
        <f t="shared" si="14"/>
        <v>1.1427443479664429E-2</v>
      </c>
      <c r="H86" s="323">
        <v>1.1427443479664399E-2</v>
      </c>
      <c r="I86" s="323"/>
      <c r="J86" s="323"/>
      <c r="K86" s="287"/>
      <c r="L86" s="318"/>
      <c r="M86" s="287"/>
      <c r="N86" s="287"/>
      <c r="O86" s="287"/>
      <c r="P86" s="287"/>
      <c r="Q86" s="287"/>
      <c r="R86" s="287"/>
      <c r="S86" s="287"/>
      <c r="T86" s="287"/>
      <c r="U86" s="287"/>
      <c r="V86" s="287"/>
      <c r="W86" s="287"/>
      <c r="X86" s="287"/>
      <c r="Y86" s="287"/>
      <c r="Z86" s="287"/>
      <c r="AA86" s="287"/>
      <c r="AB86" s="287"/>
      <c r="AC86" s="287"/>
      <c r="AD86" s="287"/>
      <c r="AE86" s="287"/>
      <c r="AF86" s="287"/>
      <c r="AG86" s="287"/>
      <c r="AH86" s="287"/>
    </row>
    <row r="87" spans="1:34" ht="13.5" customHeight="1" x14ac:dyDescent="0.25">
      <c r="A87" s="287"/>
      <c r="B87" s="287"/>
      <c r="C87" s="287"/>
      <c r="D87" s="287" t="str">
        <f t="shared" si="11"/>
        <v>Pigeon peas, dry</v>
      </c>
      <c r="E87" s="287">
        <f t="shared" si="12"/>
        <v>3.1492797815126747E-2</v>
      </c>
      <c r="F87" s="287">
        <f t="shared" si="13"/>
        <v>4.5289835875462606E-2</v>
      </c>
      <c r="G87" s="287">
        <f t="shared" si="14"/>
        <v>1.3797038060335859E-2</v>
      </c>
      <c r="H87" s="323">
        <v>1.3797038060335901E-2</v>
      </c>
      <c r="I87" s="323"/>
      <c r="J87" s="323"/>
      <c r="K87" s="287"/>
      <c r="L87" s="318"/>
      <c r="M87" s="287"/>
      <c r="N87" s="287"/>
      <c r="O87" s="287"/>
      <c r="P87" s="287"/>
      <c r="Q87" s="287"/>
      <c r="R87" s="287"/>
      <c r="S87" s="287"/>
      <c r="T87" s="287"/>
      <c r="U87" s="287"/>
      <c r="V87" s="287"/>
      <c r="W87" s="287"/>
      <c r="X87" s="287"/>
      <c r="Y87" s="287"/>
      <c r="Z87" s="287"/>
      <c r="AA87" s="287"/>
      <c r="AB87" s="287"/>
      <c r="AC87" s="287"/>
      <c r="AD87" s="287"/>
      <c r="AE87" s="287"/>
      <c r="AF87" s="287"/>
      <c r="AG87" s="287"/>
      <c r="AH87" s="287"/>
    </row>
    <row r="88" spans="1:34" ht="13.5" customHeight="1" x14ac:dyDescent="0.25">
      <c r="A88" s="287"/>
      <c r="B88" s="287"/>
      <c r="C88" s="287"/>
      <c r="D88" s="287" t="str">
        <f t="shared" si="11"/>
        <v>Potatoes</v>
      </c>
      <c r="E88" s="287">
        <f t="shared" si="12"/>
        <v>1.3071838433500647E-2</v>
      </c>
      <c r="F88" s="287">
        <f t="shared" si="13"/>
        <v>4.1949826118867134E-2</v>
      </c>
      <c r="G88" s="287">
        <f t="shared" si="14"/>
        <v>2.8877987685366487E-2</v>
      </c>
      <c r="H88" s="323">
        <v>2.8877987685366487E-2</v>
      </c>
      <c r="I88" s="323"/>
      <c r="J88" s="323"/>
      <c r="K88" s="287"/>
      <c r="L88" s="318"/>
      <c r="M88" s="287"/>
      <c r="N88" s="287"/>
      <c r="O88" s="287"/>
      <c r="P88" s="287"/>
      <c r="Q88" s="287"/>
      <c r="R88" s="287"/>
      <c r="S88" s="287"/>
      <c r="T88" s="287"/>
      <c r="U88" s="287"/>
      <c r="V88" s="287"/>
      <c r="W88" s="287"/>
      <c r="X88" s="287"/>
      <c r="Y88" s="287"/>
      <c r="Z88" s="287"/>
      <c r="AA88" s="287"/>
      <c r="AB88" s="287"/>
      <c r="AC88" s="287"/>
      <c r="AD88" s="287"/>
      <c r="AE88" s="287"/>
      <c r="AF88" s="287"/>
      <c r="AG88" s="287"/>
      <c r="AH88" s="287"/>
    </row>
    <row r="89" spans="1:34" ht="13.5" customHeight="1" x14ac:dyDescent="0.25">
      <c r="A89" s="287"/>
      <c r="B89" s="287"/>
      <c r="C89" s="287"/>
      <c r="D89" s="287" t="str">
        <f t="shared" si="11"/>
        <v>Tea leaves</v>
      </c>
      <c r="E89" s="287">
        <f t="shared" si="12"/>
        <v>2.1514166769457867E-2</v>
      </c>
      <c r="F89" s="287">
        <f t="shared" si="13"/>
        <v>2.2249122359198348E-2</v>
      </c>
      <c r="G89" s="287">
        <f t="shared" si="14"/>
        <v>7.3495558974048109E-4</v>
      </c>
      <c r="H89" s="323">
        <v>7.3495558974048098E-4</v>
      </c>
      <c r="I89" s="323"/>
      <c r="J89" s="323"/>
      <c r="K89" s="287"/>
      <c r="L89" s="318"/>
      <c r="M89" s="287"/>
      <c r="N89" s="287"/>
      <c r="O89" s="287"/>
      <c r="P89" s="287"/>
      <c r="Q89" s="287"/>
      <c r="R89" s="287"/>
      <c r="S89" s="287"/>
      <c r="T89" s="287"/>
      <c r="U89" s="287"/>
      <c r="V89" s="287"/>
      <c r="W89" s="287"/>
      <c r="X89" s="287"/>
      <c r="Y89" s="287"/>
      <c r="Z89" s="287"/>
      <c r="AA89" s="287"/>
      <c r="AB89" s="287"/>
      <c r="AC89" s="287"/>
      <c r="AD89" s="287"/>
      <c r="AE89" s="287"/>
      <c r="AF89" s="287"/>
      <c r="AG89" s="287"/>
      <c r="AH89" s="287"/>
    </row>
    <row r="90" spans="1:34" ht="13.5" customHeight="1" x14ac:dyDescent="0.25">
      <c r="A90" s="287"/>
      <c r="B90" s="287"/>
      <c r="C90" s="287"/>
      <c r="D90" s="287" t="str">
        <f t="shared" si="11"/>
        <v>Cow peas, dry</v>
      </c>
      <c r="E90" s="287">
        <f t="shared" si="12"/>
        <v>2.6040066885107523E-2</v>
      </c>
      <c r="F90" s="287">
        <f t="shared" si="13"/>
        <v>3.7448256021448745E-2</v>
      </c>
      <c r="G90" s="287">
        <f t="shared" si="14"/>
        <v>1.1408189136341222E-2</v>
      </c>
      <c r="H90" s="323">
        <v>1.14081891363412E-2</v>
      </c>
      <c r="I90" s="323"/>
      <c r="J90" s="323"/>
      <c r="K90" s="287"/>
      <c r="L90" s="318"/>
      <c r="M90" s="287"/>
      <c r="N90" s="287"/>
      <c r="O90" s="287"/>
      <c r="P90" s="287"/>
      <c r="Q90" s="287"/>
      <c r="R90" s="287"/>
      <c r="S90" s="287"/>
      <c r="T90" s="287"/>
      <c r="U90" s="287"/>
      <c r="V90" s="287"/>
      <c r="W90" s="287"/>
      <c r="X90" s="287"/>
      <c r="Y90" s="287"/>
      <c r="Z90" s="287"/>
      <c r="AA90" s="287"/>
      <c r="AB90" s="287"/>
      <c r="AC90" s="287"/>
      <c r="AD90" s="287"/>
      <c r="AE90" s="287"/>
      <c r="AF90" s="287"/>
      <c r="AG90" s="287"/>
      <c r="AH90" s="287"/>
    </row>
    <row r="91" spans="1:34" ht="13.5" customHeight="1" x14ac:dyDescent="0.25">
      <c r="A91" s="287"/>
      <c r="B91" s="287"/>
      <c r="C91" s="287"/>
      <c r="D91" s="287" t="str">
        <f t="shared" si="11"/>
        <v>Peas, dry</v>
      </c>
      <c r="E91" s="287">
        <f t="shared" si="12"/>
        <v>1.8204591791867154E-2</v>
      </c>
      <c r="F91" s="287">
        <f t="shared" si="13"/>
        <v>2.6180048507390405E-2</v>
      </c>
      <c r="G91" s="287">
        <f t="shared" si="14"/>
        <v>7.9754567155232506E-3</v>
      </c>
      <c r="H91" s="323">
        <v>7.9754567155232506E-3</v>
      </c>
      <c r="I91" s="323"/>
      <c r="J91" s="323"/>
      <c r="K91" s="287"/>
      <c r="L91" s="318"/>
      <c r="M91" s="287"/>
      <c r="N91" s="287"/>
      <c r="O91" s="287"/>
      <c r="P91" s="287"/>
      <c r="Q91" s="287"/>
      <c r="R91" s="287"/>
      <c r="S91" s="287"/>
      <c r="T91" s="287"/>
      <c r="U91" s="287"/>
      <c r="V91" s="287"/>
      <c r="W91" s="287"/>
      <c r="X91" s="287"/>
      <c r="Y91" s="287"/>
      <c r="Z91" s="287"/>
      <c r="AA91" s="287"/>
      <c r="AB91" s="287"/>
      <c r="AC91" s="287"/>
      <c r="AD91" s="287"/>
      <c r="AE91" s="287"/>
      <c r="AF91" s="287"/>
      <c r="AG91" s="287"/>
      <c r="AH91" s="287"/>
    </row>
    <row r="92" spans="1:34" ht="13.5" customHeight="1" x14ac:dyDescent="0.25">
      <c r="A92" s="287"/>
      <c r="B92" s="287"/>
      <c r="C92" s="287"/>
      <c r="D92" s="287"/>
      <c r="E92" s="287"/>
      <c r="F92" s="287"/>
      <c r="G92" s="287"/>
      <c r="H92" s="287"/>
      <c r="I92" s="287"/>
      <c r="J92" s="287"/>
      <c r="K92" s="287"/>
      <c r="L92" s="318"/>
      <c r="M92" s="287"/>
      <c r="N92" s="287"/>
      <c r="O92" s="287"/>
      <c r="P92" s="287"/>
      <c r="Q92" s="287"/>
      <c r="R92" s="287"/>
      <c r="S92" s="287"/>
      <c r="T92" s="287"/>
      <c r="U92" s="287"/>
      <c r="V92" s="287"/>
      <c r="W92" s="287"/>
      <c r="X92" s="287"/>
      <c r="Y92" s="287"/>
      <c r="Z92" s="287"/>
      <c r="AA92" s="287"/>
      <c r="AB92" s="287"/>
      <c r="AC92" s="287"/>
      <c r="AD92" s="287"/>
      <c r="AE92" s="287"/>
      <c r="AF92" s="287"/>
      <c r="AG92" s="287"/>
      <c r="AH92" s="287"/>
    </row>
    <row r="93" spans="1:34" ht="13.5" customHeight="1" x14ac:dyDescent="0.25">
      <c r="A93" s="287"/>
      <c r="B93" s="287"/>
      <c r="C93" s="287"/>
      <c r="D93" s="287"/>
      <c r="E93" s="287"/>
      <c r="F93" s="287"/>
      <c r="G93" s="287"/>
      <c r="H93" s="287"/>
      <c r="I93" s="287"/>
      <c r="J93" s="287"/>
      <c r="K93" s="287"/>
      <c r="L93" s="318"/>
      <c r="M93" s="287"/>
      <c r="N93" s="287"/>
      <c r="O93" s="287"/>
      <c r="P93" s="287"/>
      <c r="Q93" s="287"/>
      <c r="R93" s="287"/>
      <c r="S93" s="287"/>
      <c r="T93" s="287"/>
      <c r="U93" s="287"/>
      <c r="V93" s="287"/>
      <c r="W93" s="287"/>
      <c r="X93" s="287"/>
      <c r="Y93" s="287"/>
      <c r="Z93" s="287"/>
      <c r="AA93" s="287"/>
      <c r="AB93" s="287"/>
      <c r="AC93" s="287"/>
      <c r="AD93" s="287"/>
      <c r="AE93" s="287"/>
      <c r="AF93" s="287"/>
      <c r="AG93" s="287"/>
      <c r="AH93" s="287"/>
    </row>
    <row r="94" spans="1:34" ht="13.5" customHeight="1" x14ac:dyDescent="0.3">
      <c r="A94" s="287"/>
      <c r="B94" s="287"/>
      <c r="C94" s="287"/>
      <c r="D94" s="317"/>
      <c r="E94" s="319"/>
      <c r="F94" s="319"/>
      <c r="G94" s="319"/>
      <c r="H94" s="319"/>
      <c r="I94" s="319"/>
      <c r="J94" s="319"/>
      <c r="K94" s="287"/>
      <c r="L94" s="318"/>
      <c r="M94" s="287"/>
      <c r="N94" s="287"/>
      <c r="O94" s="287"/>
      <c r="P94" s="287"/>
      <c r="Q94" s="287"/>
      <c r="R94" s="287"/>
      <c r="S94" s="287"/>
      <c r="T94" s="287"/>
      <c r="U94" s="287"/>
      <c r="V94" s="287"/>
      <c r="W94" s="287"/>
      <c r="X94" s="287"/>
      <c r="Y94" s="287"/>
      <c r="Z94" s="287"/>
      <c r="AA94" s="287"/>
      <c r="AB94" s="287"/>
      <c r="AC94" s="287"/>
      <c r="AD94" s="287"/>
      <c r="AE94" s="287"/>
      <c r="AF94" s="287"/>
      <c r="AG94" s="287"/>
      <c r="AH94" s="287"/>
    </row>
    <row r="95" spans="1:34" ht="13.5" customHeight="1" x14ac:dyDescent="0.25">
      <c r="A95" s="287"/>
      <c r="B95" s="287"/>
      <c r="C95" s="287"/>
      <c r="D95" s="287"/>
      <c r="E95" s="324"/>
      <c r="F95" s="324"/>
      <c r="G95" s="324"/>
      <c r="H95" s="324"/>
      <c r="I95" s="325"/>
      <c r="J95" s="325"/>
      <c r="K95" s="287"/>
      <c r="L95" s="318"/>
      <c r="M95" s="287"/>
      <c r="N95" s="287"/>
      <c r="O95" s="287"/>
      <c r="P95" s="287"/>
      <c r="Q95" s="287"/>
      <c r="R95" s="287"/>
      <c r="S95" s="287"/>
      <c r="T95" s="287"/>
      <c r="U95" s="287"/>
      <c r="V95" s="287"/>
      <c r="W95" s="287"/>
      <c r="X95" s="287"/>
      <c r="Y95" s="287"/>
      <c r="Z95" s="287"/>
      <c r="AA95" s="287"/>
      <c r="AB95" s="287"/>
      <c r="AC95" s="287"/>
      <c r="AD95" s="287"/>
      <c r="AE95" s="287"/>
      <c r="AF95" s="287"/>
      <c r="AG95" s="287"/>
      <c r="AH95" s="287"/>
    </row>
    <row r="96" spans="1:34" ht="13.5" customHeight="1" x14ac:dyDescent="0.25">
      <c r="A96" s="287"/>
      <c r="B96" s="287"/>
      <c r="C96" s="287"/>
      <c r="D96" s="287"/>
      <c r="E96" s="324"/>
      <c r="F96" s="324"/>
      <c r="G96" s="324"/>
      <c r="H96" s="324"/>
      <c r="I96" s="325"/>
      <c r="J96" s="325"/>
      <c r="K96" s="287"/>
      <c r="L96" s="318"/>
      <c r="M96" s="287"/>
      <c r="N96" s="287"/>
      <c r="O96" s="287"/>
      <c r="P96" s="287"/>
      <c r="Q96" s="287"/>
      <c r="R96" s="287"/>
      <c r="S96" s="287"/>
      <c r="T96" s="287"/>
      <c r="U96" s="287"/>
      <c r="V96" s="287"/>
      <c r="W96" s="287"/>
      <c r="X96" s="287"/>
      <c r="Y96" s="287"/>
      <c r="Z96" s="287"/>
      <c r="AA96" s="287"/>
      <c r="AB96" s="287"/>
      <c r="AC96" s="287"/>
      <c r="AD96" s="287"/>
      <c r="AE96" s="287"/>
      <c r="AF96" s="287"/>
      <c r="AG96" s="287"/>
      <c r="AH96" s="287"/>
    </row>
    <row r="97" spans="1:34" ht="13.5" customHeight="1" x14ac:dyDescent="0.25">
      <c r="A97" s="287"/>
      <c r="B97" s="287"/>
      <c r="C97" s="287"/>
      <c r="D97" s="287"/>
      <c r="E97" s="324"/>
      <c r="F97" s="324"/>
      <c r="G97" s="324"/>
      <c r="H97" s="324"/>
      <c r="I97" s="325"/>
      <c r="J97" s="325"/>
      <c r="K97" s="287"/>
      <c r="L97" s="318"/>
      <c r="M97" s="287"/>
      <c r="N97" s="287"/>
      <c r="O97" s="287"/>
      <c r="P97" s="287"/>
      <c r="Q97" s="287"/>
      <c r="R97" s="287"/>
      <c r="S97" s="287"/>
      <c r="T97" s="287"/>
      <c r="U97" s="287"/>
      <c r="V97" s="287"/>
      <c r="W97" s="287"/>
      <c r="X97" s="287"/>
      <c r="Y97" s="287"/>
      <c r="Z97" s="287"/>
      <c r="AA97" s="287"/>
      <c r="AB97" s="287"/>
      <c r="AC97" s="287"/>
      <c r="AD97" s="287"/>
      <c r="AE97" s="287"/>
      <c r="AF97" s="287"/>
      <c r="AG97" s="287"/>
      <c r="AH97" s="287"/>
    </row>
    <row r="98" spans="1:34" ht="13.5" customHeight="1" x14ac:dyDescent="0.25">
      <c r="A98" s="287"/>
      <c r="B98" s="287"/>
      <c r="C98" s="287"/>
      <c r="D98" s="287"/>
      <c r="E98" s="324"/>
      <c r="F98" s="324"/>
      <c r="G98" s="324"/>
      <c r="H98" s="324"/>
      <c r="I98" s="325"/>
      <c r="J98" s="325"/>
      <c r="K98" s="287"/>
      <c r="L98" s="318"/>
      <c r="M98" s="287"/>
      <c r="N98" s="287"/>
      <c r="O98" s="287"/>
      <c r="P98" s="287"/>
      <c r="Q98" s="287"/>
      <c r="R98" s="287"/>
      <c r="S98" s="287"/>
      <c r="T98" s="287"/>
      <c r="U98" s="287"/>
      <c r="V98" s="287"/>
      <c r="W98" s="287"/>
      <c r="X98" s="287"/>
      <c r="Y98" s="287"/>
      <c r="Z98" s="287"/>
      <c r="AA98" s="287"/>
      <c r="AB98" s="287"/>
      <c r="AC98" s="287"/>
      <c r="AD98" s="287"/>
      <c r="AE98" s="287"/>
      <c r="AF98" s="287"/>
      <c r="AG98" s="287"/>
      <c r="AH98" s="287"/>
    </row>
    <row r="99" spans="1:34" ht="13.5" customHeight="1" x14ac:dyDescent="0.25">
      <c r="A99" s="287"/>
      <c r="B99" s="287"/>
      <c r="C99" s="287"/>
      <c r="D99" s="287"/>
      <c r="E99" s="324"/>
      <c r="F99" s="324"/>
      <c r="G99" s="324"/>
      <c r="H99" s="324"/>
      <c r="I99" s="325"/>
      <c r="J99" s="325"/>
      <c r="K99" s="287"/>
      <c r="L99" s="318"/>
      <c r="M99" s="287"/>
      <c r="N99" s="287"/>
      <c r="O99" s="287"/>
      <c r="P99" s="287"/>
      <c r="Q99" s="287"/>
      <c r="R99" s="287"/>
      <c r="S99" s="287"/>
      <c r="T99" s="287"/>
      <c r="U99" s="287"/>
      <c r="V99" s="287"/>
      <c r="W99" s="287"/>
      <c r="X99" s="287"/>
      <c r="Y99" s="287"/>
      <c r="Z99" s="287"/>
      <c r="AA99" s="287"/>
      <c r="AB99" s="287"/>
      <c r="AC99" s="287"/>
      <c r="AD99" s="287"/>
      <c r="AE99" s="287"/>
      <c r="AF99" s="287"/>
      <c r="AG99" s="287"/>
      <c r="AH99" s="287"/>
    </row>
    <row r="100" spans="1:34" ht="13.5" customHeight="1" x14ac:dyDescent="0.25">
      <c r="A100" s="287"/>
      <c r="B100" s="287"/>
      <c r="C100" s="287"/>
      <c r="D100" s="287"/>
      <c r="E100" s="324"/>
      <c r="F100" s="324"/>
      <c r="G100" s="324"/>
      <c r="H100" s="324"/>
      <c r="I100" s="325"/>
      <c r="J100" s="325"/>
      <c r="K100" s="287"/>
      <c r="L100" s="318"/>
      <c r="M100" s="287"/>
      <c r="N100" s="287"/>
      <c r="O100" s="287"/>
      <c r="P100" s="287"/>
      <c r="Q100" s="287"/>
      <c r="R100" s="287"/>
      <c r="S100" s="287"/>
      <c r="T100" s="287"/>
      <c r="U100" s="287"/>
      <c r="V100" s="287"/>
      <c r="W100" s="287"/>
      <c r="X100" s="287"/>
      <c r="Y100" s="287"/>
      <c r="Z100" s="287"/>
      <c r="AA100" s="287"/>
      <c r="AB100" s="287"/>
      <c r="AC100" s="287"/>
      <c r="AD100" s="287"/>
      <c r="AE100" s="287"/>
      <c r="AF100" s="287"/>
      <c r="AG100" s="287"/>
      <c r="AH100" s="287"/>
    </row>
    <row r="101" spans="1:34" ht="13.5" customHeight="1" x14ac:dyDescent="0.25">
      <c r="A101" s="287"/>
      <c r="B101" s="287"/>
      <c r="C101" s="287"/>
      <c r="D101" s="287"/>
      <c r="E101" s="324"/>
      <c r="F101" s="324"/>
      <c r="G101" s="324"/>
      <c r="H101" s="324"/>
      <c r="I101" s="325"/>
      <c r="J101" s="325"/>
      <c r="K101" s="287"/>
      <c r="L101" s="318"/>
      <c r="M101" s="287"/>
      <c r="N101" s="287"/>
      <c r="O101" s="287"/>
      <c r="P101" s="287"/>
      <c r="Q101" s="287"/>
      <c r="R101" s="287"/>
      <c r="S101" s="287"/>
      <c r="T101" s="287"/>
      <c r="U101" s="287"/>
      <c r="V101" s="287"/>
      <c r="W101" s="287"/>
      <c r="X101" s="287"/>
      <c r="Y101" s="287"/>
      <c r="Z101" s="287"/>
      <c r="AA101" s="287"/>
      <c r="AB101" s="287"/>
      <c r="AC101" s="287"/>
      <c r="AD101" s="287"/>
      <c r="AE101" s="287"/>
      <c r="AF101" s="287"/>
      <c r="AG101" s="287"/>
      <c r="AH101" s="287"/>
    </row>
    <row r="102" spans="1:34" ht="13.5" customHeight="1" x14ac:dyDescent="0.25">
      <c r="A102" s="287"/>
      <c r="B102" s="287"/>
      <c r="C102" s="287"/>
      <c r="D102" s="287"/>
      <c r="E102" s="324"/>
      <c r="F102" s="324"/>
      <c r="G102" s="324"/>
      <c r="H102" s="324"/>
      <c r="I102" s="325"/>
      <c r="J102" s="325"/>
      <c r="K102" s="287"/>
      <c r="L102" s="318"/>
      <c r="M102" s="287"/>
      <c r="N102" s="287"/>
      <c r="O102" s="287"/>
      <c r="P102" s="287"/>
      <c r="Q102" s="287"/>
      <c r="R102" s="287"/>
      <c r="S102" s="287"/>
      <c r="T102" s="287"/>
      <c r="U102" s="287"/>
      <c r="V102" s="287"/>
      <c r="W102" s="287"/>
      <c r="X102" s="287"/>
      <c r="Y102" s="287"/>
      <c r="Z102" s="287"/>
      <c r="AA102" s="287"/>
      <c r="AB102" s="287"/>
      <c r="AC102" s="287"/>
      <c r="AD102" s="287"/>
      <c r="AE102" s="287"/>
      <c r="AF102" s="287"/>
      <c r="AG102" s="287"/>
      <c r="AH102" s="287"/>
    </row>
    <row r="103" spans="1:34" ht="13.5" customHeight="1" x14ac:dyDescent="0.25">
      <c r="A103" s="287"/>
      <c r="B103" s="287"/>
      <c r="C103" s="287"/>
      <c r="D103" s="287"/>
      <c r="E103" s="324"/>
      <c r="F103" s="324"/>
      <c r="G103" s="324"/>
      <c r="H103" s="324"/>
      <c r="I103" s="325"/>
      <c r="J103" s="325"/>
      <c r="K103" s="287"/>
      <c r="L103" s="318"/>
      <c r="M103" s="287"/>
      <c r="N103" s="287"/>
      <c r="O103" s="287"/>
      <c r="P103" s="287"/>
      <c r="Q103" s="287"/>
      <c r="R103" s="287"/>
      <c r="S103" s="287"/>
      <c r="T103" s="287"/>
      <c r="U103" s="287"/>
      <c r="V103" s="287"/>
      <c r="W103" s="287"/>
      <c r="X103" s="287"/>
      <c r="Y103" s="287"/>
      <c r="Z103" s="287"/>
      <c r="AA103" s="287"/>
      <c r="AB103" s="287"/>
      <c r="AC103" s="287"/>
      <c r="AD103" s="287"/>
      <c r="AE103" s="287"/>
      <c r="AF103" s="287"/>
      <c r="AG103" s="287"/>
      <c r="AH103" s="287"/>
    </row>
    <row r="104" spans="1:34" ht="13.5" customHeight="1" x14ac:dyDescent="0.25">
      <c r="A104" s="287"/>
      <c r="B104" s="287"/>
      <c r="C104" s="287"/>
      <c r="D104" s="287"/>
      <c r="E104" s="324"/>
      <c r="F104" s="324"/>
      <c r="G104" s="324"/>
      <c r="H104" s="324"/>
      <c r="I104" s="325"/>
      <c r="J104" s="325"/>
      <c r="K104" s="287"/>
      <c r="L104" s="318"/>
      <c r="M104" s="287"/>
      <c r="N104" s="287"/>
      <c r="O104" s="287"/>
      <c r="P104" s="287"/>
      <c r="Q104" s="287"/>
      <c r="R104" s="287"/>
      <c r="S104" s="287"/>
      <c r="T104" s="287"/>
      <c r="U104" s="287"/>
      <c r="V104" s="287"/>
      <c r="W104" s="287"/>
      <c r="X104" s="287"/>
      <c r="Y104" s="287"/>
      <c r="Z104" s="287"/>
      <c r="AA104" s="287"/>
      <c r="AB104" s="287"/>
      <c r="AC104" s="287"/>
      <c r="AD104" s="287"/>
      <c r="AE104" s="287"/>
      <c r="AF104" s="287"/>
      <c r="AG104" s="287"/>
      <c r="AH104" s="287"/>
    </row>
    <row r="105" spans="1:34" ht="13.5" customHeight="1" x14ac:dyDescent="0.25">
      <c r="A105" s="287"/>
      <c r="B105" s="287"/>
      <c r="C105" s="287"/>
      <c r="D105" s="287"/>
      <c r="E105" s="324"/>
      <c r="F105" s="324"/>
      <c r="G105" s="324"/>
      <c r="H105" s="324"/>
      <c r="I105" s="325"/>
      <c r="J105" s="325"/>
      <c r="K105" s="287"/>
      <c r="L105" s="318"/>
      <c r="M105" s="287"/>
      <c r="N105" s="287"/>
      <c r="O105" s="287"/>
      <c r="P105" s="287"/>
      <c r="Q105" s="287"/>
      <c r="R105" s="287"/>
      <c r="S105" s="287"/>
      <c r="T105" s="287"/>
      <c r="U105" s="287"/>
      <c r="V105" s="287"/>
      <c r="W105" s="287"/>
      <c r="X105" s="287"/>
      <c r="Y105" s="287"/>
      <c r="Z105" s="287"/>
      <c r="AA105" s="287"/>
      <c r="AB105" s="287"/>
      <c r="AC105" s="287"/>
      <c r="AD105" s="287"/>
      <c r="AE105" s="287"/>
      <c r="AF105" s="287"/>
      <c r="AG105" s="287"/>
      <c r="AH105" s="287"/>
    </row>
    <row r="106" spans="1:34" ht="13.5" customHeight="1" x14ac:dyDescent="0.25">
      <c r="A106" s="287"/>
      <c r="B106" s="287"/>
      <c r="C106" s="287"/>
      <c r="D106" s="287"/>
      <c r="E106" s="324"/>
      <c r="F106" s="324"/>
      <c r="G106" s="324"/>
      <c r="H106" s="324"/>
      <c r="I106" s="325"/>
      <c r="J106" s="325"/>
      <c r="K106" s="287"/>
      <c r="L106" s="318"/>
      <c r="M106" s="287"/>
      <c r="N106" s="287"/>
      <c r="O106" s="287"/>
      <c r="P106" s="287"/>
      <c r="Q106" s="287"/>
      <c r="R106" s="287"/>
      <c r="S106" s="287"/>
      <c r="T106" s="287"/>
      <c r="U106" s="287"/>
      <c r="V106" s="287"/>
      <c r="W106" s="287"/>
      <c r="X106" s="287"/>
      <c r="Y106" s="287"/>
      <c r="Z106" s="287"/>
      <c r="AA106" s="287"/>
      <c r="AB106" s="287"/>
      <c r="AC106" s="287"/>
      <c r="AD106" s="287"/>
      <c r="AE106" s="287"/>
      <c r="AF106" s="287"/>
      <c r="AG106" s="287"/>
      <c r="AH106" s="287"/>
    </row>
    <row r="107" spans="1:34" ht="13.5" customHeight="1" x14ac:dyDescent="0.25">
      <c r="A107" s="287"/>
      <c r="B107" s="287"/>
      <c r="C107" s="287"/>
      <c r="D107" s="287"/>
      <c r="E107" s="324"/>
      <c r="F107" s="324"/>
      <c r="G107" s="324"/>
      <c r="H107" s="324"/>
      <c r="I107" s="325"/>
      <c r="J107" s="325"/>
      <c r="K107" s="287"/>
      <c r="L107" s="318"/>
      <c r="M107" s="287"/>
      <c r="N107" s="287"/>
      <c r="O107" s="287"/>
      <c r="P107" s="287"/>
      <c r="Q107" s="287"/>
      <c r="R107" s="287"/>
      <c r="S107" s="287"/>
      <c r="T107" s="287"/>
      <c r="U107" s="287"/>
      <c r="V107" s="287"/>
      <c r="W107" s="287"/>
      <c r="X107" s="287"/>
      <c r="Y107" s="287"/>
      <c r="Z107" s="287"/>
      <c r="AA107" s="287"/>
      <c r="AB107" s="287"/>
      <c r="AC107" s="287"/>
      <c r="AD107" s="287"/>
      <c r="AE107" s="287"/>
      <c r="AF107" s="287"/>
      <c r="AG107" s="287"/>
      <c r="AH107" s="287"/>
    </row>
    <row r="108" spans="1:34" ht="13.5" customHeight="1" x14ac:dyDescent="0.25">
      <c r="A108" s="287"/>
      <c r="B108" s="287"/>
      <c r="C108" s="287"/>
      <c r="D108" s="287"/>
      <c r="E108" s="324"/>
      <c r="F108" s="324"/>
      <c r="G108" s="324"/>
      <c r="H108" s="324"/>
      <c r="I108" s="325"/>
      <c r="J108" s="325"/>
      <c r="K108" s="287"/>
      <c r="L108" s="318"/>
      <c r="M108" s="287"/>
      <c r="N108" s="287"/>
      <c r="O108" s="287"/>
      <c r="P108" s="287"/>
      <c r="Q108" s="287"/>
      <c r="R108" s="287"/>
      <c r="S108" s="287"/>
      <c r="T108" s="287"/>
      <c r="U108" s="287"/>
      <c r="V108" s="287"/>
      <c r="W108" s="287"/>
      <c r="X108" s="287"/>
      <c r="Y108" s="287"/>
      <c r="Z108" s="287"/>
      <c r="AA108" s="287"/>
      <c r="AB108" s="287"/>
      <c r="AC108" s="287"/>
      <c r="AD108" s="287"/>
      <c r="AE108" s="287"/>
      <c r="AF108" s="287"/>
      <c r="AG108" s="287"/>
      <c r="AH108" s="287"/>
    </row>
    <row r="109" spans="1:34" ht="13.5" customHeight="1" x14ac:dyDescent="0.25">
      <c r="A109" s="287"/>
      <c r="B109" s="287"/>
      <c r="C109" s="287"/>
      <c r="D109" s="287"/>
      <c r="E109" s="324"/>
      <c r="F109" s="324"/>
      <c r="G109" s="324"/>
      <c r="H109" s="324"/>
      <c r="I109" s="325"/>
      <c r="J109" s="325"/>
      <c r="K109" s="287"/>
      <c r="L109" s="318"/>
      <c r="M109" s="287"/>
      <c r="N109" s="287"/>
      <c r="O109" s="287"/>
      <c r="P109" s="287"/>
      <c r="Q109" s="287"/>
      <c r="R109" s="287"/>
      <c r="S109" s="287"/>
      <c r="T109" s="287"/>
      <c r="U109" s="287"/>
      <c r="V109" s="287"/>
      <c r="W109" s="287"/>
      <c r="X109" s="287"/>
      <c r="Y109" s="287"/>
      <c r="Z109" s="287"/>
      <c r="AA109" s="287"/>
      <c r="AB109" s="287"/>
      <c r="AC109" s="287"/>
      <c r="AD109" s="287"/>
      <c r="AE109" s="287"/>
      <c r="AF109" s="287"/>
      <c r="AG109" s="287"/>
      <c r="AH109" s="287"/>
    </row>
    <row r="110" spans="1:34" ht="13.5" customHeight="1" x14ac:dyDescent="0.25">
      <c r="A110" s="287"/>
      <c r="B110" s="287"/>
      <c r="C110" s="287"/>
      <c r="D110" s="287"/>
      <c r="E110" s="324"/>
      <c r="F110" s="324"/>
      <c r="G110" s="324"/>
      <c r="H110" s="324"/>
      <c r="I110" s="325"/>
      <c r="J110" s="325"/>
      <c r="K110" s="287"/>
      <c r="L110" s="318"/>
      <c r="M110" s="287"/>
      <c r="N110" s="287"/>
      <c r="O110" s="287"/>
      <c r="P110" s="287"/>
      <c r="Q110" s="287"/>
      <c r="R110" s="287"/>
      <c r="S110" s="287"/>
      <c r="T110" s="287"/>
      <c r="U110" s="287"/>
      <c r="V110" s="287"/>
      <c r="W110" s="287"/>
      <c r="X110" s="287"/>
      <c r="Y110" s="287"/>
      <c r="Z110" s="287"/>
      <c r="AA110" s="287"/>
      <c r="AB110" s="287"/>
      <c r="AC110" s="287"/>
      <c r="AD110" s="287"/>
      <c r="AE110" s="287"/>
      <c r="AF110" s="287"/>
      <c r="AG110" s="287"/>
      <c r="AH110" s="287"/>
    </row>
    <row r="111" spans="1:34" ht="13.5" customHeight="1" x14ac:dyDescent="0.25">
      <c r="A111" s="287"/>
      <c r="B111" s="287"/>
      <c r="C111" s="287"/>
      <c r="D111" s="287"/>
      <c r="E111" s="324"/>
      <c r="F111" s="324"/>
      <c r="G111" s="324"/>
      <c r="H111" s="324"/>
      <c r="I111" s="325"/>
      <c r="J111" s="325"/>
      <c r="K111" s="287"/>
      <c r="L111" s="318"/>
      <c r="M111" s="287"/>
      <c r="N111" s="287"/>
      <c r="O111" s="287"/>
      <c r="P111" s="287"/>
      <c r="Q111" s="287"/>
      <c r="R111" s="287"/>
      <c r="S111" s="287"/>
      <c r="T111" s="287"/>
      <c r="U111" s="287"/>
      <c r="V111" s="287"/>
      <c r="W111" s="287"/>
      <c r="X111" s="287"/>
      <c r="Y111" s="287"/>
      <c r="Z111" s="287"/>
      <c r="AA111" s="287"/>
      <c r="AB111" s="287"/>
      <c r="AC111" s="287"/>
      <c r="AD111" s="287"/>
      <c r="AE111" s="287"/>
      <c r="AF111" s="287"/>
      <c r="AG111" s="287"/>
      <c r="AH111" s="287"/>
    </row>
    <row r="112" spans="1:34" ht="13.5" customHeight="1" x14ac:dyDescent="0.25">
      <c r="A112" s="287"/>
      <c r="B112" s="287"/>
      <c r="C112" s="287"/>
      <c r="D112" s="287"/>
      <c r="E112" s="324"/>
      <c r="F112" s="324"/>
      <c r="G112" s="324"/>
      <c r="H112" s="324"/>
      <c r="I112" s="325"/>
      <c r="J112" s="325"/>
      <c r="K112" s="287"/>
      <c r="L112" s="318"/>
      <c r="M112" s="287"/>
      <c r="N112" s="287"/>
      <c r="O112" s="287"/>
      <c r="P112" s="287"/>
      <c r="Q112" s="287"/>
      <c r="R112" s="287"/>
      <c r="S112" s="287"/>
      <c r="T112" s="287"/>
      <c r="U112" s="287"/>
      <c r="V112" s="287"/>
      <c r="W112" s="287"/>
      <c r="X112" s="287"/>
      <c r="Y112" s="287"/>
      <c r="Z112" s="287"/>
      <c r="AA112" s="287"/>
      <c r="AB112" s="287"/>
      <c r="AC112" s="287"/>
      <c r="AD112" s="287"/>
      <c r="AE112" s="287"/>
      <c r="AF112" s="287"/>
      <c r="AG112" s="287"/>
      <c r="AH112" s="287"/>
    </row>
    <row r="113" spans="1:34" ht="13.5" customHeight="1" x14ac:dyDescent="0.25">
      <c r="A113" s="287"/>
      <c r="B113" s="287"/>
      <c r="C113" s="287"/>
      <c r="D113" s="287"/>
      <c r="E113" s="324"/>
      <c r="F113" s="324"/>
      <c r="G113" s="324"/>
      <c r="H113" s="324"/>
      <c r="I113" s="325"/>
      <c r="J113" s="325"/>
      <c r="K113" s="287"/>
      <c r="L113" s="318"/>
      <c r="M113" s="287"/>
      <c r="N113" s="287"/>
      <c r="O113" s="287"/>
      <c r="P113" s="287"/>
      <c r="Q113" s="287"/>
      <c r="R113" s="287"/>
      <c r="S113" s="287"/>
      <c r="T113" s="287"/>
      <c r="U113" s="287"/>
      <c r="V113" s="287"/>
      <c r="W113" s="287"/>
      <c r="X113" s="287"/>
      <c r="Y113" s="287"/>
      <c r="Z113" s="287"/>
      <c r="AA113" s="287"/>
      <c r="AB113" s="287"/>
      <c r="AC113" s="287"/>
      <c r="AD113" s="287"/>
      <c r="AE113" s="287"/>
      <c r="AF113" s="287"/>
      <c r="AG113" s="287"/>
      <c r="AH113" s="287"/>
    </row>
    <row r="114" spans="1:34" ht="13.5" customHeight="1" x14ac:dyDescent="0.25">
      <c r="A114" s="287"/>
      <c r="B114" s="287"/>
      <c r="C114" s="287"/>
      <c r="D114" s="287"/>
      <c r="E114" s="324"/>
      <c r="F114" s="324"/>
      <c r="G114" s="324"/>
      <c r="H114" s="324"/>
      <c r="I114" s="325"/>
      <c r="J114" s="325"/>
      <c r="K114" s="287"/>
      <c r="L114" s="318"/>
      <c r="M114" s="287"/>
      <c r="N114" s="287"/>
      <c r="O114" s="287"/>
      <c r="P114" s="287"/>
      <c r="Q114" s="287"/>
      <c r="R114" s="287"/>
      <c r="S114" s="287"/>
      <c r="T114" s="287"/>
      <c r="U114" s="287"/>
      <c r="V114" s="287"/>
      <c r="W114" s="287"/>
      <c r="X114" s="287"/>
      <c r="Y114" s="287"/>
      <c r="Z114" s="287"/>
      <c r="AA114" s="287"/>
      <c r="AB114" s="287"/>
      <c r="AC114" s="287"/>
      <c r="AD114" s="287"/>
      <c r="AE114" s="287"/>
      <c r="AF114" s="287"/>
      <c r="AG114" s="287"/>
      <c r="AH114" s="287"/>
    </row>
    <row r="115" spans="1:34" ht="13.5" customHeight="1" x14ac:dyDescent="0.25">
      <c r="A115" s="287"/>
      <c r="B115" s="287"/>
      <c r="C115" s="287"/>
      <c r="D115" s="287"/>
      <c r="E115" s="324"/>
      <c r="F115" s="324"/>
      <c r="G115" s="324"/>
      <c r="H115" s="324"/>
      <c r="I115" s="325"/>
      <c r="J115" s="325"/>
      <c r="K115" s="287"/>
      <c r="L115" s="318"/>
      <c r="M115" s="287"/>
      <c r="N115" s="287"/>
      <c r="O115" s="287"/>
      <c r="P115" s="287"/>
      <c r="Q115" s="287"/>
      <c r="R115" s="287"/>
      <c r="S115" s="287"/>
      <c r="T115" s="287"/>
      <c r="U115" s="287"/>
      <c r="V115" s="287"/>
      <c r="W115" s="287"/>
      <c r="X115" s="287"/>
      <c r="Y115" s="287"/>
      <c r="Z115" s="287"/>
      <c r="AA115" s="287"/>
      <c r="AB115" s="287"/>
      <c r="AC115" s="287"/>
      <c r="AD115" s="287"/>
      <c r="AE115" s="287"/>
      <c r="AF115" s="287"/>
      <c r="AG115" s="287"/>
      <c r="AH115" s="287"/>
    </row>
    <row r="116" spans="1:34" ht="13.5" customHeight="1" x14ac:dyDescent="0.25">
      <c r="A116" s="287"/>
      <c r="B116" s="287"/>
      <c r="C116" s="287"/>
      <c r="D116" s="287"/>
      <c r="E116" s="324"/>
      <c r="F116" s="324"/>
      <c r="G116" s="324"/>
      <c r="H116" s="324"/>
      <c r="I116" s="325"/>
      <c r="J116" s="325"/>
      <c r="K116" s="287"/>
      <c r="L116" s="318"/>
      <c r="M116" s="287"/>
      <c r="N116" s="287"/>
      <c r="O116" s="287"/>
      <c r="P116" s="287"/>
      <c r="Q116" s="287"/>
      <c r="R116" s="287"/>
      <c r="S116" s="287"/>
      <c r="T116" s="287"/>
      <c r="U116" s="287"/>
      <c r="V116" s="287"/>
      <c r="W116" s="287"/>
      <c r="X116" s="287"/>
      <c r="Y116" s="287"/>
      <c r="Z116" s="287"/>
      <c r="AA116" s="287"/>
      <c r="AB116" s="287"/>
      <c r="AC116" s="287"/>
      <c r="AD116" s="287"/>
      <c r="AE116" s="287"/>
      <c r="AF116" s="287"/>
      <c r="AG116" s="287"/>
      <c r="AH116" s="287"/>
    </row>
    <row r="117" spans="1:34" ht="13.5" customHeight="1" x14ac:dyDescent="0.25">
      <c r="A117" s="287"/>
      <c r="B117" s="287"/>
      <c r="C117" s="287"/>
      <c r="D117" s="287"/>
      <c r="E117" s="287"/>
      <c r="F117" s="287"/>
      <c r="G117" s="287"/>
      <c r="H117" s="287"/>
      <c r="I117" s="287"/>
      <c r="J117" s="287"/>
      <c r="K117" s="287"/>
      <c r="L117" s="318"/>
      <c r="M117" s="287"/>
      <c r="N117" s="287"/>
      <c r="O117" s="287"/>
      <c r="P117" s="287"/>
      <c r="Q117" s="287"/>
      <c r="R117" s="287"/>
      <c r="S117" s="287"/>
      <c r="T117" s="287"/>
      <c r="U117" s="287"/>
      <c r="V117" s="287"/>
      <c r="W117" s="287"/>
      <c r="X117" s="287"/>
      <c r="Y117" s="287"/>
      <c r="Z117" s="287"/>
      <c r="AA117" s="287"/>
      <c r="AB117" s="287"/>
      <c r="AC117" s="287"/>
      <c r="AD117" s="287"/>
      <c r="AE117" s="287"/>
      <c r="AF117" s="287"/>
      <c r="AG117" s="287"/>
      <c r="AH117" s="287"/>
    </row>
    <row r="118" spans="1:34" ht="13.5" customHeight="1" x14ac:dyDescent="0.25">
      <c r="A118" s="287"/>
      <c r="B118" s="287"/>
      <c r="C118" s="287"/>
      <c r="D118" s="287"/>
      <c r="E118" s="287"/>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E118" s="287"/>
      <c r="AF118" s="287"/>
      <c r="AG118" s="287"/>
      <c r="AH118" s="287"/>
    </row>
    <row r="119" spans="1:34" ht="13.5" customHeight="1" x14ac:dyDescent="0.35">
      <c r="A119" s="287"/>
      <c r="B119" s="307"/>
      <c r="C119" s="287"/>
      <c r="D119" s="326"/>
      <c r="E119" s="287"/>
      <c r="F119" s="287"/>
      <c r="G119" s="287"/>
      <c r="H119" s="327"/>
      <c r="I119" s="327"/>
      <c r="J119" s="327"/>
      <c r="K119" s="287"/>
      <c r="L119" s="287"/>
      <c r="M119" s="287"/>
      <c r="N119" s="287"/>
      <c r="O119" s="287"/>
      <c r="P119" s="287"/>
      <c r="Q119" s="287"/>
      <c r="R119" s="287"/>
      <c r="S119" s="287"/>
      <c r="T119" s="287"/>
      <c r="U119" s="287"/>
      <c r="V119" s="287"/>
      <c r="W119" s="287"/>
      <c r="X119" s="287"/>
      <c r="Y119" s="287"/>
      <c r="Z119" s="287"/>
      <c r="AA119" s="287"/>
      <c r="AB119" s="287"/>
      <c r="AC119" s="287"/>
      <c r="AD119" s="287"/>
      <c r="AE119" s="287"/>
      <c r="AF119" s="287"/>
      <c r="AG119" s="287"/>
      <c r="AH119" s="287"/>
    </row>
    <row r="120" spans="1:34" ht="13.5" customHeight="1" x14ac:dyDescent="0.25">
      <c r="A120" s="287"/>
      <c r="B120" s="287"/>
      <c r="C120" s="287"/>
      <c r="D120" s="287"/>
      <c r="E120" s="287"/>
      <c r="F120" s="287"/>
      <c r="G120" s="287"/>
      <c r="H120" s="327"/>
      <c r="I120" s="327"/>
      <c r="J120" s="327"/>
      <c r="K120" s="287"/>
      <c r="L120" s="287"/>
      <c r="M120" s="287"/>
      <c r="N120" s="287"/>
      <c r="O120" s="287"/>
      <c r="P120" s="287"/>
      <c r="Q120" s="287"/>
      <c r="R120" s="287"/>
      <c r="S120" s="287"/>
      <c r="T120" s="287"/>
      <c r="U120" s="287"/>
      <c r="V120" s="287"/>
      <c r="W120" s="287"/>
      <c r="X120" s="287"/>
      <c r="Y120" s="287"/>
      <c r="Z120" s="287"/>
      <c r="AA120" s="287"/>
      <c r="AB120" s="287"/>
      <c r="AC120" s="287"/>
      <c r="AD120" s="287"/>
      <c r="AE120" s="287"/>
      <c r="AF120" s="287"/>
      <c r="AG120" s="287"/>
      <c r="AH120" s="287"/>
    </row>
    <row r="121" spans="1:34" ht="13.5" customHeight="1" x14ac:dyDescent="0.3">
      <c r="A121" s="287"/>
      <c r="B121" s="287"/>
      <c r="C121" s="287"/>
      <c r="D121" s="317"/>
      <c r="E121" s="287"/>
      <c r="F121" s="287"/>
      <c r="G121" s="287"/>
      <c r="H121" s="327"/>
      <c r="I121" s="327"/>
      <c r="J121" s="327"/>
      <c r="K121" s="287"/>
      <c r="L121" s="287"/>
      <c r="M121" s="287"/>
      <c r="N121" s="287"/>
      <c r="O121" s="287"/>
      <c r="P121" s="287"/>
      <c r="Q121" s="287"/>
      <c r="R121" s="287"/>
      <c r="S121" s="287"/>
      <c r="T121" s="287"/>
      <c r="U121" s="308"/>
      <c r="V121" s="287"/>
      <c r="W121" s="287"/>
      <c r="X121" s="287"/>
      <c r="Y121" s="287"/>
      <c r="Z121" s="287"/>
      <c r="AA121" s="287"/>
      <c r="AB121" s="287"/>
      <c r="AC121" s="287"/>
      <c r="AD121" s="287"/>
      <c r="AE121" s="287"/>
      <c r="AF121" s="287"/>
      <c r="AG121" s="287"/>
      <c r="AH121" s="287"/>
    </row>
    <row r="122" spans="1:34" ht="13.5" customHeight="1" x14ac:dyDescent="0.3">
      <c r="A122" s="287"/>
      <c r="B122" s="287"/>
      <c r="C122" s="287"/>
      <c r="D122" s="308"/>
      <c r="E122" s="287"/>
      <c r="F122" s="287"/>
      <c r="G122" s="287"/>
      <c r="H122" s="327"/>
      <c r="I122" s="327"/>
      <c r="J122" s="327"/>
      <c r="K122" s="287"/>
      <c r="L122" s="287"/>
      <c r="M122" s="287"/>
      <c r="N122" s="287"/>
      <c r="O122" s="287"/>
      <c r="P122" s="287"/>
      <c r="Q122" s="287"/>
      <c r="R122" s="287"/>
      <c r="S122" s="287"/>
      <c r="T122" s="287"/>
      <c r="U122" s="308"/>
      <c r="V122" s="287"/>
      <c r="W122" s="287"/>
      <c r="X122" s="287"/>
      <c r="Y122" s="287"/>
      <c r="Z122" s="287"/>
      <c r="AA122" s="287"/>
      <c r="AB122" s="287"/>
      <c r="AC122" s="287"/>
      <c r="AD122" s="287"/>
      <c r="AE122" s="287"/>
      <c r="AF122" s="287"/>
      <c r="AG122" s="287"/>
      <c r="AH122" s="287"/>
    </row>
    <row r="123" spans="1:34" ht="13.5" customHeight="1" x14ac:dyDescent="0.25">
      <c r="A123" s="287"/>
      <c r="B123" s="287"/>
      <c r="C123" s="287"/>
      <c r="D123" s="287"/>
      <c r="E123" s="287"/>
      <c r="F123" s="287"/>
      <c r="G123" s="287"/>
      <c r="H123" s="327"/>
      <c r="I123" s="327"/>
      <c r="J123" s="327"/>
      <c r="K123" s="287"/>
      <c r="L123" s="287"/>
      <c r="M123" s="287"/>
      <c r="N123" s="287"/>
      <c r="O123" s="287"/>
      <c r="P123" s="287"/>
      <c r="Q123" s="287"/>
      <c r="R123" s="287"/>
      <c r="S123" s="287"/>
      <c r="T123" s="287"/>
      <c r="U123" s="287"/>
      <c r="V123" s="287"/>
      <c r="W123" s="287"/>
      <c r="X123" s="287"/>
      <c r="Y123" s="287"/>
      <c r="Z123" s="287"/>
      <c r="AA123" s="287"/>
      <c r="AB123" s="287"/>
      <c r="AC123" s="287"/>
      <c r="AD123" s="287"/>
      <c r="AE123" s="287"/>
      <c r="AF123" s="287"/>
      <c r="AG123" s="287"/>
      <c r="AH123" s="287"/>
    </row>
    <row r="124" spans="1:34" ht="13.5" customHeight="1" x14ac:dyDescent="0.3">
      <c r="A124" s="287"/>
      <c r="B124" s="287"/>
      <c r="C124" s="287"/>
      <c r="D124" s="317"/>
      <c r="E124" s="322"/>
      <c r="F124" s="322"/>
      <c r="G124" s="322"/>
      <c r="H124" s="322"/>
      <c r="I124" s="322"/>
      <c r="J124" s="322"/>
      <c r="K124" s="287"/>
      <c r="L124" s="310"/>
      <c r="M124" s="310"/>
      <c r="N124" s="310"/>
      <c r="O124" s="310"/>
      <c r="P124" s="310"/>
      <c r="Q124" s="310"/>
      <c r="R124" s="310"/>
      <c r="S124" s="310"/>
      <c r="T124" s="310"/>
      <c r="U124" s="310"/>
      <c r="V124" s="310"/>
      <c r="W124" s="310"/>
      <c r="X124" s="310"/>
      <c r="Y124" s="310"/>
      <c r="Z124" s="310"/>
      <c r="AA124" s="310"/>
      <c r="AB124" s="310"/>
      <c r="AC124" s="310"/>
      <c r="AD124" s="311"/>
      <c r="AE124" s="311"/>
      <c r="AF124" s="311"/>
      <c r="AG124" s="311"/>
      <c r="AH124" s="287"/>
    </row>
    <row r="125" spans="1:34" ht="13.5" customHeight="1" x14ac:dyDescent="0.25">
      <c r="A125" s="287"/>
      <c r="B125" s="287"/>
      <c r="C125" s="287"/>
      <c r="D125" s="287"/>
      <c r="E125" s="320"/>
      <c r="F125" s="320"/>
      <c r="G125" s="320"/>
      <c r="H125" s="320"/>
      <c r="I125" s="320"/>
      <c r="J125" s="320"/>
      <c r="K125" s="287"/>
      <c r="L125" s="246"/>
      <c r="M125" s="246"/>
      <c r="N125" s="246"/>
      <c r="O125" s="246"/>
      <c r="P125" s="246"/>
      <c r="Q125" s="246"/>
      <c r="R125" s="246"/>
      <c r="S125" s="246"/>
      <c r="T125" s="287"/>
      <c r="U125" s="328"/>
      <c r="V125" s="328"/>
      <c r="W125" s="328"/>
      <c r="X125" s="328"/>
      <c r="Y125" s="328"/>
      <c r="Z125" s="328"/>
      <c r="AA125" s="328"/>
      <c r="AB125" s="328"/>
      <c r="AC125" s="328"/>
      <c r="AD125" s="287"/>
      <c r="AE125" s="287"/>
      <c r="AF125" s="287"/>
      <c r="AG125" s="287"/>
      <c r="AH125" s="287"/>
    </row>
    <row r="126" spans="1:34" ht="13.5" customHeight="1" x14ac:dyDescent="0.25">
      <c r="A126" s="287"/>
      <c r="B126" s="287"/>
      <c r="C126" s="287"/>
      <c r="D126" s="287"/>
      <c r="E126" s="320"/>
      <c r="F126" s="320"/>
      <c r="G126" s="320"/>
      <c r="H126" s="320"/>
      <c r="I126" s="320"/>
      <c r="J126" s="320"/>
      <c r="K126" s="287"/>
      <c r="L126" s="246"/>
      <c r="M126" s="246"/>
      <c r="N126" s="246"/>
      <c r="O126" s="246"/>
      <c r="P126" s="246"/>
      <c r="Q126" s="246"/>
      <c r="R126" s="246"/>
      <c r="S126" s="246"/>
      <c r="T126" s="287"/>
      <c r="U126" s="328"/>
      <c r="V126" s="328"/>
      <c r="W126" s="328"/>
      <c r="X126" s="328"/>
      <c r="Y126" s="328"/>
      <c r="Z126" s="328"/>
      <c r="AA126" s="328"/>
      <c r="AB126" s="328"/>
      <c r="AC126" s="328"/>
      <c r="AD126" s="287"/>
      <c r="AE126" s="287"/>
      <c r="AF126" s="287"/>
      <c r="AG126" s="287"/>
      <c r="AH126" s="287"/>
    </row>
    <row r="127" spans="1:34" ht="13.5" customHeight="1" x14ac:dyDescent="0.25">
      <c r="A127" s="287"/>
      <c r="B127" s="287"/>
      <c r="C127" s="287"/>
      <c r="D127" s="287"/>
      <c r="E127" s="320"/>
      <c r="F127" s="320"/>
      <c r="G127" s="320"/>
      <c r="H127" s="320"/>
      <c r="I127" s="320"/>
      <c r="J127" s="320"/>
      <c r="K127" s="287"/>
      <c r="L127" s="246"/>
      <c r="M127" s="246"/>
      <c r="N127" s="246"/>
      <c r="O127" s="246"/>
      <c r="P127" s="246"/>
      <c r="Q127" s="246"/>
      <c r="R127" s="246"/>
      <c r="S127" s="246"/>
      <c r="T127" s="287"/>
      <c r="U127" s="328"/>
      <c r="V127" s="328"/>
      <c r="W127" s="328"/>
      <c r="X127" s="328"/>
      <c r="Y127" s="328"/>
      <c r="Z127" s="328"/>
      <c r="AA127" s="328"/>
      <c r="AB127" s="328"/>
      <c r="AC127" s="328"/>
      <c r="AD127" s="287"/>
      <c r="AE127" s="287"/>
      <c r="AF127" s="287"/>
      <c r="AG127" s="287"/>
      <c r="AH127" s="287"/>
    </row>
    <row r="128" spans="1:34" ht="13.5" customHeight="1" x14ac:dyDescent="0.25">
      <c r="A128" s="287"/>
      <c r="B128" s="287"/>
      <c r="C128" s="287"/>
      <c r="D128" s="287"/>
      <c r="E128" s="320"/>
      <c r="F128" s="320"/>
      <c r="G128" s="320"/>
      <c r="H128" s="320"/>
      <c r="I128" s="320"/>
      <c r="J128" s="320"/>
      <c r="K128" s="287"/>
      <c r="L128" s="246"/>
      <c r="M128" s="246"/>
      <c r="N128" s="246"/>
      <c r="O128" s="246"/>
      <c r="P128" s="246"/>
      <c r="Q128" s="246"/>
      <c r="R128" s="246"/>
      <c r="S128" s="246"/>
      <c r="T128" s="287"/>
      <c r="U128" s="328"/>
      <c r="V128" s="328"/>
      <c r="W128" s="328"/>
      <c r="X128" s="328"/>
      <c r="Y128" s="328"/>
      <c r="Z128" s="328"/>
      <c r="AA128" s="328"/>
      <c r="AB128" s="328"/>
      <c r="AC128" s="328"/>
      <c r="AD128" s="287"/>
      <c r="AE128" s="287"/>
      <c r="AF128" s="287"/>
      <c r="AG128" s="287"/>
      <c r="AH128" s="287"/>
    </row>
    <row r="129" spans="1:34" ht="13.5" customHeight="1" x14ac:dyDescent="0.25">
      <c r="A129" s="287"/>
      <c r="B129" s="287"/>
      <c r="C129" s="287"/>
      <c r="D129" s="287"/>
      <c r="E129" s="320"/>
      <c r="F129" s="320"/>
      <c r="G129" s="320"/>
      <c r="H129" s="320"/>
      <c r="I129" s="320"/>
      <c r="J129" s="320"/>
      <c r="K129" s="287"/>
      <c r="L129" s="246"/>
      <c r="M129" s="246"/>
      <c r="N129" s="246"/>
      <c r="O129" s="246"/>
      <c r="P129" s="246"/>
      <c r="Q129" s="246"/>
      <c r="R129" s="246"/>
      <c r="S129" s="246"/>
      <c r="T129" s="287"/>
      <c r="U129" s="328"/>
      <c r="V129" s="328"/>
      <c r="W129" s="328"/>
      <c r="X129" s="328"/>
      <c r="Y129" s="328"/>
      <c r="Z129" s="328"/>
      <c r="AA129" s="328"/>
      <c r="AB129" s="328"/>
      <c r="AC129" s="328"/>
      <c r="AD129" s="312"/>
      <c r="AE129" s="287"/>
      <c r="AF129" s="287"/>
      <c r="AG129" s="287"/>
      <c r="AH129" s="287"/>
    </row>
    <row r="130" spans="1:34" ht="13.5" customHeight="1" x14ac:dyDescent="0.25">
      <c r="A130" s="287"/>
      <c r="B130" s="287"/>
      <c r="C130" s="287"/>
      <c r="D130" s="287"/>
      <c r="E130" s="320"/>
      <c r="F130" s="320"/>
      <c r="G130" s="320"/>
      <c r="H130" s="320"/>
      <c r="I130" s="320"/>
      <c r="J130" s="320"/>
      <c r="K130" s="287"/>
      <c r="L130" s="246"/>
      <c r="M130" s="246"/>
      <c r="N130" s="246"/>
      <c r="O130" s="246"/>
      <c r="P130" s="246"/>
      <c r="Q130" s="246"/>
      <c r="R130" s="246"/>
      <c r="S130" s="246"/>
      <c r="T130" s="287"/>
      <c r="U130" s="328"/>
      <c r="V130" s="328"/>
      <c r="W130" s="328"/>
      <c r="X130" s="328"/>
      <c r="Y130" s="328"/>
      <c r="Z130" s="328"/>
      <c r="AA130" s="328"/>
      <c r="AB130" s="328"/>
      <c r="AC130" s="328"/>
      <c r="AD130" s="287"/>
      <c r="AE130" s="287"/>
      <c r="AF130" s="287"/>
      <c r="AG130" s="287"/>
      <c r="AH130" s="287"/>
    </row>
    <row r="131" spans="1:34" ht="13.5" customHeight="1" x14ac:dyDescent="0.25">
      <c r="A131" s="287"/>
      <c r="B131" s="287"/>
      <c r="C131" s="287"/>
      <c r="D131" s="287"/>
      <c r="E131" s="320"/>
      <c r="F131" s="320"/>
      <c r="G131" s="320"/>
      <c r="H131" s="320"/>
      <c r="I131" s="320"/>
      <c r="J131" s="320"/>
      <c r="K131" s="287"/>
      <c r="L131" s="246"/>
      <c r="M131" s="246"/>
      <c r="N131" s="246"/>
      <c r="O131" s="246"/>
      <c r="P131" s="246"/>
      <c r="Q131" s="246"/>
      <c r="R131" s="246"/>
      <c r="S131" s="246"/>
      <c r="T131" s="287"/>
      <c r="U131" s="328"/>
      <c r="V131" s="328"/>
      <c r="W131" s="328"/>
      <c r="X131" s="328"/>
      <c r="Y131" s="328"/>
      <c r="Z131" s="328"/>
      <c r="AA131" s="328"/>
      <c r="AB131" s="328"/>
      <c r="AC131" s="328"/>
      <c r="AD131" s="287"/>
      <c r="AE131" s="287"/>
      <c r="AF131" s="287"/>
      <c r="AG131" s="287"/>
      <c r="AH131" s="287"/>
    </row>
    <row r="132" spans="1:34" ht="13.5" customHeight="1" x14ac:dyDescent="0.25">
      <c r="A132" s="287"/>
      <c r="B132" s="287"/>
      <c r="C132" s="287"/>
      <c r="D132" s="287"/>
      <c r="E132" s="320"/>
      <c r="F132" s="320"/>
      <c r="G132" s="320"/>
      <c r="H132" s="320"/>
      <c r="I132" s="320"/>
      <c r="J132" s="320"/>
      <c r="K132" s="287"/>
      <c r="L132" s="246"/>
      <c r="M132" s="246"/>
      <c r="N132" s="246"/>
      <c r="O132" s="246"/>
      <c r="P132" s="246"/>
      <c r="Q132" s="246"/>
      <c r="R132" s="246"/>
      <c r="S132" s="246"/>
      <c r="T132" s="287"/>
      <c r="U132" s="328"/>
      <c r="V132" s="328"/>
      <c r="W132" s="328"/>
      <c r="X132" s="328"/>
      <c r="Y132" s="328"/>
      <c r="Z132" s="328"/>
      <c r="AA132" s="328"/>
      <c r="AB132" s="328"/>
      <c r="AC132" s="328"/>
      <c r="AD132" s="287"/>
      <c r="AE132" s="287"/>
      <c r="AF132" s="287"/>
      <c r="AG132" s="287"/>
      <c r="AH132" s="287"/>
    </row>
    <row r="133" spans="1:34" ht="13.5" customHeight="1" x14ac:dyDescent="0.25">
      <c r="A133" s="287"/>
      <c r="B133" s="287"/>
      <c r="C133" s="287"/>
      <c r="D133" s="287"/>
      <c r="E133" s="320"/>
      <c r="F133" s="320"/>
      <c r="G133" s="320"/>
      <c r="H133" s="320"/>
      <c r="I133" s="320"/>
      <c r="J133" s="320"/>
      <c r="K133" s="287"/>
      <c r="L133" s="246"/>
      <c r="M133" s="246"/>
      <c r="N133" s="246"/>
      <c r="O133" s="246"/>
      <c r="P133" s="246"/>
      <c r="Q133" s="246"/>
      <c r="R133" s="246"/>
      <c r="S133" s="246"/>
      <c r="T133" s="287"/>
      <c r="U133" s="328"/>
      <c r="V133" s="328"/>
      <c r="W133" s="328"/>
      <c r="X133" s="328"/>
      <c r="Y133" s="328"/>
      <c r="Z133" s="328"/>
      <c r="AA133" s="328"/>
      <c r="AB133" s="328"/>
      <c r="AC133" s="328"/>
      <c r="AD133" s="287"/>
      <c r="AE133" s="287"/>
      <c r="AF133" s="287"/>
      <c r="AG133" s="287"/>
      <c r="AH133" s="287"/>
    </row>
    <row r="134" spans="1:34" ht="13.5" customHeight="1" x14ac:dyDescent="0.25">
      <c r="A134" s="287"/>
      <c r="B134" s="287"/>
      <c r="C134" s="287"/>
      <c r="D134" s="287"/>
      <c r="E134" s="320"/>
      <c r="F134" s="320"/>
      <c r="G134" s="320"/>
      <c r="H134" s="320"/>
      <c r="I134" s="320"/>
      <c r="J134" s="320"/>
      <c r="K134" s="287"/>
      <c r="L134" s="246"/>
      <c r="M134" s="246"/>
      <c r="N134" s="246"/>
      <c r="O134" s="246"/>
      <c r="P134" s="246"/>
      <c r="Q134" s="246"/>
      <c r="R134" s="246"/>
      <c r="S134" s="246"/>
      <c r="T134" s="287"/>
      <c r="U134" s="328"/>
      <c r="V134" s="328"/>
      <c r="W134" s="328"/>
      <c r="X134" s="328"/>
      <c r="Y134" s="328"/>
      <c r="Z134" s="328"/>
      <c r="AA134" s="328"/>
      <c r="AB134" s="328"/>
      <c r="AC134" s="328"/>
      <c r="AD134" s="287"/>
      <c r="AE134" s="287"/>
      <c r="AF134" s="287"/>
      <c r="AG134" s="287"/>
      <c r="AH134" s="287"/>
    </row>
    <row r="135" spans="1:34" ht="13.5" customHeight="1" x14ac:dyDescent="0.25">
      <c r="A135" s="287"/>
      <c r="B135" s="287"/>
      <c r="C135" s="287"/>
      <c r="D135" s="287"/>
      <c r="E135" s="320"/>
      <c r="F135" s="320"/>
      <c r="G135" s="320"/>
      <c r="H135" s="320"/>
      <c r="I135" s="320"/>
      <c r="J135" s="320"/>
      <c r="K135" s="287"/>
      <c r="L135" s="246"/>
      <c r="M135" s="246"/>
      <c r="N135" s="246"/>
      <c r="O135" s="246"/>
      <c r="P135" s="246"/>
      <c r="Q135" s="246"/>
      <c r="R135" s="246"/>
      <c r="S135" s="246"/>
      <c r="T135" s="287"/>
      <c r="U135" s="328"/>
      <c r="V135" s="328"/>
      <c r="W135" s="328"/>
      <c r="X135" s="328"/>
      <c r="Y135" s="328"/>
      <c r="Z135" s="328"/>
      <c r="AA135" s="328"/>
      <c r="AB135" s="328"/>
      <c r="AC135" s="328"/>
      <c r="AD135" s="287"/>
      <c r="AE135" s="287"/>
      <c r="AF135" s="287"/>
      <c r="AG135" s="287"/>
      <c r="AH135" s="287"/>
    </row>
    <row r="136" spans="1:34" ht="13.5" customHeight="1" x14ac:dyDescent="0.25">
      <c r="A136" s="287"/>
      <c r="B136" s="287"/>
      <c r="C136" s="287"/>
      <c r="D136" s="287"/>
      <c r="E136" s="320"/>
      <c r="F136" s="320"/>
      <c r="G136" s="320"/>
      <c r="H136" s="320"/>
      <c r="I136" s="320"/>
      <c r="J136" s="320"/>
      <c r="K136" s="287"/>
      <c r="L136" s="246"/>
      <c r="M136" s="246"/>
      <c r="N136" s="246"/>
      <c r="O136" s="246"/>
      <c r="P136" s="246"/>
      <c r="Q136" s="246"/>
      <c r="R136" s="246"/>
      <c r="S136" s="246"/>
      <c r="T136" s="287"/>
      <c r="U136" s="328"/>
      <c r="V136" s="328"/>
      <c r="W136" s="328"/>
      <c r="X136" s="328"/>
      <c r="Y136" s="328"/>
      <c r="Z136" s="328"/>
      <c r="AA136" s="328"/>
      <c r="AB136" s="328"/>
      <c r="AC136" s="328"/>
      <c r="AD136" s="287"/>
      <c r="AE136" s="287"/>
      <c r="AF136" s="287"/>
      <c r="AG136" s="287"/>
      <c r="AH136" s="287"/>
    </row>
    <row r="137" spans="1:34" ht="13.5" customHeight="1" x14ac:dyDescent="0.25">
      <c r="A137" s="287"/>
      <c r="B137" s="287"/>
      <c r="C137" s="287"/>
      <c r="D137" s="287"/>
      <c r="E137" s="320"/>
      <c r="F137" s="320"/>
      <c r="G137" s="320"/>
      <c r="H137" s="320"/>
      <c r="I137" s="320"/>
      <c r="J137" s="320"/>
      <c r="K137" s="287"/>
      <c r="L137" s="246"/>
      <c r="M137" s="246"/>
      <c r="N137" s="246"/>
      <c r="O137" s="246"/>
      <c r="P137" s="246"/>
      <c r="Q137" s="246"/>
      <c r="R137" s="246"/>
      <c r="S137" s="246"/>
      <c r="T137" s="287"/>
      <c r="U137" s="328"/>
      <c r="V137" s="328"/>
      <c r="W137" s="328"/>
      <c r="X137" s="328"/>
      <c r="Y137" s="328"/>
      <c r="Z137" s="328"/>
      <c r="AA137" s="328"/>
      <c r="AB137" s="328"/>
      <c r="AC137" s="328"/>
      <c r="AD137" s="287"/>
      <c r="AE137" s="287"/>
      <c r="AF137" s="287"/>
      <c r="AG137" s="287"/>
      <c r="AH137" s="287"/>
    </row>
    <row r="138" spans="1:34" ht="13.5" customHeight="1" x14ac:dyDescent="0.25">
      <c r="A138" s="287"/>
      <c r="B138" s="287"/>
      <c r="C138" s="287"/>
      <c r="D138" s="287"/>
      <c r="E138" s="320"/>
      <c r="F138" s="320"/>
      <c r="G138" s="320"/>
      <c r="H138" s="320"/>
      <c r="I138" s="320"/>
      <c r="J138" s="320"/>
      <c r="K138" s="287"/>
      <c r="L138" s="246"/>
      <c r="M138" s="246"/>
      <c r="N138" s="246"/>
      <c r="O138" s="246"/>
      <c r="P138" s="246"/>
      <c r="Q138" s="246"/>
      <c r="R138" s="246"/>
      <c r="S138" s="246"/>
      <c r="T138" s="287"/>
      <c r="U138" s="328"/>
      <c r="V138" s="328"/>
      <c r="W138" s="328"/>
      <c r="X138" s="328"/>
      <c r="Y138" s="328"/>
      <c r="Z138" s="328"/>
      <c r="AA138" s="328"/>
      <c r="AB138" s="328"/>
      <c r="AC138" s="328"/>
      <c r="AD138" s="287"/>
      <c r="AE138" s="287"/>
      <c r="AF138" s="287"/>
      <c r="AG138" s="287"/>
      <c r="AH138" s="287"/>
    </row>
    <row r="139" spans="1:34" ht="13.5" customHeight="1" x14ac:dyDescent="0.25">
      <c r="A139" s="287"/>
      <c r="B139" s="287"/>
      <c r="C139" s="287"/>
      <c r="D139" s="287"/>
      <c r="E139" s="320"/>
      <c r="F139" s="320"/>
      <c r="G139" s="320"/>
      <c r="H139" s="320"/>
      <c r="I139" s="320"/>
      <c r="J139" s="320"/>
      <c r="K139" s="287"/>
      <c r="L139" s="246"/>
      <c r="M139" s="246"/>
      <c r="N139" s="246"/>
      <c r="O139" s="246"/>
      <c r="P139" s="246"/>
      <c r="Q139" s="246"/>
      <c r="R139" s="246"/>
      <c r="S139" s="246"/>
      <c r="T139" s="287"/>
      <c r="U139" s="328"/>
      <c r="V139" s="328"/>
      <c r="W139" s="328"/>
      <c r="X139" s="328"/>
      <c r="Y139" s="328"/>
      <c r="Z139" s="328"/>
      <c r="AA139" s="328"/>
      <c r="AB139" s="328"/>
      <c r="AC139" s="328"/>
      <c r="AD139" s="287"/>
      <c r="AE139" s="287"/>
      <c r="AF139" s="287"/>
      <c r="AG139" s="287"/>
      <c r="AH139" s="287"/>
    </row>
    <row r="140" spans="1:34" ht="13.5" customHeight="1" x14ac:dyDescent="0.25">
      <c r="A140" s="287"/>
      <c r="B140" s="287"/>
      <c r="C140" s="287"/>
      <c r="D140" s="287"/>
      <c r="E140" s="320"/>
      <c r="F140" s="320"/>
      <c r="G140" s="320"/>
      <c r="H140" s="320"/>
      <c r="I140" s="320"/>
      <c r="J140" s="320"/>
      <c r="K140" s="287"/>
      <c r="L140" s="246"/>
      <c r="M140" s="246"/>
      <c r="N140" s="246"/>
      <c r="O140" s="246"/>
      <c r="P140" s="246"/>
      <c r="Q140" s="246"/>
      <c r="R140" s="246"/>
      <c r="S140" s="246"/>
      <c r="T140" s="287"/>
      <c r="U140" s="328"/>
      <c r="V140" s="328"/>
      <c r="W140" s="328"/>
      <c r="X140" s="328"/>
      <c r="Y140" s="328"/>
      <c r="Z140" s="328"/>
      <c r="AA140" s="328"/>
      <c r="AB140" s="328"/>
      <c r="AC140" s="328"/>
      <c r="AD140" s="287"/>
      <c r="AE140" s="287"/>
      <c r="AF140" s="287"/>
      <c r="AG140" s="287"/>
      <c r="AH140" s="287"/>
    </row>
    <row r="141" spans="1:34" ht="13.5" customHeight="1" x14ac:dyDescent="0.25">
      <c r="A141" s="287"/>
      <c r="B141" s="287"/>
      <c r="C141" s="287"/>
      <c r="D141" s="287"/>
      <c r="E141" s="320"/>
      <c r="F141" s="320"/>
      <c r="G141" s="320"/>
      <c r="H141" s="320"/>
      <c r="I141" s="320"/>
      <c r="J141" s="320"/>
      <c r="K141" s="287"/>
      <c r="L141" s="246"/>
      <c r="M141" s="246"/>
      <c r="N141" s="246"/>
      <c r="O141" s="246"/>
      <c r="P141" s="246"/>
      <c r="Q141" s="246"/>
      <c r="R141" s="246"/>
      <c r="S141" s="246"/>
      <c r="T141" s="287"/>
      <c r="U141" s="328"/>
      <c r="V141" s="328"/>
      <c r="W141" s="328"/>
      <c r="X141" s="328"/>
      <c r="Y141" s="328"/>
      <c r="Z141" s="328"/>
      <c r="AA141" s="328"/>
      <c r="AB141" s="328"/>
      <c r="AC141" s="328"/>
      <c r="AD141" s="287"/>
      <c r="AE141" s="287"/>
      <c r="AF141" s="287"/>
      <c r="AG141" s="287"/>
      <c r="AH141" s="287"/>
    </row>
    <row r="142" spans="1:34" ht="13.5" customHeight="1" x14ac:dyDescent="0.25">
      <c r="A142" s="287"/>
      <c r="B142" s="287"/>
      <c r="C142" s="287"/>
      <c r="D142" s="287"/>
      <c r="E142" s="320"/>
      <c r="F142" s="320"/>
      <c r="G142" s="320"/>
      <c r="H142" s="320"/>
      <c r="I142" s="320"/>
      <c r="J142" s="320"/>
      <c r="K142" s="287"/>
      <c r="L142" s="246"/>
      <c r="M142" s="246"/>
      <c r="N142" s="246"/>
      <c r="O142" s="246"/>
      <c r="P142" s="246"/>
      <c r="Q142" s="246"/>
      <c r="R142" s="246"/>
      <c r="S142" s="246"/>
      <c r="T142" s="287"/>
      <c r="U142" s="328"/>
      <c r="V142" s="328"/>
      <c r="W142" s="328"/>
      <c r="X142" s="328"/>
      <c r="Y142" s="328"/>
      <c r="Z142" s="328"/>
      <c r="AA142" s="328"/>
      <c r="AB142" s="328"/>
      <c r="AC142" s="328"/>
      <c r="AD142" s="287"/>
      <c r="AE142" s="287"/>
      <c r="AF142" s="287"/>
      <c r="AG142" s="287"/>
      <c r="AH142" s="287"/>
    </row>
    <row r="143" spans="1:34" ht="13.5" customHeight="1" x14ac:dyDescent="0.25">
      <c r="A143" s="287"/>
      <c r="B143" s="287"/>
      <c r="C143" s="287"/>
      <c r="D143" s="287"/>
      <c r="E143" s="320"/>
      <c r="F143" s="320"/>
      <c r="G143" s="320"/>
      <c r="H143" s="320"/>
      <c r="I143" s="320"/>
      <c r="J143" s="320"/>
      <c r="K143" s="287"/>
      <c r="L143" s="246"/>
      <c r="M143" s="246"/>
      <c r="N143" s="246"/>
      <c r="O143" s="246"/>
      <c r="P143" s="246"/>
      <c r="Q143" s="246"/>
      <c r="R143" s="246"/>
      <c r="S143" s="246"/>
      <c r="T143" s="287"/>
      <c r="U143" s="328"/>
      <c r="V143" s="328"/>
      <c r="W143" s="328"/>
      <c r="X143" s="328"/>
      <c r="Y143" s="328"/>
      <c r="Z143" s="328"/>
      <c r="AA143" s="328"/>
      <c r="AB143" s="328"/>
      <c r="AC143" s="328"/>
      <c r="AD143" s="287"/>
      <c r="AE143" s="287"/>
      <c r="AF143" s="287"/>
      <c r="AG143" s="287"/>
      <c r="AH143" s="287"/>
    </row>
    <row r="144" spans="1:34" ht="13.5" customHeight="1" x14ac:dyDescent="0.25">
      <c r="A144" s="287"/>
      <c r="B144" s="287"/>
      <c r="C144" s="287"/>
      <c r="D144" s="287"/>
      <c r="E144" s="320"/>
      <c r="F144" s="320"/>
      <c r="G144" s="320"/>
      <c r="H144" s="320"/>
      <c r="I144" s="320"/>
      <c r="J144" s="320"/>
      <c r="K144" s="287"/>
      <c r="L144" s="246"/>
      <c r="M144" s="246"/>
      <c r="N144" s="246"/>
      <c r="O144" s="246"/>
      <c r="P144" s="246"/>
      <c r="Q144" s="246"/>
      <c r="R144" s="246"/>
      <c r="S144" s="246"/>
      <c r="T144" s="287"/>
      <c r="U144" s="328"/>
      <c r="V144" s="328"/>
      <c r="W144" s="328"/>
      <c r="X144" s="328"/>
      <c r="Y144" s="328"/>
      <c r="Z144" s="328"/>
      <c r="AA144" s="328"/>
      <c r="AB144" s="328"/>
      <c r="AC144" s="328"/>
      <c r="AD144" s="287"/>
      <c r="AE144" s="287"/>
      <c r="AF144" s="287"/>
      <c r="AG144" s="287"/>
      <c r="AH144" s="287"/>
    </row>
    <row r="145" spans="1:34" ht="13.5" customHeight="1" x14ac:dyDescent="0.25">
      <c r="A145" s="287"/>
      <c r="B145" s="287"/>
      <c r="C145" s="287"/>
      <c r="D145" s="287"/>
      <c r="E145" s="327"/>
      <c r="F145" s="327"/>
      <c r="G145" s="327"/>
      <c r="H145" s="327"/>
      <c r="I145" s="327"/>
      <c r="J145" s="327"/>
      <c r="K145" s="287"/>
      <c r="L145" s="318"/>
      <c r="M145" s="287"/>
      <c r="N145" s="287"/>
      <c r="O145" s="287"/>
      <c r="P145" s="287"/>
      <c r="Q145" s="287"/>
      <c r="R145" s="287"/>
      <c r="S145" s="287"/>
      <c r="T145" s="287"/>
      <c r="U145" s="287"/>
      <c r="V145" s="287"/>
      <c r="W145" s="287"/>
      <c r="X145" s="287"/>
      <c r="Y145" s="287"/>
      <c r="Z145" s="287"/>
      <c r="AA145" s="287"/>
      <c r="AB145" s="287"/>
      <c r="AC145" s="287"/>
      <c r="AD145" s="287"/>
      <c r="AE145" s="287"/>
      <c r="AF145" s="287"/>
      <c r="AG145" s="287"/>
      <c r="AH145" s="287"/>
    </row>
    <row r="146" spans="1:34" ht="13.5" customHeight="1" x14ac:dyDescent="0.25">
      <c r="A146" s="287"/>
      <c r="B146" s="287"/>
      <c r="C146" s="287"/>
      <c r="D146" s="287"/>
      <c r="E146" s="327"/>
      <c r="F146" s="327"/>
      <c r="G146" s="327"/>
      <c r="H146" s="327"/>
      <c r="I146" s="327"/>
      <c r="J146" s="327"/>
      <c r="K146" s="287"/>
      <c r="L146" s="318"/>
      <c r="M146" s="287"/>
      <c r="N146" s="287"/>
      <c r="O146" s="287"/>
      <c r="P146" s="287"/>
      <c r="Q146" s="287"/>
      <c r="R146" s="287"/>
      <c r="S146" s="287"/>
      <c r="T146" s="287"/>
      <c r="U146" s="287"/>
      <c r="V146" s="287"/>
      <c r="W146" s="287"/>
      <c r="X146" s="287"/>
      <c r="Y146" s="287"/>
      <c r="Z146" s="287"/>
      <c r="AA146" s="287"/>
      <c r="AB146" s="287"/>
      <c r="AC146" s="287"/>
      <c r="AD146" s="287"/>
      <c r="AE146" s="287"/>
      <c r="AF146" s="287"/>
      <c r="AG146" s="287"/>
      <c r="AH146" s="287"/>
    </row>
    <row r="147" spans="1:34" ht="13.5" customHeight="1" x14ac:dyDescent="0.25">
      <c r="A147" s="287"/>
      <c r="B147" s="287"/>
      <c r="C147" s="287"/>
      <c r="D147" s="287"/>
      <c r="E147" s="287"/>
      <c r="F147" s="287"/>
      <c r="G147" s="287"/>
      <c r="H147" s="287"/>
      <c r="I147" s="287"/>
      <c r="J147" s="287"/>
      <c r="K147" s="287"/>
      <c r="L147" s="318"/>
      <c r="M147" s="287"/>
      <c r="N147" s="287"/>
      <c r="O147" s="287"/>
      <c r="P147" s="287"/>
      <c r="Q147" s="287"/>
      <c r="R147" s="287"/>
      <c r="S147" s="287"/>
      <c r="T147" s="287"/>
      <c r="U147" s="287"/>
      <c r="V147" s="287"/>
      <c r="W147" s="287"/>
      <c r="X147" s="287"/>
      <c r="Y147" s="287"/>
      <c r="Z147" s="287"/>
      <c r="AA147" s="287"/>
      <c r="AB147" s="287"/>
      <c r="AC147" s="287"/>
      <c r="AD147" s="287"/>
      <c r="AE147" s="287"/>
      <c r="AF147" s="287"/>
      <c r="AG147" s="287"/>
      <c r="AH147" s="287"/>
    </row>
    <row r="148" spans="1:34" ht="13.5" customHeight="1" x14ac:dyDescent="0.3">
      <c r="A148" s="287"/>
      <c r="B148" s="287"/>
      <c r="C148" s="287"/>
      <c r="D148" s="317"/>
      <c r="E148" s="322"/>
      <c r="F148" s="322"/>
      <c r="G148" s="322"/>
      <c r="H148" s="322"/>
      <c r="I148" s="322"/>
      <c r="J148" s="322"/>
      <c r="K148" s="287"/>
      <c r="L148" s="318"/>
      <c r="M148" s="287"/>
      <c r="N148" s="287"/>
      <c r="O148" s="287"/>
      <c r="P148" s="287"/>
      <c r="Q148" s="287"/>
      <c r="R148" s="287"/>
      <c r="S148" s="287"/>
      <c r="T148" s="287"/>
      <c r="U148" s="287"/>
      <c r="V148" s="287"/>
      <c r="W148" s="287"/>
      <c r="X148" s="287"/>
      <c r="Y148" s="287"/>
      <c r="Z148" s="287"/>
      <c r="AA148" s="287"/>
      <c r="AB148" s="287"/>
      <c r="AC148" s="287"/>
      <c r="AD148" s="287"/>
      <c r="AE148" s="287"/>
      <c r="AF148" s="287"/>
      <c r="AG148" s="287"/>
      <c r="AH148" s="287"/>
    </row>
    <row r="149" spans="1:34" ht="13.5" customHeight="1" x14ac:dyDescent="0.25">
      <c r="A149" s="287"/>
      <c r="B149" s="287"/>
      <c r="C149" s="287"/>
      <c r="D149" s="287"/>
      <c r="E149" s="320"/>
      <c r="F149" s="320"/>
      <c r="G149" s="320"/>
      <c r="H149" s="320"/>
      <c r="I149" s="320"/>
      <c r="J149" s="320"/>
      <c r="K149" s="287"/>
      <c r="L149" s="318"/>
      <c r="M149" s="287"/>
      <c r="N149" s="287"/>
      <c r="O149" s="287"/>
      <c r="P149" s="287"/>
      <c r="Q149" s="287"/>
      <c r="R149" s="287"/>
      <c r="S149" s="287"/>
      <c r="T149" s="287"/>
      <c r="U149" s="287"/>
      <c r="V149" s="287"/>
      <c r="W149" s="287"/>
      <c r="X149" s="287"/>
      <c r="Y149" s="287"/>
      <c r="Z149" s="287"/>
      <c r="AA149" s="287"/>
      <c r="AB149" s="287"/>
      <c r="AC149" s="287"/>
      <c r="AD149" s="287"/>
      <c r="AE149" s="287"/>
      <c r="AF149" s="287"/>
      <c r="AG149" s="287"/>
      <c r="AH149" s="287"/>
    </row>
    <row r="150" spans="1:34" ht="13.5" customHeight="1" x14ac:dyDescent="0.25">
      <c r="A150" s="287"/>
      <c r="B150" s="287"/>
      <c r="C150" s="287"/>
      <c r="D150" s="287"/>
      <c r="E150" s="320"/>
      <c r="F150" s="320"/>
      <c r="G150" s="320"/>
      <c r="H150" s="320"/>
      <c r="I150" s="320"/>
      <c r="J150" s="320"/>
      <c r="K150" s="287"/>
      <c r="L150" s="318"/>
      <c r="M150" s="287"/>
      <c r="N150" s="287"/>
      <c r="O150" s="287"/>
      <c r="P150" s="287"/>
      <c r="Q150" s="287"/>
      <c r="R150" s="287"/>
      <c r="S150" s="287"/>
      <c r="T150" s="287"/>
      <c r="U150" s="287"/>
      <c r="V150" s="287"/>
      <c r="W150" s="287"/>
      <c r="X150" s="287"/>
      <c r="Y150" s="287"/>
      <c r="Z150" s="287"/>
      <c r="AA150" s="287"/>
      <c r="AB150" s="287"/>
      <c r="AC150" s="287"/>
      <c r="AD150" s="287"/>
      <c r="AE150" s="287"/>
      <c r="AF150" s="287"/>
      <c r="AG150" s="287"/>
      <c r="AH150" s="287"/>
    </row>
    <row r="151" spans="1:34" ht="13.5" customHeight="1" x14ac:dyDescent="0.25">
      <c r="A151" s="287"/>
      <c r="B151" s="287"/>
      <c r="C151" s="287"/>
      <c r="D151" s="287"/>
      <c r="E151" s="320"/>
      <c r="F151" s="320"/>
      <c r="G151" s="320"/>
      <c r="H151" s="320"/>
      <c r="I151" s="320"/>
      <c r="J151" s="320"/>
      <c r="K151" s="287"/>
      <c r="L151" s="318"/>
      <c r="M151" s="287"/>
      <c r="N151" s="287"/>
      <c r="O151" s="287"/>
      <c r="P151" s="287"/>
      <c r="Q151" s="287"/>
      <c r="R151" s="287"/>
      <c r="S151" s="287"/>
      <c r="T151" s="287"/>
      <c r="U151" s="287"/>
      <c r="V151" s="287"/>
      <c r="W151" s="287"/>
      <c r="X151" s="287"/>
      <c r="Y151" s="287"/>
      <c r="Z151" s="287"/>
      <c r="AA151" s="287"/>
      <c r="AB151" s="287"/>
      <c r="AC151" s="287"/>
      <c r="AD151" s="287"/>
      <c r="AE151" s="287"/>
      <c r="AF151" s="287"/>
      <c r="AG151" s="287"/>
      <c r="AH151" s="287"/>
    </row>
    <row r="152" spans="1:34" ht="13.5" customHeight="1" x14ac:dyDescent="0.25">
      <c r="A152" s="287"/>
      <c r="B152" s="287"/>
      <c r="C152" s="287"/>
      <c r="D152" s="287"/>
      <c r="E152" s="320"/>
      <c r="F152" s="320"/>
      <c r="G152" s="320"/>
      <c r="H152" s="320"/>
      <c r="I152" s="320"/>
      <c r="J152" s="320"/>
      <c r="K152" s="287"/>
      <c r="L152" s="318"/>
      <c r="M152" s="287"/>
      <c r="N152" s="287"/>
      <c r="O152" s="287"/>
      <c r="P152" s="287"/>
      <c r="Q152" s="287"/>
      <c r="R152" s="287"/>
      <c r="S152" s="287"/>
      <c r="T152" s="287"/>
      <c r="U152" s="287"/>
      <c r="V152" s="287"/>
      <c r="W152" s="287"/>
      <c r="X152" s="287"/>
      <c r="Y152" s="287"/>
      <c r="Z152" s="287"/>
      <c r="AA152" s="287"/>
      <c r="AB152" s="287"/>
      <c r="AC152" s="287"/>
      <c r="AD152" s="287"/>
      <c r="AE152" s="287"/>
      <c r="AF152" s="287"/>
      <c r="AG152" s="287"/>
      <c r="AH152" s="287"/>
    </row>
    <row r="153" spans="1:34" ht="13.5" customHeight="1" x14ac:dyDescent="0.25">
      <c r="A153" s="287"/>
      <c r="B153" s="287"/>
      <c r="C153" s="287"/>
      <c r="D153" s="287"/>
      <c r="E153" s="320"/>
      <c r="F153" s="320"/>
      <c r="G153" s="320"/>
      <c r="H153" s="320"/>
      <c r="I153" s="320"/>
      <c r="J153" s="320"/>
      <c r="K153" s="287"/>
      <c r="L153" s="318"/>
      <c r="M153" s="287"/>
      <c r="N153" s="287"/>
      <c r="O153" s="287"/>
      <c r="P153" s="287"/>
      <c r="Q153" s="287"/>
      <c r="R153" s="287"/>
      <c r="S153" s="287"/>
      <c r="T153" s="287"/>
      <c r="U153" s="287"/>
      <c r="V153" s="287"/>
      <c r="W153" s="287"/>
      <c r="X153" s="287"/>
      <c r="Y153" s="287"/>
      <c r="Z153" s="287"/>
      <c r="AA153" s="287"/>
      <c r="AB153" s="287"/>
      <c r="AC153" s="287"/>
      <c r="AD153" s="287"/>
      <c r="AE153" s="287"/>
      <c r="AF153" s="287"/>
      <c r="AG153" s="287"/>
      <c r="AH153" s="287"/>
    </row>
    <row r="154" spans="1:34" ht="13.5" customHeight="1" x14ac:dyDescent="0.25">
      <c r="A154" s="287"/>
      <c r="B154" s="287"/>
      <c r="C154" s="287"/>
      <c r="D154" s="287"/>
      <c r="E154" s="320"/>
      <c r="F154" s="320"/>
      <c r="G154" s="320"/>
      <c r="H154" s="320"/>
      <c r="I154" s="320"/>
      <c r="J154" s="320"/>
      <c r="K154" s="287"/>
      <c r="L154" s="318"/>
      <c r="M154" s="287"/>
      <c r="N154" s="287"/>
      <c r="O154" s="287"/>
      <c r="P154" s="287"/>
      <c r="Q154" s="287"/>
      <c r="R154" s="287"/>
      <c r="S154" s="287"/>
      <c r="T154" s="287"/>
      <c r="U154" s="287"/>
      <c r="V154" s="287"/>
      <c r="W154" s="287"/>
      <c r="X154" s="287"/>
      <c r="Y154" s="287"/>
      <c r="Z154" s="287"/>
      <c r="AA154" s="287"/>
      <c r="AB154" s="287"/>
      <c r="AC154" s="287"/>
      <c r="AD154" s="287"/>
      <c r="AE154" s="287"/>
      <c r="AF154" s="287"/>
      <c r="AG154" s="287"/>
      <c r="AH154" s="287"/>
    </row>
    <row r="155" spans="1:34" ht="13.5" customHeight="1" x14ac:dyDescent="0.25">
      <c r="A155" s="287"/>
      <c r="B155" s="287"/>
      <c r="C155" s="287"/>
      <c r="D155" s="287"/>
      <c r="E155" s="320"/>
      <c r="F155" s="320"/>
      <c r="G155" s="320"/>
      <c r="H155" s="320"/>
      <c r="I155" s="320"/>
      <c r="J155" s="320"/>
      <c r="K155" s="287"/>
      <c r="L155" s="318"/>
      <c r="M155" s="287"/>
      <c r="N155" s="287"/>
      <c r="O155" s="287"/>
      <c r="P155" s="287"/>
      <c r="Q155" s="287"/>
      <c r="R155" s="287"/>
      <c r="S155" s="287"/>
      <c r="T155" s="287"/>
      <c r="U155" s="287"/>
      <c r="V155" s="287"/>
      <c r="W155" s="287"/>
      <c r="X155" s="287"/>
      <c r="Y155" s="287"/>
      <c r="Z155" s="287"/>
      <c r="AA155" s="287"/>
      <c r="AB155" s="287"/>
      <c r="AC155" s="287"/>
      <c r="AD155" s="287"/>
      <c r="AE155" s="287"/>
      <c r="AF155" s="287"/>
      <c r="AG155" s="287"/>
      <c r="AH155" s="287"/>
    </row>
    <row r="156" spans="1:34" ht="13.5" customHeight="1" x14ac:dyDescent="0.25">
      <c r="A156" s="287"/>
      <c r="B156" s="287"/>
      <c r="C156" s="287"/>
      <c r="D156" s="287"/>
      <c r="E156" s="320"/>
      <c r="F156" s="320"/>
      <c r="G156" s="320"/>
      <c r="H156" s="320"/>
      <c r="I156" s="320"/>
      <c r="J156" s="320"/>
      <c r="K156" s="287"/>
      <c r="L156" s="318"/>
      <c r="M156" s="287"/>
      <c r="N156" s="287"/>
      <c r="O156" s="287"/>
      <c r="P156" s="287"/>
      <c r="Q156" s="287"/>
      <c r="R156" s="287"/>
      <c r="S156" s="287"/>
      <c r="T156" s="287"/>
      <c r="U156" s="287"/>
      <c r="V156" s="287"/>
      <c r="W156" s="287"/>
      <c r="X156" s="287"/>
      <c r="Y156" s="287"/>
      <c r="Z156" s="287"/>
      <c r="AA156" s="287"/>
      <c r="AB156" s="287"/>
      <c r="AC156" s="287"/>
      <c r="AD156" s="287"/>
      <c r="AE156" s="287"/>
      <c r="AF156" s="287"/>
      <c r="AG156" s="287"/>
      <c r="AH156" s="287"/>
    </row>
    <row r="157" spans="1:34" ht="13.5" customHeight="1" x14ac:dyDescent="0.25">
      <c r="A157" s="287"/>
      <c r="B157" s="287"/>
      <c r="C157" s="287"/>
      <c r="D157" s="287"/>
      <c r="E157" s="320"/>
      <c r="F157" s="320"/>
      <c r="G157" s="320"/>
      <c r="H157" s="320"/>
      <c r="I157" s="320"/>
      <c r="J157" s="320"/>
      <c r="K157" s="287"/>
      <c r="L157" s="318"/>
      <c r="M157" s="287"/>
      <c r="N157" s="287"/>
      <c r="O157" s="287"/>
      <c r="P157" s="287"/>
      <c r="Q157" s="287"/>
      <c r="R157" s="287"/>
      <c r="S157" s="287"/>
      <c r="T157" s="287"/>
      <c r="U157" s="287"/>
      <c r="V157" s="287"/>
      <c r="W157" s="287"/>
      <c r="X157" s="287"/>
      <c r="Y157" s="287"/>
      <c r="Z157" s="287"/>
      <c r="AA157" s="287"/>
      <c r="AB157" s="287"/>
      <c r="AC157" s="287"/>
      <c r="AD157" s="287"/>
      <c r="AE157" s="287"/>
      <c r="AF157" s="287"/>
      <c r="AG157" s="287"/>
      <c r="AH157" s="287"/>
    </row>
    <row r="158" spans="1:34" ht="13.5" customHeight="1" x14ac:dyDescent="0.25">
      <c r="A158" s="287"/>
      <c r="B158" s="287"/>
      <c r="C158" s="287"/>
      <c r="D158" s="287"/>
      <c r="E158" s="320"/>
      <c r="F158" s="320"/>
      <c r="G158" s="320"/>
      <c r="H158" s="320"/>
      <c r="I158" s="320"/>
      <c r="J158" s="320"/>
      <c r="K158" s="287"/>
      <c r="L158" s="318"/>
      <c r="M158" s="287"/>
      <c r="N158" s="287"/>
      <c r="O158" s="287"/>
      <c r="P158" s="287"/>
      <c r="Q158" s="287"/>
      <c r="R158" s="287"/>
      <c r="S158" s="287"/>
      <c r="T158" s="287"/>
      <c r="U158" s="287"/>
      <c r="V158" s="287"/>
      <c r="W158" s="287"/>
      <c r="X158" s="287"/>
      <c r="Y158" s="287"/>
      <c r="Z158" s="287"/>
      <c r="AA158" s="287"/>
      <c r="AB158" s="287"/>
      <c r="AC158" s="287"/>
      <c r="AD158" s="287"/>
      <c r="AE158" s="287"/>
      <c r="AF158" s="287"/>
      <c r="AG158" s="287"/>
      <c r="AH158" s="287"/>
    </row>
    <row r="159" spans="1:34" ht="13.5" customHeight="1" x14ac:dyDescent="0.25">
      <c r="A159" s="287"/>
      <c r="B159" s="287"/>
      <c r="C159" s="287"/>
      <c r="D159" s="287"/>
      <c r="E159" s="320"/>
      <c r="F159" s="320"/>
      <c r="G159" s="320"/>
      <c r="H159" s="320"/>
      <c r="I159" s="320"/>
      <c r="J159" s="320"/>
      <c r="K159" s="287"/>
      <c r="L159" s="318"/>
      <c r="M159" s="287"/>
      <c r="N159" s="287"/>
      <c r="O159" s="287"/>
      <c r="P159" s="287"/>
      <c r="Q159" s="287"/>
      <c r="R159" s="287"/>
      <c r="S159" s="287"/>
      <c r="T159" s="287"/>
      <c r="U159" s="287"/>
      <c r="V159" s="287"/>
      <c r="W159" s="287"/>
      <c r="X159" s="287"/>
      <c r="Y159" s="287"/>
      <c r="Z159" s="287"/>
      <c r="AA159" s="287"/>
      <c r="AB159" s="287"/>
      <c r="AC159" s="287"/>
      <c r="AD159" s="287"/>
      <c r="AE159" s="287"/>
      <c r="AF159" s="287"/>
      <c r="AG159" s="287"/>
      <c r="AH159" s="287"/>
    </row>
    <row r="160" spans="1:34" ht="13.5" customHeight="1" x14ac:dyDescent="0.25">
      <c r="A160" s="287"/>
      <c r="B160" s="287"/>
      <c r="C160" s="287"/>
      <c r="D160" s="287"/>
      <c r="E160" s="320"/>
      <c r="F160" s="320"/>
      <c r="G160" s="320"/>
      <c r="H160" s="320"/>
      <c r="I160" s="320"/>
      <c r="J160" s="320"/>
      <c r="K160" s="287"/>
      <c r="L160" s="318"/>
      <c r="M160" s="287"/>
      <c r="N160" s="287"/>
      <c r="O160" s="287"/>
      <c r="P160" s="287"/>
      <c r="Q160" s="287"/>
      <c r="R160" s="287"/>
      <c r="S160" s="287"/>
      <c r="T160" s="287"/>
      <c r="U160" s="287"/>
      <c r="V160" s="287"/>
      <c r="W160" s="287"/>
      <c r="X160" s="287"/>
      <c r="Y160" s="287"/>
      <c r="Z160" s="287"/>
      <c r="AA160" s="287"/>
      <c r="AB160" s="287"/>
      <c r="AC160" s="287"/>
      <c r="AD160" s="287"/>
      <c r="AE160" s="287"/>
      <c r="AF160" s="287"/>
      <c r="AG160" s="287"/>
      <c r="AH160" s="287"/>
    </row>
    <row r="161" spans="1:34" ht="13.5" customHeight="1" x14ac:dyDescent="0.25">
      <c r="A161" s="287"/>
      <c r="B161" s="287"/>
      <c r="C161" s="287"/>
      <c r="D161" s="287"/>
      <c r="E161" s="320"/>
      <c r="F161" s="320"/>
      <c r="G161" s="320"/>
      <c r="H161" s="320"/>
      <c r="I161" s="320"/>
      <c r="J161" s="320"/>
      <c r="K161" s="287"/>
      <c r="L161" s="318"/>
      <c r="M161" s="287"/>
      <c r="N161" s="287"/>
      <c r="O161" s="287"/>
      <c r="P161" s="287"/>
      <c r="Q161" s="287"/>
      <c r="R161" s="287"/>
      <c r="S161" s="287"/>
      <c r="T161" s="287"/>
      <c r="U161" s="287"/>
      <c r="V161" s="287"/>
      <c r="W161" s="287"/>
      <c r="X161" s="287"/>
      <c r="Y161" s="287"/>
      <c r="Z161" s="287"/>
      <c r="AA161" s="287"/>
      <c r="AB161" s="287"/>
      <c r="AC161" s="287"/>
      <c r="AD161" s="287"/>
      <c r="AE161" s="287"/>
      <c r="AF161" s="287"/>
      <c r="AG161" s="287"/>
      <c r="AH161" s="287"/>
    </row>
    <row r="162" spans="1:34" ht="13.5" customHeight="1" x14ac:dyDescent="0.25">
      <c r="A162" s="287"/>
      <c r="B162" s="287"/>
      <c r="C162" s="287"/>
      <c r="D162" s="287"/>
      <c r="E162" s="320"/>
      <c r="F162" s="320"/>
      <c r="G162" s="320"/>
      <c r="H162" s="320"/>
      <c r="I162" s="320"/>
      <c r="J162" s="320"/>
      <c r="K162" s="287"/>
      <c r="L162" s="318"/>
      <c r="M162" s="287"/>
      <c r="N162" s="287"/>
      <c r="O162" s="287"/>
      <c r="P162" s="287"/>
      <c r="Q162" s="287"/>
      <c r="R162" s="287"/>
      <c r="S162" s="287"/>
      <c r="T162" s="287"/>
      <c r="U162" s="287"/>
      <c r="V162" s="287"/>
      <c r="W162" s="287"/>
      <c r="X162" s="287"/>
      <c r="Y162" s="287"/>
      <c r="Z162" s="287"/>
      <c r="AA162" s="287"/>
      <c r="AB162" s="287"/>
      <c r="AC162" s="287"/>
      <c r="AD162" s="287"/>
      <c r="AE162" s="287"/>
      <c r="AF162" s="287"/>
      <c r="AG162" s="287"/>
      <c r="AH162" s="287"/>
    </row>
    <row r="163" spans="1:34" ht="13.5" customHeight="1" x14ac:dyDescent="0.25">
      <c r="A163" s="287"/>
      <c r="B163" s="287"/>
      <c r="C163" s="287"/>
      <c r="D163" s="287"/>
      <c r="E163" s="320"/>
      <c r="F163" s="320"/>
      <c r="G163" s="320"/>
      <c r="H163" s="320"/>
      <c r="I163" s="320"/>
      <c r="J163" s="320"/>
      <c r="K163" s="287"/>
      <c r="L163" s="318"/>
      <c r="M163" s="287"/>
      <c r="N163" s="287"/>
      <c r="O163" s="287"/>
      <c r="P163" s="287"/>
      <c r="Q163" s="287"/>
      <c r="R163" s="287"/>
      <c r="S163" s="287"/>
      <c r="T163" s="287"/>
      <c r="U163" s="287"/>
      <c r="V163" s="287"/>
      <c r="W163" s="287"/>
      <c r="X163" s="287"/>
      <c r="Y163" s="287"/>
      <c r="Z163" s="287"/>
      <c r="AA163" s="287"/>
      <c r="AB163" s="287"/>
      <c r="AC163" s="287"/>
      <c r="AD163" s="287"/>
      <c r="AE163" s="287"/>
      <c r="AF163" s="287"/>
      <c r="AG163" s="287"/>
      <c r="AH163" s="287"/>
    </row>
    <row r="164" spans="1:34" ht="13.5" customHeight="1" x14ac:dyDescent="0.25">
      <c r="A164" s="287"/>
      <c r="B164" s="287"/>
      <c r="C164" s="287"/>
      <c r="D164" s="287"/>
      <c r="E164" s="320"/>
      <c r="F164" s="320"/>
      <c r="G164" s="320"/>
      <c r="H164" s="320"/>
      <c r="I164" s="320"/>
      <c r="J164" s="320"/>
      <c r="K164" s="287"/>
      <c r="L164" s="318"/>
      <c r="M164" s="287"/>
      <c r="N164" s="287"/>
      <c r="O164" s="287"/>
      <c r="P164" s="287"/>
      <c r="Q164" s="287"/>
      <c r="R164" s="287"/>
      <c r="S164" s="287"/>
      <c r="T164" s="287"/>
      <c r="U164" s="287"/>
      <c r="V164" s="287"/>
      <c r="W164" s="287"/>
      <c r="X164" s="287"/>
      <c r="Y164" s="287"/>
      <c r="Z164" s="287"/>
      <c r="AA164" s="287"/>
      <c r="AB164" s="287"/>
      <c r="AC164" s="287"/>
      <c r="AD164" s="287"/>
      <c r="AE164" s="287"/>
      <c r="AF164" s="287"/>
      <c r="AG164" s="287"/>
      <c r="AH164" s="287"/>
    </row>
    <row r="165" spans="1:34" ht="13.5" customHeight="1" x14ac:dyDescent="0.25">
      <c r="A165" s="287"/>
      <c r="B165" s="287"/>
      <c r="C165" s="287"/>
      <c r="D165" s="287"/>
      <c r="E165" s="320"/>
      <c r="F165" s="320"/>
      <c r="G165" s="320"/>
      <c r="H165" s="320"/>
      <c r="I165" s="320"/>
      <c r="J165" s="320"/>
      <c r="K165" s="287"/>
      <c r="L165" s="318"/>
      <c r="M165" s="287"/>
      <c r="N165" s="287"/>
      <c r="O165" s="287"/>
      <c r="P165" s="287"/>
      <c r="Q165" s="287"/>
      <c r="R165" s="287"/>
      <c r="S165" s="287"/>
      <c r="T165" s="287"/>
      <c r="U165" s="287"/>
      <c r="V165" s="287"/>
      <c r="W165" s="287"/>
      <c r="X165" s="287"/>
      <c r="Y165" s="287"/>
      <c r="Z165" s="287"/>
      <c r="AA165" s="287"/>
      <c r="AB165" s="287"/>
      <c r="AC165" s="287"/>
      <c r="AD165" s="287"/>
      <c r="AE165" s="287"/>
      <c r="AF165" s="287"/>
      <c r="AG165" s="287"/>
      <c r="AH165" s="287"/>
    </row>
    <row r="166" spans="1:34" ht="13.5" customHeight="1" x14ac:dyDescent="0.25">
      <c r="A166" s="287"/>
      <c r="B166" s="287"/>
      <c r="C166" s="287"/>
      <c r="D166" s="287"/>
      <c r="E166" s="320"/>
      <c r="F166" s="320"/>
      <c r="G166" s="320"/>
      <c r="H166" s="320"/>
      <c r="I166" s="320"/>
      <c r="J166" s="320"/>
      <c r="K166" s="287"/>
      <c r="L166" s="318"/>
      <c r="M166" s="287"/>
      <c r="N166" s="287"/>
      <c r="O166" s="287"/>
      <c r="P166" s="287"/>
      <c r="Q166" s="287"/>
      <c r="R166" s="287"/>
      <c r="S166" s="287"/>
      <c r="T166" s="287"/>
      <c r="U166" s="287"/>
      <c r="V166" s="287"/>
      <c r="W166" s="287"/>
      <c r="X166" s="287"/>
      <c r="Y166" s="287"/>
      <c r="Z166" s="287"/>
      <c r="AA166" s="287"/>
      <c r="AB166" s="287"/>
      <c r="AC166" s="287"/>
      <c r="AD166" s="287"/>
      <c r="AE166" s="287"/>
      <c r="AF166" s="287"/>
      <c r="AG166" s="287"/>
      <c r="AH166" s="287"/>
    </row>
    <row r="167" spans="1:34" ht="13.5" customHeight="1" x14ac:dyDescent="0.25">
      <c r="A167" s="287"/>
      <c r="B167" s="287"/>
      <c r="C167" s="287"/>
      <c r="D167" s="287"/>
      <c r="E167" s="320"/>
      <c r="F167" s="320"/>
      <c r="G167" s="320"/>
      <c r="H167" s="320"/>
      <c r="I167" s="320"/>
      <c r="J167" s="320"/>
      <c r="K167" s="287"/>
      <c r="L167" s="318"/>
      <c r="M167" s="287"/>
      <c r="N167" s="287"/>
      <c r="O167" s="287"/>
      <c r="P167" s="287"/>
      <c r="Q167" s="287"/>
      <c r="R167" s="287"/>
      <c r="S167" s="287"/>
      <c r="T167" s="287"/>
      <c r="U167" s="287"/>
      <c r="V167" s="287"/>
      <c r="W167" s="287"/>
      <c r="X167" s="287"/>
      <c r="Y167" s="287"/>
      <c r="Z167" s="287"/>
      <c r="AA167" s="287"/>
      <c r="AB167" s="287"/>
      <c r="AC167" s="287"/>
      <c r="AD167" s="287"/>
      <c r="AE167" s="287"/>
      <c r="AF167" s="287"/>
      <c r="AG167" s="287"/>
      <c r="AH167" s="287"/>
    </row>
    <row r="168" spans="1:34" ht="13.5" customHeight="1" x14ac:dyDescent="0.25">
      <c r="A168" s="287"/>
      <c r="B168" s="287"/>
      <c r="C168" s="287"/>
      <c r="D168" s="287"/>
      <c r="E168" s="320"/>
      <c r="F168" s="320"/>
      <c r="G168" s="320"/>
      <c r="H168" s="320"/>
      <c r="I168" s="320"/>
      <c r="J168" s="320"/>
      <c r="K168" s="287"/>
      <c r="L168" s="318"/>
      <c r="M168" s="287"/>
      <c r="N168" s="287"/>
      <c r="O168" s="287"/>
      <c r="P168" s="287"/>
      <c r="Q168" s="287"/>
      <c r="R168" s="287"/>
      <c r="S168" s="287"/>
      <c r="T168" s="287"/>
      <c r="U168" s="287"/>
      <c r="V168" s="287"/>
      <c r="W168" s="287"/>
      <c r="X168" s="287"/>
      <c r="Y168" s="287"/>
      <c r="Z168" s="287"/>
      <c r="AA168" s="287"/>
      <c r="AB168" s="287"/>
      <c r="AC168" s="287"/>
      <c r="AD168" s="287"/>
      <c r="AE168" s="287"/>
      <c r="AF168" s="287"/>
      <c r="AG168" s="287"/>
      <c r="AH168" s="287"/>
    </row>
    <row r="169" spans="1:34" ht="13.5" customHeight="1" x14ac:dyDescent="0.25">
      <c r="A169" s="287"/>
      <c r="B169" s="287"/>
      <c r="C169" s="287"/>
      <c r="D169" s="287"/>
      <c r="E169" s="320"/>
      <c r="F169" s="320"/>
      <c r="G169" s="320"/>
      <c r="H169" s="320"/>
      <c r="I169" s="320"/>
      <c r="J169" s="320"/>
      <c r="K169" s="287"/>
      <c r="L169" s="318"/>
      <c r="M169" s="287"/>
      <c r="N169" s="287"/>
      <c r="O169" s="287"/>
      <c r="P169" s="287"/>
      <c r="Q169" s="287"/>
      <c r="R169" s="287"/>
      <c r="S169" s="287"/>
      <c r="T169" s="287"/>
      <c r="U169" s="287"/>
      <c r="V169" s="287"/>
      <c r="W169" s="287"/>
      <c r="X169" s="287"/>
      <c r="Y169" s="287"/>
      <c r="Z169" s="287"/>
      <c r="AA169" s="287"/>
      <c r="AB169" s="287"/>
      <c r="AC169" s="287"/>
      <c r="AD169" s="287"/>
      <c r="AE169" s="287"/>
      <c r="AF169" s="287"/>
      <c r="AG169" s="287"/>
      <c r="AH169" s="287"/>
    </row>
    <row r="170" spans="1:34" ht="13.5" customHeight="1" x14ac:dyDescent="0.25">
      <c r="A170" s="287"/>
      <c r="B170" s="287"/>
      <c r="C170" s="287"/>
      <c r="D170" s="287"/>
      <c r="E170" s="320"/>
      <c r="F170" s="320"/>
      <c r="G170" s="320"/>
      <c r="H170" s="320"/>
      <c r="I170" s="320"/>
      <c r="J170" s="320"/>
      <c r="K170" s="287"/>
      <c r="L170" s="318"/>
      <c r="M170" s="287"/>
      <c r="N170" s="287"/>
      <c r="O170" s="287"/>
      <c r="P170" s="287"/>
      <c r="Q170" s="287"/>
      <c r="R170" s="287"/>
      <c r="S170" s="287"/>
      <c r="T170" s="287"/>
      <c r="U170" s="287"/>
      <c r="V170" s="287"/>
      <c r="W170" s="287"/>
      <c r="X170" s="287"/>
      <c r="Y170" s="287"/>
      <c r="Z170" s="287"/>
      <c r="AA170" s="287"/>
      <c r="AB170" s="287"/>
      <c r="AC170" s="287"/>
      <c r="AD170" s="287"/>
      <c r="AE170" s="287"/>
      <c r="AF170" s="287"/>
      <c r="AG170" s="287"/>
      <c r="AH170" s="287"/>
    </row>
    <row r="171" spans="1:34" ht="13.5" customHeight="1" x14ac:dyDescent="0.25">
      <c r="A171" s="287"/>
      <c r="B171" s="287"/>
      <c r="C171" s="287"/>
      <c r="D171" s="287"/>
      <c r="E171" s="321"/>
      <c r="F171" s="321"/>
      <c r="G171" s="321"/>
      <c r="H171" s="320"/>
      <c r="I171" s="320"/>
      <c r="J171" s="320"/>
      <c r="K171" s="287"/>
      <c r="L171" s="318"/>
      <c r="M171" s="287"/>
      <c r="N171" s="287"/>
      <c r="O171" s="287"/>
      <c r="P171" s="287"/>
      <c r="Q171" s="287"/>
      <c r="R171" s="287"/>
      <c r="S171" s="287"/>
      <c r="T171" s="287"/>
      <c r="U171" s="287"/>
      <c r="V171" s="287"/>
      <c r="W171" s="287"/>
      <c r="X171" s="287"/>
      <c r="Y171" s="287"/>
      <c r="Z171" s="287"/>
      <c r="AA171" s="287"/>
      <c r="AB171" s="287"/>
      <c r="AC171" s="287"/>
      <c r="AD171" s="287"/>
      <c r="AE171" s="287"/>
      <c r="AF171" s="287"/>
      <c r="AG171" s="287"/>
      <c r="AH171" s="287"/>
    </row>
    <row r="172" spans="1:34" ht="13.5" customHeight="1" x14ac:dyDescent="0.25">
      <c r="A172" s="287"/>
      <c r="B172" s="287"/>
      <c r="C172" s="287"/>
      <c r="D172" s="287"/>
      <c r="E172" s="287"/>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E172" s="287"/>
      <c r="AF172" s="287"/>
      <c r="AG172" s="287"/>
      <c r="AH172" s="287"/>
    </row>
    <row r="173" spans="1:34" ht="13.5" customHeight="1" x14ac:dyDescent="0.25">
      <c r="A173" s="287"/>
      <c r="B173" s="287"/>
      <c r="C173" s="287"/>
      <c r="D173" s="287"/>
      <c r="E173" s="287"/>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E173" s="287"/>
      <c r="AF173" s="287"/>
      <c r="AG173" s="287"/>
      <c r="AH173" s="287"/>
    </row>
    <row r="174" spans="1:34" ht="13.5" customHeight="1" x14ac:dyDescent="0.25">
      <c r="A174" s="287"/>
      <c r="B174" s="287"/>
      <c r="C174" s="287"/>
      <c r="D174" s="287"/>
      <c r="E174" s="287"/>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E174" s="287"/>
      <c r="AF174" s="287"/>
      <c r="AG174" s="287"/>
      <c r="AH174" s="287"/>
    </row>
    <row r="175" spans="1:34" ht="13.5" customHeight="1" x14ac:dyDescent="0.25">
      <c r="A175" s="287"/>
      <c r="B175" s="287"/>
      <c r="C175" s="287"/>
      <c r="D175" s="287"/>
      <c r="E175" s="287"/>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E175" s="287"/>
      <c r="AF175" s="287"/>
      <c r="AG175" s="287"/>
      <c r="AH175" s="287"/>
    </row>
    <row r="176" spans="1:34" ht="13.5" customHeight="1" x14ac:dyDescent="0.25">
      <c r="A176" s="287"/>
      <c r="B176" s="287"/>
      <c r="C176" s="287"/>
      <c r="D176" s="287"/>
      <c r="E176" s="287"/>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E176" s="287"/>
      <c r="AF176" s="287"/>
      <c r="AG176" s="287"/>
      <c r="AH176" s="287"/>
    </row>
    <row r="177" spans="1:34" ht="13.5" customHeight="1" x14ac:dyDescent="0.25">
      <c r="A177" s="287"/>
      <c r="B177" s="287"/>
      <c r="C177" s="287"/>
      <c r="D177" s="287"/>
      <c r="E177" s="287"/>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E177" s="287"/>
      <c r="AF177" s="287"/>
      <c r="AG177" s="287"/>
      <c r="AH177" s="287"/>
    </row>
    <row r="178" spans="1:34" ht="13.5" customHeight="1" x14ac:dyDescent="0.25">
      <c r="A178" s="287"/>
      <c r="B178" s="287"/>
      <c r="C178" s="287"/>
      <c r="D178" s="287"/>
      <c r="E178" s="287"/>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E178" s="287"/>
      <c r="AF178" s="287"/>
      <c r="AG178" s="287"/>
      <c r="AH178" s="287"/>
    </row>
    <row r="179" spans="1:34" ht="13.5" customHeight="1" x14ac:dyDescent="0.25">
      <c r="A179" s="287"/>
      <c r="B179" s="287"/>
      <c r="C179" s="287"/>
      <c r="D179" s="287"/>
      <c r="E179" s="287"/>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E179" s="287"/>
      <c r="AF179" s="287"/>
      <c r="AG179" s="287"/>
      <c r="AH179" s="287"/>
    </row>
    <row r="180" spans="1:34" ht="13.5" customHeight="1" x14ac:dyDescent="0.25">
      <c r="A180" s="287"/>
      <c r="B180" s="287"/>
      <c r="C180" s="287"/>
      <c r="D180" s="287"/>
      <c r="E180" s="287"/>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E180" s="287"/>
      <c r="AF180" s="287"/>
      <c r="AG180" s="287"/>
      <c r="AH180" s="287"/>
    </row>
    <row r="181" spans="1:34" ht="13.5" customHeight="1" x14ac:dyDescent="0.25">
      <c r="A181" s="287"/>
      <c r="B181" s="287"/>
      <c r="C181" s="287"/>
      <c r="D181" s="287"/>
      <c r="E181" s="287"/>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E181" s="287"/>
      <c r="AF181" s="287"/>
      <c r="AG181" s="287"/>
      <c r="AH181" s="287"/>
    </row>
    <row r="182" spans="1:34" ht="13.5" customHeight="1" x14ac:dyDescent="0.25">
      <c r="A182" s="287"/>
      <c r="B182" s="287"/>
      <c r="C182" s="287"/>
      <c r="D182" s="287"/>
      <c r="E182" s="287"/>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E182" s="287"/>
      <c r="AF182" s="287"/>
      <c r="AG182" s="287"/>
      <c r="AH182" s="287"/>
    </row>
    <row r="183" spans="1:34" ht="13.5" customHeight="1" x14ac:dyDescent="0.25">
      <c r="A183" s="287"/>
      <c r="B183" s="287"/>
      <c r="C183" s="287"/>
      <c r="D183" s="287"/>
      <c r="E183" s="287"/>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E183" s="287"/>
      <c r="AF183" s="287"/>
      <c r="AG183" s="287"/>
      <c r="AH183" s="287"/>
    </row>
    <row r="184" spans="1:34" ht="13.5" customHeight="1" x14ac:dyDescent="0.25">
      <c r="A184" s="287"/>
      <c r="B184" s="287"/>
      <c r="C184" s="287"/>
      <c r="D184" s="287"/>
      <c r="E184" s="287"/>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E184" s="287"/>
      <c r="AF184" s="287"/>
      <c r="AG184" s="287"/>
      <c r="AH184" s="287"/>
    </row>
    <row r="185" spans="1:34" ht="13.5" customHeight="1" x14ac:dyDescent="0.25">
      <c r="A185" s="287"/>
      <c r="B185" s="287"/>
      <c r="C185" s="287"/>
      <c r="D185" s="287"/>
      <c r="E185" s="287"/>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E185" s="287"/>
      <c r="AF185" s="287"/>
      <c r="AG185" s="287"/>
      <c r="AH185" s="287"/>
    </row>
    <row r="186" spans="1:34" ht="13.5" customHeight="1" x14ac:dyDescent="0.25">
      <c r="A186" s="287"/>
      <c r="B186" s="287"/>
      <c r="C186" s="287"/>
      <c r="D186" s="287"/>
      <c r="E186" s="287"/>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E186" s="287"/>
      <c r="AF186" s="287"/>
      <c r="AG186" s="287"/>
      <c r="AH186" s="287"/>
    </row>
    <row r="187" spans="1:34" ht="13.5" customHeight="1" x14ac:dyDescent="0.25">
      <c r="A187" s="287"/>
      <c r="B187" s="287"/>
      <c r="C187" s="287"/>
      <c r="D187" s="287"/>
      <c r="E187" s="287"/>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E187" s="287"/>
      <c r="AF187" s="287"/>
      <c r="AG187" s="287"/>
      <c r="AH187" s="287"/>
    </row>
    <row r="188" spans="1:34" ht="13.5" customHeight="1" x14ac:dyDescent="0.25">
      <c r="A188" s="287"/>
      <c r="B188" s="287"/>
      <c r="C188" s="287"/>
      <c r="D188" s="287"/>
      <c r="E188" s="287"/>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E188" s="287"/>
      <c r="AF188" s="287"/>
      <c r="AG188" s="287"/>
      <c r="AH188" s="287"/>
    </row>
    <row r="189" spans="1:34" ht="13.5" customHeight="1" x14ac:dyDescent="0.25">
      <c r="A189" s="287"/>
      <c r="B189" s="287"/>
      <c r="C189" s="287"/>
      <c r="D189" s="287"/>
      <c r="E189" s="287"/>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E189" s="287"/>
      <c r="AF189" s="287"/>
      <c r="AG189" s="287"/>
      <c r="AH189" s="287"/>
    </row>
    <row r="190" spans="1:34" ht="13.5" customHeight="1" x14ac:dyDescent="0.25">
      <c r="A190" s="287"/>
      <c r="B190" s="287"/>
      <c r="C190" s="287"/>
      <c r="D190" s="287"/>
      <c r="E190" s="287"/>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E190" s="287"/>
      <c r="AF190" s="287"/>
      <c r="AG190" s="287"/>
      <c r="AH190" s="287"/>
    </row>
    <row r="191" spans="1:34" ht="13.5" customHeight="1" x14ac:dyDescent="0.25">
      <c r="A191" s="287"/>
      <c r="B191" s="287"/>
      <c r="C191" s="287"/>
      <c r="D191" s="287"/>
      <c r="E191" s="287"/>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E191" s="287"/>
      <c r="AF191" s="287"/>
      <c r="AG191" s="287"/>
      <c r="AH191" s="287"/>
    </row>
    <row r="192" spans="1:34" ht="13.5" customHeight="1" x14ac:dyDescent="0.25">
      <c r="A192" s="287"/>
      <c r="B192" s="287"/>
      <c r="C192" s="287"/>
      <c r="D192" s="287"/>
      <c r="E192" s="287"/>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E192" s="287"/>
      <c r="AF192" s="287"/>
      <c r="AG192" s="287"/>
      <c r="AH192" s="287"/>
    </row>
    <row r="193" spans="1:34" ht="13.5" customHeight="1" x14ac:dyDescent="0.25">
      <c r="A193" s="287"/>
      <c r="B193" s="287"/>
      <c r="C193" s="287"/>
      <c r="D193" s="287"/>
      <c r="E193" s="287"/>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E193" s="287"/>
      <c r="AF193" s="287"/>
      <c r="AG193" s="287"/>
      <c r="AH193" s="287"/>
    </row>
    <row r="194" spans="1:34" ht="13.5" customHeight="1" x14ac:dyDescent="0.25">
      <c r="A194" s="287"/>
      <c r="B194" s="287"/>
      <c r="C194" s="287"/>
      <c r="D194" s="287"/>
      <c r="E194" s="287"/>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E194" s="287"/>
      <c r="AF194" s="287"/>
      <c r="AG194" s="287"/>
      <c r="AH194" s="287"/>
    </row>
    <row r="195" spans="1:34" ht="13.5" customHeight="1" x14ac:dyDescent="0.25">
      <c r="A195" s="287"/>
      <c r="B195" s="287"/>
      <c r="C195" s="287"/>
      <c r="D195" s="287"/>
      <c r="E195" s="287"/>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E195" s="287"/>
      <c r="AF195" s="287"/>
      <c r="AG195" s="287"/>
      <c r="AH195" s="287"/>
    </row>
    <row r="196" spans="1:34" ht="13.5" customHeight="1" x14ac:dyDescent="0.25">
      <c r="A196" s="287"/>
      <c r="B196" s="287"/>
      <c r="C196" s="287"/>
      <c r="D196" s="287"/>
      <c r="E196" s="287"/>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E196" s="287"/>
      <c r="AF196" s="287"/>
      <c r="AG196" s="287"/>
      <c r="AH196" s="287"/>
    </row>
    <row r="197" spans="1:34" ht="13.5" customHeight="1" x14ac:dyDescent="0.25">
      <c r="A197" s="287"/>
      <c r="B197" s="287"/>
      <c r="C197" s="287"/>
      <c r="D197" s="287"/>
      <c r="E197" s="287"/>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E197" s="287"/>
      <c r="AF197" s="287"/>
      <c r="AG197" s="287"/>
      <c r="AH197" s="287"/>
    </row>
    <row r="198" spans="1:34" ht="13.5" customHeight="1" x14ac:dyDescent="0.25">
      <c r="A198" s="287"/>
      <c r="B198" s="287"/>
      <c r="C198" s="287"/>
      <c r="D198" s="287"/>
      <c r="E198" s="287"/>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E198" s="287"/>
      <c r="AF198" s="287"/>
      <c r="AG198" s="287"/>
      <c r="AH198" s="287"/>
    </row>
    <row r="199" spans="1:34" ht="13.5" customHeight="1" x14ac:dyDescent="0.25">
      <c r="A199" s="287"/>
      <c r="B199" s="287"/>
      <c r="C199" s="287"/>
      <c r="D199" s="287"/>
      <c r="E199" s="287"/>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E199" s="287"/>
      <c r="AF199" s="287"/>
      <c r="AG199" s="287"/>
      <c r="AH199" s="287"/>
    </row>
    <row r="200" spans="1:34" ht="13.5" customHeight="1" x14ac:dyDescent="0.25">
      <c r="A200" s="287"/>
      <c r="B200" s="287"/>
      <c r="C200" s="287"/>
      <c r="D200" s="287"/>
      <c r="E200" s="287"/>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E200" s="287"/>
      <c r="AF200" s="287"/>
      <c r="AG200" s="287"/>
      <c r="AH200" s="287"/>
    </row>
    <row r="201" spans="1:34" ht="13.5" customHeight="1" x14ac:dyDescent="0.25">
      <c r="A201" s="287"/>
      <c r="B201" s="287"/>
      <c r="C201" s="287"/>
      <c r="D201" s="287"/>
      <c r="E201" s="287"/>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E201" s="287"/>
      <c r="AF201" s="287"/>
      <c r="AG201" s="287"/>
      <c r="AH201" s="287"/>
    </row>
    <row r="202" spans="1:34" ht="13.5" customHeight="1" x14ac:dyDescent="0.25">
      <c r="A202" s="287"/>
      <c r="B202" s="287"/>
      <c r="C202" s="287"/>
      <c r="D202" s="287"/>
      <c r="E202" s="287"/>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E202" s="287"/>
      <c r="AF202" s="287"/>
      <c r="AG202" s="287"/>
      <c r="AH202" s="287"/>
    </row>
    <row r="203" spans="1:34" ht="13.5" customHeight="1" x14ac:dyDescent="0.25">
      <c r="A203" s="287"/>
      <c r="B203" s="287"/>
      <c r="C203" s="287"/>
      <c r="D203" s="287"/>
      <c r="E203" s="287"/>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E203" s="287"/>
      <c r="AF203" s="287"/>
      <c r="AG203" s="287"/>
      <c r="AH203" s="287"/>
    </row>
    <row r="204" spans="1:34" ht="13.5" customHeight="1" x14ac:dyDescent="0.25">
      <c r="A204" s="287"/>
      <c r="B204" s="287"/>
      <c r="C204" s="287"/>
      <c r="D204" s="287"/>
      <c r="E204" s="287"/>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E204" s="287"/>
      <c r="AF204" s="287"/>
      <c r="AG204" s="287"/>
      <c r="AH204" s="287"/>
    </row>
    <row r="205" spans="1:34" ht="13.5" customHeight="1" x14ac:dyDescent="0.25">
      <c r="A205" s="287"/>
      <c r="B205" s="287"/>
      <c r="C205" s="287"/>
      <c r="D205" s="287"/>
      <c r="E205" s="287"/>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E205" s="287"/>
      <c r="AF205" s="287"/>
      <c r="AG205" s="287"/>
      <c r="AH205" s="287"/>
    </row>
    <row r="206" spans="1:34" ht="13.5" customHeight="1" x14ac:dyDescent="0.25">
      <c r="A206" s="287"/>
      <c r="B206" s="287"/>
      <c r="C206" s="287"/>
      <c r="D206" s="287"/>
      <c r="E206" s="287"/>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E206" s="287"/>
      <c r="AF206" s="287"/>
      <c r="AG206" s="287"/>
      <c r="AH206" s="287"/>
    </row>
    <row r="207" spans="1:34" ht="13.5" customHeight="1" x14ac:dyDescent="0.25">
      <c r="A207" s="287"/>
      <c r="B207" s="287"/>
      <c r="C207" s="287"/>
      <c r="D207" s="287"/>
      <c r="E207" s="287"/>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E207" s="287"/>
      <c r="AF207" s="287"/>
      <c r="AG207" s="287"/>
      <c r="AH207" s="287"/>
    </row>
    <row r="208" spans="1:34" ht="13.5" customHeight="1" x14ac:dyDescent="0.25">
      <c r="A208" s="287"/>
      <c r="B208" s="287"/>
      <c r="C208" s="287"/>
      <c r="D208" s="287"/>
      <c r="E208" s="287"/>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E208" s="287"/>
      <c r="AF208" s="287"/>
      <c r="AG208" s="287"/>
      <c r="AH208" s="287"/>
    </row>
    <row r="209" spans="1:34" ht="13.5" customHeight="1" x14ac:dyDescent="0.25">
      <c r="A209" s="287"/>
      <c r="B209" s="287"/>
      <c r="C209" s="287"/>
      <c r="D209" s="287"/>
      <c r="E209" s="287"/>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E209" s="287"/>
      <c r="AF209" s="287"/>
      <c r="AG209" s="287"/>
      <c r="AH209" s="287"/>
    </row>
    <row r="210" spans="1:34" ht="13.5" customHeight="1" x14ac:dyDescent="0.25">
      <c r="A210" s="287"/>
      <c r="B210" s="287"/>
      <c r="C210" s="287"/>
      <c r="D210" s="287"/>
      <c r="E210" s="287"/>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E210" s="287"/>
      <c r="AF210" s="287"/>
      <c r="AG210" s="287"/>
      <c r="AH210" s="287"/>
    </row>
    <row r="211" spans="1:34" ht="13.5" customHeight="1" x14ac:dyDescent="0.25">
      <c r="A211" s="287"/>
      <c r="B211" s="287"/>
      <c r="C211" s="287"/>
      <c r="D211" s="287"/>
      <c r="E211" s="287"/>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E211" s="287"/>
      <c r="AF211" s="287"/>
      <c r="AG211" s="287"/>
      <c r="AH211" s="287"/>
    </row>
    <row r="212" spans="1:34" ht="13.5" customHeight="1" x14ac:dyDescent="0.25">
      <c r="A212" s="287"/>
      <c r="B212" s="287"/>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E212" s="287"/>
      <c r="AF212" s="287"/>
      <c r="AG212" s="287"/>
      <c r="AH212" s="287"/>
    </row>
    <row r="213" spans="1:34" ht="13.5" customHeight="1" x14ac:dyDescent="0.25">
      <c r="A213" s="287"/>
      <c r="B213" s="287"/>
      <c r="C213" s="287"/>
      <c r="D213" s="287"/>
      <c r="E213" s="287"/>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E213" s="287"/>
      <c r="AF213" s="287"/>
      <c r="AG213" s="287"/>
      <c r="AH213" s="287"/>
    </row>
    <row r="214" spans="1:34" ht="13.5" customHeight="1" x14ac:dyDescent="0.25">
      <c r="A214" s="287"/>
      <c r="B214" s="287"/>
      <c r="C214" s="287"/>
      <c r="D214" s="287"/>
      <c r="E214" s="287"/>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E214" s="287"/>
      <c r="AF214" s="287"/>
      <c r="AG214" s="287"/>
      <c r="AH214" s="287"/>
    </row>
    <row r="215" spans="1:34" ht="13.5" customHeight="1" x14ac:dyDescent="0.25">
      <c r="A215" s="287"/>
      <c r="B215" s="287"/>
      <c r="C215" s="287"/>
      <c r="D215" s="287"/>
      <c r="E215" s="287"/>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E215" s="287"/>
      <c r="AF215" s="287"/>
      <c r="AG215" s="287"/>
      <c r="AH215" s="287"/>
    </row>
    <row r="216" spans="1:34" ht="13.5" customHeight="1" x14ac:dyDescent="0.25">
      <c r="A216" s="287"/>
      <c r="B216" s="287"/>
      <c r="C216" s="287"/>
      <c r="D216" s="287"/>
      <c r="E216" s="287"/>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E216" s="287"/>
      <c r="AF216" s="287"/>
      <c r="AG216" s="287"/>
      <c r="AH216" s="287"/>
    </row>
    <row r="217" spans="1:34" ht="13.5" customHeight="1" x14ac:dyDescent="0.25">
      <c r="A217" s="287"/>
      <c r="B217" s="287"/>
      <c r="C217" s="287"/>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E217" s="287"/>
      <c r="AF217" s="287"/>
      <c r="AG217" s="287"/>
      <c r="AH217" s="287"/>
    </row>
    <row r="218" spans="1:34" ht="13.5" customHeight="1" x14ac:dyDescent="0.25">
      <c r="A218" s="287"/>
      <c r="B218" s="287"/>
      <c r="C218" s="287"/>
      <c r="D218" s="287"/>
      <c r="E218" s="287"/>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E218" s="287"/>
      <c r="AF218" s="287"/>
      <c r="AG218" s="287"/>
      <c r="AH218" s="287"/>
    </row>
    <row r="219" spans="1:34" ht="13.5" customHeight="1" x14ac:dyDescent="0.25">
      <c r="A219" s="287"/>
      <c r="B219" s="287"/>
      <c r="C219" s="287"/>
      <c r="D219" s="287"/>
      <c r="E219" s="287"/>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E219" s="287"/>
      <c r="AF219" s="287"/>
      <c r="AG219" s="287"/>
      <c r="AH219" s="287"/>
    </row>
    <row r="220" spans="1:34" ht="13.5" customHeight="1" x14ac:dyDescent="0.25">
      <c r="A220" s="287"/>
      <c r="B220" s="287"/>
      <c r="C220" s="287"/>
      <c r="D220" s="287"/>
      <c r="E220" s="287"/>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E220" s="287"/>
      <c r="AF220" s="287"/>
      <c r="AG220" s="287"/>
      <c r="AH220" s="287"/>
    </row>
    <row r="221" spans="1:34" ht="13.5" customHeight="1" x14ac:dyDescent="0.25">
      <c r="A221" s="287"/>
      <c r="B221" s="287"/>
      <c r="C221" s="287"/>
      <c r="D221" s="287"/>
      <c r="E221" s="287"/>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E221" s="287"/>
      <c r="AF221" s="287"/>
      <c r="AG221" s="287"/>
      <c r="AH221" s="287"/>
    </row>
    <row r="222" spans="1:34" ht="13.5" customHeight="1" x14ac:dyDescent="0.25">
      <c r="A222" s="287"/>
      <c r="B222" s="287"/>
      <c r="C222" s="287"/>
      <c r="D222" s="287"/>
      <c r="E222" s="287"/>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E222" s="287"/>
      <c r="AF222" s="287"/>
      <c r="AG222" s="287"/>
      <c r="AH222" s="287"/>
    </row>
    <row r="223" spans="1:34" ht="13.5" customHeight="1" x14ac:dyDescent="0.25">
      <c r="A223" s="287"/>
      <c r="B223" s="287"/>
      <c r="C223" s="287"/>
      <c r="D223" s="287"/>
      <c r="E223" s="287"/>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E223" s="287"/>
      <c r="AF223" s="287"/>
      <c r="AG223" s="287"/>
      <c r="AH223" s="287"/>
    </row>
    <row r="224" spans="1:34" ht="13.5" customHeight="1" x14ac:dyDescent="0.25">
      <c r="A224" s="287"/>
      <c r="B224" s="287"/>
      <c r="C224" s="287"/>
      <c r="D224" s="287"/>
      <c r="E224" s="287"/>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E224" s="287"/>
      <c r="AF224" s="287"/>
      <c r="AG224" s="287"/>
      <c r="AH224" s="287"/>
    </row>
    <row r="225" spans="1:34" ht="13.5" customHeight="1" x14ac:dyDescent="0.25">
      <c r="A225" s="287"/>
      <c r="B225" s="287"/>
      <c r="C225" s="287"/>
      <c r="D225" s="287"/>
      <c r="E225" s="287"/>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E225" s="287"/>
      <c r="AF225" s="287"/>
      <c r="AG225" s="287"/>
      <c r="AH225" s="287"/>
    </row>
    <row r="226" spans="1:34" ht="13.5" customHeight="1" x14ac:dyDescent="0.25">
      <c r="A226" s="287"/>
      <c r="B226" s="287"/>
      <c r="C226" s="287"/>
      <c r="D226" s="287"/>
      <c r="E226" s="287"/>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E226" s="287"/>
      <c r="AF226" s="287"/>
      <c r="AG226" s="287"/>
      <c r="AH226" s="287"/>
    </row>
    <row r="227" spans="1:34" ht="13.5" customHeight="1" x14ac:dyDescent="0.25">
      <c r="A227" s="287"/>
      <c r="B227" s="287"/>
      <c r="C227" s="287"/>
      <c r="D227" s="287"/>
      <c r="E227" s="287"/>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E227" s="287"/>
      <c r="AF227" s="287"/>
      <c r="AG227" s="287"/>
      <c r="AH227" s="287"/>
    </row>
    <row r="228" spans="1:34" ht="13.5" customHeight="1" x14ac:dyDescent="0.25">
      <c r="A228" s="287"/>
      <c r="B228" s="287"/>
      <c r="C228" s="287"/>
      <c r="D228" s="287"/>
      <c r="E228" s="287"/>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E228" s="287"/>
      <c r="AF228" s="287"/>
      <c r="AG228" s="287"/>
      <c r="AH228" s="287"/>
    </row>
    <row r="229" spans="1:34" ht="13.5" customHeight="1" x14ac:dyDescent="0.25">
      <c r="A229" s="287"/>
      <c r="B229" s="287"/>
      <c r="C229" s="287"/>
      <c r="D229" s="287"/>
      <c r="E229" s="287"/>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E229" s="287"/>
      <c r="AF229" s="287"/>
      <c r="AG229" s="287"/>
      <c r="AH229" s="287"/>
    </row>
    <row r="230" spans="1:34" ht="13.5" customHeight="1" x14ac:dyDescent="0.25">
      <c r="A230" s="287"/>
      <c r="B230" s="287"/>
      <c r="C230" s="287"/>
      <c r="D230" s="287"/>
      <c r="E230" s="287"/>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E230" s="287"/>
      <c r="AF230" s="287"/>
      <c r="AG230" s="287"/>
      <c r="AH230" s="287"/>
    </row>
    <row r="231" spans="1:34" ht="13.5" customHeight="1" x14ac:dyDescent="0.25">
      <c r="A231" s="287"/>
      <c r="B231" s="287"/>
      <c r="C231" s="287"/>
      <c r="D231" s="287"/>
      <c r="E231" s="287"/>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E231" s="287"/>
      <c r="AF231" s="287"/>
      <c r="AG231" s="287"/>
      <c r="AH231" s="287"/>
    </row>
    <row r="232" spans="1:34" ht="13.5" customHeight="1" x14ac:dyDescent="0.25">
      <c r="A232" s="287"/>
      <c r="B232" s="287"/>
      <c r="C232" s="287"/>
      <c r="D232" s="287"/>
      <c r="E232" s="287"/>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E232" s="287"/>
      <c r="AF232" s="287"/>
      <c r="AG232" s="287"/>
      <c r="AH232" s="287"/>
    </row>
    <row r="233" spans="1:34" ht="13.5" customHeight="1" x14ac:dyDescent="0.25">
      <c r="A233" s="287"/>
      <c r="B233" s="287"/>
      <c r="C233" s="287"/>
      <c r="D233" s="287"/>
      <c r="E233" s="287"/>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E233" s="287"/>
      <c r="AF233" s="287"/>
      <c r="AG233" s="287"/>
      <c r="AH233" s="287"/>
    </row>
    <row r="234" spans="1:34" ht="13.5" customHeight="1" x14ac:dyDescent="0.25">
      <c r="A234" s="287"/>
      <c r="B234" s="287"/>
      <c r="C234" s="287"/>
      <c r="D234" s="287"/>
      <c r="E234" s="287"/>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E234" s="287"/>
      <c r="AF234" s="287"/>
      <c r="AG234" s="287"/>
      <c r="AH234" s="287"/>
    </row>
    <row r="235" spans="1:34" ht="13.5" customHeight="1" x14ac:dyDescent="0.25">
      <c r="A235" s="287"/>
      <c r="B235" s="287"/>
      <c r="C235" s="287"/>
      <c r="D235" s="287"/>
      <c r="E235" s="287"/>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E235" s="287"/>
      <c r="AF235" s="287"/>
      <c r="AG235" s="287"/>
      <c r="AH235" s="287"/>
    </row>
    <row r="236" spans="1:34" ht="13.5" customHeight="1" x14ac:dyDescent="0.25">
      <c r="A236" s="287"/>
      <c r="B236" s="287"/>
      <c r="C236" s="287"/>
      <c r="D236" s="287"/>
      <c r="E236" s="287"/>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E236" s="287"/>
      <c r="AF236" s="287"/>
      <c r="AG236" s="287"/>
      <c r="AH236" s="287"/>
    </row>
    <row r="237" spans="1:34" ht="13.5" customHeight="1" x14ac:dyDescent="0.25">
      <c r="A237" s="287"/>
      <c r="B237" s="287"/>
      <c r="C237" s="287"/>
      <c r="D237" s="287"/>
      <c r="E237" s="287"/>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E237" s="287"/>
      <c r="AF237" s="287"/>
      <c r="AG237" s="287"/>
      <c r="AH237" s="287"/>
    </row>
    <row r="238" spans="1:34" ht="13.5" customHeight="1" x14ac:dyDescent="0.25">
      <c r="A238" s="287"/>
      <c r="B238" s="287"/>
      <c r="C238" s="287"/>
      <c r="D238" s="287"/>
      <c r="E238" s="287"/>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E238" s="287"/>
      <c r="AF238" s="287"/>
      <c r="AG238" s="287"/>
      <c r="AH238" s="287"/>
    </row>
    <row r="239" spans="1:34" ht="13.5" customHeight="1" x14ac:dyDescent="0.25">
      <c r="A239" s="287"/>
      <c r="B239" s="287"/>
      <c r="C239" s="287"/>
      <c r="D239" s="287"/>
      <c r="E239" s="287"/>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E239" s="287"/>
      <c r="AF239" s="287"/>
      <c r="AG239" s="287"/>
      <c r="AH239" s="287"/>
    </row>
    <row r="240" spans="1:34" ht="13.5" customHeight="1" x14ac:dyDescent="0.25">
      <c r="A240" s="287"/>
      <c r="B240" s="287"/>
      <c r="C240" s="287"/>
      <c r="D240" s="287"/>
      <c r="E240" s="287"/>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E240" s="287"/>
      <c r="AF240" s="287"/>
      <c r="AG240" s="287"/>
      <c r="AH240" s="287"/>
    </row>
    <row r="241" spans="1:34" ht="13.5" customHeight="1" x14ac:dyDescent="0.25">
      <c r="A241" s="287"/>
      <c r="B241" s="287"/>
      <c r="C241" s="287"/>
      <c r="D241" s="287"/>
      <c r="E241" s="287"/>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E241" s="287"/>
      <c r="AF241" s="287"/>
      <c r="AG241" s="287"/>
      <c r="AH241" s="287"/>
    </row>
    <row r="242" spans="1:34" ht="13.5" customHeight="1" x14ac:dyDescent="0.25">
      <c r="A242" s="287"/>
      <c r="B242" s="287"/>
      <c r="C242" s="287"/>
      <c r="D242" s="287"/>
      <c r="E242" s="287"/>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E242" s="287"/>
      <c r="AF242" s="287"/>
      <c r="AG242" s="287"/>
      <c r="AH242" s="287"/>
    </row>
    <row r="243" spans="1:34" ht="13.5" customHeight="1" x14ac:dyDescent="0.25">
      <c r="A243" s="287"/>
      <c r="B243" s="287"/>
      <c r="C243" s="287"/>
      <c r="D243" s="287"/>
      <c r="E243" s="287"/>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E243" s="287"/>
      <c r="AF243" s="287"/>
      <c r="AG243" s="287"/>
      <c r="AH243" s="287"/>
    </row>
    <row r="244" spans="1:34" ht="13.5" customHeight="1" x14ac:dyDescent="0.25">
      <c r="A244" s="287"/>
      <c r="B244" s="287"/>
      <c r="C244" s="287"/>
      <c r="D244" s="287"/>
      <c r="E244" s="287"/>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E244" s="287"/>
      <c r="AF244" s="287"/>
      <c r="AG244" s="287"/>
      <c r="AH244" s="287"/>
    </row>
    <row r="245" spans="1:34" ht="13.5" customHeight="1" x14ac:dyDescent="0.25">
      <c r="A245" s="287"/>
      <c r="B245" s="287"/>
      <c r="C245" s="287"/>
      <c r="D245" s="287"/>
      <c r="E245" s="287"/>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E245" s="287"/>
      <c r="AF245" s="287"/>
      <c r="AG245" s="287"/>
      <c r="AH245" s="287"/>
    </row>
    <row r="246" spans="1:34" ht="13.5" customHeight="1" x14ac:dyDescent="0.25">
      <c r="A246" s="287"/>
      <c r="B246" s="287"/>
      <c r="C246" s="287"/>
      <c r="D246" s="287"/>
      <c r="E246" s="287"/>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E246" s="287"/>
      <c r="AF246" s="287"/>
      <c r="AG246" s="287"/>
      <c r="AH246" s="287"/>
    </row>
    <row r="247" spans="1:34" ht="13.5" customHeight="1" x14ac:dyDescent="0.25">
      <c r="A247" s="287"/>
      <c r="B247" s="287"/>
      <c r="C247" s="287"/>
      <c r="D247" s="287"/>
      <c r="E247" s="287"/>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E247" s="287"/>
      <c r="AF247" s="287"/>
      <c r="AG247" s="287"/>
      <c r="AH247" s="287"/>
    </row>
    <row r="248" spans="1:34" ht="13.5" customHeight="1" x14ac:dyDescent="0.25">
      <c r="A248" s="287"/>
      <c r="B248" s="287"/>
      <c r="C248" s="287"/>
      <c r="D248" s="287"/>
      <c r="E248" s="287"/>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E248" s="287"/>
      <c r="AF248" s="287"/>
      <c r="AG248" s="287"/>
      <c r="AH248" s="287"/>
    </row>
    <row r="249" spans="1:34" ht="13.5" customHeight="1" x14ac:dyDescent="0.25">
      <c r="A249" s="287"/>
      <c r="B249" s="287"/>
      <c r="C249" s="287"/>
      <c r="D249" s="287"/>
      <c r="E249" s="287"/>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E249" s="287"/>
      <c r="AF249" s="287"/>
      <c r="AG249" s="287"/>
      <c r="AH249" s="287"/>
    </row>
    <row r="250" spans="1:34" ht="13.5" customHeight="1" x14ac:dyDescent="0.25">
      <c r="A250" s="287"/>
      <c r="B250" s="287"/>
      <c r="C250" s="287"/>
      <c r="D250" s="287"/>
      <c r="E250" s="287"/>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E250" s="287"/>
      <c r="AF250" s="287"/>
      <c r="AG250" s="287"/>
      <c r="AH250" s="287"/>
    </row>
    <row r="251" spans="1:34" ht="13.5" customHeight="1" x14ac:dyDescent="0.25">
      <c r="A251" s="287"/>
      <c r="B251" s="287"/>
      <c r="C251" s="287"/>
      <c r="D251" s="287"/>
      <c r="E251" s="287"/>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E251" s="287"/>
      <c r="AF251" s="287"/>
      <c r="AG251" s="287"/>
      <c r="AH251" s="287"/>
    </row>
    <row r="252" spans="1:34" ht="13.5" customHeight="1" x14ac:dyDescent="0.25">
      <c r="A252" s="287"/>
      <c r="B252" s="287"/>
      <c r="C252" s="287"/>
      <c r="D252" s="287"/>
      <c r="E252" s="287"/>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E252" s="287"/>
      <c r="AF252" s="287"/>
      <c r="AG252" s="287"/>
      <c r="AH252" s="287"/>
    </row>
    <row r="253" spans="1:34" ht="13.5" customHeight="1" x14ac:dyDescent="0.25">
      <c r="A253" s="287"/>
      <c r="B253" s="287"/>
      <c r="C253" s="287"/>
      <c r="D253" s="287"/>
      <c r="E253" s="287"/>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E253" s="287"/>
      <c r="AF253" s="287"/>
      <c r="AG253" s="287"/>
      <c r="AH253" s="287"/>
    </row>
    <row r="254" spans="1:34" ht="13.5" customHeight="1" x14ac:dyDescent="0.25">
      <c r="A254" s="287"/>
      <c r="B254" s="287"/>
      <c r="C254" s="287"/>
      <c r="D254" s="287"/>
      <c r="E254" s="287"/>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E254" s="287"/>
      <c r="AF254" s="287"/>
      <c r="AG254" s="287"/>
      <c r="AH254" s="287"/>
    </row>
    <row r="255" spans="1:34" ht="13.5" customHeight="1" x14ac:dyDescent="0.25">
      <c r="A255" s="287"/>
      <c r="B255" s="287"/>
      <c r="C255" s="287"/>
      <c r="D255" s="287"/>
      <c r="E255" s="287"/>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E255" s="287"/>
      <c r="AF255" s="287"/>
      <c r="AG255" s="287"/>
      <c r="AH255" s="287"/>
    </row>
    <row r="256" spans="1:34" ht="13.5" customHeight="1" x14ac:dyDescent="0.25">
      <c r="A256" s="287"/>
      <c r="B256" s="287"/>
      <c r="C256" s="287"/>
      <c r="D256" s="287"/>
      <c r="E256" s="287"/>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E256" s="287"/>
      <c r="AF256" s="287"/>
      <c r="AG256" s="287"/>
      <c r="AH256" s="287"/>
    </row>
    <row r="257" spans="1:34" ht="13.5" customHeight="1" x14ac:dyDescent="0.25">
      <c r="A257" s="287"/>
      <c r="B257" s="287"/>
      <c r="C257" s="287"/>
      <c r="D257" s="287"/>
      <c r="E257" s="287"/>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E257" s="287"/>
      <c r="AF257" s="287"/>
      <c r="AG257" s="287"/>
      <c r="AH257" s="287"/>
    </row>
    <row r="258" spans="1:34" ht="13.5" customHeight="1" x14ac:dyDescent="0.25">
      <c r="A258" s="287"/>
      <c r="B258" s="287"/>
      <c r="C258" s="287"/>
      <c r="D258" s="287"/>
      <c r="E258" s="287"/>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E258" s="287"/>
      <c r="AF258" s="287"/>
      <c r="AG258" s="287"/>
      <c r="AH258" s="287"/>
    </row>
    <row r="259" spans="1:34" ht="13.5" customHeight="1" x14ac:dyDescent="0.25">
      <c r="A259" s="287"/>
      <c r="B259" s="287"/>
      <c r="C259" s="287"/>
      <c r="D259" s="287"/>
      <c r="E259" s="287"/>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E259" s="287"/>
      <c r="AF259" s="287"/>
      <c r="AG259" s="287"/>
      <c r="AH259" s="287"/>
    </row>
    <row r="260" spans="1:34" ht="13.5" customHeight="1" x14ac:dyDescent="0.25">
      <c r="A260" s="287"/>
      <c r="B260" s="287"/>
      <c r="C260" s="287"/>
      <c r="D260" s="287"/>
      <c r="E260" s="287"/>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E260" s="287"/>
      <c r="AF260" s="287"/>
      <c r="AG260" s="287"/>
      <c r="AH260" s="287"/>
    </row>
    <row r="261" spans="1:34" ht="13.5" customHeight="1" x14ac:dyDescent="0.25">
      <c r="A261" s="287"/>
      <c r="B261" s="287"/>
      <c r="C261" s="287"/>
      <c r="D261" s="287"/>
      <c r="E261" s="287"/>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E261" s="287"/>
      <c r="AF261" s="287"/>
      <c r="AG261" s="287"/>
      <c r="AH261" s="287"/>
    </row>
    <row r="262" spans="1:34" ht="13.5" customHeight="1" x14ac:dyDescent="0.25">
      <c r="A262" s="287"/>
      <c r="B262" s="287"/>
      <c r="C262" s="287"/>
      <c r="D262" s="287"/>
      <c r="E262" s="287"/>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E262" s="287"/>
      <c r="AF262" s="287"/>
      <c r="AG262" s="287"/>
      <c r="AH262" s="287"/>
    </row>
    <row r="263" spans="1:34" ht="13.5" customHeight="1" x14ac:dyDescent="0.25">
      <c r="A263" s="287"/>
      <c r="B263" s="287"/>
      <c r="C263" s="287"/>
      <c r="D263" s="287"/>
      <c r="E263" s="287"/>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E263" s="287"/>
      <c r="AF263" s="287"/>
      <c r="AG263" s="287"/>
      <c r="AH263" s="287"/>
    </row>
    <row r="264" spans="1:34" ht="13.5" customHeight="1" x14ac:dyDescent="0.25">
      <c r="A264" s="287"/>
      <c r="B264" s="287"/>
      <c r="C264" s="287"/>
      <c r="D264" s="287"/>
      <c r="E264" s="287"/>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E264" s="287"/>
      <c r="AF264" s="287"/>
      <c r="AG264" s="287"/>
      <c r="AH264" s="287"/>
    </row>
    <row r="265" spans="1:34" ht="13.5" customHeight="1" x14ac:dyDescent="0.25">
      <c r="A265" s="287"/>
      <c r="B265" s="287"/>
      <c r="C265" s="287"/>
      <c r="D265" s="287"/>
      <c r="E265" s="287"/>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E265" s="287"/>
      <c r="AF265" s="287"/>
      <c r="AG265" s="287"/>
      <c r="AH265" s="287"/>
    </row>
    <row r="266" spans="1:34" ht="13.5" customHeight="1" x14ac:dyDescent="0.25">
      <c r="A266" s="287"/>
      <c r="B266" s="287"/>
      <c r="C266" s="287"/>
      <c r="D266" s="287"/>
      <c r="E266" s="287"/>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E266" s="287"/>
      <c r="AF266" s="287"/>
      <c r="AG266" s="287"/>
      <c r="AH266" s="287"/>
    </row>
    <row r="267" spans="1:34" ht="13.5" customHeight="1" x14ac:dyDescent="0.25">
      <c r="A267" s="287"/>
      <c r="B267" s="287"/>
      <c r="C267" s="287"/>
      <c r="D267" s="287"/>
      <c r="E267" s="287"/>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E267" s="287"/>
      <c r="AF267" s="287"/>
      <c r="AG267" s="287"/>
      <c r="AH267" s="287"/>
    </row>
    <row r="268" spans="1:34" ht="13.5" customHeight="1" x14ac:dyDescent="0.25">
      <c r="A268" s="287"/>
      <c r="B268" s="287"/>
      <c r="C268" s="287"/>
      <c r="D268" s="287"/>
      <c r="E268" s="287"/>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E268" s="287"/>
      <c r="AF268" s="287"/>
      <c r="AG268" s="287"/>
      <c r="AH268" s="287"/>
    </row>
    <row r="269" spans="1:34" ht="13.5" customHeight="1" x14ac:dyDescent="0.25">
      <c r="A269" s="287"/>
      <c r="B269" s="287"/>
      <c r="C269" s="287"/>
      <c r="D269" s="287"/>
      <c r="E269" s="287"/>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E269" s="287"/>
      <c r="AF269" s="287"/>
      <c r="AG269" s="287"/>
      <c r="AH269" s="287"/>
    </row>
    <row r="270" spans="1:34" ht="13.5" customHeight="1" x14ac:dyDescent="0.25">
      <c r="A270" s="287"/>
      <c r="B270" s="287"/>
      <c r="C270" s="287"/>
      <c r="D270" s="287"/>
      <c r="E270" s="287"/>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E270" s="287"/>
      <c r="AF270" s="287"/>
      <c r="AG270" s="287"/>
      <c r="AH270" s="287"/>
    </row>
    <row r="271" spans="1:34" ht="13.5" customHeight="1" x14ac:dyDescent="0.25">
      <c r="A271" s="287"/>
      <c r="B271" s="287"/>
      <c r="C271" s="287"/>
      <c r="D271" s="287"/>
      <c r="E271" s="287"/>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E271" s="287"/>
      <c r="AF271" s="287"/>
      <c r="AG271" s="287"/>
      <c r="AH271" s="287"/>
    </row>
    <row r="272" spans="1:34" ht="13.5" customHeight="1" x14ac:dyDescent="0.25">
      <c r="A272" s="287"/>
      <c r="B272" s="287"/>
      <c r="C272" s="287"/>
      <c r="D272" s="287"/>
      <c r="E272" s="287"/>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E272" s="287"/>
      <c r="AF272" s="287"/>
      <c r="AG272" s="287"/>
      <c r="AH272" s="287"/>
    </row>
    <row r="273" spans="1:34" ht="13.5" customHeight="1" x14ac:dyDescent="0.25">
      <c r="A273" s="287"/>
      <c r="B273" s="287"/>
      <c r="C273" s="287"/>
      <c r="D273" s="287"/>
      <c r="E273" s="287"/>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E273" s="287"/>
      <c r="AF273" s="287"/>
      <c r="AG273" s="287"/>
      <c r="AH273" s="287"/>
    </row>
    <row r="274" spans="1:34" ht="13.5" customHeight="1" x14ac:dyDescent="0.25">
      <c r="A274" s="287"/>
      <c r="B274" s="287"/>
      <c r="C274" s="287"/>
      <c r="D274" s="287"/>
      <c r="E274" s="287"/>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E274" s="287"/>
      <c r="AF274" s="287"/>
      <c r="AG274" s="287"/>
      <c r="AH274" s="287"/>
    </row>
    <row r="275" spans="1:34" ht="13.5" customHeight="1" x14ac:dyDescent="0.25">
      <c r="A275" s="287"/>
      <c r="B275" s="287"/>
      <c r="C275" s="287"/>
      <c r="D275" s="287"/>
      <c r="E275" s="287"/>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E275" s="287"/>
      <c r="AF275" s="287"/>
      <c r="AG275" s="287"/>
      <c r="AH275" s="287"/>
    </row>
    <row r="276" spans="1:34" ht="13.5" customHeight="1" x14ac:dyDescent="0.25">
      <c r="A276" s="287"/>
      <c r="B276" s="287"/>
      <c r="C276" s="287"/>
      <c r="D276" s="287"/>
      <c r="E276" s="287"/>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E276" s="287"/>
      <c r="AF276" s="287"/>
      <c r="AG276" s="287"/>
      <c r="AH276" s="287"/>
    </row>
    <row r="277" spans="1:34" ht="13.5" customHeight="1" x14ac:dyDescent="0.25">
      <c r="A277" s="287"/>
      <c r="B277" s="287"/>
      <c r="C277" s="287"/>
      <c r="D277" s="287"/>
      <c r="E277" s="287"/>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E277" s="287"/>
      <c r="AF277" s="287"/>
      <c r="AG277" s="287"/>
      <c r="AH277" s="287"/>
    </row>
    <row r="278" spans="1:34" ht="13.5" customHeight="1" x14ac:dyDescent="0.25">
      <c r="A278" s="287"/>
      <c r="B278" s="287"/>
      <c r="C278" s="287"/>
      <c r="D278" s="287"/>
      <c r="E278" s="287"/>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E278" s="287"/>
      <c r="AF278" s="287"/>
      <c r="AG278" s="287"/>
      <c r="AH278" s="287"/>
    </row>
    <row r="279" spans="1:34" ht="13.5" customHeight="1" x14ac:dyDescent="0.25">
      <c r="A279" s="287"/>
      <c r="B279" s="287"/>
      <c r="C279" s="287"/>
      <c r="D279" s="287"/>
      <c r="E279" s="287"/>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E279" s="287"/>
      <c r="AF279" s="287"/>
      <c r="AG279" s="287"/>
      <c r="AH279" s="287"/>
    </row>
    <row r="280" spans="1:34" ht="13.5" customHeight="1" x14ac:dyDescent="0.25">
      <c r="A280" s="287"/>
      <c r="B280" s="287"/>
      <c r="C280" s="287"/>
      <c r="D280" s="287"/>
      <c r="E280" s="287"/>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E280" s="287"/>
      <c r="AF280" s="287"/>
      <c r="AG280" s="287"/>
      <c r="AH280" s="287"/>
    </row>
    <row r="281" spans="1:34" ht="13.5" customHeight="1" x14ac:dyDescent="0.25">
      <c r="A281" s="287"/>
      <c r="B281" s="287"/>
      <c r="C281" s="287"/>
      <c r="D281" s="287"/>
      <c r="E281" s="287"/>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E281" s="287"/>
      <c r="AF281" s="287"/>
      <c r="AG281" s="287"/>
      <c r="AH281" s="287"/>
    </row>
    <row r="282" spans="1:34" ht="13.5" customHeight="1" x14ac:dyDescent="0.25">
      <c r="A282" s="287"/>
      <c r="B282" s="287"/>
      <c r="C282" s="287"/>
      <c r="D282" s="287"/>
      <c r="E282" s="287"/>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E282" s="287"/>
      <c r="AF282" s="287"/>
      <c r="AG282" s="287"/>
      <c r="AH282" s="287"/>
    </row>
    <row r="283" spans="1:34" ht="13.5" customHeight="1" x14ac:dyDescent="0.25">
      <c r="A283" s="287"/>
      <c r="B283" s="287"/>
      <c r="C283" s="287"/>
      <c r="D283" s="287"/>
      <c r="E283" s="287"/>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E283" s="287"/>
      <c r="AF283" s="287"/>
      <c r="AG283" s="287"/>
      <c r="AH283" s="287"/>
    </row>
    <row r="284" spans="1:34" ht="13.5" customHeight="1" x14ac:dyDescent="0.25">
      <c r="A284" s="287"/>
      <c r="B284" s="287"/>
      <c r="C284" s="287"/>
      <c r="D284" s="287"/>
      <c r="E284" s="287"/>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E284" s="287"/>
      <c r="AF284" s="287"/>
      <c r="AG284" s="287"/>
      <c r="AH284" s="287"/>
    </row>
    <row r="285" spans="1:34" ht="13.5" customHeight="1" x14ac:dyDescent="0.25">
      <c r="A285" s="287"/>
      <c r="B285" s="287"/>
      <c r="C285" s="287"/>
      <c r="D285" s="287"/>
      <c r="E285" s="287"/>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E285" s="287"/>
      <c r="AF285" s="287"/>
      <c r="AG285" s="287"/>
      <c r="AH285" s="287"/>
    </row>
    <row r="286" spans="1:34" ht="13.5" customHeight="1" x14ac:dyDescent="0.25">
      <c r="A286" s="287"/>
      <c r="B286" s="287"/>
      <c r="C286" s="287"/>
      <c r="D286" s="287"/>
      <c r="E286" s="287"/>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E286" s="287"/>
      <c r="AF286" s="287"/>
      <c r="AG286" s="287"/>
      <c r="AH286" s="287"/>
    </row>
    <row r="287" spans="1:34" ht="13.5" customHeight="1" x14ac:dyDescent="0.25">
      <c r="A287" s="287"/>
      <c r="B287" s="287"/>
      <c r="C287" s="287"/>
      <c r="D287" s="287"/>
      <c r="E287" s="287"/>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E287" s="287"/>
      <c r="AF287" s="287"/>
      <c r="AG287" s="287"/>
      <c r="AH287" s="287"/>
    </row>
    <row r="288" spans="1:34" ht="13.5" customHeight="1" x14ac:dyDescent="0.25">
      <c r="A288" s="287"/>
      <c r="B288" s="287"/>
      <c r="C288" s="287"/>
      <c r="D288" s="287"/>
      <c r="E288" s="287"/>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E288" s="287"/>
      <c r="AF288" s="287"/>
      <c r="AG288" s="287"/>
      <c r="AH288" s="287"/>
    </row>
    <row r="289" spans="1:34" ht="13.5" customHeight="1" x14ac:dyDescent="0.25">
      <c r="A289" s="287"/>
      <c r="B289" s="287"/>
      <c r="C289" s="287"/>
      <c r="D289" s="287"/>
      <c r="E289" s="287"/>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E289" s="287"/>
      <c r="AF289" s="287"/>
      <c r="AG289" s="287"/>
      <c r="AH289" s="287"/>
    </row>
    <row r="290" spans="1:34" ht="13.5" customHeight="1" x14ac:dyDescent="0.25">
      <c r="A290" s="287"/>
      <c r="B290" s="287"/>
      <c r="C290" s="287"/>
      <c r="D290" s="287"/>
      <c r="E290" s="287"/>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E290" s="287"/>
      <c r="AF290" s="287"/>
      <c r="AG290" s="287"/>
      <c r="AH290" s="287"/>
    </row>
    <row r="291" spans="1:34" ht="13.5" customHeight="1" x14ac:dyDescent="0.25">
      <c r="A291" s="287"/>
      <c r="B291" s="287"/>
      <c r="C291" s="287"/>
      <c r="D291" s="287"/>
      <c r="E291" s="287"/>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E291" s="287"/>
      <c r="AF291" s="287"/>
      <c r="AG291" s="287"/>
      <c r="AH291" s="287"/>
    </row>
    <row r="292" spans="1:34" ht="13.5" customHeight="1" x14ac:dyDescent="0.25">
      <c r="A292" s="287"/>
      <c r="B292" s="287"/>
      <c r="C292" s="287"/>
      <c r="D292" s="287"/>
      <c r="E292" s="287"/>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E292" s="287"/>
      <c r="AF292" s="287"/>
      <c r="AG292" s="287"/>
      <c r="AH292" s="287"/>
    </row>
    <row r="293" spans="1:34" ht="13.5" customHeight="1" x14ac:dyDescent="0.25">
      <c r="A293" s="287"/>
      <c r="B293" s="287"/>
      <c r="C293" s="287"/>
      <c r="D293" s="287"/>
      <c r="E293" s="287"/>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E293" s="287"/>
      <c r="AF293" s="287"/>
      <c r="AG293" s="287"/>
      <c r="AH293" s="287"/>
    </row>
    <row r="294" spans="1:34" ht="13.5" customHeight="1" x14ac:dyDescent="0.25">
      <c r="A294" s="287"/>
      <c r="B294" s="287"/>
      <c r="C294" s="287"/>
      <c r="D294" s="287"/>
      <c r="E294" s="287"/>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E294" s="287"/>
      <c r="AF294" s="287"/>
      <c r="AG294" s="287"/>
      <c r="AH294" s="287"/>
    </row>
    <row r="295" spans="1:34" ht="13.5" customHeight="1" x14ac:dyDescent="0.25">
      <c r="A295" s="287"/>
      <c r="B295" s="287"/>
      <c r="C295" s="287"/>
      <c r="D295" s="287"/>
      <c r="E295" s="287"/>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E295" s="287"/>
      <c r="AF295" s="287"/>
      <c r="AG295" s="287"/>
      <c r="AH295" s="287"/>
    </row>
    <row r="296" spans="1:34" ht="13.5" customHeight="1" x14ac:dyDescent="0.25">
      <c r="A296" s="287"/>
      <c r="B296" s="287"/>
      <c r="C296" s="287"/>
      <c r="D296" s="287"/>
      <c r="E296" s="287"/>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E296" s="287"/>
      <c r="AF296" s="287"/>
      <c r="AG296" s="287"/>
      <c r="AH296" s="287"/>
    </row>
    <row r="297" spans="1:34" ht="13.5" customHeight="1" x14ac:dyDescent="0.25">
      <c r="A297" s="287"/>
      <c r="B297" s="287"/>
      <c r="C297" s="287"/>
      <c r="D297" s="287"/>
      <c r="E297" s="287"/>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E297" s="287"/>
      <c r="AF297" s="287"/>
      <c r="AG297" s="287"/>
      <c r="AH297" s="287"/>
    </row>
    <row r="298" spans="1:34" ht="13.5" customHeight="1" x14ac:dyDescent="0.25">
      <c r="A298" s="287"/>
      <c r="B298" s="287"/>
      <c r="C298" s="287"/>
      <c r="D298" s="287"/>
      <c r="E298" s="287"/>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E298" s="287"/>
      <c r="AF298" s="287"/>
      <c r="AG298" s="287"/>
      <c r="AH298" s="287"/>
    </row>
    <row r="299" spans="1:34" ht="13.5" customHeight="1" x14ac:dyDescent="0.25">
      <c r="A299" s="287"/>
      <c r="B299" s="287"/>
      <c r="C299" s="287"/>
      <c r="D299" s="287"/>
      <c r="E299" s="287"/>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E299" s="287"/>
      <c r="AF299" s="287"/>
      <c r="AG299" s="287"/>
      <c r="AH299" s="287"/>
    </row>
    <row r="300" spans="1:34" ht="13.5" customHeight="1" x14ac:dyDescent="0.25">
      <c r="A300" s="287"/>
      <c r="B300" s="287"/>
      <c r="C300" s="287"/>
      <c r="D300" s="287"/>
      <c r="E300" s="287"/>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E300" s="287"/>
      <c r="AF300" s="287"/>
      <c r="AG300" s="287"/>
      <c r="AH300" s="287"/>
    </row>
    <row r="301" spans="1:34" ht="13.5" customHeight="1" x14ac:dyDescent="0.25">
      <c r="A301" s="287"/>
      <c r="B301" s="287"/>
      <c r="C301" s="287"/>
      <c r="D301" s="287"/>
      <c r="E301" s="287"/>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E301" s="287"/>
      <c r="AF301" s="287"/>
      <c r="AG301" s="287"/>
      <c r="AH301" s="287"/>
    </row>
    <row r="302" spans="1:34" ht="13.5" customHeight="1" x14ac:dyDescent="0.25">
      <c r="A302" s="287"/>
      <c r="B302" s="287"/>
      <c r="C302" s="287"/>
      <c r="D302" s="287"/>
      <c r="E302" s="287"/>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E302" s="287"/>
      <c r="AF302" s="287"/>
      <c r="AG302" s="287"/>
      <c r="AH302" s="287"/>
    </row>
    <row r="303" spans="1:34" ht="13.5" customHeight="1" x14ac:dyDescent="0.25">
      <c r="A303" s="287"/>
      <c r="B303" s="287"/>
      <c r="C303" s="287"/>
      <c r="D303" s="287"/>
      <c r="E303" s="287"/>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E303" s="287"/>
      <c r="AF303" s="287"/>
      <c r="AG303" s="287"/>
      <c r="AH303" s="287"/>
    </row>
    <row r="304" spans="1:34" ht="13.5" customHeight="1" x14ac:dyDescent="0.25">
      <c r="A304" s="287"/>
      <c r="B304" s="287"/>
      <c r="C304" s="287"/>
      <c r="D304" s="287"/>
      <c r="E304" s="287"/>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E304" s="287"/>
      <c r="AF304" s="287"/>
      <c r="AG304" s="287"/>
      <c r="AH304" s="287"/>
    </row>
    <row r="305" spans="1:34" ht="13.5" customHeight="1" x14ac:dyDescent="0.25">
      <c r="A305" s="287"/>
      <c r="B305" s="287"/>
      <c r="C305" s="287"/>
      <c r="D305" s="287"/>
      <c r="E305" s="287"/>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E305" s="287"/>
      <c r="AF305" s="287"/>
      <c r="AG305" s="287"/>
      <c r="AH305" s="287"/>
    </row>
    <row r="306" spans="1:34" ht="13.5" customHeight="1" x14ac:dyDescent="0.25">
      <c r="A306" s="287"/>
      <c r="B306" s="287"/>
      <c r="C306" s="287"/>
      <c r="D306" s="287"/>
      <c r="E306" s="287"/>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E306" s="287"/>
      <c r="AF306" s="287"/>
      <c r="AG306" s="287"/>
      <c r="AH306" s="287"/>
    </row>
    <row r="307" spans="1:34" ht="13.5" customHeight="1" x14ac:dyDescent="0.25">
      <c r="A307" s="287"/>
      <c r="B307" s="287"/>
      <c r="C307" s="287"/>
      <c r="D307" s="287"/>
      <c r="E307" s="287"/>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E307" s="287"/>
      <c r="AF307" s="287"/>
      <c r="AG307" s="287"/>
      <c r="AH307" s="287"/>
    </row>
    <row r="308" spans="1:34" ht="13.5" customHeight="1" x14ac:dyDescent="0.25">
      <c r="A308" s="287"/>
      <c r="B308" s="287"/>
      <c r="C308" s="287"/>
      <c r="D308" s="287"/>
      <c r="E308" s="287"/>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E308" s="287"/>
      <c r="AF308" s="287"/>
      <c r="AG308" s="287"/>
      <c r="AH308" s="287"/>
    </row>
    <row r="309" spans="1:34" ht="13.5" customHeight="1" x14ac:dyDescent="0.25">
      <c r="A309" s="287"/>
      <c r="B309" s="287"/>
      <c r="C309" s="287"/>
      <c r="D309" s="287"/>
      <c r="E309" s="287"/>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E309" s="287"/>
      <c r="AF309" s="287"/>
      <c r="AG309" s="287"/>
      <c r="AH309" s="287"/>
    </row>
    <row r="310" spans="1:34" ht="13.5" customHeight="1" x14ac:dyDescent="0.25">
      <c r="A310" s="287"/>
      <c r="B310" s="287"/>
      <c r="C310" s="287"/>
      <c r="D310" s="287"/>
      <c r="E310" s="287"/>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E310" s="287"/>
      <c r="AF310" s="287"/>
      <c r="AG310" s="287"/>
      <c r="AH310" s="287"/>
    </row>
    <row r="311" spans="1:34" ht="13.5" customHeight="1" x14ac:dyDescent="0.25">
      <c r="A311" s="287"/>
      <c r="B311" s="287"/>
      <c r="C311" s="287"/>
      <c r="D311" s="287"/>
      <c r="E311" s="287"/>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E311" s="287"/>
      <c r="AF311" s="287"/>
      <c r="AG311" s="287"/>
      <c r="AH311" s="287"/>
    </row>
    <row r="312" spans="1:34" ht="13.5" customHeight="1" x14ac:dyDescent="0.25">
      <c r="A312" s="287"/>
      <c r="B312" s="287"/>
      <c r="C312" s="287"/>
      <c r="D312" s="287"/>
      <c r="E312" s="287"/>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E312" s="287"/>
      <c r="AF312" s="287"/>
      <c r="AG312" s="287"/>
      <c r="AH312" s="287"/>
    </row>
    <row r="313" spans="1:34" ht="13.5" customHeight="1" x14ac:dyDescent="0.25">
      <c r="A313" s="287"/>
      <c r="B313" s="287"/>
      <c r="C313" s="287"/>
      <c r="D313" s="287"/>
      <c r="E313" s="287"/>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E313" s="287"/>
      <c r="AF313" s="287"/>
      <c r="AG313" s="287"/>
      <c r="AH313" s="287"/>
    </row>
    <row r="314" spans="1:34" ht="13.5" customHeight="1" x14ac:dyDescent="0.25">
      <c r="A314" s="287"/>
      <c r="B314" s="287"/>
      <c r="C314" s="287"/>
      <c r="D314" s="287"/>
      <c r="E314" s="287"/>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E314" s="287"/>
      <c r="AF314" s="287"/>
      <c r="AG314" s="287"/>
      <c r="AH314" s="287"/>
    </row>
    <row r="315" spans="1:34" ht="13.5" customHeight="1" x14ac:dyDescent="0.25">
      <c r="A315" s="287"/>
      <c r="B315" s="287"/>
      <c r="C315" s="287"/>
      <c r="D315" s="287"/>
      <c r="E315" s="287"/>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E315" s="287"/>
      <c r="AF315" s="287"/>
      <c r="AG315" s="287"/>
      <c r="AH315" s="287"/>
    </row>
    <row r="316" spans="1:34" ht="13.5" customHeight="1" x14ac:dyDescent="0.25">
      <c r="A316" s="287"/>
      <c r="B316" s="287"/>
      <c r="C316" s="287"/>
      <c r="D316" s="287"/>
      <c r="E316" s="287"/>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E316" s="287"/>
      <c r="AF316" s="287"/>
      <c r="AG316" s="287"/>
      <c r="AH316" s="287"/>
    </row>
    <row r="317" spans="1:34" ht="13.5" customHeight="1" x14ac:dyDescent="0.25">
      <c r="A317" s="287"/>
      <c r="B317" s="287"/>
      <c r="C317" s="287"/>
      <c r="D317" s="287"/>
      <c r="E317" s="287"/>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E317" s="287"/>
      <c r="AF317" s="287"/>
      <c r="AG317" s="287"/>
      <c r="AH317" s="287"/>
    </row>
    <row r="318" spans="1:34" ht="13.5" customHeight="1" x14ac:dyDescent="0.25">
      <c r="A318" s="287"/>
      <c r="B318" s="287"/>
      <c r="C318" s="287"/>
      <c r="D318" s="287"/>
      <c r="E318" s="287"/>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E318" s="287"/>
      <c r="AF318" s="287"/>
      <c r="AG318" s="287"/>
      <c r="AH318" s="287"/>
    </row>
    <row r="319" spans="1:34" ht="13.5" customHeight="1" x14ac:dyDescent="0.25">
      <c r="A319" s="287"/>
      <c r="B319" s="287"/>
      <c r="C319" s="287"/>
      <c r="D319" s="287"/>
      <c r="E319" s="287"/>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E319" s="287"/>
      <c r="AF319" s="287"/>
      <c r="AG319" s="287"/>
      <c r="AH319" s="287"/>
    </row>
    <row r="320" spans="1:34" ht="13.5" customHeight="1" x14ac:dyDescent="0.25">
      <c r="A320" s="287"/>
      <c r="B320" s="287"/>
      <c r="C320" s="287"/>
      <c r="D320" s="287"/>
      <c r="E320" s="287"/>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E320" s="287"/>
      <c r="AF320" s="287"/>
      <c r="AG320" s="287"/>
      <c r="AH320" s="287"/>
    </row>
    <row r="321" spans="1:34" ht="13.5" customHeight="1" x14ac:dyDescent="0.25">
      <c r="A321" s="287"/>
      <c r="B321" s="287"/>
      <c r="C321" s="287"/>
      <c r="D321" s="287"/>
      <c r="E321" s="287"/>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E321" s="287"/>
      <c r="AF321" s="287"/>
      <c r="AG321" s="287"/>
      <c r="AH321" s="287"/>
    </row>
    <row r="322" spans="1:34" ht="13.5" customHeight="1" x14ac:dyDescent="0.25">
      <c r="A322" s="287"/>
      <c r="B322" s="287"/>
      <c r="C322" s="287"/>
      <c r="D322" s="287"/>
      <c r="E322" s="287"/>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E322" s="287"/>
      <c r="AF322" s="287"/>
      <c r="AG322" s="287"/>
      <c r="AH322" s="287"/>
    </row>
    <row r="323" spans="1:34" ht="13.5" customHeight="1" x14ac:dyDescent="0.25">
      <c r="A323" s="287"/>
      <c r="B323" s="287"/>
      <c r="C323" s="287"/>
      <c r="D323" s="287"/>
      <c r="E323" s="287"/>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E323" s="287"/>
      <c r="AF323" s="287"/>
      <c r="AG323" s="287"/>
      <c r="AH323" s="287"/>
    </row>
    <row r="324" spans="1:34" ht="13.5" customHeight="1" x14ac:dyDescent="0.25">
      <c r="A324" s="287"/>
      <c r="B324" s="287"/>
      <c r="C324" s="287"/>
      <c r="D324" s="287"/>
      <c r="E324" s="287"/>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E324" s="287"/>
      <c r="AF324" s="287"/>
      <c r="AG324" s="287"/>
      <c r="AH324" s="287"/>
    </row>
    <row r="325" spans="1:34" ht="13.5" customHeight="1" x14ac:dyDescent="0.25">
      <c r="A325" s="287"/>
      <c r="B325" s="287"/>
      <c r="C325" s="287"/>
      <c r="D325" s="287"/>
      <c r="E325" s="287"/>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E325" s="287"/>
      <c r="AF325" s="287"/>
      <c r="AG325" s="287"/>
      <c r="AH325" s="287"/>
    </row>
    <row r="326" spans="1:34" ht="13.5" customHeight="1" x14ac:dyDescent="0.25">
      <c r="A326" s="287"/>
      <c r="B326" s="287"/>
      <c r="C326" s="287"/>
      <c r="D326" s="287"/>
      <c r="E326" s="287"/>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E326" s="287"/>
      <c r="AF326" s="287"/>
      <c r="AG326" s="287"/>
      <c r="AH326" s="287"/>
    </row>
    <row r="327" spans="1:34" ht="13.5" customHeight="1" x14ac:dyDescent="0.25">
      <c r="A327" s="287"/>
      <c r="B327" s="287"/>
      <c r="C327" s="287"/>
      <c r="D327" s="287"/>
      <c r="E327" s="287"/>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E327" s="287"/>
      <c r="AF327" s="287"/>
      <c r="AG327" s="287"/>
      <c r="AH327" s="287"/>
    </row>
    <row r="328" spans="1:34" ht="13.5" customHeight="1" x14ac:dyDescent="0.25">
      <c r="A328" s="287"/>
      <c r="B328" s="287"/>
      <c r="C328" s="287"/>
      <c r="D328" s="287"/>
      <c r="E328" s="287"/>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E328" s="287"/>
      <c r="AF328" s="287"/>
      <c r="AG328" s="287"/>
      <c r="AH328" s="287"/>
    </row>
    <row r="329" spans="1:34" ht="13.5" customHeight="1" x14ac:dyDescent="0.25">
      <c r="A329" s="287"/>
      <c r="B329" s="287"/>
      <c r="C329" s="287"/>
      <c r="D329" s="287"/>
      <c r="E329" s="287"/>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E329" s="287"/>
      <c r="AF329" s="287"/>
      <c r="AG329" s="287"/>
      <c r="AH329" s="287"/>
    </row>
    <row r="330" spans="1:34" ht="13.5" customHeight="1" x14ac:dyDescent="0.25">
      <c r="A330" s="287"/>
      <c r="B330" s="287"/>
      <c r="C330" s="287"/>
      <c r="D330" s="287"/>
      <c r="E330" s="287"/>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E330" s="287"/>
      <c r="AF330" s="287"/>
      <c r="AG330" s="287"/>
      <c r="AH330" s="287"/>
    </row>
    <row r="331" spans="1:34" ht="13.5" customHeight="1" x14ac:dyDescent="0.25">
      <c r="A331" s="287"/>
      <c r="B331" s="287"/>
      <c r="C331" s="287"/>
      <c r="D331" s="287"/>
      <c r="E331" s="287"/>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E331" s="287"/>
      <c r="AF331" s="287"/>
      <c r="AG331" s="287"/>
      <c r="AH331" s="287"/>
    </row>
    <row r="332" spans="1:34" ht="13.5" customHeight="1" x14ac:dyDescent="0.25">
      <c r="A332" s="287"/>
      <c r="B332" s="287"/>
      <c r="C332" s="287"/>
      <c r="D332" s="287"/>
      <c r="E332" s="287"/>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E332" s="287"/>
      <c r="AF332" s="287"/>
      <c r="AG332" s="287"/>
      <c r="AH332" s="287"/>
    </row>
    <row r="333" spans="1:34" ht="13.5" customHeight="1" x14ac:dyDescent="0.25">
      <c r="A333" s="287"/>
      <c r="B333" s="287"/>
      <c r="C333" s="287"/>
      <c r="D333" s="287"/>
      <c r="E333" s="287"/>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E333" s="287"/>
      <c r="AF333" s="287"/>
      <c r="AG333" s="287"/>
      <c r="AH333" s="287"/>
    </row>
    <row r="334" spans="1:34" ht="13.5" customHeight="1" x14ac:dyDescent="0.25">
      <c r="A334" s="287"/>
      <c r="B334" s="287"/>
      <c r="C334" s="287"/>
      <c r="D334" s="287"/>
      <c r="E334" s="287"/>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E334" s="287"/>
      <c r="AF334" s="287"/>
      <c r="AG334" s="287"/>
      <c r="AH334" s="287"/>
    </row>
    <row r="335" spans="1:34" ht="13.5" customHeight="1" x14ac:dyDescent="0.25">
      <c r="A335" s="287"/>
      <c r="B335" s="287"/>
      <c r="C335" s="287"/>
      <c r="D335" s="287"/>
      <c r="E335" s="287"/>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E335" s="287"/>
      <c r="AF335" s="287"/>
      <c r="AG335" s="287"/>
      <c r="AH335" s="287"/>
    </row>
    <row r="336" spans="1:34" ht="13.5" customHeight="1" x14ac:dyDescent="0.25">
      <c r="A336" s="287"/>
      <c r="B336" s="287"/>
      <c r="C336" s="287"/>
      <c r="D336" s="287"/>
      <c r="E336" s="287"/>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E336" s="287"/>
      <c r="AF336" s="287"/>
      <c r="AG336" s="287"/>
      <c r="AH336" s="287"/>
    </row>
    <row r="337" spans="1:34" ht="13.5" customHeight="1" x14ac:dyDescent="0.25">
      <c r="A337" s="287"/>
      <c r="B337" s="287"/>
      <c r="C337" s="287"/>
      <c r="D337" s="287"/>
      <c r="E337" s="287"/>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E337" s="287"/>
      <c r="AF337" s="287"/>
      <c r="AG337" s="287"/>
      <c r="AH337" s="287"/>
    </row>
    <row r="338" spans="1:34" ht="13.5" customHeight="1" x14ac:dyDescent="0.25">
      <c r="A338" s="287"/>
      <c r="B338" s="287"/>
      <c r="C338" s="287"/>
      <c r="D338" s="287"/>
      <c r="E338" s="287"/>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E338" s="287"/>
      <c r="AF338" s="287"/>
      <c r="AG338" s="287"/>
      <c r="AH338" s="287"/>
    </row>
    <row r="339" spans="1:34" ht="13.5" customHeight="1" x14ac:dyDescent="0.25">
      <c r="A339" s="287"/>
      <c r="B339" s="287"/>
      <c r="C339" s="287"/>
      <c r="D339" s="287"/>
      <c r="E339" s="287"/>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E339" s="287"/>
      <c r="AF339" s="287"/>
      <c r="AG339" s="287"/>
      <c r="AH339" s="287"/>
    </row>
    <row r="340" spans="1:34" ht="13.5" customHeight="1" x14ac:dyDescent="0.25">
      <c r="A340" s="287"/>
      <c r="B340" s="287"/>
      <c r="C340" s="287"/>
      <c r="D340" s="287"/>
      <c r="E340" s="287"/>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E340" s="287"/>
      <c r="AF340" s="287"/>
      <c r="AG340" s="287"/>
      <c r="AH340" s="287"/>
    </row>
    <row r="341" spans="1:34" ht="13.5" customHeight="1" x14ac:dyDescent="0.25">
      <c r="A341" s="287"/>
      <c r="B341" s="287"/>
      <c r="C341" s="287"/>
      <c r="D341" s="287"/>
      <c r="E341" s="287"/>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E341" s="287"/>
      <c r="AF341" s="287"/>
      <c r="AG341" s="287"/>
      <c r="AH341" s="287"/>
    </row>
    <row r="342" spans="1:34" ht="13.5" customHeight="1" x14ac:dyDescent="0.25">
      <c r="A342" s="287"/>
      <c r="B342" s="287"/>
      <c r="C342" s="287"/>
      <c r="D342" s="287"/>
      <c r="E342" s="287"/>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E342" s="287"/>
      <c r="AF342" s="287"/>
      <c r="AG342" s="287"/>
      <c r="AH342" s="287"/>
    </row>
    <row r="343" spans="1:34" ht="13.5" customHeight="1" x14ac:dyDescent="0.25">
      <c r="A343" s="287"/>
      <c r="B343" s="287"/>
      <c r="C343" s="287"/>
      <c r="D343" s="287"/>
      <c r="E343" s="287"/>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E343" s="287"/>
      <c r="AF343" s="287"/>
      <c r="AG343" s="287"/>
      <c r="AH343" s="287"/>
    </row>
    <row r="344" spans="1:34" ht="13.5" customHeight="1" x14ac:dyDescent="0.25">
      <c r="A344" s="287"/>
      <c r="B344" s="287"/>
      <c r="C344" s="287"/>
      <c r="D344" s="287"/>
      <c r="E344" s="287"/>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E344" s="287"/>
      <c r="AF344" s="287"/>
      <c r="AG344" s="287"/>
      <c r="AH344" s="287"/>
    </row>
    <row r="345" spans="1:34" ht="13.5" customHeight="1" x14ac:dyDescent="0.25">
      <c r="A345" s="287"/>
      <c r="B345" s="287"/>
      <c r="C345" s="287"/>
      <c r="D345" s="287"/>
      <c r="E345" s="287"/>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E345" s="287"/>
      <c r="AF345" s="287"/>
      <c r="AG345" s="287"/>
      <c r="AH345" s="287"/>
    </row>
    <row r="346" spans="1:34" ht="13.5" customHeight="1" x14ac:dyDescent="0.25">
      <c r="A346" s="287"/>
      <c r="B346" s="287"/>
      <c r="C346" s="287"/>
      <c r="D346" s="287"/>
      <c r="E346" s="287"/>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E346" s="287"/>
      <c r="AF346" s="287"/>
      <c r="AG346" s="287"/>
      <c r="AH346" s="287"/>
    </row>
    <row r="347" spans="1:34" ht="13.5" customHeight="1" x14ac:dyDescent="0.25">
      <c r="A347" s="287"/>
      <c r="B347" s="287"/>
      <c r="C347" s="287"/>
      <c r="D347" s="287"/>
      <c r="E347" s="287"/>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E347" s="287"/>
      <c r="AF347" s="287"/>
      <c r="AG347" s="287"/>
      <c r="AH347" s="287"/>
    </row>
    <row r="348" spans="1:34" ht="13.5" customHeight="1" x14ac:dyDescent="0.25">
      <c r="A348" s="287"/>
      <c r="B348" s="287"/>
      <c r="C348" s="287"/>
      <c r="D348" s="287"/>
      <c r="E348" s="287"/>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E348" s="287"/>
      <c r="AF348" s="287"/>
      <c r="AG348" s="287"/>
      <c r="AH348" s="287"/>
    </row>
    <row r="349" spans="1:34" ht="13.5" customHeight="1" x14ac:dyDescent="0.25">
      <c r="A349" s="287"/>
      <c r="B349" s="287"/>
      <c r="C349" s="287"/>
      <c r="D349" s="287"/>
      <c r="E349" s="287"/>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E349" s="287"/>
      <c r="AF349" s="287"/>
      <c r="AG349" s="287"/>
      <c r="AH349" s="287"/>
    </row>
    <row r="350" spans="1:34" ht="13.5" customHeight="1" x14ac:dyDescent="0.25">
      <c r="A350" s="287"/>
      <c r="B350" s="287"/>
      <c r="C350" s="287"/>
      <c r="D350" s="287"/>
      <c r="E350" s="287"/>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E350" s="287"/>
      <c r="AF350" s="287"/>
      <c r="AG350" s="287"/>
      <c r="AH350" s="287"/>
    </row>
    <row r="351" spans="1:34" ht="13.5" customHeight="1" x14ac:dyDescent="0.25">
      <c r="A351" s="287"/>
      <c r="B351" s="287"/>
      <c r="C351" s="287"/>
      <c r="D351" s="287"/>
      <c r="E351" s="287"/>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E351" s="287"/>
      <c r="AF351" s="287"/>
      <c r="AG351" s="287"/>
      <c r="AH351" s="287"/>
    </row>
    <row r="352" spans="1:34" ht="13.5" customHeight="1" x14ac:dyDescent="0.25">
      <c r="A352" s="287"/>
      <c r="B352" s="287"/>
      <c r="C352" s="287"/>
      <c r="D352" s="287"/>
      <c r="E352" s="287"/>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E352" s="287"/>
      <c r="AF352" s="287"/>
      <c r="AG352" s="287"/>
      <c r="AH352" s="287"/>
    </row>
    <row r="353" spans="1:34" ht="13.5" customHeight="1" x14ac:dyDescent="0.25">
      <c r="A353" s="287"/>
      <c r="B353" s="287"/>
      <c r="C353" s="287"/>
      <c r="D353" s="287"/>
      <c r="E353" s="287"/>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E353" s="287"/>
      <c r="AF353" s="287"/>
      <c r="AG353" s="287"/>
      <c r="AH353" s="287"/>
    </row>
    <row r="354" spans="1:34" ht="13.5" customHeight="1" x14ac:dyDescent="0.25">
      <c r="A354" s="287"/>
      <c r="B354" s="287"/>
      <c r="C354" s="287"/>
      <c r="D354" s="287"/>
      <c r="E354" s="287"/>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E354" s="287"/>
      <c r="AF354" s="287"/>
      <c r="AG354" s="287"/>
      <c r="AH354" s="287"/>
    </row>
    <row r="355" spans="1:34" ht="13.5" customHeight="1" x14ac:dyDescent="0.25">
      <c r="A355" s="287"/>
      <c r="B355" s="287"/>
      <c r="C355" s="287"/>
      <c r="D355" s="287"/>
      <c r="E355" s="287"/>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E355" s="287"/>
      <c r="AF355" s="287"/>
      <c r="AG355" s="287"/>
      <c r="AH355" s="287"/>
    </row>
    <row r="356" spans="1:34" ht="13.5" customHeight="1" x14ac:dyDescent="0.25">
      <c r="A356" s="287"/>
      <c r="B356" s="287"/>
      <c r="C356" s="287"/>
      <c r="D356" s="287"/>
      <c r="E356" s="287"/>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E356" s="287"/>
      <c r="AF356" s="287"/>
      <c r="AG356" s="287"/>
      <c r="AH356" s="287"/>
    </row>
    <row r="357" spans="1:34" ht="13.5" customHeight="1" x14ac:dyDescent="0.25">
      <c r="A357" s="287"/>
      <c r="B357" s="287"/>
      <c r="C357" s="287"/>
      <c r="D357" s="287"/>
      <c r="E357" s="287"/>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E357" s="287"/>
      <c r="AF357" s="287"/>
      <c r="AG357" s="287"/>
      <c r="AH357" s="287"/>
    </row>
    <row r="358" spans="1:34" ht="13.5" customHeight="1" x14ac:dyDescent="0.25">
      <c r="A358" s="287"/>
      <c r="B358" s="287"/>
      <c r="C358" s="287"/>
      <c r="D358" s="287"/>
      <c r="E358" s="287"/>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E358" s="287"/>
      <c r="AF358" s="287"/>
      <c r="AG358" s="287"/>
      <c r="AH358" s="287"/>
    </row>
    <row r="359" spans="1:34" ht="13.5" customHeight="1" x14ac:dyDescent="0.25">
      <c r="A359" s="287"/>
      <c r="B359" s="287"/>
      <c r="C359" s="287"/>
      <c r="D359" s="287"/>
      <c r="E359" s="287"/>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E359" s="287"/>
      <c r="AF359" s="287"/>
      <c r="AG359" s="287"/>
      <c r="AH359" s="287"/>
    </row>
    <row r="360" spans="1:34" ht="13.5" customHeight="1" x14ac:dyDescent="0.25">
      <c r="A360" s="287"/>
      <c r="B360" s="287"/>
      <c r="C360" s="287"/>
      <c r="D360" s="287"/>
      <c r="E360" s="287"/>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E360" s="287"/>
      <c r="AF360" s="287"/>
      <c r="AG360" s="287"/>
      <c r="AH360" s="287"/>
    </row>
    <row r="361" spans="1:34" ht="13.5" customHeight="1" x14ac:dyDescent="0.25">
      <c r="A361" s="287"/>
      <c r="B361" s="287"/>
      <c r="C361" s="287"/>
      <c r="D361" s="287"/>
      <c r="E361" s="287"/>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E361" s="287"/>
      <c r="AF361" s="287"/>
      <c r="AG361" s="287"/>
      <c r="AH361" s="287"/>
    </row>
    <row r="362" spans="1:34" ht="13.5" customHeight="1" x14ac:dyDescent="0.25">
      <c r="A362" s="287"/>
      <c r="B362" s="287"/>
      <c r="C362" s="287"/>
      <c r="D362" s="287"/>
      <c r="E362" s="287"/>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E362" s="287"/>
      <c r="AF362" s="287"/>
      <c r="AG362" s="287"/>
      <c r="AH362" s="287"/>
    </row>
    <row r="363" spans="1:34" ht="13.5" customHeight="1" x14ac:dyDescent="0.25">
      <c r="A363" s="287"/>
      <c r="B363" s="287"/>
      <c r="C363" s="287"/>
      <c r="D363" s="287"/>
      <c r="E363" s="287"/>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E363" s="287"/>
      <c r="AF363" s="287"/>
      <c r="AG363" s="287"/>
      <c r="AH363" s="287"/>
    </row>
    <row r="364" spans="1:34" ht="13.5" customHeight="1" x14ac:dyDescent="0.25">
      <c r="A364" s="287"/>
      <c r="B364" s="287"/>
      <c r="C364" s="287"/>
      <c r="D364" s="287"/>
      <c r="E364" s="287"/>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E364" s="287"/>
      <c r="AF364" s="287"/>
      <c r="AG364" s="287"/>
      <c r="AH364" s="287"/>
    </row>
    <row r="365" spans="1:34" ht="13.5" customHeight="1" x14ac:dyDescent="0.25">
      <c r="A365" s="287"/>
      <c r="B365" s="287"/>
      <c r="C365" s="287"/>
      <c r="D365" s="287"/>
      <c r="E365" s="287"/>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E365" s="287"/>
      <c r="AF365" s="287"/>
      <c r="AG365" s="287"/>
      <c r="AH365" s="287"/>
    </row>
    <row r="366" spans="1:34" ht="13.5" customHeight="1" x14ac:dyDescent="0.25">
      <c r="A366" s="287"/>
      <c r="B366" s="287"/>
      <c r="C366" s="287"/>
      <c r="D366" s="287"/>
      <c r="E366" s="287"/>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E366" s="287"/>
      <c r="AF366" s="287"/>
      <c r="AG366" s="287"/>
      <c r="AH366" s="287"/>
    </row>
    <row r="367" spans="1:34" ht="13.5" customHeight="1" x14ac:dyDescent="0.25">
      <c r="A367" s="287"/>
      <c r="B367" s="287"/>
      <c r="C367" s="287"/>
      <c r="D367" s="287"/>
      <c r="E367" s="287"/>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E367" s="287"/>
      <c r="AF367" s="287"/>
      <c r="AG367" s="287"/>
      <c r="AH367" s="287"/>
    </row>
    <row r="368" spans="1:34" ht="13.5" customHeight="1" x14ac:dyDescent="0.25">
      <c r="A368" s="287"/>
      <c r="B368" s="287"/>
      <c r="C368" s="287"/>
      <c r="D368" s="287"/>
      <c r="E368" s="287"/>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E368" s="287"/>
      <c r="AF368" s="287"/>
      <c r="AG368" s="287"/>
      <c r="AH368" s="287"/>
    </row>
    <row r="369" spans="1:34" ht="13.5" customHeight="1" x14ac:dyDescent="0.25">
      <c r="A369" s="287"/>
      <c r="B369" s="287"/>
      <c r="C369" s="287"/>
      <c r="D369" s="287"/>
      <c r="E369" s="287"/>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E369" s="287"/>
      <c r="AF369" s="287"/>
      <c r="AG369" s="287"/>
      <c r="AH369" s="287"/>
    </row>
    <row r="370" spans="1:34" ht="13.5" customHeight="1" x14ac:dyDescent="0.25">
      <c r="A370" s="287"/>
      <c r="B370" s="287"/>
      <c r="C370" s="287"/>
      <c r="D370" s="287"/>
      <c r="E370" s="287"/>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E370" s="287"/>
      <c r="AF370" s="287"/>
      <c r="AG370" s="287"/>
      <c r="AH370" s="287"/>
    </row>
    <row r="371" spans="1:34" ht="13.5" customHeight="1" x14ac:dyDescent="0.25">
      <c r="A371" s="287"/>
      <c r="B371" s="287"/>
      <c r="C371" s="287"/>
      <c r="D371" s="287"/>
      <c r="E371" s="287"/>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E371" s="287"/>
      <c r="AF371" s="287"/>
      <c r="AG371" s="287"/>
      <c r="AH371" s="287"/>
    </row>
    <row r="372" spans="1:34" ht="13.5" customHeight="1" x14ac:dyDescent="0.25">
      <c r="A372" s="287"/>
      <c r="B372" s="287"/>
      <c r="C372" s="287"/>
      <c r="D372" s="287"/>
      <c r="E372" s="287"/>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E372" s="287"/>
      <c r="AF372" s="287"/>
      <c r="AG372" s="287"/>
      <c r="AH372" s="287"/>
    </row>
    <row r="373" spans="1:34" ht="13.5" customHeight="1" x14ac:dyDescent="0.25">
      <c r="A373" s="287"/>
      <c r="B373" s="287"/>
      <c r="C373" s="287"/>
      <c r="D373" s="287"/>
      <c r="E373" s="287"/>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E373" s="287"/>
      <c r="AF373" s="287"/>
      <c r="AG373" s="287"/>
      <c r="AH373" s="287"/>
    </row>
    <row r="374" spans="1:34" ht="13.5" customHeight="1" x14ac:dyDescent="0.25">
      <c r="A374" s="287"/>
      <c r="B374" s="287"/>
      <c r="C374" s="287"/>
      <c r="D374" s="287"/>
      <c r="E374" s="287"/>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E374" s="287"/>
      <c r="AF374" s="287"/>
      <c r="AG374" s="287"/>
      <c r="AH374" s="287"/>
    </row>
    <row r="375" spans="1:34" ht="13.5" customHeight="1" x14ac:dyDescent="0.25">
      <c r="A375" s="287"/>
      <c r="B375" s="287"/>
      <c r="C375" s="287"/>
      <c r="D375" s="287"/>
      <c r="E375" s="287"/>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E375" s="287"/>
      <c r="AF375" s="287"/>
      <c r="AG375" s="287"/>
      <c r="AH375" s="287"/>
    </row>
    <row r="376" spans="1:34" ht="13.5" customHeight="1" x14ac:dyDescent="0.25">
      <c r="A376" s="287"/>
      <c r="B376" s="287"/>
      <c r="C376" s="287"/>
      <c r="D376" s="287"/>
      <c r="E376" s="287"/>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E376" s="287"/>
      <c r="AF376" s="287"/>
      <c r="AG376" s="287"/>
      <c r="AH376" s="287"/>
    </row>
    <row r="377" spans="1:34" ht="13.5" customHeight="1" x14ac:dyDescent="0.25">
      <c r="A377" s="287"/>
      <c r="B377" s="287"/>
      <c r="C377" s="287"/>
      <c r="D377" s="287"/>
      <c r="E377" s="287"/>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E377" s="287"/>
      <c r="AF377" s="287"/>
      <c r="AG377" s="287"/>
      <c r="AH377" s="287"/>
    </row>
    <row r="378" spans="1:34" ht="13.5" customHeight="1" x14ac:dyDescent="0.25">
      <c r="A378" s="287"/>
      <c r="B378" s="287"/>
      <c r="C378" s="287"/>
      <c r="D378" s="287"/>
      <c r="E378" s="287"/>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E378" s="287"/>
      <c r="AF378" s="287"/>
      <c r="AG378" s="287"/>
      <c r="AH378" s="287"/>
    </row>
    <row r="379" spans="1:34" ht="13.5" customHeight="1" x14ac:dyDescent="0.25">
      <c r="A379" s="287"/>
      <c r="B379" s="287"/>
      <c r="C379" s="287"/>
      <c r="D379" s="287"/>
      <c r="E379" s="287"/>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E379" s="287"/>
      <c r="AF379" s="287"/>
      <c r="AG379" s="287"/>
      <c r="AH379" s="287"/>
    </row>
    <row r="380" spans="1:34" ht="13.5" customHeight="1" x14ac:dyDescent="0.25">
      <c r="A380" s="287"/>
      <c r="B380" s="287"/>
      <c r="C380" s="287"/>
      <c r="D380" s="287"/>
      <c r="E380" s="287"/>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E380" s="287"/>
      <c r="AF380" s="287"/>
      <c r="AG380" s="287"/>
      <c r="AH380" s="287"/>
    </row>
    <row r="381" spans="1:34" ht="13.5" customHeight="1" x14ac:dyDescent="0.25">
      <c r="A381" s="287"/>
      <c r="B381" s="287"/>
      <c r="C381" s="287"/>
      <c r="D381" s="287"/>
      <c r="E381" s="287"/>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E381" s="287"/>
      <c r="AF381" s="287"/>
      <c r="AG381" s="287"/>
      <c r="AH381" s="287"/>
    </row>
    <row r="382" spans="1:34" ht="13.5" customHeight="1" x14ac:dyDescent="0.25">
      <c r="A382" s="287"/>
      <c r="B382" s="287"/>
      <c r="C382" s="287"/>
      <c r="D382" s="287"/>
      <c r="E382" s="287"/>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E382" s="287"/>
      <c r="AF382" s="287"/>
      <c r="AG382" s="287"/>
      <c r="AH382" s="287"/>
    </row>
    <row r="383" spans="1:34" ht="13.5" customHeight="1" x14ac:dyDescent="0.25">
      <c r="A383" s="287"/>
      <c r="B383" s="287"/>
      <c r="C383" s="287"/>
      <c r="D383" s="287"/>
      <c r="E383" s="287"/>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E383" s="287"/>
      <c r="AF383" s="287"/>
      <c r="AG383" s="287"/>
      <c r="AH383" s="287"/>
    </row>
    <row r="384" spans="1:34" ht="13.5" customHeight="1" x14ac:dyDescent="0.25">
      <c r="A384" s="287"/>
      <c r="B384" s="287"/>
      <c r="C384" s="287"/>
      <c r="D384" s="287"/>
      <c r="E384" s="287"/>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E384" s="287"/>
      <c r="AF384" s="287"/>
      <c r="AG384" s="287"/>
      <c r="AH384" s="287"/>
    </row>
    <row r="385" spans="1:34" ht="13.5" customHeight="1" x14ac:dyDescent="0.25">
      <c r="A385" s="287"/>
      <c r="B385" s="287"/>
      <c r="C385" s="287"/>
      <c r="D385" s="287"/>
      <c r="E385" s="287"/>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E385" s="287"/>
      <c r="AF385" s="287"/>
      <c r="AG385" s="287"/>
      <c r="AH385" s="287"/>
    </row>
    <row r="386" spans="1:34" ht="13.5" customHeight="1" x14ac:dyDescent="0.25">
      <c r="A386" s="287"/>
      <c r="B386" s="287"/>
      <c r="C386" s="287"/>
      <c r="D386" s="287"/>
      <c r="E386" s="287"/>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E386" s="287"/>
      <c r="AF386" s="287"/>
      <c r="AG386" s="287"/>
      <c r="AH386" s="287"/>
    </row>
    <row r="387" spans="1:34" ht="13.5" customHeight="1" x14ac:dyDescent="0.25">
      <c r="A387" s="287"/>
      <c r="B387" s="287"/>
      <c r="C387" s="287"/>
      <c r="D387" s="287"/>
      <c r="E387" s="287"/>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E387" s="287"/>
      <c r="AF387" s="287"/>
      <c r="AG387" s="287"/>
      <c r="AH387" s="287"/>
    </row>
    <row r="388" spans="1:34" ht="13.5" customHeight="1" x14ac:dyDescent="0.25">
      <c r="A388" s="287"/>
      <c r="B388" s="287"/>
      <c r="C388" s="287"/>
      <c r="D388" s="287"/>
      <c r="E388" s="287"/>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E388" s="287"/>
      <c r="AF388" s="287"/>
      <c r="AG388" s="287"/>
      <c r="AH388" s="287"/>
    </row>
    <row r="389" spans="1:34" ht="13.5" customHeight="1" x14ac:dyDescent="0.25">
      <c r="A389" s="287"/>
      <c r="B389" s="287"/>
      <c r="C389" s="287"/>
      <c r="D389" s="287"/>
      <c r="E389" s="287"/>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E389" s="287"/>
      <c r="AF389" s="287"/>
      <c r="AG389" s="287"/>
      <c r="AH389" s="287"/>
    </row>
    <row r="390" spans="1:34" ht="13.5" customHeight="1" x14ac:dyDescent="0.25">
      <c r="A390" s="287"/>
      <c r="B390" s="287"/>
      <c r="C390" s="287"/>
      <c r="D390" s="287"/>
      <c r="E390" s="287"/>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E390" s="287"/>
      <c r="AF390" s="287"/>
      <c r="AG390" s="287"/>
      <c r="AH390" s="287"/>
    </row>
    <row r="391" spans="1:34" ht="13.5" customHeight="1" x14ac:dyDescent="0.25">
      <c r="A391" s="287"/>
      <c r="B391" s="287"/>
      <c r="C391" s="287"/>
      <c r="D391" s="287"/>
      <c r="E391" s="287"/>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E391" s="287"/>
      <c r="AF391" s="287"/>
      <c r="AG391" s="287"/>
      <c r="AH391" s="287"/>
    </row>
    <row r="392" spans="1:34" ht="13.5" customHeight="1" x14ac:dyDescent="0.25">
      <c r="A392" s="287"/>
      <c r="B392" s="287"/>
      <c r="C392" s="287"/>
      <c r="D392" s="287"/>
      <c r="E392" s="287"/>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E392" s="287"/>
      <c r="AF392" s="287"/>
      <c r="AG392" s="287"/>
      <c r="AH392" s="287"/>
    </row>
    <row r="393" spans="1:34" ht="13.5" customHeight="1" x14ac:dyDescent="0.25">
      <c r="A393" s="287"/>
      <c r="B393" s="287"/>
      <c r="C393" s="287"/>
      <c r="D393" s="287"/>
      <c r="E393" s="287"/>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E393" s="287"/>
      <c r="AF393" s="287"/>
      <c r="AG393" s="287"/>
      <c r="AH393" s="287"/>
    </row>
    <row r="394" spans="1:34" ht="13.5" customHeight="1" x14ac:dyDescent="0.25">
      <c r="A394" s="287"/>
      <c r="B394" s="287"/>
      <c r="C394" s="287"/>
      <c r="D394" s="287"/>
      <c r="E394" s="287"/>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E394" s="287"/>
      <c r="AF394" s="287"/>
      <c r="AG394" s="287"/>
      <c r="AH394" s="287"/>
    </row>
    <row r="395" spans="1:34" ht="13.5" customHeight="1" x14ac:dyDescent="0.25">
      <c r="A395" s="287"/>
      <c r="B395" s="287"/>
      <c r="C395" s="287"/>
      <c r="D395" s="287"/>
      <c r="E395" s="287"/>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E395" s="287"/>
      <c r="AF395" s="287"/>
      <c r="AG395" s="287"/>
      <c r="AH395" s="287"/>
    </row>
    <row r="396" spans="1:34" ht="13.5" customHeight="1" x14ac:dyDescent="0.25">
      <c r="A396" s="287"/>
      <c r="B396" s="287"/>
      <c r="C396" s="287"/>
      <c r="D396" s="287"/>
      <c r="E396" s="287"/>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E396" s="287"/>
      <c r="AF396" s="287"/>
      <c r="AG396" s="287"/>
      <c r="AH396" s="287"/>
    </row>
    <row r="397" spans="1:34" ht="13.5" customHeight="1" x14ac:dyDescent="0.25">
      <c r="A397" s="287"/>
      <c r="B397" s="287"/>
      <c r="C397" s="287"/>
      <c r="D397" s="287"/>
      <c r="E397" s="287"/>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E397" s="287"/>
      <c r="AF397" s="287"/>
      <c r="AG397" s="287"/>
      <c r="AH397" s="287"/>
    </row>
    <row r="398" spans="1:34" ht="13.5" customHeight="1" x14ac:dyDescent="0.25">
      <c r="A398" s="287"/>
      <c r="B398" s="287"/>
      <c r="C398" s="287"/>
      <c r="D398" s="287"/>
      <c r="E398" s="287"/>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E398" s="287"/>
      <c r="AF398" s="287"/>
      <c r="AG398" s="287"/>
      <c r="AH398" s="287"/>
    </row>
    <row r="399" spans="1:34" ht="13.5" customHeight="1" x14ac:dyDescent="0.25">
      <c r="A399" s="287"/>
      <c r="B399" s="287"/>
      <c r="C399" s="287"/>
      <c r="D399" s="287"/>
      <c r="E399" s="287"/>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E399" s="287"/>
      <c r="AF399" s="287"/>
      <c r="AG399" s="287"/>
      <c r="AH399" s="287"/>
    </row>
    <row r="400" spans="1:34" ht="13.5" customHeight="1" x14ac:dyDescent="0.25">
      <c r="A400" s="287"/>
      <c r="B400" s="287"/>
      <c r="C400" s="287"/>
      <c r="D400" s="287"/>
      <c r="E400" s="287"/>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E400" s="287"/>
      <c r="AF400" s="287"/>
      <c r="AG400" s="287"/>
      <c r="AH400" s="287"/>
    </row>
    <row r="401" spans="1:34" ht="13.5" customHeight="1" x14ac:dyDescent="0.25">
      <c r="A401" s="287"/>
      <c r="B401" s="287"/>
      <c r="C401" s="287"/>
      <c r="D401" s="287"/>
      <c r="E401" s="287"/>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E401" s="287"/>
      <c r="AF401" s="287"/>
      <c r="AG401" s="287"/>
      <c r="AH401" s="287"/>
    </row>
    <row r="402" spans="1:34" ht="13.5" customHeight="1" x14ac:dyDescent="0.25">
      <c r="A402" s="287"/>
      <c r="B402" s="287"/>
      <c r="C402" s="287"/>
      <c r="D402" s="287"/>
      <c r="E402" s="287"/>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E402" s="287"/>
      <c r="AF402" s="287"/>
      <c r="AG402" s="287"/>
      <c r="AH402" s="287"/>
    </row>
    <row r="403" spans="1:34" ht="13.5" customHeight="1" x14ac:dyDescent="0.25">
      <c r="A403" s="287"/>
      <c r="B403" s="287"/>
      <c r="C403" s="287"/>
      <c r="D403" s="287"/>
      <c r="E403" s="287"/>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E403" s="287"/>
      <c r="AF403" s="287"/>
      <c r="AG403" s="287"/>
      <c r="AH403" s="287"/>
    </row>
    <row r="404" spans="1:34" ht="13.5" customHeight="1" x14ac:dyDescent="0.25">
      <c r="A404" s="287"/>
      <c r="B404" s="287"/>
      <c r="C404" s="287"/>
      <c r="D404" s="287"/>
      <c r="E404" s="287"/>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E404" s="287"/>
      <c r="AF404" s="287"/>
      <c r="AG404" s="287"/>
      <c r="AH404" s="287"/>
    </row>
    <row r="405" spans="1:34" ht="13.5" customHeight="1" x14ac:dyDescent="0.25">
      <c r="A405" s="287"/>
      <c r="B405" s="287"/>
      <c r="C405" s="287"/>
      <c r="D405" s="287"/>
      <c r="E405" s="287"/>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E405" s="287"/>
      <c r="AF405" s="287"/>
      <c r="AG405" s="287"/>
      <c r="AH405" s="287"/>
    </row>
    <row r="406" spans="1:34" ht="13.5" customHeight="1" x14ac:dyDescent="0.25">
      <c r="A406" s="287"/>
      <c r="B406" s="287"/>
      <c r="C406" s="287"/>
      <c r="D406" s="287"/>
      <c r="E406" s="287"/>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E406" s="287"/>
      <c r="AF406" s="287"/>
      <c r="AG406" s="287"/>
      <c r="AH406" s="287"/>
    </row>
    <row r="407" spans="1:34" ht="13.5" customHeight="1" x14ac:dyDescent="0.25">
      <c r="A407" s="287"/>
      <c r="B407" s="287"/>
      <c r="C407" s="287"/>
      <c r="D407" s="287"/>
      <c r="E407" s="287"/>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E407" s="287"/>
      <c r="AF407" s="287"/>
      <c r="AG407" s="287"/>
      <c r="AH407" s="287"/>
    </row>
    <row r="408" spans="1:34" ht="13.5" customHeight="1" x14ac:dyDescent="0.25">
      <c r="A408" s="287"/>
      <c r="B408" s="287"/>
      <c r="C408" s="287"/>
      <c r="D408" s="287"/>
      <c r="E408" s="287"/>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E408" s="287"/>
      <c r="AF408" s="287"/>
      <c r="AG408" s="287"/>
      <c r="AH408" s="287"/>
    </row>
    <row r="409" spans="1:34" ht="13.5" customHeight="1" x14ac:dyDescent="0.25">
      <c r="A409" s="287"/>
      <c r="B409" s="287"/>
      <c r="C409" s="287"/>
      <c r="D409" s="287"/>
      <c r="E409" s="287"/>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E409" s="287"/>
      <c r="AF409" s="287"/>
      <c r="AG409" s="287"/>
      <c r="AH409" s="287"/>
    </row>
    <row r="410" spans="1:34" ht="13.5" customHeight="1" x14ac:dyDescent="0.25">
      <c r="A410" s="287"/>
      <c r="B410" s="287"/>
      <c r="C410" s="287"/>
      <c r="D410" s="287"/>
      <c r="E410" s="287"/>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E410" s="287"/>
      <c r="AF410" s="287"/>
      <c r="AG410" s="287"/>
      <c r="AH410" s="287"/>
    </row>
    <row r="411" spans="1:34" ht="13.5" customHeight="1" x14ac:dyDescent="0.25">
      <c r="A411" s="287"/>
      <c r="B411" s="287"/>
      <c r="C411" s="287"/>
      <c r="D411" s="287"/>
      <c r="E411" s="287"/>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E411" s="287"/>
      <c r="AF411" s="287"/>
      <c r="AG411" s="287"/>
      <c r="AH411" s="287"/>
    </row>
    <row r="412" spans="1:34" ht="13.5" customHeight="1" x14ac:dyDescent="0.25">
      <c r="A412" s="287"/>
      <c r="B412" s="287"/>
      <c r="C412" s="287"/>
      <c r="D412" s="287"/>
      <c r="E412" s="287"/>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E412" s="287"/>
      <c r="AF412" s="287"/>
      <c r="AG412" s="287"/>
      <c r="AH412" s="287"/>
    </row>
    <row r="413" spans="1:34" ht="13.5" customHeight="1" x14ac:dyDescent="0.25">
      <c r="A413" s="287"/>
      <c r="B413" s="287"/>
      <c r="C413" s="287"/>
      <c r="D413" s="287"/>
      <c r="E413" s="287"/>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E413" s="287"/>
      <c r="AF413" s="287"/>
      <c r="AG413" s="287"/>
      <c r="AH413" s="287"/>
    </row>
    <row r="414" spans="1:34" ht="13.5" customHeight="1" x14ac:dyDescent="0.25">
      <c r="A414" s="287"/>
      <c r="B414" s="287"/>
      <c r="C414" s="287"/>
      <c r="D414" s="287"/>
      <c r="E414" s="287"/>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E414" s="287"/>
      <c r="AF414" s="287"/>
      <c r="AG414" s="287"/>
      <c r="AH414" s="287"/>
    </row>
    <row r="415" spans="1:34" ht="13.5" customHeight="1" x14ac:dyDescent="0.25">
      <c r="A415" s="287"/>
      <c r="B415" s="287"/>
      <c r="C415" s="287"/>
      <c r="D415" s="287"/>
      <c r="E415" s="287"/>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E415" s="287"/>
      <c r="AF415" s="287"/>
      <c r="AG415" s="287"/>
      <c r="AH415" s="287"/>
    </row>
    <row r="416" spans="1:34" ht="13.5" customHeight="1" x14ac:dyDescent="0.25">
      <c r="A416" s="287"/>
      <c r="B416" s="287"/>
      <c r="C416" s="287"/>
      <c r="D416" s="287"/>
      <c r="E416" s="287"/>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E416" s="287"/>
      <c r="AF416" s="287"/>
      <c r="AG416" s="287"/>
      <c r="AH416" s="287"/>
    </row>
    <row r="417" spans="1:34" ht="13.5" customHeight="1" x14ac:dyDescent="0.25">
      <c r="A417" s="287"/>
      <c r="B417" s="287"/>
      <c r="C417" s="287"/>
      <c r="D417" s="287"/>
      <c r="E417" s="287"/>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E417" s="287"/>
      <c r="AF417" s="287"/>
      <c r="AG417" s="287"/>
      <c r="AH417" s="287"/>
    </row>
    <row r="418" spans="1:34" ht="13.5" customHeight="1" x14ac:dyDescent="0.25">
      <c r="A418" s="287"/>
      <c r="B418" s="287"/>
      <c r="C418" s="287"/>
      <c r="D418" s="287"/>
      <c r="E418" s="287"/>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E418" s="287"/>
      <c r="AF418" s="287"/>
      <c r="AG418" s="287"/>
      <c r="AH418" s="287"/>
    </row>
    <row r="419" spans="1:34" ht="13.5" customHeight="1" x14ac:dyDescent="0.25">
      <c r="A419" s="287"/>
      <c r="B419" s="287"/>
      <c r="C419" s="287"/>
      <c r="D419" s="287"/>
      <c r="E419" s="287"/>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E419" s="287"/>
      <c r="AF419" s="287"/>
      <c r="AG419" s="287"/>
      <c r="AH419" s="287"/>
    </row>
    <row r="420" spans="1:34" ht="13.5" customHeight="1" x14ac:dyDescent="0.25">
      <c r="A420" s="287"/>
      <c r="B420" s="287"/>
      <c r="C420" s="287"/>
      <c r="D420" s="287"/>
      <c r="E420" s="287"/>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E420" s="287"/>
      <c r="AF420" s="287"/>
      <c r="AG420" s="287"/>
      <c r="AH420" s="287"/>
    </row>
    <row r="421" spans="1:34" ht="13.5" customHeight="1" x14ac:dyDescent="0.25">
      <c r="A421" s="287"/>
      <c r="B421" s="287"/>
      <c r="C421" s="287"/>
      <c r="D421" s="287"/>
      <c r="E421" s="287"/>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E421" s="287"/>
      <c r="AF421" s="287"/>
      <c r="AG421" s="287"/>
      <c r="AH421" s="287"/>
    </row>
    <row r="422" spans="1:34" ht="13.5" customHeight="1" x14ac:dyDescent="0.25">
      <c r="A422" s="287"/>
      <c r="B422" s="287"/>
      <c r="C422" s="287"/>
      <c r="D422" s="287"/>
      <c r="E422" s="287"/>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E422" s="287"/>
      <c r="AF422" s="287"/>
      <c r="AG422" s="287"/>
      <c r="AH422" s="287"/>
    </row>
    <row r="423" spans="1:34" ht="13.5" customHeight="1" x14ac:dyDescent="0.25">
      <c r="A423" s="287"/>
      <c r="B423" s="287"/>
      <c r="C423" s="287"/>
      <c r="D423" s="287"/>
      <c r="E423" s="287"/>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E423" s="287"/>
      <c r="AF423" s="287"/>
      <c r="AG423" s="287"/>
      <c r="AH423" s="287"/>
    </row>
    <row r="424" spans="1:34" ht="13.5" customHeight="1" x14ac:dyDescent="0.25">
      <c r="A424" s="287"/>
      <c r="B424" s="287"/>
      <c r="C424" s="287"/>
      <c r="D424" s="287"/>
      <c r="E424" s="287"/>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E424" s="287"/>
      <c r="AF424" s="287"/>
      <c r="AG424" s="287"/>
      <c r="AH424" s="287"/>
    </row>
    <row r="425" spans="1:34" ht="13.5" customHeight="1" x14ac:dyDescent="0.25">
      <c r="A425" s="287"/>
      <c r="B425" s="287"/>
      <c r="C425" s="287"/>
      <c r="D425" s="287"/>
      <c r="E425" s="287"/>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E425" s="287"/>
      <c r="AF425" s="287"/>
      <c r="AG425" s="287"/>
      <c r="AH425" s="287"/>
    </row>
    <row r="426" spans="1:34" ht="13.5" customHeight="1" x14ac:dyDescent="0.25">
      <c r="A426" s="287"/>
      <c r="B426" s="287"/>
      <c r="C426" s="287"/>
      <c r="D426" s="287"/>
      <c r="E426" s="287"/>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E426" s="287"/>
      <c r="AF426" s="287"/>
      <c r="AG426" s="287"/>
      <c r="AH426" s="287"/>
    </row>
    <row r="427" spans="1:34" ht="13.5" customHeight="1" x14ac:dyDescent="0.25">
      <c r="A427" s="287"/>
      <c r="B427" s="287"/>
      <c r="C427" s="287"/>
      <c r="D427" s="287"/>
      <c r="E427" s="287"/>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E427" s="287"/>
      <c r="AF427" s="287"/>
      <c r="AG427" s="287"/>
      <c r="AH427" s="287"/>
    </row>
    <row r="428" spans="1:34" ht="13.5" customHeight="1" x14ac:dyDescent="0.25">
      <c r="A428" s="287"/>
      <c r="B428" s="287"/>
      <c r="C428" s="287"/>
      <c r="D428" s="287"/>
      <c r="E428" s="287"/>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E428" s="287"/>
      <c r="AF428" s="287"/>
      <c r="AG428" s="287"/>
      <c r="AH428" s="287"/>
    </row>
    <row r="429" spans="1:34" ht="13.5" customHeight="1" x14ac:dyDescent="0.25">
      <c r="A429" s="287"/>
      <c r="B429" s="287"/>
      <c r="C429" s="287"/>
      <c r="D429" s="287"/>
      <c r="E429" s="287"/>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E429" s="287"/>
      <c r="AF429" s="287"/>
      <c r="AG429" s="287"/>
      <c r="AH429" s="287"/>
    </row>
    <row r="430" spans="1:34" ht="13.5" customHeight="1" x14ac:dyDescent="0.25">
      <c r="A430" s="287"/>
      <c r="B430" s="287"/>
      <c r="C430" s="287"/>
      <c r="D430" s="287"/>
      <c r="E430" s="287"/>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E430" s="287"/>
      <c r="AF430" s="287"/>
      <c r="AG430" s="287"/>
      <c r="AH430" s="287"/>
    </row>
    <row r="431" spans="1:34" ht="13.5" customHeight="1" x14ac:dyDescent="0.25">
      <c r="A431" s="287"/>
      <c r="B431" s="287"/>
      <c r="C431" s="287"/>
      <c r="D431" s="287"/>
      <c r="E431" s="287"/>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E431" s="287"/>
      <c r="AF431" s="287"/>
      <c r="AG431" s="287"/>
      <c r="AH431" s="287"/>
    </row>
    <row r="432" spans="1:34" ht="13.5" customHeight="1" x14ac:dyDescent="0.25">
      <c r="A432" s="287"/>
      <c r="B432" s="287"/>
      <c r="C432" s="287"/>
      <c r="D432" s="287"/>
      <c r="E432" s="287"/>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E432" s="287"/>
      <c r="AF432" s="287"/>
      <c r="AG432" s="287"/>
      <c r="AH432" s="287"/>
    </row>
    <row r="433" spans="1:34" ht="13.5" customHeight="1" x14ac:dyDescent="0.25">
      <c r="A433" s="287"/>
      <c r="B433" s="287"/>
      <c r="C433" s="287"/>
      <c r="D433" s="287"/>
      <c r="E433" s="287"/>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E433" s="287"/>
      <c r="AF433" s="287"/>
      <c r="AG433" s="287"/>
      <c r="AH433" s="287"/>
    </row>
    <row r="434" spans="1:34" ht="13.5" customHeight="1" x14ac:dyDescent="0.25">
      <c r="A434" s="287"/>
      <c r="B434" s="287"/>
      <c r="C434" s="287"/>
      <c r="D434" s="287"/>
      <c r="E434" s="287"/>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E434" s="287"/>
      <c r="AF434" s="287"/>
      <c r="AG434" s="287"/>
      <c r="AH434" s="287"/>
    </row>
    <row r="435" spans="1:34" ht="13.5" customHeight="1" x14ac:dyDescent="0.25">
      <c r="A435" s="287"/>
      <c r="B435" s="287"/>
      <c r="C435" s="287"/>
      <c r="D435" s="287"/>
      <c r="E435" s="287"/>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E435" s="287"/>
      <c r="AF435" s="287"/>
      <c r="AG435" s="287"/>
      <c r="AH435" s="287"/>
    </row>
    <row r="436" spans="1:34" ht="13.5" customHeight="1" x14ac:dyDescent="0.25">
      <c r="A436" s="287"/>
      <c r="B436" s="287"/>
      <c r="C436" s="287"/>
      <c r="D436" s="287"/>
      <c r="E436" s="287"/>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E436" s="287"/>
      <c r="AF436" s="287"/>
      <c r="AG436" s="287"/>
      <c r="AH436" s="287"/>
    </row>
    <row r="437" spans="1:34" ht="13.5" customHeight="1" x14ac:dyDescent="0.25">
      <c r="A437" s="287"/>
      <c r="B437" s="287"/>
      <c r="C437" s="287"/>
      <c r="D437" s="287"/>
      <c r="E437" s="287"/>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E437" s="287"/>
      <c r="AF437" s="287"/>
      <c r="AG437" s="287"/>
      <c r="AH437" s="287"/>
    </row>
    <row r="438" spans="1:34" ht="13.5" customHeight="1" x14ac:dyDescent="0.25">
      <c r="A438" s="287"/>
      <c r="B438" s="287"/>
      <c r="C438" s="287"/>
      <c r="D438" s="287"/>
      <c r="E438" s="287"/>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E438" s="287"/>
      <c r="AF438" s="287"/>
      <c r="AG438" s="287"/>
      <c r="AH438" s="287"/>
    </row>
    <row r="439" spans="1:34" ht="13.5" customHeight="1" x14ac:dyDescent="0.25">
      <c r="A439" s="287"/>
      <c r="B439" s="287"/>
      <c r="C439" s="287"/>
      <c r="D439" s="287"/>
      <c r="E439" s="287"/>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E439" s="287"/>
      <c r="AF439" s="287"/>
      <c r="AG439" s="287"/>
      <c r="AH439" s="287"/>
    </row>
    <row r="440" spans="1:34" ht="13.5" customHeight="1" x14ac:dyDescent="0.25">
      <c r="A440" s="287"/>
      <c r="B440" s="287"/>
      <c r="C440" s="287"/>
      <c r="D440" s="287"/>
      <c r="E440" s="287"/>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E440" s="287"/>
      <c r="AF440" s="287"/>
      <c r="AG440" s="287"/>
      <c r="AH440" s="287"/>
    </row>
    <row r="441" spans="1:34" ht="13.5" customHeight="1" x14ac:dyDescent="0.25">
      <c r="A441" s="287"/>
      <c r="B441" s="287"/>
      <c r="C441" s="287"/>
      <c r="D441" s="287"/>
      <c r="E441" s="287"/>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E441" s="287"/>
      <c r="AF441" s="287"/>
      <c r="AG441" s="287"/>
      <c r="AH441" s="287"/>
    </row>
    <row r="442" spans="1:34" ht="13.5" customHeight="1" x14ac:dyDescent="0.25">
      <c r="A442" s="287"/>
      <c r="B442" s="287"/>
      <c r="C442" s="287"/>
      <c r="D442" s="287"/>
      <c r="E442" s="287"/>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E442" s="287"/>
      <c r="AF442" s="287"/>
      <c r="AG442" s="287"/>
      <c r="AH442" s="287"/>
    </row>
    <row r="443" spans="1:34" ht="13.5" customHeight="1" x14ac:dyDescent="0.25">
      <c r="A443" s="287"/>
      <c r="B443" s="287"/>
      <c r="C443" s="287"/>
      <c r="D443" s="287"/>
      <c r="E443" s="287"/>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E443" s="287"/>
      <c r="AF443" s="287"/>
      <c r="AG443" s="287"/>
      <c r="AH443" s="287"/>
    </row>
    <row r="444" spans="1:34" ht="13.5" customHeight="1" x14ac:dyDescent="0.25">
      <c r="A444" s="287"/>
      <c r="B444" s="287"/>
      <c r="C444" s="287"/>
      <c r="D444" s="287"/>
      <c r="E444" s="287"/>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E444" s="287"/>
      <c r="AF444" s="287"/>
      <c r="AG444" s="287"/>
      <c r="AH444" s="287"/>
    </row>
    <row r="445" spans="1:34" ht="13.5" customHeight="1" x14ac:dyDescent="0.25">
      <c r="A445" s="287"/>
      <c r="B445" s="287"/>
      <c r="C445" s="287"/>
      <c r="D445" s="287"/>
      <c r="E445" s="287"/>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E445" s="287"/>
      <c r="AF445" s="287"/>
      <c r="AG445" s="287"/>
      <c r="AH445" s="287"/>
    </row>
    <row r="446" spans="1:34" ht="13.5" customHeight="1" x14ac:dyDescent="0.25">
      <c r="A446" s="287"/>
      <c r="B446" s="287"/>
      <c r="C446" s="287"/>
      <c r="D446" s="287"/>
      <c r="E446" s="287"/>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E446" s="287"/>
      <c r="AF446" s="287"/>
      <c r="AG446" s="287"/>
      <c r="AH446" s="287"/>
    </row>
    <row r="447" spans="1:34" ht="13.5" customHeight="1" x14ac:dyDescent="0.25">
      <c r="A447" s="287"/>
      <c r="B447" s="287"/>
      <c r="C447" s="287"/>
      <c r="D447" s="287"/>
      <c r="E447" s="287"/>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E447" s="287"/>
      <c r="AF447" s="287"/>
      <c r="AG447" s="287"/>
      <c r="AH447" s="287"/>
    </row>
    <row r="448" spans="1:34" ht="13.5" customHeight="1" x14ac:dyDescent="0.25">
      <c r="A448" s="287"/>
      <c r="B448" s="287"/>
      <c r="C448" s="287"/>
      <c r="D448" s="287"/>
      <c r="E448" s="287"/>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E448" s="287"/>
      <c r="AF448" s="287"/>
      <c r="AG448" s="287"/>
      <c r="AH448" s="287"/>
    </row>
    <row r="449" spans="1:34" ht="13.5" customHeight="1" x14ac:dyDescent="0.25">
      <c r="A449" s="287"/>
      <c r="B449" s="287"/>
      <c r="C449" s="287"/>
      <c r="D449" s="287"/>
      <c r="E449" s="287"/>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E449" s="287"/>
      <c r="AF449" s="287"/>
      <c r="AG449" s="287"/>
      <c r="AH449" s="287"/>
    </row>
    <row r="450" spans="1:34" ht="13.5" customHeight="1" x14ac:dyDescent="0.25">
      <c r="A450" s="287"/>
      <c r="B450" s="287"/>
      <c r="C450" s="287"/>
      <c r="D450" s="287"/>
      <c r="E450" s="287"/>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E450" s="287"/>
      <c r="AF450" s="287"/>
      <c r="AG450" s="287"/>
      <c r="AH450" s="287"/>
    </row>
    <row r="451" spans="1:34" ht="13.5" customHeight="1" x14ac:dyDescent="0.25">
      <c r="A451" s="287"/>
      <c r="B451" s="287"/>
      <c r="C451" s="287"/>
      <c r="D451" s="287"/>
      <c r="E451" s="287"/>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E451" s="287"/>
      <c r="AF451" s="287"/>
      <c r="AG451" s="287"/>
      <c r="AH451" s="287"/>
    </row>
    <row r="452" spans="1:34" ht="13.5" customHeight="1" x14ac:dyDescent="0.25">
      <c r="A452" s="287"/>
      <c r="B452" s="287"/>
      <c r="C452" s="287"/>
      <c r="D452" s="287"/>
      <c r="E452" s="287"/>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E452" s="287"/>
      <c r="AF452" s="287"/>
      <c r="AG452" s="287"/>
      <c r="AH452" s="287"/>
    </row>
    <row r="453" spans="1:34" ht="13.5" customHeight="1" x14ac:dyDescent="0.25">
      <c r="A453" s="287"/>
      <c r="B453" s="287"/>
      <c r="C453" s="287"/>
      <c r="D453" s="287"/>
      <c r="E453" s="287"/>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E453" s="287"/>
      <c r="AF453" s="287"/>
      <c r="AG453" s="287"/>
      <c r="AH453" s="287"/>
    </row>
    <row r="454" spans="1:34" ht="13.5" customHeight="1" x14ac:dyDescent="0.25">
      <c r="A454" s="287"/>
      <c r="B454" s="287"/>
      <c r="C454" s="287"/>
      <c r="D454" s="287"/>
      <c r="E454" s="287"/>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E454" s="287"/>
      <c r="AF454" s="287"/>
      <c r="AG454" s="287"/>
      <c r="AH454" s="287"/>
    </row>
    <row r="455" spans="1:34" ht="13.5" customHeight="1" x14ac:dyDescent="0.25">
      <c r="A455" s="287"/>
      <c r="B455" s="287"/>
      <c r="C455" s="287"/>
      <c r="D455" s="287"/>
      <c r="E455" s="287"/>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E455" s="287"/>
      <c r="AF455" s="287"/>
      <c r="AG455" s="287"/>
      <c r="AH455" s="287"/>
    </row>
    <row r="456" spans="1:34" ht="13.5" customHeight="1" x14ac:dyDescent="0.25">
      <c r="A456" s="287"/>
      <c r="B456" s="287"/>
      <c r="C456" s="287"/>
      <c r="D456" s="287"/>
      <c r="E456" s="287"/>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E456" s="287"/>
      <c r="AF456" s="287"/>
      <c r="AG456" s="287"/>
      <c r="AH456" s="287"/>
    </row>
    <row r="457" spans="1:34" ht="13.5" customHeight="1" x14ac:dyDescent="0.25">
      <c r="A457" s="287"/>
      <c r="B457" s="287"/>
      <c r="C457" s="287"/>
      <c r="D457" s="287"/>
      <c r="E457" s="287"/>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E457" s="287"/>
      <c r="AF457" s="287"/>
      <c r="AG457" s="287"/>
      <c r="AH457" s="287"/>
    </row>
    <row r="458" spans="1:34" ht="13.5" customHeight="1" x14ac:dyDescent="0.25">
      <c r="A458" s="287"/>
      <c r="B458" s="287"/>
      <c r="C458" s="287"/>
      <c r="D458" s="287"/>
      <c r="E458" s="287"/>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E458" s="287"/>
      <c r="AF458" s="287"/>
      <c r="AG458" s="287"/>
      <c r="AH458" s="287"/>
    </row>
    <row r="459" spans="1:34" ht="13.5" customHeight="1" x14ac:dyDescent="0.25">
      <c r="A459" s="287"/>
      <c r="B459" s="287"/>
      <c r="C459" s="287"/>
      <c r="D459" s="287"/>
      <c r="E459" s="287"/>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E459" s="287"/>
      <c r="AF459" s="287"/>
      <c r="AG459" s="287"/>
      <c r="AH459" s="287"/>
    </row>
    <row r="460" spans="1:34" ht="13.5" customHeight="1" x14ac:dyDescent="0.25">
      <c r="A460" s="287"/>
      <c r="B460" s="287"/>
      <c r="C460" s="287"/>
      <c r="D460" s="287"/>
      <c r="E460" s="287"/>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E460" s="287"/>
      <c r="AF460" s="287"/>
      <c r="AG460" s="287"/>
      <c r="AH460" s="287"/>
    </row>
    <row r="461" spans="1:34" ht="13.5" customHeight="1" x14ac:dyDescent="0.25">
      <c r="A461" s="287"/>
      <c r="B461" s="287"/>
      <c r="C461" s="287"/>
      <c r="D461" s="287"/>
      <c r="E461" s="287"/>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E461" s="287"/>
      <c r="AF461" s="287"/>
      <c r="AG461" s="287"/>
      <c r="AH461" s="287"/>
    </row>
    <row r="462" spans="1:34" ht="13.5" customHeight="1" x14ac:dyDescent="0.25">
      <c r="A462" s="287"/>
      <c r="B462" s="287"/>
      <c r="C462" s="287"/>
      <c r="D462" s="287"/>
      <c r="E462" s="287"/>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E462" s="287"/>
      <c r="AF462" s="287"/>
      <c r="AG462" s="287"/>
      <c r="AH462" s="287"/>
    </row>
    <row r="463" spans="1:34" ht="13.5" customHeight="1" x14ac:dyDescent="0.25">
      <c r="A463" s="287"/>
      <c r="B463" s="287"/>
      <c r="C463" s="287"/>
      <c r="D463" s="287"/>
      <c r="E463" s="287"/>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E463" s="287"/>
      <c r="AF463" s="287"/>
      <c r="AG463" s="287"/>
      <c r="AH463" s="287"/>
    </row>
    <row r="464" spans="1:34" ht="13.5" customHeight="1" x14ac:dyDescent="0.25">
      <c r="A464" s="287"/>
      <c r="B464" s="287"/>
      <c r="C464" s="287"/>
      <c r="D464" s="287"/>
      <c r="E464" s="287"/>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E464" s="287"/>
      <c r="AF464" s="287"/>
      <c r="AG464" s="287"/>
      <c r="AH464" s="287"/>
    </row>
    <row r="465" spans="1:34" ht="13.5" customHeight="1" x14ac:dyDescent="0.25">
      <c r="A465" s="287"/>
      <c r="B465" s="287"/>
      <c r="C465" s="287"/>
      <c r="D465" s="287"/>
      <c r="E465" s="287"/>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E465" s="287"/>
      <c r="AF465" s="287"/>
      <c r="AG465" s="287"/>
      <c r="AH465" s="287"/>
    </row>
    <row r="466" spans="1:34" ht="13.5" customHeight="1" x14ac:dyDescent="0.25">
      <c r="A466" s="287"/>
      <c r="B466" s="287"/>
      <c r="C466" s="287"/>
      <c r="D466" s="287"/>
      <c r="E466" s="287"/>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E466" s="287"/>
      <c r="AF466" s="287"/>
      <c r="AG466" s="287"/>
      <c r="AH466" s="287"/>
    </row>
    <row r="467" spans="1:34" ht="13.5" customHeight="1" x14ac:dyDescent="0.25">
      <c r="A467" s="287"/>
      <c r="B467" s="287"/>
      <c r="C467" s="287"/>
      <c r="D467" s="287"/>
      <c r="E467" s="287"/>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E467" s="287"/>
      <c r="AF467" s="287"/>
      <c r="AG467" s="287"/>
      <c r="AH467" s="287"/>
    </row>
    <row r="468" spans="1:34" ht="13.5" customHeight="1" x14ac:dyDescent="0.25">
      <c r="A468" s="287"/>
      <c r="B468" s="287"/>
      <c r="C468" s="287"/>
      <c r="D468" s="287"/>
      <c r="E468" s="287"/>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E468" s="287"/>
      <c r="AF468" s="287"/>
      <c r="AG468" s="287"/>
      <c r="AH468" s="287"/>
    </row>
    <row r="469" spans="1:34" ht="13.5" customHeight="1" x14ac:dyDescent="0.25">
      <c r="A469" s="287"/>
      <c r="B469" s="287"/>
      <c r="C469" s="287"/>
      <c r="D469" s="287"/>
      <c r="E469" s="287"/>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E469" s="287"/>
      <c r="AF469" s="287"/>
      <c r="AG469" s="287"/>
      <c r="AH469" s="287"/>
    </row>
    <row r="470" spans="1:34" ht="13.5" customHeight="1" x14ac:dyDescent="0.25">
      <c r="A470" s="287"/>
      <c r="B470" s="287"/>
      <c r="C470" s="287"/>
      <c r="D470" s="287"/>
      <c r="E470" s="287"/>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E470" s="287"/>
      <c r="AF470" s="287"/>
      <c r="AG470" s="287"/>
      <c r="AH470" s="287"/>
    </row>
    <row r="471" spans="1:34" ht="13.5" customHeight="1" x14ac:dyDescent="0.25">
      <c r="A471" s="287"/>
      <c r="B471" s="287"/>
      <c r="C471" s="287"/>
      <c r="D471" s="287"/>
      <c r="E471" s="287"/>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E471" s="287"/>
      <c r="AF471" s="287"/>
      <c r="AG471" s="287"/>
      <c r="AH471" s="287"/>
    </row>
    <row r="472" spans="1:34" ht="13.5" customHeight="1" x14ac:dyDescent="0.25">
      <c r="A472" s="287"/>
      <c r="B472" s="287"/>
      <c r="C472" s="287"/>
      <c r="D472" s="287"/>
      <c r="E472" s="287"/>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E472" s="287"/>
      <c r="AF472" s="287"/>
      <c r="AG472" s="287"/>
      <c r="AH472" s="287"/>
    </row>
    <row r="473" spans="1:34" ht="13.5" customHeight="1" x14ac:dyDescent="0.25">
      <c r="A473" s="287"/>
      <c r="B473" s="287"/>
      <c r="C473" s="287"/>
      <c r="D473" s="287"/>
      <c r="E473" s="287"/>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E473" s="287"/>
      <c r="AF473" s="287"/>
      <c r="AG473" s="287"/>
      <c r="AH473" s="287"/>
    </row>
    <row r="474" spans="1:34" ht="13.5" customHeight="1" x14ac:dyDescent="0.25">
      <c r="A474" s="287"/>
      <c r="B474" s="287"/>
      <c r="C474" s="287"/>
      <c r="D474" s="287"/>
      <c r="E474" s="287"/>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E474" s="287"/>
      <c r="AF474" s="287"/>
      <c r="AG474" s="287"/>
      <c r="AH474" s="287"/>
    </row>
    <row r="475" spans="1:34" ht="13.5" customHeight="1" x14ac:dyDescent="0.25">
      <c r="A475" s="287"/>
      <c r="B475" s="287"/>
      <c r="C475" s="287"/>
      <c r="D475" s="287"/>
      <c r="E475" s="287"/>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E475" s="287"/>
      <c r="AF475" s="287"/>
      <c r="AG475" s="287"/>
      <c r="AH475" s="287"/>
    </row>
    <row r="476" spans="1:34" ht="13.5" customHeight="1" x14ac:dyDescent="0.25">
      <c r="A476" s="287"/>
      <c r="B476" s="287"/>
      <c r="C476" s="287"/>
      <c r="D476" s="287"/>
      <c r="E476" s="287"/>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E476" s="287"/>
      <c r="AF476" s="287"/>
      <c r="AG476" s="287"/>
      <c r="AH476" s="287"/>
    </row>
    <row r="477" spans="1:34" ht="13.5" customHeight="1" x14ac:dyDescent="0.25">
      <c r="A477" s="287"/>
      <c r="B477" s="287"/>
      <c r="C477" s="287"/>
      <c r="D477" s="287"/>
      <c r="E477" s="287"/>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E477" s="287"/>
      <c r="AF477" s="287"/>
      <c r="AG477" s="287"/>
      <c r="AH477" s="287"/>
    </row>
    <row r="478" spans="1:34" ht="13.5" customHeight="1" x14ac:dyDescent="0.25">
      <c r="A478" s="287"/>
      <c r="B478" s="287"/>
      <c r="C478" s="287"/>
      <c r="D478" s="287"/>
      <c r="E478" s="287"/>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E478" s="287"/>
      <c r="AF478" s="287"/>
      <c r="AG478" s="287"/>
      <c r="AH478" s="287"/>
    </row>
    <row r="479" spans="1:34" ht="13.5" customHeight="1" x14ac:dyDescent="0.25">
      <c r="A479" s="287"/>
      <c r="B479" s="287"/>
      <c r="C479" s="287"/>
      <c r="D479" s="287"/>
      <c r="E479" s="287"/>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E479" s="287"/>
      <c r="AF479" s="287"/>
      <c r="AG479" s="287"/>
      <c r="AH479" s="287"/>
    </row>
    <row r="480" spans="1:34" ht="13.5" customHeight="1" x14ac:dyDescent="0.25">
      <c r="A480" s="287"/>
      <c r="B480" s="287"/>
      <c r="C480" s="287"/>
      <c r="D480" s="287"/>
      <c r="E480" s="287"/>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E480" s="287"/>
      <c r="AF480" s="287"/>
      <c r="AG480" s="287"/>
      <c r="AH480" s="287"/>
    </row>
    <row r="481" spans="1:34" ht="13.5" customHeight="1" x14ac:dyDescent="0.25">
      <c r="A481" s="287"/>
      <c r="B481" s="287"/>
      <c r="C481" s="287"/>
      <c r="D481" s="287"/>
      <c r="E481" s="287"/>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E481" s="287"/>
      <c r="AF481" s="287"/>
      <c r="AG481" s="287"/>
      <c r="AH481" s="287"/>
    </row>
    <row r="482" spans="1:34" ht="13.5" customHeight="1" x14ac:dyDescent="0.25">
      <c r="A482" s="287"/>
      <c r="B482" s="287"/>
      <c r="C482" s="287"/>
      <c r="D482" s="287"/>
      <c r="E482" s="287"/>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E482" s="287"/>
      <c r="AF482" s="287"/>
      <c r="AG482" s="287"/>
      <c r="AH482" s="287"/>
    </row>
    <row r="483" spans="1:34" ht="13.5" customHeight="1" x14ac:dyDescent="0.25">
      <c r="A483" s="287"/>
      <c r="B483" s="287"/>
      <c r="C483" s="287"/>
      <c r="D483" s="287"/>
      <c r="E483" s="287"/>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E483" s="287"/>
      <c r="AF483" s="287"/>
      <c r="AG483" s="287"/>
      <c r="AH483" s="287"/>
    </row>
    <row r="484" spans="1:34" ht="13.5" customHeight="1" x14ac:dyDescent="0.25">
      <c r="A484" s="287"/>
      <c r="B484" s="287"/>
      <c r="C484" s="287"/>
      <c r="D484" s="287"/>
      <c r="E484" s="287"/>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E484" s="287"/>
      <c r="AF484" s="287"/>
      <c r="AG484" s="287"/>
      <c r="AH484" s="287"/>
    </row>
    <row r="485" spans="1:34" ht="13.5" customHeight="1" x14ac:dyDescent="0.25">
      <c r="A485" s="287"/>
      <c r="B485" s="287"/>
      <c r="C485" s="287"/>
      <c r="D485" s="287"/>
      <c r="E485" s="287"/>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E485" s="287"/>
      <c r="AF485" s="287"/>
      <c r="AG485" s="287"/>
      <c r="AH485" s="287"/>
    </row>
    <row r="486" spans="1:34" ht="13.5" customHeight="1" x14ac:dyDescent="0.25">
      <c r="A486" s="287"/>
      <c r="B486" s="287"/>
      <c r="C486" s="287"/>
      <c r="D486" s="287"/>
      <c r="E486" s="287"/>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E486" s="287"/>
      <c r="AF486" s="287"/>
      <c r="AG486" s="287"/>
      <c r="AH486" s="287"/>
    </row>
    <row r="487" spans="1:34" ht="13.5" customHeight="1" x14ac:dyDescent="0.25">
      <c r="A487" s="287"/>
      <c r="B487" s="287"/>
      <c r="C487" s="287"/>
      <c r="D487" s="287"/>
      <c r="E487" s="287"/>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E487" s="287"/>
      <c r="AF487" s="287"/>
      <c r="AG487" s="287"/>
      <c r="AH487" s="287"/>
    </row>
    <row r="488" spans="1:34" ht="13.5" customHeight="1" x14ac:dyDescent="0.25">
      <c r="A488" s="287"/>
      <c r="B488" s="287"/>
      <c r="C488" s="287"/>
      <c r="D488" s="287"/>
      <c r="E488" s="287"/>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E488" s="287"/>
      <c r="AF488" s="287"/>
      <c r="AG488" s="287"/>
      <c r="AH488" s="287"/>
    </row>
    <row r="489" spans="1:34" ht="13.5" customHeight="1" x14ac:dyDescent="0.25">
      <c r="A489" s="287"/>
      <c r="B489" s="287"/>
      <c r="C489" s="287"/>
      <c r="D489" s="287"/>
      <c r="E489" s="287"/>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E489" s="287"/>
      <c r="AF489" s="287"/>
      <c r="AG489" s="287"/>
      <c r="AH489" s="287"/>
    </row>
    <row r="490" spans="1:34" ht="13.5" customHeight="1" x14ac:dyDescent="0.25">
      <c r="A490" s="287"/>
      <c r="B490" s="287"/>
      <c r="C490" s="287"/>
      <c r="D490" s="287"/>
      <c r="E490" s="287"/>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E490" s="287"/>
      <c r="AF490" s="287"/>
      <c r="AG490" s="287"/>
      <c r="AH490" s="287"/>
    </row>
    <row r="491" spans="1:34" ht="13.5" customHeight="1" x14ac:dyDescent="0.25">
      <c r="A491" s="287"/>
      <c r="B491" s="287"/>
      <c r="C491" s="287"/>
      <c r="D491" s="287"/>
      <c r="E491" s="287"/>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E491" s="287"/>
      <c r="AF491" s="287"/>
      <c r="AG491" s="287"/>
      <c r="AH491" s="287"/>
    </row>
    <row r="492" spans="1:34" ht="13.5" customHeight="1" x14ac:dyDescent="0.25">
      <c r="A492" s="287"/>
      <c r="B492" s="287"/>
      <c r="C492" s="287"/>
      <c r="D492" s="287"/>
      <c r="E492" s="287"/>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E492" s="287"/>
      <c r="AF492" s="287"/>
      <c r="AG492" s="287"/>
      <c r="AH492" s="287"/>
    </row>
    <row r="493" spans="1:34" ht="13.5" customHeight="1" x14ac:dyDescent="0.25">
      <c r="A493" s="287"/>
      <c r="B493" s="287"/>
      <c r="C493" s="287"/>
      <c r="D493" s="287"/>
      <c r="E493" s="287"/>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E493" s="287"/>
      <c r="AF493" s="287"/>
      <c r="AG493" s="287"/>
      <c r="AH493" s="287"/>
    </row>
    <row r="494" spans="1:34" ht="13.5" customHeight="1" x14ac:dyDescent="0.25">
      <c r="A494" s="287"/>
      <c r="B494" s="287"/>
      <c r="C494" s="287"/>
      <c r="D494" s="287"/>
      <c r="E494" s="287"/>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E494" s="287"/>
      <c r="AF494" s="287"/>
      <c r="AG494" s="287"/>
      <c r="AH494" s="287"/>
    </row>
    <row r="495" spans="1:34" ht="13.5" customHeight="1" x14ac:dyDescent="0.25">
      <c r="A495" s="287"/>
      <c r="B495" s="287"/>
      <c r="C495" s="287"/>
      <c r="D495" s="287"/>
      <c r="E495" s="287"/>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E495" s="287"/>
      <c r="AF495" s="287"/>
      <c r="AG495" s="287"/>
      <c r="AH495" s="287"/>
    </row>
    <row r="496" spans="1:34" ht="13.5" customHeight="1" x14ac:dyDescent="0.25">
      <c r="A496" s="287"/>
      <c r="B496" s="287"/>
      <c r="C496" s="287"/>
      <c r="D496" s="287"/>
      <c r="E496" s="287"/>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E496" s="287"/>
      <c r="AF496" s="287"/>
      <c r="AG496" s="287"/>
      <c r="AH496" s="287"/>
    </row>
    <row r="497" spans="1:34" ht="13.5" customHeight="1" x14ac:dyDescent="0.25">
      <c r="A497" s="287"/>
      <c r="B497" s="287"/>
      <c r="C497" s="287"/>
      <c r="D497" s="287"/>
      <c r="E497" s="287"/>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E497" s="287"/>
      <c r="AF497" s="287"/>
      <c r="AG497" s="287"/>
      <c r="AH497" s="287"/>
    </row>
    <row r="498" spans="1:34" ht="13.5" customHeight="1" x14ac:dyDescent="0.25">
      <c r="A498" s="287"/>
      <c r="B498" s="287"/>
      <c r="C498" s="287"/>
      <c r="D498" s="287"/>
      <c r="E498" s="287"/>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E498" s="287"/>
      <c r="AF498" s="287"/>
      <c r="AG498" s="287"/>
      <c r="AH498" s="287"/>
    </row>
    <row r="499" spans="1:34" ht="13.5" customHeight="1" x14ac:dyDescent="0.25">
      <c r="A499" s="287"/>
      <c r="B499" s="287"/>
      <c r="C499" s="287"/>
      <c r="D499" s="287"/>
      <c r="E499" s="287"/>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E499" s="287"/>
      <c r="AF499" s="287"/>
      <c r="AG499" s="287"/>
      <c r="AH499" s="287"/>
    </row>
    <row r="500" spans="1:34" ht="13.5" customHeight="1" x14ac:dyDescent="0.25">
      <c r="A500" s="287"/>
      <c r="B500" s="287"/>
      <c r="C500" s="287"/>
      <c r="D500" s="287"/>
      <c r="E500" s="287"/>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E500" s="287"/>
      <c r="AF500" s="287"/>
      <c r="AG500" s="287"/>
      <c r="AH500" s="287"/>
    </row>
    <row r="501" spans="1:34" ht="13.5" customHeight="1" x14ac:dyDescent="0.25">
      <c r="A501" s="287"/>
      <c r="B501" s="287"/>
      <c r="C501" s="287"/>
      <c r="D501" s="287"/>
      <c r="E501" s="287"/>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E501" s="287"/>
      <c r="AF501" s="287"/>
      <c r="AG501" s="287"/>
      <c r="AH501" s="287"/>
    </row>
    <row r="502" spans="1:34" ht="13.5" customHeight="1" x14ac:dyDescent="0.25">
      <c r="A502" s="287"/>
      <c r="B502" s="287"/>
      <c r="C502" s="287"/>
      <c r="D502" s="287"/>
      <c r="E502" s="287"/>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E502" s="287"/>
      <c r="AF502" s="287"/>
      <c r="AG502" s="287"/>
      <c r="AH502" s="287"/>
    </row>
    <row r="503" spans="1:34" ht="13.5" customHeight="1" x14ac:dyDescent="0.25">
      <c r="A503" s="287"/>
      <c r="B503" s="287"/>
      <c r="C503" s="287"/>
      <c r="D503" s="287"/>
      <c r="E503" s="287"/>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E503" s="287"/>
      <c r="AF503" s="287"/>
      <c r="AG503" s="287"/>
      <c r="AH503" s="287"/>
    </row>
    <row r="504" spans="1:34" ht="13.5" customHeight="1" x14ac:dyDescent="0.25">
      <c r="A504" s="287"/>
      <c r="B504" s="287"/>
      <c r="C504" s="287"/>
      <c r="D504" s="287"/>
      <c r="E504" s="287"/>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E504" s="287"/>
      <c r="AF504" s="287"/>
      <c r="AG504" s="287"/>
      <c r="AH504" s="287"/>
    </row>
    <row r="505" spans="1:34" ht="13.5" customHeight="1" x14ac:dyDescent="0.25">
      <c r="A505" s="287"/>
      <c r="B505" s="287"/>
      <c r="C505" s="287"/>
      <c r="D505" s="287"/>
      <c r="E505" s="287"/>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E505" s="287"/>
      <c r="AF505" s="287"/>
      <c r="AG505" s="287"/>
      <c r="AH505" s="287"/>
    </row>
    <row r="506" spans="1:34" ht="13.5" customHeight="1" x14ac:dyDescent="0.25">
      <c r="A506" s="287"/>
      <c r="B506" s="287"/>
      <c r="C506" s="287"/>
      <c r="D506" s="287"/>
      <c r="E506" s="287"/>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E506" s="287"/>
      <c r="AF506" s="287"/>
      <c r="AG506" s="287"/>
      <c r="AH506" s="287"/>
    </row>
    <row r="507" spans="1:34" ht="13.5" customHeight="1" x14ac:dyDescent="0.25">
      <c r="A507" s="287"/>
      <c r="B507" s="287"/>
      <c r="C507" s="287"/>
      <c r="D507" s="287"/>
      <c r="E507" s="287"/>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E507" s="287"/>
      <c r="AF507" s="287"/>
      <c r="AG507" s="287"/>
      <c r="AH507" s="287"/>
    </row>
    <row r="508" spans="1:34" ht="13.5" customHeight="1" x14ac:dyDescent="0.25">
      <c r="A508" s="287"/>
      <c r="B508" s="287"/>
      <c r="C508" s="287"/>
      <c r="D508" s="287"/>
      <c r="E508" s="287"/>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E508" s="287"/>
      <c r="AF508" s="287"/>
      <c r="AG508" s="287"/>
      <c r="AH508" s="287"/>
    </row>
    <row r="509" spans="1:34" ht="13.5" customHeight="1" x14ac:dyDescent="0.25">
      <c r="A509" s="287"/>
      <c r="B509" s="287"/>
      <c r="C509" s="287"/>
      <c r="D509" s="287"/>
      <c r="E509" s="287"/>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E509" s="287"/>
      <c r="AF509" s="287"/>
      <c r="AG509" s="287"/>
      <c r="AH509" s="287"/>
    </row>
    <row r="510" spans="1:34" ht="13.5" customHeight="1" x14ac:dyDescent="0.25">
      <c r="A510" s="287"/>
      <c r="B510" s="287"/>
      <c r="C510" s="287"/>
      <c r="D510" s="287"/>
      <c r="E510" s="287"/>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E510" s="287"/>
      <c r="AF510" s="287"/>
      <c r="AG510" s="287"/>
      <c r="AH510" s="287"/>
    </row>
    <row r="511" spans="1:34" ht="13.5" customHeight="1" x14ac:dyDescent="0.25">
      <c r="A511" s="287"/>
      <c r="B511" s="287"/>
      <c r="C511" s="287"/>
      <c r="D511" s="287"/>
      <c r="E511" s="287"/>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E511" s="287"/>
      <c r="AF511" s="287"/>
      <c r="AG511" s="287"/>
      <c r="AH511" s="287"/>
    </row>
    <row r="512" spans="1:34" ht="13.5" customHeight="1" x14ac:dyDescent="0.25">
      <c r="A512" s="287"/>
      <c r="B512" s="287"/>
      <c r="C512" s="287"/>
      <c r="D512" s="287"/>
      <c r="E512" s="287"/>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E512" s="287"/>
      <c r="AF512" s="287"/>
      <c r="AG512" s="287"/>
      <c r="AH512" s="287"/>
    </row>
    <row r="513" spans="1:34" ht="13.5" customHeight="1" x14ac:dyDescent="0.25">
      <c r="A513" s="287"/>
      <c r="B513" s="287"/>
      <c r="C513" s="287"/>
      <c r="D513" s="287"/>
      <c r="E513" s="287"/>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E513" s="287"/>
      <c r="AF513" s="287"/>
      <c r="AG513" s="287"/>
      <c r="AH513" s="287"/>
    </row>
    <row r="514" spans="1:34" ht="13.5" customHeight="1" x14ac:dyDescent="0.25">
      <c r="A514" s="287"/>
      <c r="B514" s="287"/>
      <c r="C514" s="287"/>
      <c r="D514" s="287"/>
      <c r="E514" s="287"/>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E514" s="287"/>
      <c r="AF514" s="287"/>
      <c r="AG514" s="287"/>
      <c r="AH514" s="287"/>
    </row>
    <row r="515" spans="1:34" ht="13.5" customHeight="1" x14ac:dyDescent="0.25">
      <c r="A515" s="287"/>
      <c r="B515" s="287"/>
      <c r="C515" s="287"/>
      <c r="D515" s="287"/>
      <c r="E515" s="287"/>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E515" s="287"/>
      <c r="AF515" s="287"/>
      <c r="AG515" s="287"/>
      <c r="AH515" s="287"/>
    </row>
    <row r="516" spans="1:34" ht="13.5" customHeight="1" x14ac:dyDescent="0.25">
      <c r="A516" s="287"/>
      <c r="B516" s="287"/>
      <c r="C516" s="287"/>
      <c r="D516" s="287"/>
      <c r="E516" s="287"/>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E516" s="287"/>
      <c r="AF516" s="287"/>
      <c r="AG516" s="287"/>
      <c r="AH516" s="287"/>
    </row>
    <row r="517" spans="1:34" ht="13.5" customHeight="1" x14ac:dyDescent="0.25">
      <c r="A517" s="287"/>
      <c r="B517" s="287"/>
      <c r="C517" s="287"/>
      <c r="D517" s="287"/>
      <c r="E517" s="287"/>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E517" s="287"/>
      <c r="AF517" s="287"/>
      <c r="AG517" s="287"/>
      <c r="AH517" s="287"/>
    </row>
    <row r="518" spans="1:34" ht="13.5" customHeight="1" x14ac:dyDescent="0.25">
      <c r="A518" s="287"/>
      <c r="B518" s="287"/>
      <c r="C518" s="287"/>
      <c r="D518" s="287"/>
      <c r="E518" s="287"/>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E518" s="287"/>
      <c r="AF518" s="287"/>
      <c r="AG518" s="287"/>
      <c r="AH518" s="287"/>
    </row>
    <row r="519" spans="1:34" ht="13.5" customHeight="1" x14ac:dyDescent="0.25">
      <c r="A519" s="287"/>
      <c r="B519" s="287"/>
      <c r="C519" s="287"/>
      <c r="D519" s="287"/>
      <c r="E519" s="287"/>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E519" s="287"/>
      <c r="AF519" s="287"/>
      <c r="AG519" s="287"/>
      <c r="AH519" s="287"/>
    </row>
    <row r="520" spans="1:34" ht="13.5" customHeight="1" x14ac:dyDescent="0.25">
      <c r="A520" s="287"/>
      <c r="B520" s="287"/>
      <c r="C520" s="287"/>
      <c r="D520" s="287"/>
      <c r="E520" s="287"/>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E520" s="287"/>
      <c r="AF520" s="287"/>
      <c r="AG520" s="287"/>
      <c r="AH520" s="287"/>
    </row>
    <row r="521" spans="1:34" ht="13.5" customHeight="1" x14ac:dyDescent="0.25">
      <c r="A521" s="287"/>
      <c r="B521" s="287"/>
      <c r="C521" s="287"/>
      <c r="D521" s="287"/>
      <c r="E521" s="287"/>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E521" s="287"/>
      <c r="AF521" s="287"/>
      <c r="AG521" s="287"/>
      <c r="AH521" s="287"/>
    </row>
    <row r="522" spans="1:34" ht="13.5" customHeight="1" x14ac:dyDescent="0.25">
      <c r="A522" s="287"/>
      <c r="B522" s="287"/>
      <c r="C522" s="287"/>
      <c r="D522" s="287"/>
      <c r="E522" s="287"/>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E522" s="287"/>
      <c r="AF522" s="287"/>
      <c r="AG522" s="287"/>
      <c r="AH522" s="287"/>
    </row>
    <row r="523" spans="1:34" ht="13.5" customHeight="1" x14ac:dyDescent="0.25">
      <c r="A523" s="287"/>
      <c r="B523" s="287"/>
      <c r="C523" s="287"/>
      <c r="D523" s="287"/>
      <c r="E523" s="287"/>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E523" s="287"/>
      <c r="AF523" s="287"/>
      <c r="AG523" s="287"/>
      <c r="AH523" s="287"/>
    </row>
    <row r="524" spans="1:34" ht="13.5" customHeight="1" x14ac:dyDescent="0.25">
      <c r="A524" s="287"/>
      <c r="B524" s="287"/>
      <c r="C524" s="287"/>
      <c r="D524" s="287"/>
      <c r="E524" s="287"/>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E524" s="287"/>
      <c r="AF524" s="287"/>
      <c r="AG524" s="287"/>
      <c r="AH524" s="287"/>
    </row>
    <row r="525" spans="1:34" ht="13.5" customHeight="1" x14ac:dyDescent="0.25">
      <c r="A525" s="287"/>
      <c r="B525" s="287"/>
      <c r="C525" s="287"/>
      <c r="D525" s="287"/>
      <c r="E525" s="287"/>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E525" s="287"/>
      <c r="AF525" s="287"/>
      <c r="AG525" s="287"/>
      <c r="AH525" s="287"/>
    </row>
    <row r="526" spans="1:34" ht="13.5" customHeight="1" x14ac:dyDescent="0.25">
      <c r="A526" s="287"/>
      <c r="B526" s="287"/>
      <c r="C526" s="287"/>
      <c r="D526" s="287"/>
      <c r="E526" s="287"/>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E526" s="287"/>
      <c r="AF526" s="287"/>
      <c r="AG526" s="287"/>
      <c r="AH526" s="287"/>
    </row>
    <row r="527" spans="1:34" ht="13.5" customHeight="1" x14ac:dyDescent="0.25">
      <c r="A527" s="287"/>
      <c r="B527" s="287"/>
      <c r="C527" s="287"/>
      <c r="D527" s="287"/>
      <c r="E527" s="287"/>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E527" s="287"/>
      <c r="AF527" s="287"/>
      <c r="AG527" s="287"/>
      <c r="AH527" s="287"/>
    </row>
    <row r="528" spans="1:34" ht="13.5" customHeight="1" x14ac:dyDescent="0.25">
      <c r="A528" s="287"/>
      <c r="B528" s="287"/>
      <c r="C528" s="287"/>
      <c r="D528" s="287"/>
      <c r="E528" s="287"/>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E528" s="287"/>
      <c r="AF528" s="287"/>
      <c r="AG528" s="287"/>
      <c r="AH528" s="287"/>
    </row>
    <row r="529" spans="1:34" ht="13.5" customHeight="1" x14ac:dyDescent="0.25">
      <c r="A529" s="287"/>
      <c r="B529" s="287"/>
      <c r="C529" s="287"/>
      <c r="D529" s="287"/>
      <c r="E529" s="287"/>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E529" s="287"/>
      <c r="AF529" s="287"/>
      <c r="AG529" s="287"/>
      <c r="AH529" s="287"/>
    </row>
    <row r="530" spans="1:34" ht="13.5" customHeight="1" x14ac:dyDescent="0.25">
      <c r="A530" s="287"/>
      <c r="B530" s="287"/>
      <c r="C530" s="287"/>
      <c r="D530" s="287"/>
      <c r="E530" s="287"/>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E530" s="287"/>
      <c r="AF530" s="287"/>
      <c r="AG530" s="287"/>
      <c r="AH530" s="287"/>
    </row>
    <row r="531" spans="1:34" ht="13.5" customHeight="1" x14ac:dyDescent="0.25">
      <c r="A531" s="287"/>
      <c r="B531" s="287"/>
      <c r="C531" s="287"/>
      <c r="D531" s="287"/>
      <c r="E531" s="287"/>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E531" s="287"/>
      <c r="AF531" s="287"/>
      <c r="AG531" s="287"/>
      <c r="AH531" s="287"/>
    </row>
    <row r="532" spans="1:34" ht="13.5" customHeight="1" x14ac:dyDescent="0.25">
      <c r="A532" s="287"/>
      <c r="B532" s="287"/>
      <c r="C532" s="287"/>
      <c r="D532" s="287"/>
      <c r="E532" s="287"/>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E532" s="287"/>
      <c r="AF532" s="287"/>
      <c r="AG532" s="287"/>
      <c r="AH532" s="287"/>
    </row>
    <row r="533" spans="1:34" ht="13.5" customHeight="1" x14ac:dyDescent="0.25">
      <c r="A533" s="287"/>
      <c r="B533" s="287"/>
      <c r="C533" s="287"/>
      <c r="D533" s="287"/>
      <c r="E533" s="287"/>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E533" s="287"/>
      <c r="AF533" s="287"/>
      <c r="AG533" s="287"/>
      <c r="AH533" s="287"/>
    </row>
    <row r="534" spans="1:34" ht="13.5" customHeight="1" x14ac:dyDescent="0.25">
      <c r="A534" s="287"/>
      <c r="B534" s="287"/>
      <c r="C534" s="287"/>
      <c r="D534" s="287"/>
      <c r="E534" s="287"/>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E534" s="287"/>
      <c r="AF534" s="287"/>
      <c r="AG534" s="287"/>
      <c r="AH534" s="287"/>
    </row>
    <row r="535" spans="1:34" ht="13.5" customHeight="1" x14ac:dyDescent="0.25">
      <c r="A535" s="287"/>
      <c r="B535" s="287"/>
      <c r="C535" s="287"/>
      <c r="D535" s="287"/>
      <c r="E535" s="287"/>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E535" s="287"/>
      <c r="AF535" s="287"/>
      <c r="AG535" s="287"/>
      <c r="AH535" s="287"/>
    </row>
    <row r="536" spans="1:34" ht="13.5" customHeight="1" x14ac:dyDescent="0.25">
      <c r="A536" s="287"/>
      <c r="B536" s="287"/>
      <c r="C536" s="287"/>
      <c r="D536" s="287"/>
      <c r="E536" s="287"/>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E536" s="287"/>
      <c r="AF536" s="287"/>
      <c r="AG536" s="287"/>
      <c r="AH536" s="287"/>
    </row>
    <row r="537" spans="1:34" ht="13.5" customHeight="1" x14ac:dyDescent="0.25">
      <c r="A537" s="287"/>
      <c r="B537" s="287"/>
      <c r="C537" s="287"/>
      <c r="D537" s="287"/>
      <c r="E537" s="287"/>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E537" s="287"/>
      <c r="AF537" s="287"/>
      <c r="AG537" s="287"/>
      <c r="AH537" s="287"/>
    </row>
    <row r="538" spans="1:34" ht="13.5" customHeight="1" x14ac:dyDescent="0.25">
      <c r="A538" s="287"/>
      <c r="B538" s="287"/>
      <c r="C538" s="287"/>
      <c r="D538" s="287"/>
      <c r="E538" s="287"/>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E538" s="287"/>
      <c r="AF538" s="287"/>
      <c r="AG538" s="287"/>
      <c r="AH538" s="287"/>
    </row>
    <row r="539" spans="1:34" ht="13.5" customHeight="1" x14ac:dyDescent="0.25">
      <c r="A539" s="287"/>
      <c r="B539" s="287"/>
      <c r="C539" s="287"/>
      <c r="D539" s="287"/>
      <c r="E539" s="287"/>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E539" s="287"/>
      <c r="AF539" s="287"/>
      <c r="AG539" s="287"/>
      <c r="AH539" s="287"/>
    </row>
    <row r="540" spans="1:34" ht="13.5" customHeight="1" x14ac:dyDescent="0.25">
      <c r="A540" s="287"/>
      <c r="B540" s="287"/>
      <c r="C540" s="287"/>
      <c r="D540" s="287"/>
      <c r="E540" s="287"/>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E540" s="287"/>
      <c r="AF540" s="287"/>
      <c r="AG540" s="287"/>
      <c r="AH540" s="287"/>
    </row>
    <row r="541" spans="1:34" ht="13.5" customHeight="1" x14ac:dyDescent="0.25">
      <c r="A541" s="287"/>
      <c r="B541" s="287"/>
      <c r="C541" s="287"/>
      <c r="D541" s="287"/>
      <c r="E541" s="287"/>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E541" s="287"/>
      <c r="AF541" s="287"/>
      <c r="AG541" s="287"/>
      <c r="AH541" s="287"/>
    </row>
    <row r="542" spans="1:34" ht="13.5" customHeight="1" x14ac:dyDescent="0.25">
      <c r="A542" s="287"/>
      <c r="B542" s="287"/>
      <c r="C542" s="287"/>
      <c r="D542" s="287"/>
      <c r="E542" s="287"/>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E542" s="287"/>
      <c r="AF542" s="287"/>
      <c r="AG542" s="287"/>
      <c r="AH542" s="287"/>
    </row>
    <row r="543" spans="1:34" ht="13.5" customHeight="1" x14ac:dyDescent="0.25">
      <c r="A543" s="287"/>
      <c r="B543" s="287"/>
      <c r="C543" s="287"/>
      <c r="D543" s="287"/>
      <c r="E543" s="287"/>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E543" s="287"/>
      <c r="AF543" s="287"/>
      <c r="AG543" s="287"/>
      <c r="AH543" s="287"/>
    </row>
    <row r="544" spans="1:34" ht="13.5" customHeight="1" x14ac:dyDescent="0.25">
      <c r="A544" s="287"/>
      <c r="B544" s="287"/>
      <c r="C544" s="287"/>
      <c r="D544" s="287"/>
      <c r="E544" s="287"/>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E544" s="287"/>
      <c r="AF544" s="287"/>
      <c r="AG544" s="287"/>
      <c r="AH544" s="287"/>
    </row>
    <row r="545" spans="1:34" ht="13.5" customHeight="1" x14ac:dyDescent="0.25">
      <c r="A545" s="287"/>
      <c r="B545" s="287"/>
      <c r="C545" s="287"/>
      <c r="D545" s="287"/>
      <c r="E545" s="287"/>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E545" s="287"/>
      <c r="AF545" s="287"/>
      <c r="AG545" s="287"/>
      <c r="AH545" s="287"/>
    </row>
    <row r="546" spans="1:34" ht="13.5" customHeight="1" x14ac:dyDescent="0.25">
      <c r="A546" s="287"/>
      <c r="B546" s="287"/>
      <c r="C546" s="287"/>
      <c r="D546" s="287"/>
      <c r="E546" s="287"/>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E546" s="287"/>
      <c r="AF546" s="287"/>
      <c r="AG546" s="287"/>
      <c r="AH546" s="287"/>
    </row>
    <row r="547" spans="1:34" ht="13.5" customHeight="1" x14ac:dyDescent="0.25">
      <c r="A547" s="287"/>
      <c r="B547" s="287"/>
      <c r="C547" s="287"/>
      <c r="D547" s="287"/>
      <c r="E547" s="287"/>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E547" s="287"/>
      <c r="AF547" s="287"/>
      <c r="AG547" s="287"/>
      <c r="AH547" s="287"/>
    </row>
    <row r="548" spans="1:34" ht="13.5" customHeight="1" x14ac:dyDescent="0.25">
      <c r="A548" s="287"/>
      <c r="B548" s="287"/>
      <c r="C548" s="287"/>
      <c r="D548" s="287"/>
      <c r="E548" s="287"/>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E548" s="287"/>
      <c r="AF548" s="287"/>
      <c r="AG548" s="287"/>
      <c r="AH548" s="287"/>
    </row>
    <row r="549" spans="1:34" ht="13.5" customHeight="1" x14ac:dyDescent="0.25">
      <c r="A549" s="287"/>
      <c r="B549" s="287"/>
      <c r="C549" s="287"/>
      <c r="D549" s="287"/>
      <c r="E549" s="287"/>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E549" s="287"/>
      <c r="AF549" s="287"/>
      <c r="AG549" s="287"/>
      <c r="AH549" s="287"/>
    </row>
    <row r="550" spans="1:34" ht="13.5" customHeight="1" x14ac:dyDescent="0.25">
      <c r="A550" s="287"/>
      <c r="B550" s="287"/>
      <c r="C550" s="287"/>
      <c r="D550" s="287"/>
      <c r="E550" s="287"/>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E550" s="287"/>
      <c r="AF550" s="287"/>
      <c r="AG550" s="287"/>
      <c r="AH550" s="287"/>
    </row>
    <row r="551" spans="1:34" ht="13.5" customHeight="1" x14ac:dyDescent="0.25">
      <c r="A551" s="287"/>
      <c r="B551" s="287"/>
      <c r="C551" s="287"/>
      <c r="D551" s="287"/>
      <c r="E551" s="287"/>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E551" s="287"/>
      <c r="AF551" s="287"/>
      <c r="AG551" s="287"/>
      <c r="AH551" s="287"/>
    </row>
    <row r="552" spans="1:34" ht="13.5" customHeight="1" x14ac:dyDescent="0.25">
      <c r="A552" s="287"/>
      <c r="B552" s="287"/>
      <c r="C552" s="287"/>
      <c r="D552" s="287"/>
      <c r="E552" s="287"/>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E552" s="287"/>
      <c r="AF552" s="287"/>
      <c r="AG552" s="287"/>
      <c r="AH552" s="287"/>
    </row>
    <row r="553" spans="1:34" ht="13.5" customHeight="1" x14ac:dyDescent="0.25">
      <c r="A553" s="287"/>
      <c r="B553" s="287"/>
      <c r="C553" s="287"/>
      <c r="D553" s="287"/>
      <c r="E553" s="287"/>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E553" s="287"/>
      <c r="AF553" s="287"/>
      <c r="AG553" s="287"/>
      <c r="AH553" s="287"/>
    </row>
    <row r="554" spans="1:34" ht="13.5" customHeight="1" x14ac:dyDescent="0.25">
      <c r="A554" s="287"/>
      <c r="B554" s="287"/>
      <c r="C554" s="287"/>
      <c r="D554" s="287"/>
      <c r="E554" s="287"/>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E554" s="287"/>
      <c r="AF554" s="287"/>
      <c r="AG554" s="287"/>
      <c r="AH554" s="287"/>
    </row>
    <row r="555" spans="1:34" ht="13.5" customHeight="1" x14ac:dyDescent="0.25">
      <c r="A555" s="287"/>
      <c r="B555" s="287"/>
      <c r="C555" s="287"/>
      <c r="D555" s="287"/>
      <c r="E555" s="287"/>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E555" s="287"/>
      <c r="AF555" s="287"/>
      <c r="AG555" s="287"/>
      <c r="AH555" s="287"/>
    </row>
    <row r="556" spans="1:34" ht="13.5" customHeight="1" x14ac:dyDescent="0.25">
      <c r="A556" s="287"/>
      <c r="B556" s="287"/>
      <c r="C556" s="287"/>
      <c r="D556" s="287"/>
      <c r="E556" s="287"/>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E556" s="287"/>
      <c r="AF556" s="287"/>
      <c r="AG556" s="287"/>
      <c r="AH556" s="287"/>
    </row>
    <row r="557" spans="1:34" ht="13.5" customHeight="1" x14ac:dyDescent="0.25">
      <c r="A557" s="287"/>
      <c r="B557" s="287"/>
      <c r="C557" s="287"/>
      <c r="D557" s="287"/>
      <c r="E557" s="287"/>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E557" s="287"/>
      <c r="AF557" s="287"/>
      <c r="AG557" s="287"/>
      <c r="AH557" s="287"/>
    </row>
    <row r="558" spans="1:34" ht="13.5" customHeight="1" x14ac:dyDescent="0.25">
      <c r="A558" s="287"/>
      <c r="B558" s="287"/>
      <c r="C558" s="287"/>
      <c r="D558" s="287"/>
      <c r="E558" s="287"/>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E558" s="287"/>
      <c r="AF558" s="287"/>
      <c r="AG558" s="287"/>
      <c r="AH558" s="287"/>
    </row>
    <row r="559" spans="1:34" ht="13.5" customHeight="1" x14ac:dyDescent="0.25">
      <c r="A559" s="287"/>
      <c r="B559" s="287"/>
      <c r="C559" s="287"/>
      <c r="D559" s="287"/>
      <c r="E559" s="287"/>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E559" s="287"/>
      <c r="AF559" s="287"/>
      <c r="AG559" s="287"/>
      <c r="AH559" s="287"/>
    </row>
    <row r="560" spans="1:34" ht="13.5" customHeight="1" x14ac:dyDescent="0.25">
      <c r="A560" s="287"/>
      <c r="B560" s="287"/>
      <c r="C560" s="287"/>
      <c r="D560" s="287"/>
      <c r="E560" s="287"/>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E560" s="287"/>
      <c r="AF560" s="287"/>
      <c r="AG560" s="287"/>
      <c r="AH560" s="287"/>
    </row>
    <row r="561" spans="1:34" ht="13.5" customHeight="1" x14ac:dyDescent="0.25">
      <c r="A561" s="287"/>
      <c r="B561" s="287"/>
      <c r="C561" s="287"/>
      <c r="D561" s="287"/>
      <c r="E561" s="287"/>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E561" s="287"/>
      <c r="AF561" s="287"/>
      <c r="AG561" s="287"/>
      <c r="AH561" s="287"/>
    </row>
    <row r="562" spans="1:34" ht="13.5" customHeight="1" x14ac:dyDescent="0.25">
      <c r="A562" s="287"/>
      <c r="B562" s="287"/>
      <c r="C562" s="287"/>
      <c r="D562" s="287"/>
      <c r="E562" s="287"/>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E562" s="287"/>
      <c r="AF562" s="287"/>
      <c r="AG562" s="287"/>
      <c r="AH562" s="287"/>
    </row>
    <row r="563" spans="1:34" ht="13.5" customHeight="1" x14ac:dyDescent="0.25">
      <c r="A563" s="287"/>
      <c r="B563" s="287"/>
      <c r="C563" s="287"/>
      <c r="D563" s="287"/>
      <c r="E563" s="287"/>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E563" s="287"/>
      <c r="AF563" s="287"/>
      <c r="AG563" s="287"/>
      <c r="AH563" s="287"/>
    </row>
    <row r="564" spans="1:34" ht="13.5" customHeight="1" x14ac:dyDescent="0.25">
      <c r="A564" s="287"/>
      <c r="B564" s="287"/>
      <c r="C564" s="287"/>
      <c r="D564" s="287"/>
      <c r="E564" s="287"/>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E564" s="287"/>
      <c r="AF564" s="287"/>
      <c r="AG564" s="287"/>
      <c r="AH564" s="287"/>
    </row>
    <row r="565" spans="1:34" ht="13.5" customHeight="1" x14ac:dyDescent="0.25">
      <c r="A565" s="287"/>
      <c r="B565" s="287"/>
      <c r="C565" s="287"/>
      <c r="D565" s="287"/>
      <c r="E565" s="287"/>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E565" s="287"/>
      <c r="AF565" s="287"/>
      <c r="AG565" s="287"/>
      <c r="AH565" s="287"/>
    </row>
    <row r="566" spans="1:34" ht="13.5" customHeight="1" x14ac:dyDescent="0.25">
      <c r="A566" s="287"/>
      <c r="B566" s="287"/>
      <c r="C566" s="287"/>
      <c r="D566" s="287"/>
      <c r="E566" s="287"/>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E566" s="287"/>
      <c r="AF566" s="287"/>
      <c r="AG566" s="287"/>
      <c r="AH566" s="287"/>
    </row>
    <row r="567" spans="1:34" ht="13.5" customHeight="1" x14ac:dyDescent="0.25">
      <c r="A567" s="287"/>
      <c r="B567" s="287"/>
      <c r="C567" s="287"/>
      <c r="D567" s="287"/>
      <c r="E567" s="287"/>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E567" s="287"/>
      <c r="AF567" s="287"/>
      <c r="AG567" s="287"/>
      <c r="AH567" s="287"/>
    </row>
    <row r="568" spans="1:34" ht="13.5" customHeight="1" x14ac:dyDescent="0.25">
      <c r="A568" s="287"/>
      <c r="B568" s="287"/>
      <c r="C568" s="287"/>
      <c r="D568" s="287"/>
      <c r="E568" s="287"/>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E568" s="287"/>
      <c r="AF568" s="287"/>
      <c r="AG568" s="287"/>
      <c r="AH568" s="287"/>
    </row>
    <row r="569" spans="1:34" ht="13.5" customHeight="1" x14ac:dyDescent="0.25">
      <c r="A569" s="287"/>
      <c r="B569" s="287"/>
      <c r="C569" s="287"/>
      <c r="D569" s="287"/>
      <c r="E569" s="287"/>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E569" s="287"/>
      <c r="AF569" s="287"/>
      <c r="AG569" s="287"/>
      <c r="AH569" s="287"/>
    </row>
    <row r="570" spans="1:34" ht="13.5" customHeight="1" x14ac:dyDescent="0.25">
      <c r="A570" s="287"/>
      <c r="B570" s="287"/>
      <c r="C570" s="287"/>
      <c r="D570" s="287"/>
      <c r="E570" s="287"/>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E570" s="287"/>
      <c r="AF570" s="287"/>
      <c r="AG570" s="287"/>
      <c r="AH570" s="287"/>
    </row>
    <row r="571" spans="1:34" ht="13.5" customHeight="1" x14ac:dyDescent="0.25">
      <c r="A571" s="287"/>
      <c r="B571" s="287"/>
      <c r="C571" s="287"/>
      <c r="D571" s="287"/>
      <c r="E571" s="287"/>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E571" s="287"/>
      <c r="AF571" s="287"/>
      <c r="AG571" s="287"/>
      <c r="AH571" s="287"/>
    </row>
    <row r="572" spans="1:34" ht="13.5" customHeight="1" x14ac:dyDescent="0.25">
      <c r="A572" s="287"/>
      <c r="B572" s="287"/>
      <c r="C572" s="287"/>
      <c r="D572" s="287"/>
      <c r="E572" s="287"/>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E572" s="287"/>
      <c r="AF572" s="287"/>
      <c r="AG572" s="287"/>
      <c r="AH572" s="287"/>
    </row>
    <row r="573" spans="1:34" ht="13.5" customHeight="1" x14ac:dyDescent="0.25">
      <c r="A573" s="287"/>
      <c r="B573" s="287"/>
      <c r="C573" s="287"/>
      <c r="D573" s="287"/>
      <c r="E573" s="287"/>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E573" s="287"/>
      <c r="AF573" s="287"/>
      <c r="AG573" s="287"/>
      <c r="AH573" s="287"/>
    </row>
    <row r="574" spans="1:34" ht="13.5" customHeight="1" x14ac:dyDescent="0.25">
      <c r="A574" s="287"/>
      <c r="B574" s="287"/>
      <c r="C574" s="287"/>
      <c r="D574" s="287"/>
      <c r="E574" s="287"/>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E574" s="287"/>
      <c r="AF574" s="287"/>
      <c r="AG574" s="287"/>
      <c r="AH574" s="287"/>
    </row>
    <row r="575" spans="1:34" ht="13.5" customHeight="1" x14ac:dyDescent="0.25">
      <c r="A575" s="287"/>
      <c r="B575" s="287"/>
      <c r="C575" s="287"/>
      <c r="D575" s="287"/>
      <c r="E575" s="287"/>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E575" s="287"/>
      <c r="AF575" s="287"/>
      <c r="AG575" s="287"/>
      <c r="AH575" s="287"/>
    </row>
    <row r="576" spans="1:34" ht="13.5" customHeight="1" x14ac:dyDescent="0.25">
      <c r="A576" s="287"/>
      <c r="B576" s="287"/>
      <c r="C576" s="287"/>
      <c r="D576" s="287"/>
      <c r="E576" s="287"/>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E576" s="287"/>
      <c r="AF576" s="287"/>
      <c r="AG576" s="287"/>
      <c r="AH576" s="287"/>
    </row>
    <row r="577" spans="1:34" ht="13.5" customHeight="1" x14ac:dyDescent="0.25">
      <c r="A577" s="287"/>
      <c r="B577" s="287"/>
      <c r="C577" s="287"/>
      <c r="D577" s="287"/>
      <c r="E577" s="287"/>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E577" s="287"/>
      <c r="AF577" s="287"/>
      <c r="AG577" s="287"/>
      <c r="AH577" s="287"/>
    </row>
    <row r="578" spans="1:34" ht="13.5" customHeight="1" x14ac:dyDescent="0.25">
      <c r="A578" s="287"/>
      <c r="B578" s="287"/>
      <c r="C578" s="287"/>
      <c r="D578" s="287"/>
      <c r="E578" s="287"/>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E578" s="287"/>
      <c r="AF578" s="287"/>
      <c r="AG578" s="287"/>
      <c r="AH578" s="287"/>
    </row>
    <row r="579" spans="1:34" ht="13.5" customHeight="1" x14ac:dyDescent="0.25">
      <c r="A579" s="287"/>
      <c r="B579" s="287"/>
      <c r="C579" s="287"/>
      <c r="D579" s="287"/>
      <c r="E579" s="287"/>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E579" s="287"/>
      <c r="AF579" s="287"/>
      <c r="AG579" s="287"/>
      <c r="AH579" s="287"/>
    </row>
    <row r="580" spans="1:34" ht="13.5" customHeight="1" x14ac:dyDescent="0.25">
      <c r="A580" s="287"/>
      <c r="B580" s="287"/>
      <c r="C580" s="287"/>
      <c r="D580" s="287"/>
      <c r="E580" s="287"/>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E580" s="287"/>
      <c r="AF580" s="287"/>
      <c r="AG580" s="287"/>
      <c r="AH580" s="287"/>
    </row>
    <row r="581" spans="1:34" ht="13.5" customHeight="1" x14ac:dyDescent="0.25">
      <c r="A581" s="287"/>
      <c r="B581" s="287"/>
      <c r="C581" s="287"/>
      <c r="D581" s="287"/>
      <c r="E581" s="287"/>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E581" s="287"/>
      <c r="AF581" s="287"/>
      <c r="AG581" s="287"/>
      <c r="AH581" s="287"/>
    </row>
    <row r="582" spans="1:34" ht="13.5" customHeight="1" x14ac:dyDescent="0.25">
      <c r="A582" s="287"/>
      <c r="B582" s="287"/>
      <c r="C582" s="287"/>
      <c r="D582" s="287"/>
      <c r="E582" s="287"/>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E582" s="287"/>
      <c r="AF582" s="287"/>
      <c r="AG582" s="287"/>
      <c r="AH582" s="287"/>
    </row>
    <row r="583" spans="1:34" ht="13.5" customHeight="1" x14ac:dyDescent="0.25">
      <c r="A583" s="287"/>
      <c r="B583" s="287"/>
      <c r="C583" s="287"/>
      <c r="D583" s="287"/>
      <c r="E583" s="287"/>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E583" s="287"/>
      <c r="AF583" s="287"/>
      <c r="AG583" s="287"/>
      <c r="AH583" s="287"/>
    </row>
    <row r="584" spans="1:34" ht="13.5" customHeight="1" x14ac:dyDescent="0.25">
      <c r="A584" s="287"/>
      <c r="B584" s="287"/>
      <c r="C584" s="287"/>
      <c r="D584" s="287"/>
      <c r="E584" s="287"/>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E584" s="287"/>
      <c r="AF584" s="287"/>
      <c r="AG584" s="287"/>
      <c r="AH584" s="287"/>
    </row>
    <row r="585" spans="1:34" ht="13.5" customHeight="1" x14ac:dyDescent="0.25">
      <c r="A585" s="287"/>
      <c r="B585" s="287"/>
      <c r="C585" s="287"/>
      <c r="D585" s="287"/>
      <c r="E585" s="287"/>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E585" s="287"/>
      <c r="AF585" s="287"/>
      <c r="AG585" s="287"/>
      <c r="AH585" s="287"/>
    </row>
    <row r="586" spans="1:34" ht="13.5" customHeight="1" x14ac:dyDescent="0.25">
      <c r="A586" s="287"/>
      <c r="B586" s="287"/>
      <c r="C586" s="287"/>
      <c r="D586" s="287"/>
      <c r="E586" s="287"/>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E586" s="287"/>
      <c r="AF586" s="287"/>
      <c r="AG586" s="287"/>
      <c r="AH586" s="287"/>
    </row>
    <row r="587" spans="1:34" ht="13.5" customHeight="1" x14ac:dyDescent="0.25">
      <c r="A587" s="287"/>
      <c r="B587" s="287"/>
      <c r="C587" s="287"/>
      <c r="D587" s="287"/>
      <c r="E587" s="287"/>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E587" s="287"/>
      <c r="AF587" s="287"/>
      <c r="AG587" s="287"/>
      <c r="AH587" s="287"/>
    </row>
    <row r="588" spans="1:34" ht="13.5" customHeight="1" x14ac:dyDescent="0.25">
      <c r="A588" s="287"/>
      <c r="B588" s="287"/>
      <c r="C588" s="287"/>
      <c r="D588" s="287"/>
      <c r="E588" s="287"/>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E588" s="287"/>
      <c r="AF588" s="287"/>
      <c r="AG588" s="287"/>
      <c r="AH588" s="287"/>
    </row>
    <row r="589" spans="1:34" ht="13.5" customHeight="1" x14ac:dyDescent="0.25">
      <c r="A589" s="287"/>
      <c r="B589" s="287"/>
      <c r="C589" s="287"/>
      <c r="D589" s="287"/>
      <c r="E589" s="287"/>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E589" s="287"/>
      <c r="AF589" s="287"/>
      <c r="AG589" s="287"/>
      <c r="AH589" s="287"/>
    </row>
    <row r="590" spans="1:34" ht="13.5" customHeight="1" x14ac:dyDescent="0.25">
      <c r="A590" s="287"/>
      <c r="B590" s="287"/>
      <c r="C590" s="287"/>
      <c r="D590" s="287"/>
      <c r="E590" s="287"/>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E590" s="287"/>
      <c r="AF590" s="287"/>
      <c r="AG590" s="287"/>
      <c r="AH590" s="287"/>
    </row>
    <row r="591" spans="1:34" ht="13.5" customHeight="1" x14ac:dyDescent="0.25">
      <c r="A591" s="287"/>
      <c r="B591" s="287"/>
      <c r="C591" s="287"/>
      <c r="D591" s="287"/>
      <c r="E591" s="287"/>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E591" s="287"/>
      <c r="AF591" s="287"/>
      <c r="AG591" s="287"/>
      <c r="AH591" s="287"/>
    </row>
    <row r="592" spans="1:34" ht="13.5" customHeight="1" x14ac:dyDescent="0.25">
      <c r="A592" s="287"/>
      <c r="B592" s="287"/>
      <c r="C592" s="287"/>
      <c r="D592" s="287"/>
      <c r="E592" s="287"/>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E592" s="287"/>
      <c r="AF592" s="287"/>
      <c r="AG592" s="287"/>
      <c r="AH592" s="287"/>
    </row>
    <row r="593" spans="1:34" ht="13.5" customHeight="1" x14ac:dyDescent="0.25">
      <c r="A593" s="287"/>
      <c r="B593" s="287"/>
      <c r="C593" s="287"/>
      <c r="D593" s="287"/>
      <c r="E593" s="287"/>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E593" s="287"/>
      <c r="AF593" s="287"/>
      <c r="AG593" s="287"/>
      <c r="AH593" s="287"/>
    </row>
    <row r="594" spans="1:34" ht="13.5" customHeight="1" x14ac:dyDescent="0.25">
      <c r="A594" s="287"/>
      <c r="B594" s="287"/>
      <c r="C594" s="287"/>
      <c r="D594" s="287"/>
      <c r="E594" s="287"/>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E594" s="287"/>
      <c r="AF594" s="287"/>
      <c r="AG594" s="287"/>
      <c r="AH594" s="287"/>
    </row>
    <row r="595" spans="1:34" ht="13.5" customHeight="1" x14ac:dyDescent="0.25">
      <c r="A595" s="287"/>
      <c r="B595" s="287"/>
      <c r="C595" s="287"/>
      <c r="D595" s="287"/>
      <c r="E595" s="287"/>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E595" s="287"/>
      <c r="AF595" s="287"/>
      <c r="AG595" s="287"/>
      <c r="AH595" s="287"/>
    </row>
    <row r="596" spans="1:34" ht="13.5" customHeight="1" x14ac:dyDescent="0.25">
      <c r="A596" s="287"/>
      <c r="B596" s="287"/>
      <c r="C596" s="287"/>
      <c r="D596" s="287"/>
      <c r="E596" s="287"/>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E596" s="287"/>
      <c r="AF596" s="287"/>
      <c r="AG596" s="287"/>
      <c r="AH596" s="287"/>
    </row>
    <row r="597" spans="1:34" ht="13.5" customHeight="1" x14ac:dyDescent="0.25">
      <c r="A597" s="287"/>
      <c r="B597" s="287"/>
      <c r="C597" s="287"/>
      <c r="D597" s="287"/>
      <c r="E597" s="287"/>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E597" s="287"/>
      <c r="AF597" s="287"/>
      <c r="AG597" s="287"/>
      <c r="AH597" s="287"/>
    </row>
    <row r="598" spans="1:34" ht="13.5" customHeight="1" x14ac:dyDescent="0.25">
      <c r="A598" s="287"/>
      <c r="B598" s="287"/>
      <c r="C598" s="287"/>
      <c r="D598" s="287"/>
      <c r="E598" s="287"/>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E598" s="287"/>
      <c r="AF598" s="287"/>
      <c r="AG598" s="287"/>
      <c r="AH598" s="287"/>
    </row>
    <row r="599" spans="1:34" ht="13.5" customHeight="1" x14ac:dyDescent="0.25">
      <c r="A599" s="287"/>
      <c r="B599" s="287"/>
      <c r="C599" s="287"/>
      <c r="D599" s="287"/>
      <c r="E599" s="287"/>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E599" s="287"/>
      <c r="AF599" s="287"/>
      <c r="AG599" s="287"/>
      <c r="AH599" s="287"/>
    </row>
    <row r="600" spans="1:34" ht="13.5" customHeight="1" x14ac:dyDescent="0.25">
      <c r="A600" s="287"/>
      <c r="B600" s="287"/>
      <c r="C600" s="287"/>
      <c r="D600" s="287"/>
      <c r="E600" s="287"/>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E600" s="287"/>
      <c r="AF600" s="287"/>
      <c r="AG600" s="287"/>
      <c r="AH600" s="287"/>
    </row>
    <row r="601" spans="1:34" ht="13.5" customHeight="1" x14ac:dyDescent="0.25">
      <c r="A601" s="287"/>
      <c r="B601" s="287"/>
      <c r="C601" s="287"/>
      <c r="D601" s="287"/>
      <c r="E601" s="287"/>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E601" s="287"/>
      <c r="AF601" s="287"/>
      <c r="AG601" s="287"/>
      <c r="AH601" s="287"/>
    </row>
    <row r="602" spans="1:34" ht="13.5" customHeight="1" x14ac:dyDescent="0.25">
      <c r="A602" s="287"/>
      <c r="B602" s="287"/>
      <c r="C602" s="287"/>
      <c r="D602" s="287"/>
      <c r="E602" s="287"/>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E602" s="287"/>
      <c r="AF602" s="287"/>
      <c r="AG602" s="287"/>
      <c r="AH602" s="287"/>
    </row>
    <row r="603" spans="1:34" ht="13.5" customHeight="1" x14ac:dyDescent="0.25">
      <c r="A603" s="287"/>
      <c r="B603" s="287"/>
      <c r="C603" s="287"/>
      <c r="D603" s="287"/>
      <c r="E603" s="287"/>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E603" s="287"/>
      <c r="AF603" s="287"/>
      <c r="AG603" s="287"/>
      <c r="AH603" s="287"/>
    </row>
    <row r="604" spans="1:34" ht="13.5" customHeight="1" x14ac:dyDescent="0.25">
      <c r="A604" s="287"/>
      <c r="B604" s="287"/>
      <c r="C604" s="287"/>
      <c r="D604" s="287"/>
      <c r="E604" s="287"/>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E604" s="287"/>
      <c r="AF604" s="287"/>
      <c r="AG604" s="287"/>
      <c r="AH604" s="287"/>
    </row>
    <row r="605" spans="1:34" ht="13.5" customHeight="1" x14ac:dyDescent="0.25">
      <c r="A605" s="287"/>
      <c r="B605" s="287"/>
      <c r="C605" s="287"/>
      <c r="D605" s="287"/>
      <c r="E605" s="287"/>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E605" s="287"/>
      <c r="AF605" s="287"/>
      <c r="AG605" s="287"/>
      <c r="AH605" s="287"/>
    </row>
    <row r="606" spans="1:34" ht="13.5" customHeight="1" x14ac:dyDescent="0.25">
      <c r="A606" s="287"/>
      <c r="B606" s="287"/>
      <c r="C606" s="287"/>
      <c r="D606" s="287"/>
      <c r="E606" s="287"/>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E606" s="287"/>
      <c r="AF606" s="287"/>
      <c r="AG606" s="287"/>
      <c r="AH606" s="287"/>
    </row>
    <row r="607" spans="1:34" ht="13.5" customHeight="1" x14ac:dyDescent="0.25">
      <c r="A607" s="287"/>
      <c r="B607" s="287"/>
      <c r="C607" s="287"/>
      <c r="D607" s="287"/>
      <c r="E607" s="287"/>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E607" s="287"/>
      <c r="AF607" s="287"/>
      <c r="AG607" s="287"/>
      <c r="AH607" s="287"/>
    </row>
    <row r="608" spans="1:34" ht="13.5" customHeight="1" x14ac:dyDescent="0.25">
      <c r="A608" s="287"/>
      <c r="B608" s="287"/>
      <c r="C608" s="287"/>
      <c r="D608" s="287"/>
      <c r="E608" s="287"/>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E608" s="287"/>
      <c r="AF608" s="287"/>
      <c r="AG608" s="287"/>
      <c r="AH608" s="287"/>
    </row>
    <row r="609" spans="1:34" ht="13.5" customHeight="1" x14ac:dyDescent="0.25">
      <c r="A609" s="287"/>
      <c r="B609" s="287"/>
      <c r="C609" s="287"/>
      <c r="D609" s="287"/>
      <c r="E609" s="287"/>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E609" s="287"/>
      <c r="AF609" s="287"/>
      <c r="AG609" s="287"/>
      <c r="AH609" s="287"/>
    </row>
    <row r="610" spans="1:34" ht="13.5" customHeight="1" x14ac:dyDescent="0.25">
      <c r="A610" s="287"/>
      <c r="B610" s="287"/>
      <c r="C610" s="287"/>
      <c r="D610" s="287"/>
      <c r="E610" s="287"/>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E610" s="287"/>
      <c r="AF610" s="287"/>
      <c r="AG610" s="287"/>
      <c r="AH610" s="287"/>
    </row>
    <row r="611" spans="1:34" ht="13.5" customHeight="1" x14ac:dyDescent="0.25">
      <c r="A611" s="287"/>
      <c r="B611" s="287"/>
      <c r="C611" s="287"/>
      <c r="D611" s="287"/>
      <c r="E611" s="287"/>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E611" s="287"/>
      <c r="AF611" s="287"/>
      <c r="AG611" s="287"/>
      <c r="AH611" s="287"/>
    </row>
    <row r="612" spans="1:34" ht="13.5" customHeight="1" x14ac:dyDescent="0.25">
      <c r="A612" s="287"/>
      <c r="B612" s="287"/>
      <c r="C612" s="287"/>
      <c r="D612" s="287"/>
      <c r="E612" s="287"/>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E612" s="287"/>
      <c r="AF612" s="287"/>
      <c r="AG612" s="287"/>
      <c r="AH612" s="287"/>
    </row>
    <row r="613" spans="1:34" ht="13.5" customHeight="1" x14ac:dyDescent="0.25">
      <c r="A613" s="287"/>
      <c r="B613" s="287"/>
      <c r="C613" s="287"/>
      <c r="D613" s="287"/>
      <c r="E613" s="287"/>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E613" s="287"/>
      <c r="AF613" s="287"/>
      <c r="AG613" s="287"/>
      <c r="AH613" s="287"/>
    </row>
    <row r="614" spans="1:34" ht="13.5" customHeight="1" x14ac:dyDescent="0.25">
      <c r="A614" s="287"/>
      <c r="B614" s="287"/>
      <c r="C614" s="287"/>
      <c r="D614" s="287"/>
      <c r="E614" s="287"/>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E614" s="287"/>
      <c r="AF614" s="287"/>
      <c r="AG614" s="287"/>
      <c r="AH614" s="287"/>
    </row>
    <row r="615" spans="1:34" ht="13.5" customHeight="1" x14ac:dyDescent="0.25">
      <c r="A615" s="287"/>
      <c r="B615" s="287"/>
      <c r="C615" s="287"/>
      <c r="D615" s="287"/>
      <c r="E615" s="287"/>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E615" s="287"/>
      <c r="AF615" s="287"/>
      <c r="AG615" s="287"/>
      <c r="AH615" s="287"/>
    </row>
    <row r="616" spans="1:34" ht="13.5" customHeight="1" x14ac:dyDescent="0.25">
      <c r="A616" s="287"/>
      <c r="B616" s="287"/>
      <c r="C616" s="287"/>
      <c r="D616" s="287"/>
      <c r="E616" s="287"/>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E616" s="287"/>
      <c r="AF616" s="287"/>
      <c r="AG616" s="287"/>
      <c r="AH616" s="287"/>
    </row>
    <row r="617" spans="1:34" ht="13.5" customHeight="1" x14ac:dyDescent="0.25">
      <c r="A617" s="287"/>
      <c r="B617" s="287"/>
      <c r="C617" s="287"/>
      <c r="D617" s="287"/>
      <c r="E617" s="287"/>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E617" s="287"/>
      <c r="AF617" s="287"/>
      <c r="AG617" s="287"/>
      <c r="AH617" s="287"/>
    </row>
    <row r="618" spans="1:34" ht="13.5" customHeight="1" x14ac:dyDescent="0.25">
      <c r="A618" s="287"/>
      <c r="B618" s="287"/>
      <c r="C618" s="287"/>
      <c r="D618" s="287"/>
      <c r="E618" s="287"/>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E618" s="287"/>
      <c r="AF618" s="287"/>
      <c r="AG618" s="287"/>
      <c r="AH618" s="287"/>
    </row>
    <row r="619" spans="1:34" ht="13.5" customHeight="1" x14ac:dyDescent="0.25">
      <c r="A619" s="287"/>
      <c r="B619" s="287"/>
      <c r="C619" s="287"/>
      <c r="D619" s="287"/>
      <c r="E619" s="287"/>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E619" s="287"/>
      <c r="AF619" s="287"/>
      <c r="AG619" s="287"/>
      <c r="AH619" s="287"/>
    </row>
    <row r="620" spans="1:34" ht="13.5" customHeight="1" x14ac:dyDescent="0.25">
      <c r="A620" s="287"/>
      <c r="B620" s="287"/>
      <c r="C620" s="287"/>
      <c r="D620" s="287"/>
      <c r="E620" s="287"/>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E620" s="287"/>
      <c r="AF620" s="287"/>
      <c r="AG620" s="287"/>
      <c r="AH620" s="287"/>
    </row>
    <row r="621" spans="1:34" ht="13.5" customHeight="1" x14ac:dyDescent="0.25">
      <c r="A621" s="287"/>
      <c r="B621" s="287"/>
      <c r="C621" s="287"/>
      <c r="D621" s="287"/>
      <c r="E621" s="287"/>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E621" s="287"/>
      <c r="AF621" s="287"/>
      <c r="AG621" s="287"/>
      <c r="AH621" s="287"/>
    </row>
    <row r="622" spans="1:34" ht="13.5" customHeight="1" x14ac:dyDescent="0.25">
      <c r="A622" s="287"/>
      <c r="B622" s="287"/>
      <c r="C622" s="287"/>
      <c r="D622" s="287"/>
      <c r="E622" s="287"/>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E622" s="287"/>
      <c r="AF622" s="287"/>
      <c r="AG622" s="287"/>
      <c r="AH622" s="287"/>
    </row>
    <row r="623" spans="1:34" ht="13.5" customHeight="1" x14ac:dyDescent="0.25">
      <c r="A623" s="287"/>
      <c r="B623" s="287"/>
      <c r="C623" s="287"/>
      <c r="D623" s="287"/>
      <c r="E623" s="287"/>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E623" s="287"/>
      <c r="AF623" s="287"/>
      <c r="AG623" s="287"/>
      <c r="AH623" s="287"/>
    </row>
    <row r="624" spans="1:34" ht="13.5" customHeight="1" x14ac:dyDescent="0.25">
      <c r="A624" s="287"/>
      <c r="B624" s="287"/>
      <c r="C624" s="287"/>
      <c r="D624" s="287"/>
      <c r="E624" s="287"/>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E624" s="287"/>
      <c r="AF624" s="287"/>
      <c r="AG624" s="287"/>
      <c r="AH624" s="287"/>
    </row>
    <row r="625" spans="1:34" ht="13.5" customHeight="1" x14ac:dyDescent="0.25">
      <c r="A625" s="287"/>
      <c r="B625" s="287"/>
      <c r="C625" s="287"/>
      <c r="D625" s="287"/>
      <c r="E625" s="287"/>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E625" s="287"/>
      <c r="AF625" s="287"/>
      <c r="AG625" s="287"/>
      <c r="AH625" s="287"/>
    </row>
    <row r="626" spans="1:34" ht="13.5" customHeight="1" x14ac:dyDescent="0.25">
      <c r="A626" s="287"/>
      <c r="B626" s="287"/>
      <c r="C626" s="287"/>
      <c r="D626" s="287"/>
      <c r="E626" s="287"/>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E626" s="287"/>
      <c r="AF626" s="287"/>
      <c r="AG626" s="287"/>
      <c r="AH626" s="287"/>
    </row>
    <row r="627" spans="1:34" ht="13.5" customHeight="1" x14ac:dyDescent="0.25">
      <c r="A627" s="287"/>
      <c r="B627" s="287"/>
      <c r="C627" s="287"/>
      <c r="D627" s="287"/>
      <c r="E627" s="287"/>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E627" s="287"/>
      <c r="AF627" s="287"/>
      <c r="AG627" s="287"/>
      <c r="AH627" s="287"/>
    </row>
    <row r="628" spans="1:34" ht="13.5" customHeight="1" x14ac:dyDescent="0.25">
      <c r="A628" s="287"/>
      <c r="B628" s="287"/>
      <c r="C628" s="287"/>
      <c r="D628" s="287"/>
      <c r="E628" s="287"/>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E628" s="287"/>
      <c r="AF628" s="287"/>
      <c r="AG628" s="287"/>
      <c r="AH628" s="287"/>
    </row>
    <row r="629" spans="1:34" ht="13.5" customHeight="1" x14ac:dyDescent="0.25">
      <c r="A629" s="287"/>
      <c r="B629" s="287"/>
      <c r="C629" s="287"/>
      <c r="D629" s="287"/>
      <c r="E629" s="287"/>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E629" s="287"/>
      <c r="AF629" s="287"/>
      <c r="AG629" s="287"/>
      <c r="AH629" s="287"/>
    </row>
    <row r="630" spans="1:34" ht="13.5" customHeight="1" x14ac:dyDescent="0.25">
      <c r="A630" s="287"/>
      <c r="B630" s="287"/>
      <c r="C630" s="287"/>
      <c r="D630" s="287"/>
      <c r="E630" s="287"/>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E630" s="287"/>
      <c r="AF630" s="287"/>
      <c r="AG630" s="287"/>
      <c r="AH630" s="287"/>
    </row>
    <row r="631" spans="1:34" ht="13.5" customHeight="1" x14ac:dyDescent="0.25">
      <c r="A631" s="287"/>
      <c r="B631" s="287"/>
      <c r="C631" s="287"/>
      <c r="D631" s="287"/>
      <c r="E631" s="287"/>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E631" s="287"/>
      <c r="AF631" s="287"/>
      <c r="AG631" s="287"/>
      <c r="AH631" s="287"/>
    </row>
    <row r="632" spans="1:34" ht="13.5" customHeight="1" x14ac:dyDescent="0.25">
      <c r="A632" s="287"/>
      <c r="B632" s="287"/>
      <c r="C632" s="287"/>
      <c r="D632" s="287"/>
      <c r="E632" s="287"/>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E632" s="287"/>
      <c r="AF632" s="287"/>
      <c r="AG632" s="287"/>
      <c r="AH632" s="287"/>
    </row>
    <row r="633" spans="1:34" ht="13.5" customHeight="1" x14ac:dyDescent="0.25">
      <c r="A633" s="287"/>
      <c r="B633" s="287"/>
      <c r="C633" s="287"/>
      <c r="D633" s="287"/>
      <c r="E633" s="287"/>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E633" s="287"/>
      <c r="AF633" s="287"/>
      <c r="AG633" s="287"/>
      <c r="AH633" s="287"/>
    </row>
    <row r="634" spans="1:34" ht="13.5" customHeight="1" x14ac:dyDescent="0.25">
      <c r="A634" s="287"/>
      <c r="B634" s="287"/>
      <c r="C634" s="287"/>
      <c r="D634" s="287"/>
      <c r="E634" s="287"/>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E634" s="287"/>
      <c r="AF634" s="287"/>
      <c r="AG634" s="287"/>
      <c r="AH634" s="287"/>
    </row>
    <row r="635" spans="1:34" ht="13.5" customHeight="1" x14ac:dyDescent="0.25">
      <c r="A635" s="287"/>
      <c r="B635" s="287"/>
      <c r="C635" s="287"/>
      <c r="D635" s="287"/>
      <c r="E635" s="287"/>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E635" s="287"/>
      <c r="AF635" s="287"/>
      <c r="AG635" s="287"/>
      <c r="AH635" s="287"/>
    </row>
    <row r="636" spans="1:34" ht="13.5" customHeight="1" x14ac:dyDescent="0.25">
      <c r="A636" s="287"/>
      <c r="B636" s="287"/>
      <c r="C636" s="287"/>
      <c r="D636" s="287"/>
      <c r="E636" s="287"/>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E636" s="287"/>
      <c r="AF636" s="287"/>
      <c r="AG636" s="287"/>
      <c r="AH636" s="287"/>
    </row>
    <row r="637" spans="1:34" ht="13.5" customHeight="1" x14ac:dyDescent="0.25">
      <c r="A637" s="287"/>
      <c r="B637" s="287"/>
      <c r="C637" s="287"/>
      <c r="D637" s="287"/>
      <c r="E637" s="287"/>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E637" s="287"/>
      <c r="AF637" s="287"/>
      <c r="AG637" s="287"/>
      <c r="AH637" s="287"/>
    </row>
    <row r="638" spans="1:34" ht="13.5" customHeight="1" x14ac:dyDescent="0.25">
      <c r="A638" s="287"/>
      <c r="B638" s="287"/>
      <c r="C638" s="287"/>
      <c r="D638" s="287"/>
      <c r="E638" s="287"/>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E638" s="287"/>
      <c r="AF638" s="287"/>
      <c r="AG638" s="287"/>
      <c r="AH638" s="287"/>
    </row>
    <row r="639" spans="1:34" ht="13.5" customHeight="1" x14ac:dyDescent="0.25">
      <c r="A639" s="287"/>
      <c r="B639" s="287"/>
      <c r="C639" s="287"/>
      <c r="D639" s="287"/>
      <c r="E639" s="287"/>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E639" s="287"/>
      <c r="AF639" s="287"/>
      <c r="AG639" s="287"/>
      <c r="AH639" s="287"/>
    </row>
    <row r="640" spans="1:34" ht="13.5" customHeight="1" x14ac:dyDescent="0.25">
      <c r="A640" s="287"/>
      <c r="B640" s="287"/>
      <c r="C640" s="287"/>
      <c r="D640" s="287"/>
      <c r="E640" s="287"/>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E640" s="287"/>
      <c r="AF640" s="287"/>
      <c r="AG640" s="287"/>
      <c r="AH640" s="287"/>
    </row>
    <row r="641" spans="1:34" ht="13.5" customHeight="1" x14ac:dyDescent="0.25">
      <c r="A641" s="287"/>
      <c r="B641" s="287"/>
      <c r="C641" s="287"/>
      <c r="D641" s="287"/>
      <c r="E641" s="287"/>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E641" s="287"/>
      <c r="AF641" s="287"/>
      <c r="AG641" s="287"/>
      <c r="AH641" s="287"/>
    </row>
    <row r="642" spans="1:34" ht="13.5" customHeight="1" x14ac:dyDescent="0.25">
      <c r="A642" s="287"/>
      <c r="B642" s="287"/>
      <c r="C642" s="287"/>
      <c r="D642" s="287"/>
      <c r="E642" s="287"/>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E642" s="287"/>
      <c r="AF642" s="287"/>
      <c r="AG642" s="287"/>
      <c r="AH642" s="287"/>
    </row>
    <row r="643" spans="1:34" ht="13.5" customHeight="1" x14ac:dyDescent="0.25">
      <c r="A643" s="287"/>
      <c r="B643" s="287"/>
      <c r="C643" s="287"/>
      <c r="D643" s="287"/>
      <c r="E643" s="287"/>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E643" s="287"/>
      <c r="AF643" s="287"/>
      <c r="AG643" s="287"/>
      <c r="AH643" s="287"/>
    </row>
    <row r="644" spans="1:34" ht="13.5" customHeight="1" x14ac:dyDescent="0.25">
      <c r="A644" s="287"/>
      <c r="B644" s="287"/>
      <c r="C644" s="287"/>
      <c r="D644" s="287"/>
      <c r="E644" s="287"/>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E644" s="287"/>
      <c r="AF644" s="287"/>
      <c r="AG644" s="287"/>
      <c r="AH644" s="287"/>
    </row>
    <row r="645" spans="1:34" ht="13.5" customHeight="1" x14ac:dyDescent="0.25">
      <c r="A645" s="287"/>
      <c r="B645" s="287"/>
      <c r="C645" s="287"/>
      <c r="D645" s="287"/>
      <c r="E645" s="287"/>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E645" s="287"/>
      <c r="AF645" s="287"/>
      <c r="AG645" s="287"/>
      <c r="AH645" s="287"/>
    </row>
    <row r="646" spans="1:34" ht="13.5" customHeight="1" x14ac:dyDescent="0.25">
      <c r="A646" s="287"/>
      <c r="B646" s="287"/>
      <c r="C646" s="287"/>
      <c r="D646" s="287"/>
      <c r="E646" s="287"/>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E646" s="287"/>
      <c r="AF646" s="287"/>
      <c r="AG646" s="287"/>
      <c r="AH646" s="287"/>
    </row>
    <row r="647" spans="1:34" ht="13.5" customHeight="1" x14ac:dyDescent="0.25">
      <c r="A647" s="287"/>
      <c r="B647" s="287"/>
      <c r="C647" s="287"/>
      <c r="D647" s="287"/>
      <c r="E647" s="287"/>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E647" s="287"/>
      <c r="AF647" s="287"/>
      <c r="AG647" s="287"/>
      <c r="AH647" s="287"/>
    </row>
    <row r="648" spans="1:34" ht="13.5" customHeight="1" x14ac:dyDescent="0.25">
      <c r="A648" s="287"/>
      <c r="B648" s="287"/>
      <c r="C648" s="287"/>
      <c r="D648" s="287"/>
      <c r="E648" s="287"/>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E648" s="287"/>
      <c r="AF648" s="287"/>
      <c r="AG648" s="287"/>
      <c r="AH648" s="287"/>
    </row>
    <row r="649" spans="1:34" ht="13.5" customHeight="1" x14ac:dyDescent="0.25">
      <c r="A649" s="287"/>
      <c r="B649" s="287"/>
      <c r="C649" s="287"/>
      <c r="D649" s="287"/>
      <c r="E649" s="287"/>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E649" s="287"/>
      <c r="AF649" s="287"/>
      <c r="AG649" s="287"/>
      <c r="AH649" s="287"/>
    </row>
    <row r="650" spans="1:34" ht="13.5" customHeight="1" x14ac:dyDescent="0.25">
      <c r="A650" s="287"/>
      <c r="B650" s="287"/>
      <c r="C650" s="287"/>
      <c r="D650" s="287"/>
      <c r="E650" s="287"/>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E650" s="287"/>
      <c r="AF650" s="287"/>
      <c r="AG650" s="287"/>
      <c r="AH650" s="287"/>
    </row>
    <row r="651" spans="1:34" ht="13.5" customHeight="1" x14ac:dyDescent="0.25">
      <c r="A651" s="287"/>
      <c r="B651" s="287"/>
      <c r="C651" s="287"/>
      <c r="D651" s="287"/>
      <c r="E651" s="287"/>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E651" s="287"/>
      <c r="AF651" s="287"/>
      <c r="AG651" s="287"/>
      <c r="AH651" s="287"/>
    </row>
    <row r="652" spans="1:34" ht="13.5" customHeight="1" x14ac:dyDescent="0.25">
      <c r="A652" s="287"/>
      <c r="B652" s="287"/>
      <c r="C652" s="287"/>
      <c r="D652" s="287"/>
      <c r="E652" s="287"/>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E652" s="287"/>
      <c r="AF652" s="287"/>
      <c r="AG652" s="287"/>
      <c r="AH652" s="287"/>
    </row>
    <row r="653" spans="1:34" ht="13.5" customHeight="1" x14ac:dyDescent="0.25">
      <c r="A653" s="287"/>
      <c r="B653" s="287"/>
      <c r="C653" s="287"/>
      <c r="D653" s="287"/>
      <c r="E653" s="287"/>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E653" s="287"/>
      <c r="AF653" s="287"/>
      <c r="AG653" s="287"/>
      <c r="AH653" s="287"/>
    </row>
    <row r="654" spans="1:34" ht="13.5" customHeight="1" x14ac:dyDescent="0.25">
      <c r="A654" s="287"/>
      <c r="B654" s="287"/>
      <c r="C654" s="287"/>
      <c r="D654" s="287"/>
      <c r="E654" s="287"/>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E654" s="287"/>
      <c r="AF654" s="287"/>
      <c r="AG654" s="287"/>
      <c r="AH654" s="287"/>
    </row>
    <row r="655" spans="1:34" ht="13.5" customHeight="1" x14ac:dyDescent="0.25">
      <c r="A655" s="287"/>
      <c r="B655" s="287"/>
      <c r="C655" s="287"/>
      <c r="D655" s="287"/>
      <c r="E655" s="287"/>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E655" s="287"/>
      <c r="AF655" s="287"/>
      <c r="AG655" s="287"/>
      <c r="AH655" s="287"/>
    </row>
    <row r="656" spans="1:34" ht="13.5" customHeight="1" x14ac:dyDescent="0.25">
      <c r="A656" s="287"/>
      <c r="B656" s="287"/>
      <c r="C656" s="287"/>
      <c r="D656" s="287"/>
      <c r="E656" s="287"/>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E656" s="287"/>
      <c r="AF656" s="287"/>
      <c r="AG656" s="287"/>
      <c r="AH656" s="287"/>
    </row>
    <row r="657" spans="1:34" ht="13.5" customHeight="1" x14ac:dyDescent="0.25">
      <c r="A657" s="287"/>
      <c r="B657" s="287"/>
      <c r="C657" s="287"/>
      <c r="D657" s="287"/>
      <c r="E657" s="287"/>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E657" s="287"/>
      <c r="AF657" s="287"/>
      <c r="AG657" s="287"/>
      <c r="AH657" s="287"/>
    </row>
    <row r="658" spans="1:34" ht="13.5" customHeight="1" x14ac:dyDescent="0.25">
      <c r="A658" s="287"/>
      <c r="B658" s="287"/>
      <c r="C658" s="287"/>
      <c r="D658" s="287"/>
      <c r="E658" s="287"/>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E658" s="287"/>
      <c r="AF658" s="287"/>
      <c r="AG658" s="287"/>
      <c r="AH658" s="287"/>
    </row>
    <row r="659" spans="1:34" ht="13.5" customHeight="1" x14ac:dyDescent="0.25">
      <c r="A659" s="287"/>
      <c r="B659" s="287"/>
      <c r="C659" s="287"/>
      <c r="D659" s="287"/>
      <c r="E659" s="287"/>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E659" s="287"/>
      <c r="AF659" s="287"/>
      <c r="AG659" s="287"/>
      <c r="AH659" s="287"/>
    </row>
    <row r="660" spans="1:34" ht="13.5" customHeight="1" x14ac:dyDescent="0.25">
      <c r="A660" s="287"/>
      <c r="B660" s="287"/>
      <c r="C660" s="287"/>
      <c r="D660" s="287"/>
      <c r="E660" s="287"/>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E660" s="287"/>
      <c r="AF660" s="287"/>
      <c r="AG660" s="287"/>
      <c r="AH660" s="287"/>
    </row>
    <row r="661" spans="1:34" ht="13.5" customHeight="1" x14ac:dyDescent="0.25">
      <c r="A661" s="287"/>
      <c r="B661" s="287"/>
      <c r="C661" s="287"/>
      <c r="D661" s="287"/>
      <c r="E661" s="287"/>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E661" s="287"/>
      <c r="AF661" s="287"/>
      <c r="AG661" s="287"/>
      <c r="AH661" s="287"/>
    </row>
    <row r="662" spans="1:34" ht="13.5" customHeight="1" x14ac:dyDescent="0.25">
      <c r="A662" s="287"/>
      <c r="B662" s="287"/>
      <c r="C662" s="287"/>
      <c r="D662" s="287"/>
      <c r="E662" s="287"/>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E662" s="287"/>
      <c r="AF662" s="287"/>
      <c r="AG662" s="287"/>
      <c r="AH662" s="287"/>
    </row>
    <row r="663" spans="1:34" ht="13.5" customHeight="1" x14ac:dyDescent="0.25">
      <c r="A663" s="287"/>
      <c r="B663" s="287"/>
      <c r="C663" s="287"/>
      <c r="D663" s="287"/>
      <c r="E663" s="287"/>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E663" s="287"/>
      <c r="AF663" s="287"/>
      <c r="AG663" s="287"/>
      <c r="AH663" s="287"/>
    </row>
    <row r="664" spans="1:34" ht="13.5" customHeight="1" x14ac:dyDescent="0.25">
      <c r="A664" s="287"/>
      <c r="B664" s="287"/>
      <c r="C664" s="287"/>
      <c r="D664" s="287"/>
      <c r="E664" s="287"/>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E664" s="287"/>
      <c r="AF664" s="287"/>
      <c r="AG664" s="287"/>
      <c r="AH664" s="287"/>
    </row>
    <row r="665" spans="1:34" ht="13.5" customHeight="1" x14ac:dyDescent="0.25">
      <c r="A665" s="287"/>
      <c r="B665" s="287"/>
      <c r="C665" s="287"/>
      <c r="D665" s="287"/>
      <c r="E665" s="287"/>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E665" s="287"/>
      <c r="AF665" s="287"/>
      <c r="AG665" s="287"/>
      <c r="AH665" s="287"/>
    </row>
    <row r="666" spans="1:34" ht="13.5" customHeight="1" x14ac:dyDescent="0.25">
      <c r="A666" s="287"/>
      <c r="B666" s="287"/>
      <c r="C666" s="287"/>
      <c r="D666" s="287"/>
      <c r="E666" s="287"/>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E666" s="287"/>
      <c r="AF666" s="287"/>
      <c r="AG666" s="287"/>
      <c r="AH666" s="287"/>
    </row>
    <row r="667" spans="1:34" ht="13.5" customHeight="1" x14ac:dyDescent="0.25">
      <c r="A667" s="287"/>
      <c r="B667" s="287"/>
      <c r="C667" s="287"/>
      <c r="D667" s="287"/>
      <c r="E667" s="287"/>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E667" s="287"/>
      <c r="AF667" s="287"/>
      <c r="AG667" s="287"/>
      <c r="AH667" s="287"/>
    </row>
    <row r="668" spans="1:34" ht="13.5" customHeight="1" x14ac:dyDescent="0.25">
      <c r="A668" s="287"/>
      <c r="B668" s="287"/>
      <c r="C668" s="287"/>
      <c r="D668" s="287"/>
      <c r="E668" s="287"/>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E668" s="287"/>
      <c r="AF668" s="287"/>
      <c r="AG668" s="287"/>
      <c r="AH668" s="287"/>
    </row>
    <row r="669" spans="1:34" ht="13.5" customHeight="1" x14ac:dyDescent="0.25">
      <c r="A669" s="287"/>
      <c r="B669" s="287"/>
      <c r="C669" s="287"/>
      <c r="D669" s="287"/>
      <c r="E669" s="287"/>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E669" s="287"/>
      <c r="AF669" s="287"/>
      <c r="AG669" s="287"/>
      <c r="AH669" s="287"/>
    </row>
    <row r="670" spans="1:34" ht="13.5" customHeight="1" x14ac:dyDescent="0.25">
      <c r="A670" s="287"/>
      <c r="B670" s="287"/>
      <c r="C670" s="287"/>
      <c r="D670" s="287"/>
      <c r="E670" s="287"/>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E670" s="287"/>
      <c r="AF670" s="287"/>
      <c r="AG670" s="287"/>
      <c r="AH670" s="287"/>
    </row>
    <row r="671" spans="1:34" ht="13.5" customHeight="1" x14ac:dyDescent="0.25">
      <c r="A671" s="287"/>
      <c r="B671" s="287"/>
      <c r="C671" s="287"/>
      <c r="D671" s="287"/>
      <c r="E671" s="287"/>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E671" s="287"/>
      <c r="AF671" s="287"/>
      <c r="AG671" s="287"/>
      <c r="AH671" s="287"/>
    </row>
    <row r="672" spans="1:34" ht="13.5" customHeight="1" x14ac:dyDescent="0.25">
      <c r="A672" s="287"/>
      <c r="B672" s="287"/>
      <c r="C672" s="287"/>
      <c r="D672" s="287"/>
      <c r="E672" s="287"/>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E672" s="287"/>
      <c r="AF672" s="287"/>
      <c r="AG672" s="287"/>
      <c r="AH672" s="287"/>
    </row>
    <row r="673" spans="1:34" ht="13.5" customHeight="1" x14ac:dyDescent="0.25">
      <c r="A673" s="287"/>
      <c r="B673" s="287"/>
      <c r="C673" s="287"/>
      <c r="D673" s="287"/>
      <c r="E673" s="287"/>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E673" s="287"/>
      <c r="AF673" s="287"/>
      <c r="AG673" s="287"/>
      <c r="AH673" s="287"/>
    </row>
    <row r="674" spans="1:34" ht="13.5" customHeight="1" x14ac:dyDescent="0.25">
      <c r="A674" s="287"/>
      <c r="B674" s="287"/>
      <c r="C674" s="287"/>
      <c r="D674" s="287"/>
      <c r="E674" s="287"/>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E674" s="287"/>
      <c r="AF674" s="287"/>
      <c r="AG674" s="287"/>
      <c r="AH674" s="287"/>
    </row>
    <row r="675" spans="1:34" ht="13.5" customHeight="1" x14ac:dyDescent="0.25">
      <c r="A675" s="287"/>
      <c r="B675" s="287"/>
      <c r="C675" s="287"/>
      <c r="D675" s="287"/>
      <c r="E675" s="287"/>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E675" s="287"/>
      <c r="AF675" s="287"/>
      <c r="AG675" s="287"/>
      <c r="AH675" s="287"/>
    </row>
    <row r="676" spans="1:34" ht="13.5" customHeight="1" x14ac:dyDescent="0.25">
      <c r="A676" s="287"/>
      <c r="B676" s="287"/>
      <c r="C676" s="287"/>
      <c r="D676" s="287"/>
      <c r="E676" s="287"/>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E676" s="287"/>
      <c r="AF676" s="287"/>
      <c r="AG676" s="287"/>
      <c r="AH676" s="287"/>
    </row>
    <row r="677" spans="1:34" ht="13.5" customHeight="1" x14ac:dyDescent="0.25">
      <c r="A677" s="287"/>
      <c r="B677" s="287"/>
      <c r="C677" s="287"/>
      <c r="D677" s="287"/>
      <c r="E677" s="287"/>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E677" s="287"/>
      <c r="AF677" s="287"/>
      <c r="AG677" s="287"/>
      <c r="AH677" s="287"/>
    </row>
    <row r="678" spans="1:34" ht="13.5" customHeight="1" x14ac:dyDescent="0.25">
      <c r="A678" s="287"/>
      <c r="B678" s="287"/>
      <c r="C678" s="287"/>
      <c r="D678" s="287"/>
      <c r="E678" s="287"/>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E678" s="287"/>
      <c r="AF678" s="287"/>
      <c r="AG678" s="287"/>
      <c r="AH678" s="287"/>
    </row>
    <row r="679" spans="1:34" ht="13.5" customHeight="1" x14ac:dyDescent="0.25">
      <c r="A679" s="287"/>
      <c r="B679" s="287"/>
      <c r="C679" s="287"/>
      <c r="D679" s="287"/>
      <c r="E679" s="287"/>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E679" s="287"/>
      <c r="AF679" s="287"/>
      <c r="AG679" s="287"/>
      <c r="AH679" s="287"/>
    </row>
    <row r="680" spans="1:34" ht="13.5" customHeight="1" x14ac:dyDescent="0.25">
      <c r="A680" s="287"/>
      <c r="B680" s="287"/>
      <c r="C680" s="287"/>
      <c r="D680" s="287"/>
      <c r="E680" s="287"/>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E680" s="287"/>
      <c r="AF680" s="287"/>
      <c r="AG680" s="287"/>
      <c r="AH680" s="287"/>
    </row>
    <row r="681" spans="1:34" ht="13.5" customHeight="1" x14ac:dyDescent="0.25">
      <c r="A681" s="287"/>
      <c r="B681" s="287"/>
      <c r="C681" s="287"/>
      <c r="D681" s="287"/>
      <c r="E681" s="287"/>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E681" s="287"/>
      <c r="AF681" s="287"/>
      <c r="AG681" s="287"/>
      <c r="AH681" s="287"/>
    </row>
    <row r="682" spans="1:34" ht="13.5" customHeight="1" x14ac:dyDescent="0.25">
      <c r="A682" s="287"/>
      <c r="B682" s="287"/>
      <c r="C682" s="287"/>
      <c r="D682" s="287"/>
      <c r="E682" s="287"/>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E682" s="287"/>
      <c r="AF682" s="287"/>
      <c r="AG682" s="287"/>
      <c r="AH682" s="287"/>
    </row>
    <row r="683" spans="1:34" ht="13.5" customHeight="1" x14ac:dyDescent="0.25">
      <c r="A683" s="287"/>
      <c r="B683" s="287"/>
      <c r="C683" s="287"/>
      <c r="D683" s="287"/>
      <c r="E683" s="287"/>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E683" s="287"/>
      <c r="AF683" s="287"/>
      <c r="AG683" s="287"/>
      <c r="AH683" s="287"/>
    </row>
    <row r="684" spans="1:34" ht="13.5" customHeight="1" x14ac:dyDescent="0.25">
      <c r="A684" s="287"/>
      <c r="B684" s="287"/>
      <c r="C684" s="287"/>
      <c r="D684" s="287"/>
      <c r="E684" s="287"/>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E684" s="287"/>
      <c r="AF684" s="287"/>
      <c r="AG684" s="287"/>
      <c r="AH684" s="287"/>
    </row>
    <row r="685" spans="1:34" ht="13.5" customHeight="1" x14ac:dyDescent="0.25">
      <c r="A685" s="287"/>
      <c r="B685" s="287"/>
      <c r="C685" s="287"/>
      <c r="D685" s="287"/>
      <c r="E685" s="287"/>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E685" s="287"/>
      <c r="AF685" s="287"/>
      <c r="AG685" s="287"/>
      <c r="AH685" s="287"/>
    </row>
    <row r="686" spans="1:34" ht="13.5" customHeight="1" x14ac:dyDescent="0.25">
      <c r="A686" s="287"/>
      <c r="B686" s="287"/>
      <c r="C686" s="287"/>
      <c r="D686" s="287"/>
      <c r="E686" s="287"/>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E686" s="287"/>
      <c r="AF686" s="287"/>
      <c r="AG686" s="287"/>
      <c r="AH686" s="287"/>
    </row>
    <row r="687" spans="1:34" ht="13.5" customHeight="1" x14ac:dyDescent="0.25">
      <c r="A687" s="287"/>
      <c r="B687" s="287"/>
      <c r="C687" s="287"/>
      <c r="D687" s="287"/>
      <c r="E687" s="287"/>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E687" s="287"/>
      <c r="AF687" s="287"/>
      <c r="AG687" s="287"/>
      <c r="AH687" s="287"/>
    </row>
    <row r="688" spans="1:34" ht="13.5" customHeight="1" x14ac:dyDescent="0.25">
      <c r="A688" s="287"/>
      <c r="B688" s="287"/>
      <c r="C688" s="287"/>
      <c r="D688" s="287"/>
      <c r="E688" s="287"/>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E688" s="287"/>
      <c r="AF688" s="287"/>
      <c r="AG688" s="287"/>
      <c r="AH688" s="287"/>
    </row>
    <row r="689" spans="1:34" ht="13.5" customHeight="1" x14ac:dyDescent="0.25">
      <c r="A689" s="287"/>
      <c r="B689" s="287"/>
      <c r="C689" s="287"/>
      <c r="D689" s="287"/>
      <c r="E689" s="287"/>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E689" s="287"/>
      <c r="AF689" s="287"/>
      <c r="AG689" s="287"/>
      <c r="AH689" s="287"/>
    </row>
    <row r="690" spans="1:34" ht="13.5" customHeight="1" x14ac:dyDescent="0.25">
      <c r="A690" s="287"/>
      <c r="B690" s="287"/>
      <c r="C690" s="287"/>
      <c r="D690" s="287"/>
      <c r="E690" s="287"/>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E690" s="287"/>
      <c r="AF690" s="287"/>
      <c r="AG690" s="287"/>
      <c r="AH690" s="287"/>
    </row>
    <row r="691" spans="1:34" ht="13.5" customHeight="1" x14ac:dyDescent="0.25">
      <c r="A691" s="287"/>
      <c r="B691" s="287"/>
      <c r="C691" s="287"/>
      <c r="D691" s="287"/>
      <c r="E691" s="287"/>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E691" s="287"/>
      <c r="AF691" s="287"/>
      <c r="AG691" s="287"/>
      <c r="AH691" s="287"/>
    </row>
    <row r="692" spans="1:34" ht="13.5" customHeight="1" x14ac:dyDescent="0.25">
      <c r="A692" s="287"/>
      <c r="B692" s="287"/>
      <c r="C692" s="287"/>
      <c r="D692" s="287"/>
      <c r="E692" s="287"/>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E692" s="287"/>
      <c r="AF692" s="287"/>
      <c r="AG692" s="287"/>
      <c r="AH692" s="287"/>
    </row>
    <row r="693" spans="1:34" ht="13.5" customHeight="1" x14ac:dyDescent="0.25">
      <c r="A693" s="287"/>
      <c r="B693" s="287"/>
      <c r="C693" s="287"/>
      <c r="D693" s="287"/>
      <c r="E693" s="287"/>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E693" s="287"/>
      <c r="AF693" s="287"/>
      <c r="AG693" s="287"/>
      <c r="AH693" s="287"/>
    </row>
    <row r="694" spans="1:34" ht="13.5" customHeight="1" x14ac:dyDescent="0.25">
      <c r="A694" s="287"/>
      <c r="B694" s="287"/>
      <c r="C694" s="287"/>
      <c r="D694" s="287"/>
      <c r="E694" s="287"/>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E694" s="287"/>
      <c r="AF694" s="287"/>
      <c r="AG694" s="287"/>
      <c r="AH694" s="287"/>
    </row>
    <row r="695" spans="1:34" ht="13.5" customHeight="1" x14ac:dyDescent="0.25">
      <c r="A695" s="287"/>
      <c r="B695" s="287"/>
      <c r="C695" s="287"/>
      <c r="D695" s="287"/>
      <c r="E695" s="287"/>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E695" s="287"/>
      <c r="AF695" s="287"/>
      <c r="AG695" s="287"/>
      <c r="AH695" s="287"/>
    </row>
    <row r="696" spans="1:34" ht="13.5" customHeight="1" x14ac:dyDescent="0.25">
      <c r="A696" s="287"/>
      <c r="B696" s="287"/>
      <c r="C696" s="287"/>
      <c r="D696" s="287"/>
      <c r="E696" s="287"/>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E696" s="287"/>
      <c r="AF696" s="287"/>
      <c r="AG696" s="287"/>
      <c r="AH696" s="287"/>
    </row>
    <row r="697" spans="1:34" ht="13.5" customHeight="1" x14ac:dyDescent="0.25">
      <c r="A697" s="287"/>
      <c r="B697" s="287"/>
      <c r="C697" s="287"/>
      <c r="D697" s="287"/>
      <c r="E697" s="287"/>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E697" s="287"/>
      <c r="AF697" s="287"/>
      <c r="AG697" s="287"/>
      <c r="AH697" s="287"/>
    </row>
    <row r="698" spans="1:34" ht="13.5" customHeight="1" x14ac:dyDescent="0.25">
      <c r="A698" s="287"/>
      <c r="B698" s="287"/>
      <c r="C698" s="287"/>
      <c r="D698" s="287"/>
      <c r="E698" s="287"/>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E698" s="287"/>
      <c r="AF698" s="287"/>
      <c r="AG698" s="287"/>
      <c r="AH698" s="287"/>
    </row>
    <row r="699" spans="1:34" ht="13.5" customHeight="1" x14ac:dyDescent="0.25">
      <c r="A699" s="287"/>
      <c r="B699" s="287"/>
      <c r="C699" s="287"/>
      <c r="D699" s="287"/>
      <c r="E699" s="287"/>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E699" s="287"/>
      <c r="AF699" s="287"/>
      <c r="AG699" s="287"/>
      <c r="AH699" s="287"/>
    </row>
    <row r="700" spans="1:34" ht="13.5" customHeight="1" x14ac:dyDescent="0.25">
      <c r="A700" s="287"/>
      <c r="B700" s="287"/>
      <c r="C700" s="287"/>
      <c r="D700" s="287"/>
      <c r="E700" s="287"/>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E700" s="287"/>
      <c r="AF700" s="287"/>
      <c r="AG700" s="287"/>
      <c r="AH700" s="287"/>
    </row>
    <row r="701" spans="1:34" ht="13.5" customHeight="1" x14ac:dyDescent="0.25">
      <c r="A701" s="287"/>
      <c r="B701" s="287"/>
      <c r="C701" s="287"/>
      <c r="D701" s="287"/>
      <c r="E701" s="287"/>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E701" s="287"/>
      <c r="AF701" s="287"/>
      <c r="AG701" s="287"/>
      <c r="AH701" s="287"/>
    </row>
    <row r="702" spans="1:34" ht="13.5" customHeight="1" x14ac:dyDescent="0.25">
      <c r="A702" s="287"/>
      <c r="B702" s="287"/>
      <c r="C702" s="287"/>
      <c r="D702" s="287"/>
      <c r="E702" s="287"/>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E702" s="287"/>
      <c r="AF702" s="287"/>
      <c r="AG702" s="287"/>
      <c r="AH702" s="287"/>
    </row>
    <row r="703" spans="1:34" ht="13.5" customHeight="1" x14ac:dyDescent="0.25">
      <c r="A703" s="287"/>
      <c r="B703" s="287"/>
      <c r="C703" s="287"/>
      <c r="D703" s="287"/>
      <c r="E703" s="287"/>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E703" s="287"/>
      <c r="AF703" s="287"/>
      <c r="AG703" s="287"/>
      <c r="AH703" s="287"/>
    </row>
    <row r="704" spans="1:34" ht="13.5" customHeight="1" x14ac:dyDescent="0.25">
      <c r="A704" s="287"/>
      <c r="B704" s="287"/>
      <c r="C704" s="287"/>
      <c r="D704" s="287"/>
      <c r="E704" s="287"/>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E704" s="287"/>
      <c r="AF704" s="287"/>
      <c r="AG704" s="287"/>
      <c r="AH704" s="287"/>
    </row>
    <row r="705" spans="1:34" ht="13.5" customHeight="1" x14ac:dyDescent="0.25">
      <c r="A705" s="287"/>
      <c r="B705" s="287"/>
      <c r="C705" s="287"/>
      <c r="D705" s="287"/>
      <c r="E705" s="287"/>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E705" s="287"/>
      <c r="AF705" s="287"/>
      <c r="AG705" s="287"/>
      <c r="AH705" s="287"/>
    </row>
    <row r="706" spans="1:34" ht="13.5" customHeight="1" x14ac:dyDescent="0.25">
      <c r="A706" s="287"/>
      <c r="B706" s="287"/>
      <c r="C706" s="287"/>
      <c r="D706" s="287"/>
      <c r="E706" s="287"/>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E706" s="287"/>
      <c r="AF706" s="287"/>
      <c r="AG706" s="287"/>
      <c r="AH706" s="287"/>
    </row>
    <row r="707" spans="1:34" ht="13.5" customHeight="1" x14ac:dyDescent="0.25">
      <c r="A707" s="287"/>
      <c r="B707" s="287"/>
      <c r="C707" s="287"/>
      <c r="D707" s="287"/>
      <c r="E707" s="287"/>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E707" s="287"/>
      <c r="AF707" s="287"/>
      <c r="AG707" s="287"/>
      <c r="AH707" s="287"/>
    </row>
    <row r="708" spans="1:34" ht="13.5" customHeight="1" x14ac:dyDescent="0.25">
      <c r="A708" s="287"/>
      <c r="B708" s="287"/>
      <c r="C708" s="287"/>
      <c r="D708" s="287"/>
      <c r="E708" s="287"/>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E708" s="287"/>
      <c r="AF708" s="287"/>
      <c r="AG708" s="287"/>
      <c r="AH708" s="287"/>
    </row>
    <row r="709" spans="1:34" ht="13.5" customHeight="1" x14ac:dyDescent="0.25">
      <c r="A709" s="287"/>
      <c r="B709" s="287"/>
      <c r="C709" s="287"/>
      <c r="D709" s="287"/>
      <c r="E709" s="287"/>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E709" s="287"/>
      <c r="AF709" s="287"/>
      <c r="AG709" s="287"/>
      <c r="AH709" s="287"/>
    </row>
    <row r="710" spans="1:34" ht="13.5" customHeight="1" x14ac:dyDescent="0.25">
      <c r="A710" s="287"/>
      <c r="B710" s="287"/>
      <c r="C710" s="287"/>
      <c r="D710" s="287"/>
      <c r="E710" s="287"/>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E710" s="287"/>
      <c r="AF710" s="287"/>
      <c r="AG710" s="287"/>
      <c r="AH710" s="287"/>
    </row>
    <row r="711" spans="1:34" ht="13.5" customHeight="1" x14ac:dyDescent="0.25">
      <c r="A711" s="287"/>
      <c r="B711" s="287"/>
      <c r="C711" s="287"/>
      <c r="D711" s="287"/>
      <c r="E711" s="287"/>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E711" s="287"/>
      <c r="AF711" s="287"/>
      <c r="AG711" s="287"/>
      <c r="AH711" s="287"/>
    </row>
    <row r="712" spans="1:34" ht="13.5" customHeight="1" x14ac:dyDescent="0.25">
      <c r="A712" s="287"/>
      <c r="B712" s="287"/>
      <c r="C712" s="287"/>
      <c r="D712" s="287"/>
      <c r="E712" s="287"/>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E712" s="287"/>
      <c r="AF712" s="287"/>
      <c r="AG712" s="287"/>
      <c r="AH712" s="287"/>
    </row>
    <row r="713" spans="1:34" ht="13.5" customHeight="1" x14ac:dyDescent="0.25">
      <c r="A713" s="287"/>
      <c r="B713" s="287"/>
      <c r="C713" s="287"/>
      <c r="D713" s="287"/>
      <c r="E713" s="287"/>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E713" s="287"/>
      <c r="AF713" s="287"/>
      <c r="AG713" s="287"/>
      <c r="AH713" s="287"/>
    </row>
    <row r="714" spans="1:34" ht="13.5" customHeight="1" x14ac:dyDescent="0.25">
      <c r="A714" s="287"/>
      <c r="B714" s="287"/>
      <c r="C714" s="287"/>
      <c r="D714" s="287"/>
      <c r="E714" s="287"/>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E714" s="287"/>
      <c r="AF714" s="287"/>
      <c r="AG714" s="287"/>
      <c r="AH714" s="287"/>
    </row>
    <row r="715" spans="1:34" ht="13.5" customHeight="1" x14ac:dyDescent="0.25">
      <c r="A715" s="287"/>
      <c r="B715" s="287"/>
      <c r="C715" s="287"/>
      <c r="D715" s="287"/>
      <c r="E715" s="287"/>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E715" s="287"/>
      <c r="AF715" s="287"/>
      <c r="AG715" s="287"/>
      <c r="AH715" s="287"/>
    </row>
    <row r="716" spans="1:34" ht="13.5" customHeight="1" x14ac:dyDescent="0.25">
      <c r="A716" s="287"/>
      <c r="B716" s="287"/>
      <c r="C716" s="287"/>
      <c r="D716" s="287"/>
      <c r="E716" s="287"/>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E716" s="287"/>
      <c r="AF716" s="287"/>
      <c r="AG716" s="287"/>
      <c r="AH716" s="287"/>
    </row>
    <row r="717" spans="1:34" ht="13.5" customHeight="1" x14ac:dyDescent="0.25">
      <c r="A717" s="287"/>
      <c r="B717" s="287"/>
      <c r="C717" s="287"/>
      <c r="D717" s="287"/>
      <c r="E717" s="287"/>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E717" s="287"/>
      <c r="AF717" s="287"/>
      <c r="AG717" s="287"/>
      <c r="AH717" s="287"/>
    </row>
    <row r="718" spans="1:34" ht="13.5" customHeight="1" x14ac:dyDescent="0.25">
      <c r="A718" s="287"/>
      <c r="B718" s="287"/>
      <c r="C718" s="287"/>
      <c r="D718" s="287"/>
      <c r="E718" s="287"/>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E718" s="287"/>
      <c r="AF718" s="287"/>
      <c r="AG718" s="287"/>
      <c r="AH718" s="287"/>
    </row>
    <row r="719" spans="1:34" ht="13.5" customHeight="1" x14ac:dyDescent="0.25">
      <c r="A719" s="287"/>
      <c r="B719" s="287"/>
      <c r="C719" s="287"/>
      <c r="D719" s="287"/>
      <c r="E719" s="287"/>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E719" s="287"/>
      <c r="AF719" s="287"/>
      <c r="AG719" s="287"/>
      <c r="AH719" s="287"/>
    </row>
    <row r="720" spans="1:34" ht="13.5" customHeight="1" x14ac:dyDescent="0.25">
      <c r="A720" s="287"/>
      <c r="B720" s="287"/>
      <c r="C720" s="287"/>
      <c r="D720" s="287"/>
      <c r="E720" s="287"/>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E720" s="287"/>
      <c r="AF720" s="287"/>
      <c r="AG720" s="287"/>
      <c r="AH720" s="287"/>
    </row>
    <row r="721" spans="1:34" ht="13.5" customHeight="1" x14ac:dyDescent="0.25">
      <c r="A721" s="287"/>
      <c r="B721" s="287"/>
      <c r="C721" s="287"/>
      <c r="D721" s="287"/>
      <c r="E721" s="287"/>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E721" s="287"/>
      <c r="AF721" s="287"/>
      <c r="AG721" s="287"/>
      <c r="AH721" s="287"/>
    </row>
    <row r="722" spans="1:34" ht="13.5" customHeight="1" x14ac:dyDescent="0.25">
      <c r="A722" s="287"/>
      <c r="B722" s="287"/>
      <c r="C722" s="287"/>
      <c r="D722" s="287"/>
      <c r="E722" s="287"/>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E722" s="287"/>
      <c r="AF722" s="287"/>
      <c r="AG722" s="287"/>
      <c r="AH722" s="287"/>
    </row>
    <row r="723" spans="1:34" ht="13.5" customHeight="1" x14ac:dyDescent="0.25">
      <c r="A723" s="287"/>
      <c r="B723" s="287"/>
      <c r="C723" s="287"/>
      <c r="D723" s="287"/>
      <c r="E723" s="287"/>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E723" s="287"/>
      <c r="AF723" s="287"/>
      <c r="AG723" s="287"/>
      <c r="AH723" s="287"/>
    </row>
    <row r="724" spans="1:34" ht="13.5" customHeight="1" x14ac:dyDescent="0.25">
      <c r="A724" s="287"/>
      <c r="B724" s="287"/>
      <c r="C724" s="287"/>
      <c r="D724" s="287"/>
      <c r="E724" s="287"/>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E724" s="287"/>
      <c r="AF724" s="287"/>
      <c r="AG724" s="287"/>
      <c r="AH724" s="287"/>
    </row>
    <row r="725" spans="1:34" ht="13.5" customHeight="1" x14ac:dyDescent="0.25">
      <c r="A725" s="287"/>
      <c r="B725" s="287"/>
      <c r="C725" s="287"/>
      <c r="D725" s="287"/>
      <c r="E725" s="287"/>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E725" s="287"/>
      <c r="AF725" s="287"/>
      <c r="AG725" s="287"/>
      <c r="AH725" s="287"/>
    </row>
    <row r="726" spans="1:34" ht="13.5" customHeight="1" x14ac:dyDescent="0.25">
      <c r="A726" s="287"/>
      <c r="B726" s="287"/>
      <c r="C726" s="287"/>
      <c r="D726" s="287"/>
      <c r="E726" s="287"/>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E726" s="287"/>
      <c r="AF726" s="287"/>
      <c r="AG726" s="287"/>
      <c r="AH726" s="287"/>
    </row>
    <row r="727" spans="1:34" ht="13.5" customHeight="1" x14ac:dyDescent="0.25">
      <c r="A727" s="287"/>
      <c r="B727" s="287"/>
      <c r="C727" s="287"/>
      <c r="D727" s="287"/>
      <c r="E727" s="287"/>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E727" s="287"/>
      <c r="AF727" s="287"/>
      <c r="AG727" s="287"/>
      <c r="AH727" s="287"/>
    </row>
    <row r="728" spans="1:34" ht="13.5" customHeight="1" x14ac:dyDescent="0.25">
      <c r="A728" s="287"/>
      <c r="B728" s="287"/>
      <c r="C728" s="287"/>
      <c r="D728" s="287"/>
      <c r="E728" s="287"/>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E728" s="287"/>
      <c r="AF728" s="287"/>
      <c r="AG728" s="287"/>
      <c r="AH728" s="287"/>
    </row>
    <row r="729" spans="1:34" ht="13.5" customHeight="1" x14ac:dyDescent="0.25">
      <c r="A729" s="287"/>
      <c r="B729" s="287"/>
      <c r="C729" s="287"/>
      <c r="D729" s="287"/>
      <c r="E729" s="287"/>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E729" s="287"/>
      <c r="AF729" s="287"/>
      <c r="AG729" s="287"/>
      <c r="AH729" s="287"/>
    </row>
    <row r="730" spans="1:34" ht="13.5" customHeight="1" x14ac:dyDescent="0.25">
      <c r="A730" s="287"/>
      <c r="B730" s="287"/>
      <c r="C730" s="287"/>
      <c r="D730" s="287"/>
      <c r="E730" s="287"/>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E730" s="287"/>
      <c r="AF730" s="287"/>
      <c r="AG730" s="287"/>
      <c r="AH730" s="287"/>
    </row>
    <row r="731" spans="1:34" ht="13.5" customHeight="1" x14ac:dyDescent="0.25">
      <c r="A731" s="287"/>
      <c r="B731" s="287"/>
      <c r="C731" s="287"/>
      <c r="D731" s="287"/>
      <c r="E731" s="287"/>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E731" s="287"/>
      <c r="AF731" s="287"/>
      <c r="AG731" s="287"/>
      <c r="AH731" s="287"/>
    </row>
    <row r="732" spans="1:34" ht="13.5" customHeight="1" x14ac:dyDescent="0.25">
      <c r="A732" s="287"/>
      <c r="B732" s="287"/>
      <c r="C732" s="287"/>
      <c r="D732" s="287"/>
      <c r="E732" s="287"/>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E732" s="287"/>
      <c r="AF732" s="287"/>
      <c r="AG732" s="287"/>
      <c r="AH732" s="287"/>
    </row>
    <row r="733" spans="1:34" ht="13.5" customHeight="1" x14ac:dyDescent="0.25">
      <c r="A733" s="287"/>
      <c r="B733" s="287"/>
      <c r="C733" s="287"/>
      <c r="D733" s="287"/>
      <c r="E733" s="287"/>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E733" s="287"/>
      <c r="AF733" s="287"/>
      <c r="AG733" s="287"/>
      <c r="AH733" s="287"/>
    </row>
    <row r="734" spans="1:34" ht="13.5" customHeight="1" x14ac:dyDescent="0.25">
      <c r="A734" s="287"/>
      <c r="B734" s="287"/>
      <c r="C734" s="287"/>
      <c r="D734" s="287"/>
      <c r="E734" s="287"/>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E734" s="287"/>
      <c r="AF734" s="287"/>
      <c r="AG734" s="287"/>
      <c r="AH734" s="287"/>
    </row>
    <row r="735" spans="1:34" ht="13.5" customHeight="1" x14ac:dyDescent="0.25">
      <c r="A735" s="287"/>
      <c r="B735" s="287"/>
      <c r="C735" s="287"/>
      <c r="D735" s="287"/>
      <c r="E735" s="287"/>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E735" s="287"/>
      <c r="AF735" s="287"/>
      <c r="AG735" s="287"/>
      <c r="AH735" s="287"/>
    </row>
    <row r="736" spans="1:34" ht="13.5" customHeight="1" x14ac:dyDescent="0.25">
      <c r="A736" s="287"/>
      <c r="B736" s="287"/>
      <c r="C736" s="287"/>
      <c r="D736" s="287"/>
      <c r="E736" s="287"/>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E736" s="287"/>
      <c r="AF736" s="287"/>
      <c r="AG736" s="287"/>
      <c r="AH736" s="287"/>
    </row>
    <row r="737" spans="1:34" ht="13.5" customHeight="1" x14ac:dyDescent="0.25">
      <c r="A737" s="287"/>
      <c r="B737" s="287"/>
      <c r="C737" s="287"/>
      <c r="D737" s="287"/>
      <c r="E737" s="287"/>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E737" s="287"/>
      <c r="AF737" s="287"/>
      <c r="AG737" s="287"/>
      <c r="AH737" s="287"/>
    </row>
    <row r="738" spans="1:34" ht="13.5" customHeight="1" x14ac:dyDescent="0.25">
      <c r="A738" s="287"/>
      <c r="B738" s="287"/>
      <c r="C738" s="287"/>
      <c r="D738" s="287"/>
      <c r="E738" s="287"/>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E738" s="287"/>
      <c r="AF738" s="287"/>
      <c r="AG738" s="287"/>
      <c r="AH738" s="287"/>
    </row>
    <row r="739" spans="1:34" ht="13.5" customHeight="1" x14ac:dyDescent="0.25">
      <c r="A739" s="287"/>
      <c r="B739" s="287"/>
      <c r="C739" s="287"/>
      <c r="D739" s="287"/>
      <c r="E739" s="287"/>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E739" s="287"/>
      <c r="AF739" s="287"/>
      <c r="AG739" s="287"/>
      <c r="AH739" s="287"/>
    </row>
    <row r="740" spans="1:34" ht="13.5" customHeight="1" x14ac:dyDescent="0.25">
      <c r="A740" s="287"/>
      <c r="B740" s="287"/>
      <c r="C740" s="287"/>
      <c r="D740" s="287"/>
      <c r="E740" s="287"/>
      <c r="F740" s="287"/>
      <c r="G740" s="287"/>
      <c r="H740" s="287"/>
      <c r="I740" s="287"/>
      <c r="J740" s="287"/>
      <c r="K740" s="287"/>
      <c r="L740" s="287"/>
      <c r="M740" s="287"/>
      <c r="N740" s="287"/>
      <c r="O740" s="287"/>
      <c r="P740" s="287"/>
      <c r="Q740" s="287"/>
      <c r="R740" s="287"/>
      <c r="S740" s="287"/>
      <c r="T740" s="287"/>
      <c r="U740" s="287"/>
      <c r="V740" s="287"/>
      <c r="W740" s="287"/>
      <c r="X740" s="287"/>
      <c r="Y740" s="287"/>
      <c r="Z740" s="287"/>
      <c r="AA740" s="287"/>
      <c r="AB740" s="287"/>
      <c r="AC740" s="287"/>
      <c r="AD740" s="287"/>
      <c r="AE740" s="287"/>
      <c r="AF740" s="287"/>
      <c r="AG740" s="287"/>
      <c r="AH740" s="287"/>
    </row>
    <row r="741" spans="1:34" ht="13.5" customHeight="1" x14ac:dyDescent="0.25">
      <c r="A741" s="287"/>
      <c r="B741" s="287"/>
      <c r="C741" s="287"/>
      <c r="D741" s="287"/>
      <c r="E741" s="287"/>
      <c r="F741" s="287"/>
      <c r="G741" s="287"/>
      <c r="H741" s="287"/>
      <c r="I741" s="287"/>
      <c r="J741" s="287"/>
      <c r="K741" s="287"/>
      <c r="L741" s="287"/>
      <c r="M741" s="287"/>
      <c r="N741" s="287"/>
      <c r="O741" s="287"/>
      <c r="P741" s="287"/>
      <c r="Q741" s="287"/>
      <c r="R741" s="287"/>
      <c r="S741" s="287"/>
      <c r="T741" s="287"/>
      <c r="U741" s="287"/>
      <c r="V741" s="287"/>
      <c r="W741" s="287"/>
      <c r="X741" s="287"/>
      <c r="Y741" s="287"/>
      <c r="Z741" s="287"/>
      <c r="AA741" s="287"/>
      <c r="AB741" s="287"/>
      <c r="AC741" s="287"/>
      <c r="AD741" s="287"/>
      <c r="AE741" s="287"/>
      <c r="AF741" s="287"/>
      <c r="AG741" s="287"/>
      <c r="AH741" s="287"/>
    </row>
    <row r="742" spans="1:34" ht="13.5" customHeight="1" x14ac:dyDescent="0.25">
      <c r="A742" s="287"/>
      <c r="B742" s="287"/>
      <c r="C742" s="287"/>
      <c r="D742" s="287"/>
      <c r="E742" s="287"/>
      <c r="F742" s="287"/>
      <c r="G742" s="287"/>
      <c r="H742" s="287"/>
      <c r="I742" s="287"/>
      <c r="J742" s="287"/>
      <c r="K742" s="287"/>
      <c r="L742" s="287"/>
      <c r="M742" s="287"/>
      <c r="N742" s="287"/>
      <c r="O742" s="287"/>
      <c r="P742" s="287"/>
      <c r="Q742" s="287"/>
      <c r="R742" s="287"/>
      <c r="S742" s="287"/>
      <c r="T742" s="287"/>
      <c r="U742" s="287"/>
      <c r="V742" s="287"/>
      <c r="W742" s="287"/>
      <c r="X742" s="287"/>
      <c r="Y742" s="287"/>
      <c r="Z742" s="287"/>
      <c r="AA742" s="287"/>
      <c r="AB742" s="287"/>
      <c r="AC742" s="287"/>
      <c r="AD742" s="287"/>
      <c r="AE742" s="287"/>
      <c r="AF742" s="287"/>
      <c r="AG742" s="287"/>
      <c r="AH742" s="287"/>
    </row>
    <row r="743" spans="1:34" ht="13.5" customHeight="1" x14ac:dyDescent="0.25">
      <c r="A743" s="287"/>
      <c r="B743" s="287"/>
      <c r="C743" s="287"/>
      <c r="D743" s="287"/>
      <c r="E743" s="287"/>
      <c r="F743" s="287"/>
      <c r="G743" s="287"/>
      <c r="H743" s="287"/>
      <c r="I743" s="287"/>
      <c r="J743" s="287"/>
      <c r="K743" s="287"/>
      <c r="L743" s="287"/>
      <c r="M743" s="287"/>
      <c r="N743" s="287"/>
      <c r="O743" s="287"/>
      <c r="P743" s="287"/>
      <c r="Q743" s="287"/>
      <c r="R743" s="287"/>
      <c r="S743" s="287"/>
      <c r="T743" s="287"/>
      <c r="U743" s="287"/>
      <c r="V743" s="287"/>
      <c r="W743" s="287"/>
      <c r="X743" s="287"/>
      <c r="Y743" s="287"/>
      <c r="Z743" s="287"/>
      <c r="AA743" s="287"/>
      <c r="AB743" s="287"/>
      <c r="AC743" s="287"/>
      <c r="AD743" s="287"/>
      <c r="AE743" s="287"/>
      <c r="AF743" s="287"/>
      <c r="AG743" s="287"/>
      <c r="AH743" s="287"/>
    </row>
    <row r="744" spans="1:34" ht="13.5" customHeight="1" x14ac:dyDescent="0.25">
      <c r="A744" s="287"/>
      <c r="B744" s="287"/>
      <c r="C744" s="287"/>
      <c r="D744" s="287"/>
      <c r="E744" s="287"/>
      <c r="F744" s="287"/>
      <c r="G744" s="287"/>
      <c r="H744" s="287"/>
      <c r="I744" s="287"/>
      <c r="J744" s="287"/>
      <c r="K744" s="287"/>
      <c r="L744" s="287"/>
      <c r="M744" s="287"/>
      <c r="N744" s="287"/>
      <c r="O744" s="287"/>
      <c r="P744" s="287"/>
      <c r="Q744" s="287"/>
      <c r="R744" s="287"/>
      <c r="S744" s="287"/>
      <c r="T744" s="287"/>
      <c r="U744" s="287"/>
      <c r="V744" s="287"/>
      <c r="W744" s="287"/>
      <c r="X744" s="287"/>
      <c r="Y744" s="287"/>
      <c r="Z744" s="287"/>
      <c r="AA744" s="287"/>
      <c r="AB744" s="287"/>
      <c r="AC744" s="287"/>
      <c r="AD744" s="287"/>
      <c r="AE744" s="287"/>
      <c r="AF744" s="287"/>
      <c r="AG744" s="287"/>
      <c r="AH744" s="287"/>
    </row>
    <row r="745" spans="1:34" ht="13.5" customHeight="1" x14ac:dyDescent="0.25">
      <c r="A745" s="287"/>
      <c r="B745" s="287"/>
      <c r="C745" s="287"/>
      <c r="D745" s="287"/>
      <c r="E745" s="287"/>
      <c r="F745" s="287"/>
      <c r="G745" s="287"/>
      <c r="H745" s="287"/>
      <c r="I745" s="287"/>
      <c r="J745" s="287"/>
      <c r="K745" s="287"/>
      <c r="L745" s="287"/>
      <c r="M745" s="287"/>
      <c r="N745" s="287"/>
      <c r="O745" s="287"/>
      <c r="P745" s="287"/>
      <c r="Q745" s="287"/>
      <c r="R745" s="287"/>
      <c r="S745" s="287"/>
      <c r="T745" s="287"/>
      <c r="U745" s="287"/>
      <c r="V745" s="287"/>
      <c r="W745" s="287"/>
      <c r="X745" s="287"/>
      <c r="Y745" s="287"/>
      <c r="Z745" s="287"/>
      <c r="AA745" s="287"/>
      <c r="AB745" s="287"/>
      <c r="AC745" s="287"/>
      <c r="AD745" s="287"/>
      <c r="AE745" s="287"/>
      <c r="AF745" s="287"/>
      <c r="AG745" s="287"/>
      <c r="AH745" s="287"/>
    </row>
    <row r="746" spans="1:34" ht="13.5" customHeight="1" x14ac:dyDescent="0.25">
      <c r="A746" s="287"/>
      <c r="B746" s="287"/>
      <c r="C746" s="287"/>
      <c r="D746" s="287"/>
      <c r="E746" s="287"/>
      <c r="F746" s="287"/>
      <c r="G746" s="287"/>
      <c r="H746" s="287"/>
      <c r="I746" s="287"/>
      <c r="J746" s="287"/>
      <c r="K746" s="287"/>
      <c r="L746" s="287"/>
      <c r="M746" s="287"/>
      <c r="N746" s="287"/>
      <c r="O746" s="287"/>
      <c r="P746" s="287"/>
      <c r="Q746" s="287"/>
      <c r="R746" s="287"/>
      <c r="S746" s="287"/>
      <c r="T746" s="287"/>
      <c r="U746" s="287"/>
      <c r="V746" s="287"/>
      <c r="W746" s="287"/>
      <c r="X746" s="287"/>
      <c r="Y746" s="287"/>
      <c r="Z746" s="287"/>
      <c r="AA746" s="287"/>
      <c r="AB746" s="287"/>
      <c r="AC746" s="287"/>
      <c r="AD746" s="287"/>
      <c r="AE746" s="287"/>
      <c r="AF746" s="287"/>
      <c r="AG746" s="287"/>
      <c r="AH746" s="287"/>
    </row>
    <row r="747" spans="1:34" ht="13.5" customHeight="1" x14ac:dyDescent="0.25">
      <c r="A747" s="287"/>
      <c r="B747" s="287"/>
      <c r="C747" s="287"/>
      <c r="D747" s="287"/>
      <c r="E747" s="287"/>
      <c r="F747" s="287"/>
      <c r="G747" s="287"/>
      <c r="H747" s="287"/>
      <c r="I747" s="287"/>
      <c r="J747" s="287"/>
      <c r="K747" s="287"/>
      <c r="L747" s="287"/>
      <c r="M747" s="287"/>
      <c r="N747" s="287"/>
      <c r="O747" s="287"/>
      <c r="P747" s="287"/>
      <c r="Q747" s="287"/>
      <c r="R747" s="287"/>
      <c r="S747" s="287"/>
      <c r="T747" s="287"/>
      <c r="U747" s="287"/>
      <c r="V747" s="287"/>
      <c r="W747" s="287"/>
      <c r="X747" s="287"/>
      <c r="Y747" s="287"/>
      <c r="Z747" s="287"/>
      <c r="AA747" s="287"/>
      <c r="AB747" s="287"/>
      <c r="AC747" s="287"/>
      <c r="AD747" s="287"/>
      <c r="AE747" s="287"/>
      <c r="AF747" s="287"/>
      <c r="AG747" s="287"/>
      <c r="AH747" s="287"/>
    </row>
    <row r="748" spans="1:34" ht="13.5" customHeight="1" x14ac:dyDescent="0.25">
      <c r="A748" s="287"/>
      <c r="B748" s="287"/>
      <c r="C748" s="287"/>
      <c r="D748" s="287"/>
      <c r="E748" s="287"/>
      <c r="F748" s="287"/>
      <c r="G748" s="287"/>
      <c r="H748" s="287"/>
      <c r="I748" s="287"/>
      <c r="J748" s="287"/>
      <c r="K748" s="287"/>
      <c r="L748" s="287"/>
      <c r="M748" s="287"/>
      <c r="N748" s="287"/>
      <c r="O748" s="287"/>
      <c r="P748" s="287"/>
      <c r="Q748" s="287"/>
      <c r="R748" s="287"/>
      <c r="S748" s="287"/>
      <c r="T748" s="287"/>
      <c r="U748" s="287"/>
      <c r="V748" s="287"/>
      <c r="W748" s="287"/>
      <c r="X748" s="287"/>
      <c r="Y748" s="287"/>
      <c r="Z748" s="287"/>
      <c r="AA748" s="287"/>
      <c r="AB748" s="287"/>
      <c r="AC748" s="287"/>
      <c r="AD748" s="287"/>
      <c r="AE748" s="287"/>
      <c r="AF748" s="287"/>
      <c r="AG748" s="287"/>
      <c r="AH748" s="287"/>
    </row>
    <row r="749" spans="1:34" ht="13.5" customHeight="1" x14ac:dyDescent="0.25">
      <c r="A749" s="287"/>
      <c r="B749" s="287"/>
      <c r="C749" s="287"/>
      <c r="D749" s="287"/>
      <c r="E749" s="287"/>
      <c r="F749" s="287"/>
      <c r="G749" s="287"/>
      <c r="H749" s="287"/>
      <c r="I749" s="287"/>
      <c r="J749" s="287"/>
      <c r="K749" s="287"/>
      <c r="L749" s="287"/>
      <c r="M749" s="287"/>
      <c r="N749" s="287"/>
      <c r="O749" s="287"/>
      <c r="P749" s="287"/>
      <c r="Q749" s="287"/>
      <c r="R749" s="287"/>
      <c r="S749" s="287"/>
      <c r="T749" s="287"/>
      <c r="U749" s="287"/>
      <c r="V749" s="287"/>
      <c r="W749" s="287"/>
      <c r="X749" s="287"/>
      <c r="Y749" s="287"/>
      <c r="Z749" s="287"/>
      <c r="AA749" s="287"/>
      <c r="AB749" s="287"/>
      <c r="AC749" s="287"/>
      <c r="AD749" s="287"/>
      <c r="AE749" s="287"/>
      <c r="AF749" s="287"/>
      <c r="AG749" s="287"/>
      <c r="AH749" s="287"/>
    </row>
    <row r="750" spans="1:34" ht="13.5" customHeight="1" x14ac:dyDescent="0.25">
      <c r="A750" s="287"/>
      <c r="B750" s="287"/>
      <c r="C750" s="287"/>
      <c r="D750" s="287"/>
      <c r="E750" s="287"/>
      <c r="F750" s="287"/>
      <c r="G750" s="287"/>
      <c r="H750" s="287"/>
      <c r="I750" s="287"/>
      <c r="J750" s="287"/>
      <c r="K750" s="287"/>
      <c r="L750" s="287"/>
      <c r="M750" s="287"/>
      <c r="N750" s="287"/>
      <c r="O750" s="287"/>
      <c r="P750" s="287"/>
      <c r="Q750" s="287"/>
      <c r="R750" s="287"/>
      <c r="S750" s="287"/>
      <c r="T750" s="287"/>
      <c r="U750" s="287"/>
      <c r="V750" s="287"/>
      <c r="W750" s="287"/>
      <c r="X750" s="287"/>
      <c r="Y750" s="287"/>
      <c r="Z750" s="287"/>
      <c r="AA750" s="287"/>
      <c r="AB750" s="287"/>
      <c r="AC750" s="287"/>
      <c r="AD750" s="287"/>
      <c r="AE750" s="287"/>
      <c r="AF750" s="287"/>
      <c r="AG750" s="287"/>
      <c r="AH750" s="287"/>
    </row>
    <row r="751" spans="1:34" ht="13.5" customHeight="1" x14ac:dyDescent="0.25">
      <c r="A751" s="287"/>
      <c r="B751" s="287"/>
      <c r="C751" s="287"/>
      <c r="D751" s="287"/>
      <c r="E751" s="287"/>
      <c r="F751" s="287"/>
      <c r="G751" s="287"/>
      <c r="H751" s="287"/>
      <c r="I751" s="287"/>
      <c r="J751" s="287"/>
      <c r="K751" s="287"/>
      <c r="L751" s="287"/>
      <c r="M751" s="287"/>
      <c r="N751" s="287"/>
      <c r="O751" s="287"/>
      <c r="P751" s="287"/>
      <c r="Q751" s="287"/>
      <c r="R751" s="287"/>
      <c r="S751" s="287"/>
      <c r="T751" s="287"/>
      <c r="U751" s="287"/>
      <c r="V751" s="287"/>
      <c r="W751" s="287"/>
      <c r="X751" s="287"/>
      <c r="Y751" s="287"/>
      <c r="Z751" s="287"/>
      <c r="AA751" s="287"/>
      <c r="AB751" s="287"/>
      <c r="AC751" s="287"/>
      <c r="AD751" s="287"/>
      <c r="AE751" s="287"/>
      <c r="AF751" s="287"/>
      <c r="AG751" s="287"/>
      <c r="AH751" s="287"/>
    </row>
    <row r="752" spans="1:34" ht="13.5" customHeight="1" x14ac:dyDescent="0.25">
      <c r="A752" s="287"/>
      <c r="B752" s="287"/>
      <c r="C752" s="287"/>
      <c r="D752" s="287"/>
      <c r="E752" s="287"/>
      <c r="F752" s="287"/>
      <c r="G752" s="287"/>
      <c r="H752" s="287"/>
      <c r="I752" s="287"/>
      <c r="J752" s="287"/>
      <c r="K752" s="287"/>
      <c r="L752" s="287"/>
      <c r="M752" s="287"/>
      <c r="N752" s="287"/>
      <c r="O752" s="287"/>
      <c r="P752" s="287"/>
      <c r="Q752" s="287"/>
      <c r="R752" s="287"/>
      <c r="S752" s="287"/>
      <c r="T752" s="287"/>
      <c r="U752" s="287"/>
      <c r="V752" s="287"/>
      <c r="W752" s="287"/>
      <c r="X752" s="287"/>
      <c r="Y752" s="287"/>
      <c r="Z752" s="287"/>
      <c r="AA752" s="287"/>
      <c r="AB752" s="287"/>
      <c r="AC752" s="287"/>
      <c r="AD752" s="287"/>
      <c r="AE752" s="287"/>
      <c r="AF752" s="287"/>
      <c r="AG752" s="287"/>
      <c r="AH752" s="287"/>
    </row>
    <row r="753" spans="1:34" ht="13.5" customHeight="1" x14ac:dyDescent="0.25">
      <c r="A753" s="287"/>
      <c r="B753" s="287"/>
      <c r="C753" s="287"/>
      <c r="D753" s="287"/>
      <c r="E753" s="287"/>
      <c r="F753" s="287"/>
      <c r="G753" s="287"/>
      <c r="H753" s="287"/>
      <c r="I753" s="287"/>
      <c r="J753" s="287"/>
      <c r="K753" s="287"/>
      <c r="L753" s="287"/>
      <c r="M753" s="287"/>
      <c r="N753" s="287"/>
      <c r="O753" s="287"/>
      <c r="P753" s="287"/>
      <c r="Q753" s="287"/>
      <c r="R753" s="287"/>
      <c r="S753" s="287"/>
      <c r="T753" s="287"/>
      <c r="U753" s="287"/>
      <c r="V753" s="287"/>
      <c r="W753" s="287"/>
      <c r="X753" s="287"/>
      <c r="Y753" s="287"/>
      <c r="Z753" s="287"/>
      <c r="AA753" s="287"/>
      <c r="AB753" s="287"/>
      <c r="AC753" s="287"/>
      <c r="AD753" s="287"/>
      <c r="AE753" s="287"/>
      <c r="AF753" s="287"/>
      <c r="AG753" s="287"/>
      <c r="AH753" s="287"/>
    </row>
    <row r="754" spans="1:34" ht="13.5" customHeight="1" x14ac:dyDescent="0.25">
      <c r="A754" s="287"/>
      <c r="B754" s="287"/>
      <c r="C754" s="287"/>
      <c r="D754" s="287"/>
      <c r="E754" s="287"/>
      <c r="F754" s="287"/>
      <c r="G754" s="287"/>
      <c r="H754" s="287"/>
      <c r="I754" s="287"/>
      <c r="J754" s="287"/>
      <c r="K754" s="287"/>
      <c r="L754" s="287"/>
      <c r="M754" s="287"/>
      <c r="N754" s="287"/>
      <c r="O754" s="287"/>
      <c r="P754" s="287"/>
      <c r="Q754" s="287"/>
      <c r="R754" s="287"/>
      <c r="S754" s="287"/>
      <c r="T754" s="287"/>
      <c r="U754" s="287"/>
      <c r="V754" s="287"/>
      <c r="W754" s="287"/>
      <c r="X754" s="287"/>
      <c r="Y754" s="287"/>
      <c r="Z754" s="287"/>
      <c r="AA754" s="287"/>
      <c r="AB754" s="287"/>
      <c r="AC754" s="287"/>
      <c r="AD754" s="287"/>
      <c r="AE754" s="287"/>
      <c r="AF754" s="287"/>
      <c r="AG754" s="287"/>
      <c r="AH754" s="287"/>
    </row>
    <row r="755" spans="1:34" ht="13.5" customHeight="1" x14ac:dyDescent="0.25">
      <c r="A755" s="287"/>
      <c r="B755" s="287"/>
      <c r="C755" s="287"/>
      <c r="D755" s="287"/>
      <c r="E755" s="287"/>
      <c r="F755" s="287"/>
      <c r="G755" s="287"/>
      <c r="H755" s="287"/>
      <c r="I755" s="287"/>
      <c r="J755" s="287"/>
      <c r="K755" s="287"/>
      <c r="L755" s="287"/>
      <c r="M755" s="287"/>
      <c r="N755" s="287"/>
      <c r="O755" s="287"/>
      <c r="P755" s="287"/>
      <c r="Q755" s="287"/>
      <c r="R755" s="287"/>
      <c r="S755" s="287"/>
      <c r="T755" s="287"/>
      <c r="U755" s="287"/>
      <c r="V755" s="287"/>
      <c r="W755" s="287"/>
      <c r="X755" s="287"/>
      <c r="Y755" s="287"/>
      <c r="Z755" s="287"/>
      <c r="AA755" s="287"/>
      <c r="AB755" s="287"/>
      <c r="AC755" s="287"/>
      <c r="AD755" s="287"/>
      <c r="AE755" s="287"/>
      <c r="AF755" s="287"/>
      <c r="AG755" s="287"/>
      <c r="AH755" s="287"/>
    </row>
    <row r="756" spans="1:34" ht="13.5" customHeight="1" x14ac:dyDescent="0.25">
      <c r="A756" s="287"/>
      <c r="B756" s="287"/>
      <c r="C756" s="287"/>
      <c r="D756" s="287"/>
      <c r="E756" s="287"/>
      <c r="F756" s="287"/>
      <c r="G756" s="287"/>
      <c r="H756" s="287"/>
      <c r="I756" s="287"/>
      <c r="J756" s="287"/>
      <c r="K756" s="287"/>
      <c r="L756" s="287"/>
      <c r="M756" s="287"/>
      <c r="N756" s="287"/>
      <c r="O756" s="287"/>
      <c r="P756" s="287"/>
      <c r="Q756" s="287"/>
      <c r="R756" s="287"/>
      <c r="S756" s="287"/>
      <c r="T756" s="287"/>
      <c r="U756" s="287"/>
      <c r="V756" s="287"/>
      <c r="W756" s="287"/>
      <c r="X756" s="287"/>
      <c r="Y756" s="287"/>
      <c r="Z756" s="287"/>
      <c r="AA756" s="287"/>
      <c r="AB756" s="287"/>
      <c r="AC756" s="287"/>
      <c r="AD756" s="287"/>
      <c r="AE756" s="287"/>
      <c r="AF756" s="287"/>
      <c r="AG756" s="287"/>
      <c r="AH756" s="287"/>
    </row>
    <row r="757" spans="1:34" ht="13.5" customHeight="1" x14ac:dyDescent="0.25">
      <c r="A757" s="287"/>
      <c r="B757" s="287"/>
      <c r="C757" s="287"/>
      <c r="D757" s="287"/>
      <c r="E757" s="287"/>
      <c r="F757" s="287"/>
      <c r="G757" s="287"/>
      <c r="H757" s="287"/>
      <c r="I757" s="287"/>
      <c r="J757" s="287"/>
      <c r="K757" s="287"/>
      <c r="L757" s="287"/>
      <c r="M757" s="287"/>
      <c r="N757" s="287"/>
      <c r="O757" s="287"/>
      <c r="P757" s="287"/>
      <c r="Q757" s="287"/>
      <c r="R757" s="287"/>
      <c r="S757" s="287"/>
      <c r="T757" s="287"/>
      <c r="U757" s="287"/>
      <c r="V757" s="287"/>
      <c r="W757" s="287"/>
      <c r="X757" s="287"/>
      <c r="Y757" s="287"/>
      <c r="Z757" s="287"/>
      <c r="AA757" s="287"/>
      <c r="AB757" s="287"/>
      <c r="AC757" s="287"/>
      <c r="AD757" s="287"/>
      <c r="AE757" s="287"/>
      <c r="AF757" s="287"/>
      <c r="AG757" s="287"/>
      <c r="AH757" s="287"/>
    </row>
    <row r="758" spans="1:34" ht="13.5" customHeight="1" x14ac:dyDescent="0.25">
      <c r="A758" s="287"/>
      <c r="B758" s="287"/>
      <c r="C758" s="287"/>
      <c r="D758" s="287"/>
      <c r="E758" s="287"/>
      <c r="F758" s="287"/>
      <c r="G758" s="287"/>
      <c r="H758" s="287"/>
      <c r="I758" s="287"/>
      <c r="J758" s="287"/>
      <c r="K758" s="287"/>
      <c r="L758" s="287"/>
      <c r="M758" s="287"/>
      <c r="N758" s="287"/>
      <c r="O758" s="287"/>
      <c r="P758" s="287"/>
      <c r="Q758" s="287"/>
      <c r="R758" s="287"/>
      <c r="S758" s="287"/>
      <c r="T758" s="287"/>
      <c r="U758" s="287"/>
      <c r="V758" s="287"/>
      <c r="W758" s="287"/>
      <c r="X758" s="287"/>
      <c r="Y758" s="287"/>
      <c r="Z758" s="287"/>
      <c r="AA758" s="287"/>
      <c r="AB758" s="287"/>
      <c r="AC758" s="287"/>
      <c r="AD758" s="287"/>
      <c r="AE758" s="287"/>
      <c r="AF758" s="287"/>
      <c r="AG758" s="287"/>
      <c r="AH758" s="287"/>
    </row>
    <row r="759" spans="1:34" ht="13.5" customHeight="1" x14ac:dyDescent="0.25">
      <c r="A759" s="287"/>
      <c r="B759" s="287"/>
      <c r="C759" s="287"/>
      <c r="D759" s="287"/>
      <c r="E759" s="287"/>
      <c r="F759" s="287"/>
      <c r="G759" s="287"/>
      <c r="H759" s="287"/>
      <c r="I759" s="287"/>
      <c r="J759" s="287"/>
      <c r="K759" s="287"/>
      <c r="L759" s="287"/>
      <c r="M759" s="287"/>
      <c r="N759" s="287"/>
      <c r="O759" s="287"/>
      <c r="P759" s="287"/>
      <c r="Q759" s="287"/>
      <c r="R759" s="287"/>
      <c r="S759" s="287"/>
      <c r="T759" s="287"/>
      <c r="U759" s="287"/>
      <c r="V759" s="287"/>
      <c r="W759" s="287"/>
      <c r="X759" s="287"/>
      <c r="Y759" s="287"/>
      <c r="Z759" s="287"/>
      <c r="AA759" s="287"/>
      <c r="AB759" s="287"/>
      <c r="AC759" s="287"/>
      <c r="AD759" s="287"/>
      <c r="AE759" s="287"/>
      <c r="AF759" s="287"/>
      <c r="AG759" s="287"/>
      <c r="AH759" s="287"/>
    </row>
    <row r="760" spans="1:34" ht="13.5" customHeight="1" x14ac:dyDescent="0.25">
      <c r="A760" s="287"/>
      <c r="B760" s="287"/>
      <c r="C760" s="287"/>
      <c r="D760" s="287"/>
      <c r="E760" s="287"/>
      <c r="F760" s="287"/>
      <c r="G760" s="287"/>
      <c r="H760" s="287"/>
      <c r="I760" s="287"/>
      <c r="J760" s="287"/>
      <c r="K760" s="287"/>
      <c r="L760" s="287"/>
      <c r="M760" s="287"/>
      <c r="N760" s="287"/>
      <c r="O760" s="287"/>
      <c r="P760" s="287"/>
      <c r="Q760" s="287"/>
      <c r="R760" s="287"/>
      <c r="S760" s="287"/>
      <c r="T760" s="287"/>
      <c r="U760" s="287"/>
      <c r="V760" s="287"/>
      <c r="W760" s="287"/>
      <c r="X760" s="287"/>
      <c r="Y760" s="287"/>
      <c r="Z760" s="287"/>
      <c r="AA760" s="287"/>
      <c r="AB760" s="287"/>
      <c r="AC760" s="287"/>
      <c r="AD760" s="287"/>
      <c r="AE760" s="287"/>
      <c r="AF760" s="287"/>
      <c r="AG760" s="287"/>
      <c r="AH760" s="287"/>
    </row>
    <row r="761" spans="1:34" ht="13.5" customHeight="1" x14ac:dyDescent="0.25">
      <c r="A761" s="287"/>
      <c r="B761" s="287"/>
      <c r="C761" s="287"/>
      <c r="D761" s="287"/>
      <c r="E761" s="287"/>
      <c r="F761" s="287"/>
      <c r="G761" s="287"/>
      <c r="H761" s="287"/>
      <c r="I761" s="287"/>
      <c r="J761" s="287"/>
      <c r="K761" s="287"/>
      <c r="L761" s="287"/>
      <c r="M761" s="287"/>
      <c r="N761" s="287"/>
      <c r="O761" s="287"/>
      <c r="P761" s="287"/>
      <c r="Q761" s="287"/>
      <c r="R761" s="287"/>
      <c r="S761" s="287"/>
      <c r="T761" s="287"/>
      <c r="U761" s="287"/>
      <c r="V761" s="287"/>
      <c r="W761" s="287"/>
      <c r="X761" s="287"/>
      <c r="Y761" s="287"/>
      <c r="Z761" s="287"/>
      <c r="AA761" s="287"/>
      <c r="AB761" s="287"/>
      <c r="AC761" s="287"/>
      <c r="AD761" s="287"/>
      <c r="AE761" s="287"/>
      <c r="AF761" s="287"/>
      <c r="AG761" s="287"/>
      <c r="AH761" s="287"/>
    </row>
    <row r="762" spans="1:34" ht="13.5" customHeight="1" x14ac:dyDescent="0.25">
      <c r="A762" s="287"/>
      <c r="B762" s="287"/>
      <c r="C762" s="287"/>
      <c r="D762" s="287"/>
      <c r="E762" s="287"/>
      <c r="F762" s="287"/>
      <c r="G762" s="287"/>
      <c r="H762" s="287"/>
      <c r="I762" s="287"/>
      <c r="J762" s="287"/>
      <c r="K762" s="287"/>
      <c r="L762" s="287"/>
      <c r="M762" s="287"/>
      <c r="N762" s="287"/>
      <c r="O762" s="287"/>
      <c r="P762" s="287"/>
      <c r="Q762" s="287"/>
      <c r="R762" s="287"/>
      <c r="S762" s="287"/>
      <c r="T762" s="287"/>
      <c r="U762" s="287"/>
      <c r="V762" s="287"/>
      <c r="W762" s="287"/>
      <c r="X762" s="287"/>
      <c r="Y762" s="287"/>
      <c r="Z762" s="287"/>
      <c r="AA762" s="287"/>
      <c r="AB762" s="287"/>
      <c r="AC762" s="287"/>
      <c r="AD762" s="287"/>
      <c r="AE762" s="287"/>
      <c r="AF762" s="287"/>
      <c r="AG762" s="287"/>
      <c r="AH762" s="287"/>
    </row>
    <row r="763" spans="1:34" ht="13.5" customHeight="1" x14ac:dyDescent="0.25">
      <c r="A763" s="287"/>
      <c r="B763" s="287"/>
      <c r="C763" s="287"/>
      <c r="D763" s="287"/>
      <c r="E763" s="287"/>
      <c r="F763" s="287"/>
      <c r="G763" s="287"/>
      <c r="H763" s="287"/>
      <c r="I763" s="287"/>
      <c r="J763" s="287"/>
      <c r="K763" s="287"/>
      <c r="L763" s="287"/>
      <c r="M763" s="287"/>
      <c r="N763" s="287"/>
      <c r="O763" s="287"/>
      <c r="P763" s="287"/>
      <c r="Q763" s="287"/>
      <c r="R763" s="287"/>
      <c r="S763" s="287"/>
      <c r="T763" s="287"/>
      <c r="U763" s="287"/>
      <c r="V763" s="287"/>
      <c r="W763" s="287"/>
      <c r="X763" s="287"/>
      <c r="Y763" s="287"/>
      <c r="Z763" s="287"/>
      <c r="AA763" s="287"/>
      <c r="AB763" s="287"/>
      <c r="AC763" s="287"/>
      <c r="AD763" s="287"/>
      <c r="AE763" s="287"/>
      <c r="AF763" s="287"/>
      <c r="AG763" s="287"/>
      <c r="AH763" s="287"/>
    </row>
    <row r="764" spans="1:34" ht="13.5" customHeight="1" x14ac:dyDescent="0.25">
      <c r="A764" s="287"/>
      <c r="B764" s="287"/>
      <c r="C764" s="287"/>
      <c r="D764" s="287"/>
      <c r="E764" s="287"/>
      <c r="F764" s="287"/>
      <c r="G764" s="287"/>
      <c r="H764" s="287"/>
      <c r="I764" s="287"/>
      <c r="J764" s="287"/>
      <c r="K764" s="287"/>
      <c r="L764" s="287"/>
      <c r="M764" s="287"/>
      <c r="N764" s="287"/>
      <c r="O764" s="287"/>
      <c r="P764" s="287"/>
      <c r="Q764" s="287"/>
      <c r="R764" s="287"/>
      <c r="S764" s="287"/>
      <c r="T764" s="287"/>
      <c r="U764" s="287"/>
      <c r="V764" s="287"/>
      <c r="W764" s="287"/>
      <c r="X764" s="287"/>
      <c r="Y764" s="287"/>
      <c r="Z764" s="287"/>
      <c r="AA764" s="287"/>
      <c r="AB764" s="287"/>
      <c r="AC764" s="287"/>
      <c r="AD764" s="287"/>
      <c r="AE764" s="287"/>
      <c r="AF764" s="287"/>
      <c r="AG764" s="287"/>
      <c r="AH764" s="287"/>
    </row>
    <row r="765" spans="1:34" ht="13.5" customHeight="1" x14ac:dyDescent="0.25">
      <c r="A765" s="287"/>
      <c r="B765" s="287"/>
      <c r="C765" s="287"/>
      <c r="D765" s="287"/>
      <c r="E765" s="287"/>
      <c r="F765" s="287"/>
      <c r="G765" s="287"/>
      <c r="H765" s="287"/>
      <c r="I765" s="287"/>
      <c r="J765" s="287"/>
      <c r="K765" s="287"/>
      <c r="L765" s="287"/>
      <c r="M765" s="287"/>
      <c r="N765" s="287"/>
      <c r="O765" s="287"/>
      <c r="P765" s="287"/>
      <c r="Q765" s="287"/>
      <c r="R765" s="287"/>
      <c r="S765" s="287"/>
      <c r="T765" s="287"/>
      <c r="U765" s="287"/>
      <c r="V765" s="287"/>
      <c r="W765" s="287"/>
      <c r="X765" s="287"/>
      <c r="Y765" s="287"/>
      <c r="Z765" s="287"/>
      <c r="AA765" s="287"/>
      <c r="AB765" s="287"/>
      <c r="AC765" s="287"/>
      <c r="AD765" s="287"/>
      <c r="AE765" s="287"/>
      <c r="AF765" s="287"/>
      <c r="AG765" s="287"/>
      <c r="AH765" s="287"/>
    </row>
    <row r="766" spans="1:34" ht="13.5" customHeight="1" x14ac:dyDescent="0.25">
      <c r="A766" s="287"/>
      <c r="B766" s="287"/>
      <c r="C766" s="287"/>
      <c r="D766" s="287"/>
      <c r="E766" s="287"/>
      <c r="F766" s="287"/>
      <c r="G766" s="287"/>
      <c r="H766" s="287"/>
      <c r="I766" s="287"/>
      <c r="J766" s="287"/>
      <c r="K766" s="287"/>
      <c r="L766" s="287"/>
      <c r="M766" s="287"/>
      <c r="N766" s="287"/>
      <c r="O766" s="287"/>
      <c r="P766" s="287"/>
      <c r="Q766" s="287"/>
      <c r="R766" s="287"/>
      <c r="S766" s="287"/>
      <c r="T766" s="287"/>
      <c r="U766" s="287"/>
      <c r="V766" s="287"/>
      <c r="W766" s="287"/>
      <c r="X766" s="287"/>
      <c r="Y766" s="287"/>
      <c r="Z766" s="287"/>
      <c r="AA766" s="287"/>
      <c r="AB766" s="287"/>
      <c r="AC766" s="287"/>
      <c r="AD766" s="287"/>
      <c r="AE766" s="287"/>
      <c r="AF766" s="287"/>
      <c r="AG766" s="287"/>
      <c r="AH766" s="287"/>
    </row>
    <row r="767" spans="1:34" ht="13.5" customHeight="1" x14ac:dyDescent="0.25">
      <c r="A767" s="287"/>
      <c r="B767" s="287"/>
      <c r="C767" s="287"/>
      <c r="D767" s="287"/>
      <c r="E767" s="287"/>
      <c r="F767" s="287"/>
      <c r="G767" s="287"/>
      <c r="H767" s="287"/>
      <c r="I767" s="287"/>
      <c r="J767" s="287"/>
      <c r="K767" s="287"/>
      <c r="L767" s="287"/>
      <c r="M767" s="287"/>
      <c r="N767" s="287"/>
      <c r="O767" s="287"/>
      <c r="P767" s="287"/>
      <c r="Q767" s="287"/>
      <c r="R767" s="287"/>
      <c r="S767" s="287"/>
      <c r="T767" s="287"/>
      <c r="U767" s="287"/>
      <c r="V767" s="287"/>
      <c r="W767" s="287"/>
      <c r="X767" s="287"/>
      <c r="Y767" s="287"/>
      <c r="Z767" s="287"/>
      <c r="AA767" s="287"/>
      <c r="AB767" s="287"/>
      <c r="AC767" s="287"/>
      <c r="AD767" s="287"/>
      <c r="AE767" s="287"/>
      <c r="AF767" s="287"/>
      <c r="AG767" s="287"/>
      <c r="AH767" s="287"/>
    </row>
    <row r="768" spans="1:34" ht="13.5" customHeight="1" x14ac:dyDescent="0.25">
      <c r="A768" s="287"/>
      <c r="B768" s="287"/>
      <c r="C768" s="287"/>
      <c r="D768" s="287"/>
      <c r="E768" s="287"/>
      <c r="F768" s="287"/>
      <c r="G768" s="287"/>
      <c r="H768" s="287"/>
      <c r="I768" s="287"/>
      <c r="J768" s="287"/>
      <c r="K768" s="287"/>
      <c r="L768" s="287"/>
      <c r="M768" s="287"/>
      <c r="N768" s="287"/>
      <c r="O768" s="287"/>
      <c r="P768" s="287"/>
      <c r="Q768" s="287"/>
      <c r="R768" s="287"/>
      <c r="S768" s="287"/>
      <c r="T768" s="287"/>
      <c r="U768" s="287"/>
      <c r="V768" s="287"/>
      <c r="W768" s="287"/>
      <c r="X768" s="287"/>
      <c r="Y768" s="287"/>
      <c r="Z768" s="287"/>
      <c r="AA768" s="287"/>
      <c r="AB768" s="287"/>
      <c r="AC768" s="287"/>
      <c r="AD768" s="287"/>
      <c r="AE768" s="287"/>
      <c r="AF768" s="287"/>
      <c r="AG768" s="287"/>
      <c r="AH768" s="287"/>
    </row>
    <row r="769" spans="1:34" ht="13.5" customHeight="1" x14ac:dyDescent="0.25">
      <c r="A769" s="287"/>
      <c r="B769" s="287"/>
      <c r="C769" s="287"/>
      <c r="D769" s="287"/>
      <c r="E769" s="287"/>
      <c r="F769" s="287"/>
      <c r="G769" s="287"/>
      <c r="H769" s="287"/>
      <c r="I769" s="287"/>
      <c r="J769" s="287"/>
      <c r="K769" s="287"/>
      <c r="L769" s="287"/>
      <c r="M769" s="287"/>
      <c r="N769" s="287"/>
      <c r="O769" s="287"/>
      <c r="P769" s="287"/>
      <c r="Q769" s="287"/>
      <c r="R769" s="287"/>
      <c r="S769" s="287"/>
      <c r="T769" s="287"/>
      <c r="U769" s="287"/>
      <c r="V769" s="287"/>
      <c r="W769" s="287"/>
      <c r="X769" s="287"/>
      <c r="Y769" s="287"/>
      <c r="Z769" s="287"/>
      <c r="AA769" s="287"/>
      <c r="AB769" s="287"/>
      <c r="AC769" s="287"/>
      <c r="AD769" s="287"/>
      <c r="AE769" s="287"/>
      <c r="AF769" s="287"/>
      <c r="AG769" s="287"/>
      <c r="AH769" s="287"/>
    </row>
    <row r="770" spans="1:34" ht="13.5" customHeight="1" x14ac:dyDescent="0.25">
      <c r="A770" s="287"/>
      <c r="B770" s="287"/>
      <c r="C770" s="287"/>
      <c r="D770" s="287"/>
      <c r="E770" s="287"/>
      <c r="F770" s="287"/>
      <c r="G770" s="287"/>
      <c r="H770" s="287"/>
      <c r="I770" s="287"/>
      <c r="J770" s="287"/>
      <c r="K770" s="287"/>
      <c r="L770" s="287"/>
      <c r="M770" s="287"/>
      <c r="N770" s="287"/>
      <c r="O770" s="287"/>
      <c r="P770" s="287"/>
      <c r="Q770" s="287"/>
      <c r="R770" s="287"/>
      <c r="S770" s="287"/>
      <c r="T770" s="287"/>
      <c r="U770" s="287"/>
      <c r="V770" s="287"/>
      <c r="W770" s="287"/>
      <c r="X770" s="287"/>
      <c r="Y770" s="287"/>
      <c r="Z770" s="287"/>
      <c r="AA770" s="287"/>
      <c r="AB770" s="287"/>
      <c r="AC770" s="287"/>
      <c r="AD770" s="287"/>
      <c r="AE770" s="287"/>
      <c r="AF770" s="287"/>
      <c r="AG770" s="287"/>
      <c r="AH770" s="287"/>
    </row>
    <row r="771" spans="1:34" ht="13.5" customHeight="1" x14ac:dyDescent="0.25">
      <c r="A771" s="287"/>
      <c r="B771" s="287"/>
      <c r="C771" s="287"/>
      <c r="D771" s="287"/>
      <c r="E771" s="287"/>
      <c r="F771" s="287"/>
      <c r="G771" s="287"/>
      <c r="H771" s="287"/>
      <c r="I771" s="287"/>
      <c r="J771" s="287"/>
      <c r="K771" s="287"/>
      <c r="L771" s="287"/>
      <c r="M771" s="287"/>
      <c r="N771" s="287"/>
      <c r="O771" s="287"/>
      <c r="P771" s="287"/>
      <c r="Q771" s="287"/>
      <c r="R771" s="287"/>
      <c r="S771" s="287"/>
      <c r="T771" s="287"/>
      <c r="U771" s="287"/>
      <c r="V771" s="287"/>
      <c r="W771" s="287"/>
      <c r="X771" s="287"/>
      <c r="Y771" s="287"/>
      <c r="Z771" s="287"/>
      <c r="AA771" s="287"/>
      <c r="AB771" s="287"/>
      <c r="AC771" s="287"/>
      <c r="AD771" s="287"/>
      <c r="AE771" s="287"/>
      <c r="AF771" s="287"/>
      <c r="AG771" s="287"/>
      <c r="AH771" s="287"/>
    </row>
    <row r="772" spans="1:34" ht="13.5" customHeight="1" x14ac:dyDescent="0.25">
      <c r="A772" s="287"/>
      <c r="B772" s="287"/>
      <c r="C772" s="287"/>
      <c r="D772" s="287"/>
      <c r="E772" s="287"/>
      <c r="F772" s="287"/>
      <c r="G772" s="287"/>
      <c r="H772" s="287"/>
      <c r="I772" s="287"/>
      <c r="J772" s="287"/>
      <c r="K772" s="287"/>
      <c r="L772" s="287"/>
      <c r="M772" s="287"/>
      <c r="N772" s="287"/>
      <c r="O772" s="287"/>
      <c r="P772" s="287"/>
      <c r="Q772" s="287"/>
      <c r="R772" s="287"/>
      <c r="S772" s="287"/>
      <c r="T772" s="287"/>
      <c r="U772" s="287"/>
      <c r="V772" s="287"/>
      <c r="W772" s="287"/>
      <c r="X772" s="287"/>
      <c r="Y772" s="287"/>
      <c r="Z772" s="287"/>
      <c r="AA772" s="287"/>
      <c r="AB772" s="287"/>
      <c r="AC772" s="287"/>
      <c r="AD772" s="287"/>
      <c r="AE772" s="287"/>
      <c r="AF772" s="287"/>
      <c r="AG772" s="287"/>
      <c r="AH772" s="287"/>
    </row>
    <row r="773" spans="1:34" ht="13.5" customHeight="1" x14ac:dyDescent="0.25">
      <c r="A773" s="287"/>
      <c r="B773" s="287"/>
      <c r="C773" s="287"/>
      <c r="D773" s="287"/>
      <c r="E773" s="287"/>
      <c r="F773" s="287"/>
      <c r="G773" s="287"/>
      <c r="H773" s="287"/>
      <c r="I773" s="287"/>
      <c r="J773" s="287"/>
      <c r="K773" s="287"/>
      <c r="L773" s="287"/>
      <c r="M773" s="287"/>
      <c r="N773" s="287"/>
      <c r="O773" s="287"/>
      <c r="P773" s="287"/>
      <c r="Q773" s="287"/>
      <c r="R773" s="287"/>
      <c r="S773" s="287"/>
      <c r="T773" s="287"/>
      <c r="U773" s="287"/>
      <c r="V773" s="287"/>
      <c r="W773" s="287"/>
      <c r="X773" s="287"/>
      <c r="Y773" s="287"/>
      <c r="Z773" s="287"/>
      <c r="AA773" s="287"/>
      <c r="AB773" s="287"/>
      <c r="AC773" s="287"/>
      <c r="AD773" s="287"/>
      <c r="AE773" s="287"/>
      <c r="AF773" s="287"/>
      <c r="AG773" s="287"/>
      <c r="AH773" s="287"/>
    </row>
    <row r="774" spans="1:34" ht="13.5" customHeight="1" x14ac:dyDescent="0.25">
      <c r="A774" s="287"/>
      <c r="B774" s="287"/>
      <c r="C774" s="287"/>
      <c r="D774" s="287"/>
      <c r="E774" s="287"/>
      <c r="F774" s="287"/>
      <c r="G774" s="287"/>
      <c r="H774" s="287"/>
      <c r="I774" s="287"/>
      <c r="J774" s="287"/>
      <c r="K774" s="287"/>
      <c r="L774" s="287"/>
      <c r="M774" s="287"/>
      <c r="N774" s="287"/>
      <c r="O774" s="287"/>
      <c r="P774" s="287"/>
      <c r="Q774" s="287"/>
      <c r="R774" s="287"/>
      <c r="S774" s="287"/>
      <c r="T774" s="287"/>
      <c r="U774" s="287"/>
      <c r="V774" s="287"/>
      <c r="W774" s="287"/>
      <c r="X774" s="287"/>
      <c r="Y774" s="287"/>
      <c r="Z774" s="287"/>
      <c r="AA774" s="287"/>
      <c r="AB774" s="287"/>
      <c r="AC774" s="287"/>
      <c r="AD774" s="287"/>
      <c r="AE774" s="287"/>
      <c r="AF774" s="287"/>
      <c r="AG774" s="287"/>
      <c r="AH774" s="287"/>
    </row>
    <row r="775" spans="1:34" ht="13.5" customHeight="1" x14ac:dyDescent="0.25">
      <c r="A775" s="287"/>
      <c r="B775" s="287"/>
      <c r="C775" s="287"/>
      <c r="D775" s="287"/>
      <c r="E775" s="287"/>
      <c r="F775" s="287"/>
      <c r="G775" s="287"/>
      <c r="H775" s="287"/>
      <c r="I775" s="287"/>
      <c r="J775" s="287"/>
      <c r="K775" s="287"/>
      <c r="L775" s="287"/>
      <c r="M775" s="287"/>
      <c r="N775" s="287"/>
      <c r="O775" s="287"/>
      <c r="P775" s="287"/>
      <c r="Q775" s="287"/>
      <c r="R775" s="287"/>
      <c r="S775" s="287"/>
      <c r="T775" s="287"/>
      <c r="U775" s="287"/>
      <c r="V775" s="287"/>
      <c r="W775" s="287"/>
      <c r="X775" s="287"/>
      <c r="Y775" s="287"/>
      <c r="Z775" s="287"/>
      <c r="AA775" s="287"/>
      <c r="AB775" s="287"/>
      <c r="AC775" s="287"/>
      <c r="AD775" s="287"/>
      <c r="AE775" s="287"/>
      <c r="AF775" s="287"/>
      <c r="AG775" s="287"/>
      <c r="AH775" s="287"/>
    </row>
    <row r="776" spans="1:34" ht="13.5" customHeight="1" x14ac:dyDescent="0.25">
      <c r="A776" s="287"/>
      <c r="B776" s="287"/>
      <c r="C776" s="287"/>
      <c r="D776" s="287"/>
      <c r="E776" s="287"/>
      <c r="F776" s="287"/>
      <c r="G776" s="287"/>
      <c r="H776" s="287"/>
      <c r="I776" s="287"/>
      <c r="J776" s="287"/>
      <c r="K776" s="287"/>
      <c r="L776" s="287"/>
      <c r="M776" s="287"/>
      <c r="N776" s="287"/>
      <c r="O776" s="287"/>
      <c r="P776" s="287"/>
      <c r="Q776" s="287"/>
      <c r="R776" s="287"/>
      <c r="S776" s="287"/>
      <c r="T776" s="287"/>
      <c r="U776" s="287"/>
      <c r="V776" s="287"/>
      <c r="W776" s="287"/>
      <c r="X776" s="287"/>
      <c r="Y776" s="287"/>
      <c r="Z776" s="287"/>
      <c r="AA776" s="287"/>
      <c r="AB776" s="287"/>
      <c r="AC776" s="287"/>
      <c r="AD776" s="287"/>
      <c r="AE776" s="287"/>
      <c r="AF776" s="287"/>
      <c r="AG776" s="287"/>
      <c r="AH776" s="287"/>
    </row>
    <row r="777" spans="1:34" ht="13.5" customHeight="1" x14ac:dyDescent="0.25">
      <c r="A777" s="287"/>
      <c r="B777" s="287"/>
      <c r="C777" s="287"/>
      <c r="D777" s="287"/>
      <c r="E777" s="287"/>
      <c r="F777" s="287"/>
      <c r="G777" s="287"/>
      <c r="H777" s="287"/>
      <c r="I777" s="287"/>
      <c r="J777" s="287"/>
      <c r="K777" s="287"/>
      <c r="L777" s="287"/>
      <c r="M777" s="287"/>
      <c r="N777" s="287"/>
      <c r="O777" s="287"/>
      <c r="P777" s="287"/>
      <c r="Q777" s="287"/>
      <c r="R777" s="287"/>
      <c r="S777" s="287"/>
      <c r="T777" s="287"/>
      <c r="U777" s="287"/>
      <c r="V777" s="287"/>
      <c r="W777" s="287"/>
      <c r="X777" s="287"/>
      <c r="Y777" s="287"/>
      <c r="Z777" s="287"/>
      <c r="AA777" s="287"/>
      <c r="AB777" s="287"/>
      <c r="AC777" s="287"/>
      <c r="AD777" s="287"/>
      <c r="AE777" s="287"/>
      <c r="AF777" s="287"/>
      <c r="AG777" s="287"/>
      <c r="AH777" s="287"/>
    </row>
    <row r="778" spans="1:34" ht="13.5" customHeight="1" x14ac:dyDescent="0.25">
      <c r="A778" s="287"/>
      <c r="B778" s="287"/>
      <c r="C778" s="287"/>
      <c r="D778" s="287"/>
      <c r="E778" s="287"/>
      <c r="F778" s="287"/>
      <c r="G778" s="287"/>
      <c r="H778" s="287"/>
      <c r="I778" s="287"/>
      <c r="J778" s="287"/>
      <c r="K778" s="287"/>
      <c r="L778" s="287"/>
      <c r="M778" s="287"/>
      <c r="N778" s="287"/>
      <c r="O778" s="287"/>
      <c r="P778" s="287"/>
      <c r="Q778" s="287"/>
      <c r="R778" s="287"/>
      <c r="S778" s="287"/>
      <c r="T778" s="287"/>
      <c r="U778" s="287"/>
      <c r="V778" s="287"/>
      <c r="W778" s="287"/>
      <c r="X778" s="287"/>
      <c r="Y778" s="287"/>
      <c r="Z778" s="287"/>
      <c r="AA778" s="287"/>
      <c r="AB778" s="287"/>
      <c r="AC778" s="287"/>
      <c r="AD778" s="287"/>
      <c r="AE778" s="287"/>
      <c r="AF778" s="287"/>
      <c r="AG778" s="287"/>
      <c r="AH778" s="287"/>
    </row>
    <row r="779" spans="1:34" ht="13.5" customHeight="1" x14ac:dyDescent="0.25">
      <c r="A779" s="287"/>
      <c r="B779" s="287"/>
      <c r="C779" s="287"/>
      <c r="D779" s="287"/>
      <c r="E779" s="287"/>
      <c r="F779" s="287"/>
      <c r="G779" s="287"/>
      <c r="H779" s="287"/>
      <c r="I779" s="287"/>
      <c r="J779" s="287"/>
      <c r="K779" s="287"/>
      <c r="L779" s="287"/>
      <c r="M779" s="287"/>
      <c r="N779" s="287"/>
      <c r="O779" s="287"/>
      <c r="P779" s="287"/>
      <c r="Q779" s="287"/>
      <c r="R779" s="287"/>
      <c r="S779" s="287"/>
      <c r="T779" s="287"/>
      <c r="U779" s="287"/>
      <c r="V779" s="287"/>
      <c r="W779" s="287"/>
      <c r="X779" s="287"/>
      <c r="Y779" s="287"/>
      <c r="Z779" s="287"/>
      <c r="AA779" s="287"/>
      <c r="AB779" s="287"/>
      <c r="AC779" s="287"/>
      <c r="AD779" s="287"/>
      <c r="AE779" s="287"/>
      <c r="AF779" s="287"/>
      <c r="AG779" s="287"/>
      <c r="AH779" s="287"/>
    </row>
    <row r="780" spans="1:34" ht="13.5" customHeight="1" x14ac:dyDescent="0.25">
      <c r="A780" s="287"/>
      <c r="B780" s="287"/>
      <c r="C780" s="287"/>
      <c r="D780" s="287"/>
      <c r="E780" s="287"/>
      <c r="F780" s="287"/>
      <c r="G780" s="287"/>
      <c r="H780" s="287"/>
      <c r="I780" s="287"/>
      <c r="J780" s="287"/>
      <c r="K780" s="287"/>
      <c r="L780" s="287"/>
      <c r="M780" s="287"/>
      <c r="N780" s="287"/>
      <c r="O780" s="287"/>
      <c r="P780" s="287"/>
      <c r="Q780" s="287"/>
      <c r="R780" s="287"/>
      <c r="S780" s="287"/>
      <c r="T780" s="287"/>
      <c r="U780" s="287"/>
      <c r="V780" s="287"/>
      <c r="W780" s="287"/>
      <c r="X780" s="287"/>
      <c r="Y780" s="287"/>
      <c r="Z780" s="287"/>
      <c r="AA780" s="287"/>
      <c r="AB780" s="287"/>
      <c r="AC780" s="287"/>
      <c r="AD780" s="287"/>
      <c r="AE780" s="287"/>
      <c r="AF780" s="287"/>
      <c r="AG780" s="287"/>
      <c r="AH780" s="287"/>
    </row>
    <row r="781" spans="1:34" ht="13.5" customHeight="1" x14ac:dyDescent="0.25">
      <c r="A781" s="287"/>
      <c r="B781" s="287"/>
      <c r="C781" s="287"/>
      <c r="D781" s="287"/>
      <c r="E781" s="287"/>
      <c r="F781" s="287"/>
      <c r="G781" s="287"/>
      <c r="H781" s="287"/>
      <c r="I781" s="287"/>
      <c r="J781" s="287"/>
      <c r="K781" s="287"/>
      <c r="L781" s="287"/>
      <c r="M781" s="287"/>
      <c r="N781" s="287"/>
      <c r="O781" s="287"/>
      <c r="P781" s="287"/>
      <c r="Q781" s="287"/>
      <c r="R781" s="287"/>
      <c r="S781" s="287"/>
      <c r="T781" s="287"/>
      <c r="U781" s="287"/>
      <c r="V781" s="287"/>
      <c r="W781" s="287"/>
      <c r="X781" s="287"/>
      <c r="Y781" s="287"/>
      <c r="Z781" s="287"/>
      <c r="AA781" s="287"/>
      <c r="AB781" s="287"/>
      <c r="AC781" s="287"/>
      <c r="AD781" s="287"/>
      <c r="AE781" s="287"/>
      <c r="AF781" s="287"/>
      <c r="AG781" s="287"/>
      <c r="AH781" s="287"/>
    </row>
    <row r="782" spans="1:34" ht="13.5" customHeight="1" x14ac:dyDescent="0.25">
      <c r="A782" s="287"/>
      <c r="B782" s="287"/>
      <c r="C782" s="287"/>
      <c r="D782" s="287"/>
      <c r="E782" s="287"/>
      <c r="F782" s="287"/>
      <c r="G782" s="287"/>
      <c r="H782" s="287"/>
      <c r="I782" s="287"/>
      <c r="J782" s="287"/>
      <c r="K782" s="287"/>
      <c r="L782" s="287"/>
      <c r="M782" s="287"/>
      <c r="N782" s="287"/>
      <c r="O782" s="287"/>
      <c r="P782" s="287"/>
      <c r="Q782" s="287"/>
      <c r="R782" s="287"/>
      <c r="S782" s="287"/>
      <c r="T782" s="287"/>
      <c r="U782" s="287"/>
      <c r="V782" s="287"/>
      <c r="W782" s="287"/>
      <c r="X782" s="287"/>
      <c r="Y782" s="287"/>
      <c r="Z782" s="287"/>
      <c r="AA782" s="287"/>
      <c r="AB782" s="287"/>
      <c r="AC782" s="287"/>
      <c r="AD782" s="287"/>
      <c r="AE782" s="287"/>
      <c r="AF782" s="287"/>
      <c r="AG782" s="287"/>
      <c r="AH782" s="287"/>
    </row>
    <row r="783" spans="1:34" ht="13.5" customHeight="1" x14ac:dyDescent="0.25">
      <c r="A783" s="287"/>
      <c r="B783" s="287"/>
      <c r="C783" s="287"/>
      <c r="D783" s="287"/>
      <c r="E783" s="287"/>
      <c r="F783" s="287"/>
      <c r="G783" s="287"/>
      <c r="H783" s="287"/>
      <c r="I783" s="287"/>
      <c r="J783" s="287"/>
      <c r="K783" s="287"/>
      <c r="L783" s="287"/>
      <c r="M783" s="287"/>
      <c r="N783" s="287"/>
      <c r="O783" s="287"/>
      <c r="P783" s="287"/>
      <c r="Q783" s="287"/>
      <c r="R783" s="287"/>
      <c r="S783" s="287"/>
      <c r="T783" s="287"/>
      <c r="U783" s="287"/>
      <c r="V783" s="287"/>
      <c r="W783" s="287"/>
      <c r="X783" s="287"/>
      <c r="Y783" s="287"/>
      <c r="Z783" s="287"/>
      <c r="AA783" s="287"/>
      <c r="AB783" s="287"/>
      <c r="AC783" s="287"/>
      <c r="AD783" s="287"/>
      <c r="AE783" s="287"/>
      <c r="AF783" s="287"/>
      <c r="AG783" s="287"/>
      <c r="AH783" s="287"/>
    </row>
    <row r="784" spans="1:34" ht="13.5" customHeight="1" x14ac:dyDescent="0.25">
      <c r="A784" s="287"/>
      <c r="B784" s="287"/>
      <c r="C784" s="287"/>
      <c r="D784" s="287"/>
      <c r="E784" s="287"/>
      <c r="F784" s="287"/>
      <c r="G784" s="287"/>
      <c r="H784" s="287"/>
      <c r="I784" s="287"/>
      <c r="J784" s="287"/>
      <c r="K784" s="287"/>
      <c r="L784" s="287"/>
      <c r="M784" s="287"/>
      <c r="N784" s="287"/>
      <c r="O784" s="287"/>
      <c r="P784" s="287"/>
      <c r="Q784" s="287"/>
      <c r="R784" s="287"/>
      <c r="S784" s="287"/>
      <c r="T784" s="287"/>
      <c r="U784" s="287"/>
      <c r="V784" s="287"/>
      <c r="W784" s="287"/>
      <c r="X784" s="287"/>
      <c r="Y784" s="287"/>
      <c r="Z784" s="287"/>
      <c r="AA784" s="287"/>
      <c r="AB784" s="287"/>
      <c r="AC784" s="287"/>
      <c r="AD784" s="287"/>
      <c r="AE784" s="287"/>
      <c r="AF784" s="287"/>
      <c r="AG784" s="287"/>
      <c r="AH784" s="287"/>
    </row>
    <row r="785" spans="1:34" ht="13.5" customHeight="1" x14ac:dyDescent="0.25">
      <c r="A785" s="287"/>
      <c r="B785" s="287"/>
      <c r="C785" s="287"/>
      <c r="D785" s="287"/>
      <c r="E785" s="287"/>
      <c r="F785" s="287"/>
      <c r="G785" s="287"/>
      <c r="H785" s="287"/>
      <c r="I785" s="287"/>
      <c r="J785" s="287"/>
      <c r="K785" s="287"/>
      <c r="L785" s="287"/>
      <c r="M785" s="287"/>
      <c r="N785" s="287"/>
      <c r="O785" s="287"/>
      <c r="P785" s="287"/>
      <c r="Q785" s="287"/>
      <c r="R785" s="287"/>
      <c r="S785" s="287"/>
      <c r="T785" s="287"/>
      <c r="U785" s="287"/>
      <c r="V785" s="287"/>
      <c r="W785" s="287"/>
      <c r="X785" s="287"/>
      <c r="Y785" s="287"/>
      <c r="Z785" s="287"/>
      <c r="AA785" s="287"/>
      <c r="AB785" s="287"/>
      <c r="AC785" s="287"/>
      <c r="AD785" s="287"/>
      <c r="AE785" s="287"/>
      <c r="AF785" s="287"/>
      <c r="AG785" s="287"/>
      <c r="AH785" s="287"/>
    </row>
    <row r="786" spans="1:34" ht="13.5" customHeight="1" x14ac:dyDescent="0.25">
      <c r="A786" s="287"/>
      <c r="B786" s="287"/>
      <c r="C786" s="287"/>
      <c r="D786" s="287"/>
      <c r="E786" s="287"/>
      <c r="F786" s="287"/>
      <c r="G786" s="287"/>
      <c r="H786" s="287"/>
      <c r="I786" s="287"/>
      <c r="J786" s="287"/>
      <c r="K786" s="287"/>
      <c r="L786" s="287"/>
      <c r="M786" s="287"/>
      <c r="N786" s="287"/>
      <c r="O786" s="287"/>
      <c r="P786" s="287"/>
      <c r="Q786" s="287"/>
      <c r="R786" s="287"/>
      <c r="S786" s="287"/>
      <c r="T786" s="287"/>
      <c r="U786" s="287"/>
      <c r="V786" s="287"/>
      <c r="W786" s="287"/>
      <c r="X786" s="287"/>
      <c r="Y786" s="287"/>
      <c r="Z786" s="287"/>
      <c r="AA786" s="287"/>
      <c r="AB786" s="287"/>
      <c r="AC786" s="287"/>
      <c r="AD786" s="287"/>
      <c r="AE786" s="287"/>
      <c r="AF786" s="287"/>
      <c r="AG786" s="287"/>
      <c r="AH786" s="287"/>
    </row>
    <row r="787" spans="1:34" ht="13.5" customHeight="1" x14ac:dyDescent="0.25">
      <c r="A787" s="287"/>
      <c r="B787" s="287"/>
      <c r="C787" s="287"/>
      <c r="D787" s="287"/>
      <c r="E787" s="287"/>
      <c r="F787" s="287"/>
      <c r="G787" s="287"/>
      <c r="H787" s="287"/>
      <c r="I787" s="287"/>
      <c r="J787" s="287"/>
      <c r="K787" s="287"/>
      <c r="L787" s="287"/>
      <c r="M787" s="287"/>
      <c r="N787" s="287"/>
      <c r="O787" s="287"/>
      <c r="P787" s="287"/>
      <c r="Q787" s="287"/>
      <c r="R787" s="287"/>
      <c r="S787" s="287"/>
      <c r="T787" s="287"/>
      <c r="U787" s="287"/>
      <c r="V787" s="287"/>
      <c r="W787" s="287"/>
      <c r="X787" s="287"/>
      <c r="Y787" s="287"/>
      <c r="Z787" s="287"/>
      <c r="AA787" s="287"/>
      <c r="AB787" s="287"/>
      <c r="AC787" s="287"/>
      <c r="AD787" s="287"/>
      <c r="AE787" s="287"/>
      <c r="AF787" s="287"/>
      <c r="AG787" s="287"/>
      <c r="AH787" s="287"/>
    </row>
    <row r="788" spans="1:34" ht="13.5" customHeight="1" x14ac:dyDescent="0.25">
      <c r="A788" s="287"/>
      <c r="B788" s="287"/>
      <c r="C788" s="287"/>
      <c r="D788" s="287"/>
      <c r="E788" s="287"/>
      <c r="F788" s="287"/>
      <c r="G788" s="287"/>
      <c r="H788" s="287"/>
      <c r="I788" s="287"/>
      <c r="J788" s="287"/>
      <c r="K788" s="287"/>
      <c r="L788" s="287"/>
      <c r="M788" s="287"/>
      <c r="N788" s="287"/>
      <c r="O788" s="287"/>
      <c r="P788" s="287"/>
      <c r="Q788" s="287"/>
      <c r="R788" s="287"/>
      <c r="S788" s="287"/>
      <c r="T788" s="287"/>
      <c r="U788" s="287"/>
      <c r="V788" s="287"/>
      <c r="W788" s="287"/>
      <c r="X788" s="287"/>
      <c r="Y788" s="287"/>
      <c r="Z788" s="287"/>
      <c r="AA788" s="287"/>
      <c r="AB788" s="287"/>
      <c r="AC788" s="287"/>
      <c r="AD788" s="287"/>
      <c r="AE788" s="287"/>
      <c r="AF788" s="287"/>
      <c r="AG788" s="287"/>
      <c r="AH788" s="287"/>
    </row>
    <row r="789" spans="1:34" ht="13.5" customHeight="1" x14ac:dyDescent="0.25">
      <c r="A789" s="287"/>
      <c r="B789" s="287"/>
      <c r="C789" s="287"/>
      <c r="D789" s="287"/>
      <c r="E789" s="287"/>
      <c r="F789" s="287"/>
      <c r="G789" s="287"/>
      <c r="H789" s="287"/>
      <c r="I789" s="287"/>
      <c r="J789" s="287"/>
      <c r="K789" s="287"/>
      <c r="L789" s="287"/>
      <c r="M789" s="287"/>
      <c r="N789" s="287"/>
      <c r="O789" s="287"/>
      <c r="P789" s="287"/>
      <c r="Q789" s="287"/>
      <c r="R789" s="287"/>
      <c r="S789" s="287"/>
      <c r="T789" s="287"/>
      <c r="U789" s="287"/>
      <c r="V789" s="287"/>
      <c r="W789" s="287"/>
      <c r="X789" s="287"/>
      <c r="Y789" s="287"/>
      <c r="Z789" s="287"/>
      <c r="AA789" s="287"/>
      <c r="AB789" s="287"/>
      <c r="AC789" s="287"/>
      <c r="AD789" s="287"/>
      <c r="AE789" s="287"/>
      <c r="AF789" s="287"/>
      <c r="AG789" s="287"/>
      <c r="AH789" s="287"/>
    </row>
    <row r="790" spans="1:34" ht="13.5" customHeight="1" x14ac:dyDescent="0.25">
      <c r="A790" s="287"/>
      <c r="B790" s="287"/>
      <c r="C790" s="287"/>
      <c r="D790" s="287"/>
      <c r="E790" s="287"/>
      <c r="F790" s="287"/>
      <c r="G790" s="287"/>
      <c r="H790" s="287"/>
      <c r="I790" s="287"/>
      <c r="J790" s="287"/>
      <c r="K790" s="287"/>
      <c r="L790" s="287"/>
      <c r="M790" s="287"/>
      <c r="N790" s="287"/>
      <c r="O790" s="287"/>
      <c r="P790" s="287"/>
      <c r="Q790" s="287"/>
      <c r="R790" s="287"/>
      <c r="S790" s="287"/>
      <c r="T790" s="287"/>
      <c r="U790" s="287"/>
      <c r="V790" s="287"/>
      <c r="W790" s="287"/>
      <c r="X790" s="287"/>
      <c r="Y790" s="287"/>
      <c r="Z790" s="287"/>
      <c r="AA790" s="287"/>
      <c r="AB790" s="287"/>
      <c r="AC790" s="287"/>
      <c r="AD790" s="287"/>
      <c r="AE790" s="287"/>
      <c r="AF790" s="287"/>
      <c r="AG790" s="287"/>
      <c r="AH790" s="287"/>
    </row>
    <row r="791" spans="1:34" ht="13.5" customHeight="1" x14ac:dyDescent="0.25">
      <c r="A791" s="287"/>
      <c r="B791" s="287"/>
      <c r="C791" s="287"/>
      <c r="D791" s="287"/>
      <c r="E791" s="287"/>
      <c r="F791" s="287"/>
      <c r="G791" s="287"/>
      <c r="H791" s="287"/>
      <c r="I791" s="287"/>
      <c r="J791" s="287"/>
      <c r="K791" s="287"/>
      <c r="L791" s="287"/>
      <c r="M791" s="287"/>
      <c r="N791" s="287"/>
      <c r="O791" s="287"/>
      <c r="P791" s="287"/>
      <c r="Q791" s="287"/>
      <c r="R791" s="287"/>
      <c r="S791" s="287"/>
      <c r="T791" s="287"/>
      <c r="U791" s="287"/>
      <c r="V791" s="287"/>
      <c r="W791" s="287"/>
      <c r="X791" s="287"/>
      <c r="Y791" s="287"/>
      <c r="Z791" s="287"/>
      <c r="AA791" s="287"/>
      <c r="AB791" s="287"/>
      <c r="AC791" s="287"/>
      <c r="AD791" s="287"/>
      <c r="AE791" s="287"/>
      <c r="AF791" s="287"/>
      <c r="AG791" s="287"/>
      <c r="AH791" s="287"/>
    </row>
    <row r="792" spans="1:34" ht="13.5" customHeight="1" x14ac:dyDescent="0.25">
      <c r="A792" s="287"/>
      <c r="B792" s="287"/>
      <c r="C792" s="287"/>
      <c r="D792" s="287"/>
      <c r="E792" s="287"/>
      <c r="F792" s="287"/>
      <c r="G792" s="287"/>
      <c r="H792" s="287"/>
      <c r="I792" s="287"/>
      <c r="J792" s="287"/>
      <c r="K792" s="287"/>
      <c r="L792" s="287"/>
      <c r="M792" s="287"/>
      <c r="N792" s="287"/>
      <c r="O792" s="287"/>
      <c r="P792" s="287"/>
      <c r="Q792" s="287"/>
      <c r="R792" s="287"/>
      <c r="S792" s="287"/>
      <c r="T792" s="287"/>
      <c r="U792" s="287"/>
      <c r="V792" s="287"/>
      <c r="W792" s="287"/>
      <c r="X792" s="287"/>
      <c r="Y792" s="287"/>
      <c r="Z792" s="287"/>
      <c r="AA792" s="287"/>
      <c r="AB792" s="287"/>
      <c r="AC792" s="287"/>
      <c r="AD792" s="287"/>
      <c r="AE792" s="287"/>
      <c r="AF792" s="287"/>
      <c r="AG792" s="287"/>
      <c r="AH792" s="287"/>
    </row>
    <row r="793" spans="1:34" ht="13.5" customHeight="1" x14ac:dyDescent="0.25">
      <c r="A793" s="287"/>
      <c r="B793" s="287"/>
      <c r="C793" s="287"/>
      <c r="D793" s="287"/>
      <c r="E793" s="287"/>
      <c r="F793" s="287"/>
      <c r="G793" s="287"/>
      <c r="H793" s="287"/>
      <c r="I793" s="287"/>
      <c r="J793" s="287"/>
      <c r="K793" s="287"/>
      <c r="L793" s="287"/>
      <c r="M793" s="287"/>
      <c r="N793" s="287"/>
      <c r="O793" s="287"/>
      <c r="P793" s="287"/>
      <c r="Q793" s="287"/>
      <c r="R793" s="287"/>
      <c r="S793" s="287"/>
      <c r="T793" s="287"/>
      <c r="U793" s="287"/>
      <c r="V793" s="287"/>
      <c r="W793" s="287"/>
      <c r="X793" s="287"/>
      <c r="Y793" s="287"/>
      <c r="Z793" s="287"/>
      <c r="AA793" s="287"/>
      <c r="AB793" s="287"/>
      <c r="AC793" s="287"/>
      <c r="AD793" s="287"/>
      <c r="AE793" s="287"/>
      <c r="AF793" s="287"/>
      <c r="AG793" s="287"/>
      <c r="AH793" s="287"/>
    </row>
    <row r="794" spans="1:34" ht="13.5" customHeight="1" x14ac:dyDescent="0.25">
      <c r="A794" s="287"/>
      <c r="B794" s="287"/>
      <c r="C794" s="287"/>
      <c r="D794" s="287"/>
      <c r="E794" s="287"/>
      <c r="F794" s="287"/>
      <c r="G794" s="287"/>
      <c r="H794" s="287"/>
      <c r="I794" s="287"/>
      <c r="J794" s="287"/>
      <c r="K794" s="287"/>
      <c r="L794" s="287"/>
      <c r="M794" s="287"/>
      <c r="N794" s="287"/>
      <c r="O794" s="287"/>
      <c r="P794" s="287"/>
      <c r="Q794" s="287"/>
      <c r="R794" s="287"/>
      <c r="S794" s="287"/>
      <c r="T794" s="287"/>
      <c r="U794" s="287"/>
      <c r="V794" s="287"/>
      <c r="W794" s="287"/>
      <c r="X794" s="287"/>
      <c r="Y794" s="287"/>
      <c r="Z794" s="287"/>
      <c r="AA794" s="287"/>
      <c r="AB794" s="287"/>
      <c r="AC794" s="287"/>
      <c r="AD794" s="287"/>
      <c r="AE794" s="287"/>
      <c r="AF794" s="287"/>
      <c r="AG794" s="287"/>
      <c r="AH794" s="287"/>
    </row>
    <row r="795" spans="1:34" ht="13.5" customHeight="1" x14ac:dyDescent="0.25">
      <c r="A795" s="287"/>
      <c r="B795" s="287"/>
      <c r="C795" s="287"/>
      <c r="D795" s="287"/>
      <c r="E795" s="287"/>
      <c r="F795" s="287"/>
      <c r="G795" s="287"/>
      <c r="H795" s="287"/>
      <c r="I795" s="287"/>
      <c r="J795" s="287"/>
      <c r="K795" s="287"/>
      <c r="L795" s="287"/>
      <c r="M795" s="287"/>
      <c r="N795" s="287"/>
      <c r="O795" s="287"/>
      <c r="P795" s="287"/>
      <c r="Q795" s="287"/>
      <c r="R795" s="287"/>
      <c r="S795" s="287"/>
      <c r="T795" s="287"/>
      <c r="U795" s="287"/>
      <c r="V795" s="287"/>
      <c r="W795" s="287"/>
      <c r="X795" s="287"/>
      <c r="Y795" s="287"/>
      <c r="Z795" s="287"/>
      <c r="AA795" s="287"/>
      <c r="AB795" s="287"/>
      <c r="AC795" s="287"/>
      <c r="AD795" s="287"/>
      <c r="AE795" s="287"/>
      <c r="AF795" s="287"/>
      <c r="AG795" s="287"/>
      <c r="AH795" s="287"/>
    </row>
    <row r="796" spans="1:34" ht="13.5" customHeight="1" x14ac:dyDescent="0.25">
      <c r="A796" s="287"/>
      <c r="B796" s="287"/>
      <c r="C796" s="287"/>
      <c r="D796" s="287"/>
      <c r="E796" s="287"/>
      <c r="F796" s="287"/>
      <c r="G796" s="287"/>
      <c r="H796" s="287"/>
      <c r="I796" s="287"/>
      <c r="J796" s="287"/>
      <c r="K796" s="287"/>
      <c r="L796" s="287"/>
      <c r="M796" s="287"/>
      <c r="N796" s="287"/>
      <c r="O796" s="287"/>
      <c r="P796" s="287"/>
      <c r="Q796" s="287"/>
      <c r="R796" s="287"/>
      <c r="S796" s="287"/>
      <c r="T796" s="287"/>
      <c r="U796" s="287"/>
      <c r="V796" s="287"/>
      <c r="W796" s="287"/>
      <c r="X796" s="287"/>
      <c r="Y796" s="287"/>
      <c r="Z796" s="287"/>
      <c r="AA796" s="287"/>
      <c r="AB796" s="287"/>
      <c r="AC796" s="287"/>
      <c r="AD796" s="287"/>
      <c r="AE796" s="287"/>
      <c r="AF796" s="287"/>
      <c r="AG796" s="287"/>
      <c r="AH796" s="287"/>
    </row>
    <row r="797" spans="1:34" ht="13.5" customHeight="1" x14ac:dyDescent="0.25">
      <c r="A797" s="287"/>
      <c r="B797" s="287"/>
      <c r="C797" s="287"/>
      <c r="D797" s="287"/>
      <c r="E797" s="287"/>
      <c r="F797" s="287"/>
      <c r="G797" s="287"/>
      <c r="H797" s="287"/>
      <c r="I797" s="287"/>
      <c r="J797" s="287"/>
      <c r="K797" s="287"/>
      <c r="L797" s="287"/>
      <c r="M797" s="287"/>
      <c r="N797" s="287"/>
      <c r="O797" s="287"/>
      <c r="P797" s="287"/>
      <c r="Q797" s="287"/>
      <c r="R797" s="287"/>
      <c r="S797" s="287"/>
      <c r="T797" s="287"/>
      <c r="U797" s="287"/>
      <c r="V797" s="287"/>
      <c r="W797" s="287"/>
      <c r="X797" s="287"/>
      <c r="Y797" s="287"/>
      <c r="Z797" s="287"/>
      <c r="AA797" s="287"/>
      <c r="AB797" s="287"/>
      <c r="AC797" s="287"/>
      <c r="AD797" s="287"/>
      <c r="AE797" s="287"/>
      <c r="AF797" s="287"/>
      <c r="AG797" s="287"/>
      <c r="AH797" s="287"/>
    </row>
    <row r="798" spans="1:34" ht="13.5" customHeight="1" x14ac:dyDescent="0.25">
      <c r="A798" s="287"/>
      <c r="B798" s="287"/>
      <c r="C798" s="287"/>
      <c r="D798" s="287"/>
      <c r="E798" s="287"/>
      <c r="F798" s="287"/>
      <c r="G798" s="287"/>
      <c r="H798" s="287"/>
      <c r="I798" s="287"/>
      <c r="J798" s="287"/>
      <c r="K798" s="287"/>
      <c r="L798" s="287"/>
      <c r="M798" s="287"/>
      <c r="N798" s="287"/>
      <c r="O798" s="287"/>
      <c r="P798" s="287"/>
      <c r="Q798" s="287"/>
      <c r="R798" s="287"/>
      <c r="S798" s="287"/>
      <c r="T798" s="287"/>
      <c r="U798" s="287"/>
      <c r="V798" s="287"/>
      <c r="W798" s="287"/>
      <c r="X798" s="287"/>
      <c r="Y798" s="287"/>
      <c r="Z798" s="287"/>
      <c r="AA798" s="287"/>
      <c r="AB798" s="287"/>
      <c r="AC798" s="287"/>
      <c r="AD798" s="287"/>
      <c r="AE798" s="287"/>
      <c r="AF798" s="287"/>
      <c r="AG798" s="287"/>
      <c r="AH798" s="287"/>
    </row>
    <row r="799" spans="1:34" ht="13.5" customHeight="1" x14ac:dyDescent="0.25">
      <c r="A799" s="287"/>
      <c r="B799" s="287"/>
      <c r="C799" s="287"/>
      <c r="D799" s="287"/>
      <c r="E799" s="287"/>
      <c r="F799" s="287"/>
      <c r="G799" s="287"/>
      <c r="H799" s="287"/>
      <c r="I799" s="287"/>
      <c r="J799" s="287"/>
      <c r="K799" s="287"/>
      <c r="L799" s="287"/>
      <c r="M799" s="287"/>
      <c r="N799" s="287"/>
      <c r="O799" s="287"/>
      <c r="P799" s="287"/>
      <c r="Q799" s="287"/>
      <c r="R799" s="287"/>
      <c r="S799" s="287"/>
      <c r="T799" s="287"/>
      <c r="U799" s="287"/>
      <c r="V799" s="287"/>
      <c r="W799" s="287"/>
      <c r="X799" s="287"/>
      <c r="Y799" s="287"/>
      <c r="Z799" s="287"/>
      <c r="AA799" s="287"/>
      <c r="AB799" s="287"/>
      <c r="AC799" s="287"/>
      <c r="AD799" s="287"/>
      <c r="AE799" s="287"/>
      <c r="AF799" s="287"/>
      <c r="AG799" s="287"/>
      <c r="AH799" s="287"/>
    </row>
    <row r="800" spans="1:34" ht="13.5" customHeight="1" x14ac:dyDescent="0.25">
      <c r="A800" s="287"/>
      <c r="B800" s="287"/>
      <c r="C800" s="287"/>
      <c r="D800" s="287"/>
      <c r="E800" s="287"/>
      <c r="F800" s="287"/>
      <c r="G800" s="287"/>
      <c r="H800" s="287"/>
      <c r="I800" s="287"/>
      <c r="J800" s="287"/>
      <c r="K800" s="287"/>
      <c r="L800" s="287"/>
      <c r="M800" s="287"/>
      <c r="N800" s="287"/>
      <c r="O800" s="287"/>
      <c r="P800" s="287"/>
      <c r="Q800" s="287"/>
      <c r="R800" s="287"/>
      <c r="S800" s="287"/>
      <c r="T800" s="287"/>
      <c r="U800" s="287"/>
      <c r="V800" s="287"/>
      <c r="W800" s="287"/>
      <c r="X800" s="287"/>
      <c r="Y800" s="287"/>
      <c r="Z800" s="287"/>
      <c r="AA800" s="287"/>
      <c r="AB800" s="287"/>
      <c r="AC800" s="287"/>
      <c r="AD800" s="287"/>
      <c r="AE800" s="287"/>
      <c r="AF800" s="287"/>
      <c r="AG800" s="287"/>
      <c r="AH800" s="287"/>
    </row>
    <row r="801" spans="1:34" ht="13.5" customHeight="1" x14ac:dyDescent="0.25">
      <c r="A801" s="287"/>
      <c r="B801" s="287"/>
      <c r="C801" s="287"/>
      <c r="D801" s="287"/>
      <c r="E801" s="287"/>
      <c r="F801" s="287"/>
      <c r="G801" s="287"/>
      <c r="H801" s="287"/>
      <c r="I801" s="287"/>
      <c r="J801" s="287"/>
      <c r="K801" s="287"/>
      <c r="L801" s="287"/>
      <c r="M801" s="287"/>
      <c r="N801" s="287"/>
      <c r="O801" s="287"/>
      <c r="P801" s="287"/>
      <c r="Q801" s="287"/>
      <c r="R801" s="287"/>
      <c r="S801" s="287"/>
      <c r="T801" s="287"/>
      <c r="U801" s="287"/>
      <c r="V801" s="287"/>
      <c r="W801" s="287"/>
      <c r="X801" s="287"/>
      <c r="Y801" s="287"/>
      <c r="Z801" s="287"/>
      <c r="AA801" s="287"/>
      <c r="AB801" s="287"/>
      <c r="AC801" s="287"/>
      <c r="AD801" s="287"/>
      <c r="AE801" s="287"/>
      <c r="AF801" s="287"/>
      <c r="AG801" s="287"/>
      <c r="AH801" s="287"/>
    </row>
    <row r="802" spans="1:34" ht="13.5" customHeight="1" x14ac:dyDescent="0.25">
      <c r="A802" s="287"/>
      <c r="B802" s="287"/>
      <c r="C802" s="287"/>
      <c r="D802" s="287"/>
      <c r="E802" s="287"/>
      <c r="F802" s="287"/>
      <c r="G802" s="287"/>
      <c r="H802" s="287"/>
      <c r="I802" s="287"/>
      <c r="J802" s="287"/>
      <c r="K802" s="287"/>
      <c r="L802" s="287"/>
      <c r="M802" s="287"/>
      <c r="N802" s="287"/>
      <c r="O802" s="287"/>
      <c r="P802" s="287"/>
      <c r="Q802" s="287"/>
      <c r="R802" s="287"/>
      <c r="S802" s="287"/>
      <c r="T802" s="287"/>
      <c r="U802" s="287"/>
      <c r="V802" s="287"/>
      <c r="W802" s="287"/>
      <c r="X802" s="287"/>
      <c r="Y802" s="287"/>
      <c r="Z802" s="287"/>
      <c r="AA802" s="287"/>
      <c r="AB802" s="287"/>
      <c r="AC802" s="287"/>
      <c r="AD802" s="287"/>
      <c r="AE802" s="287"/>
      <c r="AF802" s="287"/>
      <c r="AG802" s="287"/>
      <c r="AH802" s="287"/>
    </row>
    <row r="803" spans="1:34" ht="13.5" customHeight="1" x14ac:dyDescent="0.25">
      <c r="A803" s="287"/>
      <c r="B803" s="287"/>
      <c r="C803" s="287"/>
      <c r="D803" s="287"/>
      <c r="E803" s="287"/>
      <c r="F803" s="287"/>
      <c r="G803" s="287"/>
      <c r="H803" s="287"/>
      <c r="I803" s="287"/>
      <c r="J803" s="287"/>
      <c r="K803" s="287"/>
      <c r="L803" s="287"/>
      <c r="M803" s="287"/>
      <c r="N803" s="287"/>
      <c r="O803" s="287"/>
      <c r="P803" s="287"/>
      <c r="Q803" s="287"/>
      <c r="R803" s="287"/>
      <c r="S803" s="287"/>
      <c r="T803" s="287"/>
      <c r="U803" s="287"/>
      <c r="V803" s="287"/>
      <c r="W803" s="287"/>
      <c r="X803" s="287"/>
      <c r="Y803" s="287"/>
      <c r="Z803" s="287"/>
      <c r="AA803" s="287"/>
      <c r="AB803" s="287"/>
      <c r="AC803" s="287"/>
      <c r="AD803" s="287"/>
      <c r="AE803" s="287"/>
      <c r="AF803" s="287"/>
      <c r="AG803" s="287"/>
      <c r="AH803" s="287"/>
    </row>
    <row r="804" spans="1:34" ht="13.5" customHeight="1" x14ac:dyDescent="0.25">
      <c r="A804" s="287"/>
      <c r="B804" s="287"/>
      <c r="C804" s="287"/>
      <c r="D804" s="287"/>
      <c r="E804" s="287"/>
      <c r="F804" s="287"/>
      <c r="G804" s="287"/>
      <c r="H804" s="287"/>
      <c r="I804" s="287"/>
      <c r="J804" s="287"/>
      <c r="K804" s="287"/>
      <c r="L804" s="287"/>
      <c r="M804" s="287"/>
      <c r="N804" s="287"/>
      <c r="O804" s="287"/>
      <c r="P804" s="287"/>
      <c r="Q804" s="287"/>
      <c r="R804" s="287"/>
      <c r="S804" s="287"/>
      <c r="T804" s="287"/>
      <c r="U804" s="287"/>
      <c r="V804" s="287"/>
      <c r="W804" s="287"/>
      <c r="X804" s="287"/>
      <c r="Y804" s="287"/>
      <c r="Z804" s="287"/>
      <c r="AA804" s="287"/>
      <c r="AB804" s="287"/>
      <c r="AC804" s="287"/>
      <c r="AD804" s="287"/>
      <c r="AE804" s="287"/>
      <c r="AF804" s="287"/>
      <c r="AG804" s="287"/>
      <c r="AH804" s="287"/>
    </row>
    <row r="805" spans="1:34" ht="13.5" customHeight="1" x14ac:dyDescent="0.25">
      <c r="A805" s="287"/>
      <c r="B805" s="287"/>
      <c r="C805" s="287"/>
      <c r="D805" s="287"/>
      <c r="E805" s="287"/>
      <c r="F805" s="287"/>
      <c r="G805" s="287"/>
      <c r="H805" s="287"/>
      <c r="I805" s="287"/>
      <c r="J805" s="287"/>
      <c r="K805" s="287"/>
      <c r="L805" s="287"/>
      <c r="M805" s="287"/>
      <c r="N805" s="287"/>
      <c r="O805" s="287"/>
      <c r="P805" s="287"/>
      <c r="Q805" s="287"/>
      <c r="R805" s="287"/>
      <c r="S805" s="287"/>
      <c r="T805" s="287"/>
      <c r="U805" s="287"/>
      <c r="V805" s="287"/>
      <c r="W805" s="287"/>
      <c r="X805" s="287"/>
      <c r="Y805" s="287"/>
      <c r="Z805" s="287"/>
      <c r="AA805" s="287"/>
      <c r="AB805" s="287"/>
      <c r="AC805" s="287"/>
      <c r="AD805" s="287"/>
      <c r="AE805" s="287"/>
      <c r="AF805" s="287"/>
      <c r="AG805" s="287"/>
      <c r="AH805" s="287"/>
    </row>
    <row r="806" spans="1:34" ht="13.5" customHeight="1" x14ac:dyDescent="0.25">
      <c r="A806" s="287"/>
      <c r="B806" s="287"/>
      <c r="C806" s="287"/>
      <c r="D806" s="287"/>
      <c r="E806" s="287"/>
      <c r="F806" s="287"/>
      <c r="G806" s="287"/>
      <c r="H806" s="287"/>
      <c r="I806" s="287"/>
      <c r="J806" s="287"/>
      <c r="K806" s="287"/>
      <c r="L806" s="287"/>
      <c r="M806" s="287"/>
      <c r="N806" s="287"/>
      <c r="O806" s="287"/>
      <c r="P806" s="287"/>
      <c r="Q806" s="287"/>
      <c r="R806" s="287"/>
      <c r="S806" s="287"/>
      <c r="T806" s="287"/>
      <c r="U806" s="287"/>
      <c r="V806" s="287"/>
      <c r="W806" s="287"/>
      <c r="X806" s="287"/>
      <c r="Y806" s="287"/>
      <c r="Z806" s="287"/>
      <c r="AA806" s="287"/>
      <c r="AB806" s="287"/>
      <c r="AC806" s="287"/>
      <c r="AD806" s="287"/>
      <c r="AE806" s="287"/>
      <c r="AF806" s="287"/>
      <c r="AG806" s="287"/>
      <c r="AH806" s="287"/>
    </row>
    <row r="807" spans="1:34" ht="13.5" customHeight="1" x14ac:dyDescent="0.25">
      <c r="A807" s="287"/>
      <c r="B807" s="287"/>
      <c r="C807" s="287"/>
      <c r="D807" s="287"/>
      <c r="E807" s="287"/>
      <c r="F807" s="287"/>
      <c r="G807" s="287"/>
      <c r="H807" s="287"/>
      <c r="I807" s="287"/>
      <c r="J807" s="287"/>
      <c r="K807" s="287"/>
      <c r="L807" s="287"/>
      <c r="M807" s="287"/>
      <c r="N807" s="287"/>
      <c r="O807" s="287"/>
      <c r="P807" s="287"/>
      <c r="Q807" s="287"/>
      <c r="R807" s="287"/>
      <c r="S807" s="287"/>
      <c r="T807" s="287"/>
      <c r="U807" s="287"/>
      <c r="V807" s="287"/>
      <c r="W807" s="287"/>
      <c r="X807" s="287"/>
      <c r="Y807" s="287"/>
      <c r="Z807" s="287"/>
      <c r="AA807" s="287"/>
      <c r="AB807" s="287"/>
      <c r="AC807" s="287"/>
      <c r="AD807" s="287"/>
      <c r="AE807" s="287"/>
      <c r="AF807" s="287"/>
      <c r="AG807" s="287"/>
      <c r="AH807" s="287"/>
    </row>
    <row r="808" spans="1:34" ht="13.5" customHeight="1" x14ac:dyDescent="0.25">
      <c r="A808" s="287"/>
      <c r="B808" s="287"/>
      <c r="C808" s="287"/>
      <c r="D808" s="287"/>
      <c r="E808" s="287"/>
      <c r="F808" s="287"/>
      <c r="G808" s="287"/>
      <c r="H808" s="287"/>
      <c r="I808" s="287"/>
      <c r="J808" s="287"/>
      <c r="K808" s="287"/>
      <c r="L808" s="287"/>
      <c r="M808" s="287"/>
      <c r="N808" s="287"/>
      <c r="O808" s="287"/>
      <c r="P808" s="287"/>
      <c r="Q808" s="287"/>
      <c r="R808" s="287"/>
      <c r="S808" s="287"/>
      <c r="T808" s="287"/>
      <c r="U808" s="287"/>
      <c r="V808" s="287"/>
      <c r="W808" s="287"/>
      <c r="X808" s="287"/>
      <c r="Y808" s="287"/>
      <c r="Z808" s="287"/>
      <c r="AA808" s="287"/>
      <c r="AB808" s="287"/>
      <c r="AC808" s="287"/>
      <c r="AD808" s="287"/>
      <c r="AE808" s="287"/>
      <c r="AF808" s="287"/>
      <c r="AG808" s="287"/>
      <c r="AH808" s="287"/>
    </row>
    <row r="809" spans="1:34" ht="13.5" customHeight="1" x14ac:dyDescent="0.25">
      <c r="A809" s="287"/>
      <c r="B809" s="287"/>
      <c r="C809" s="287"/>
      <c r="D809" s="287"/>
      <c r="E809" s="287"/>
      <c r="F809" s="287"/>
      <c r="G809" s="287"/>
      <c r="H809" s="287"/>
      <c r="I809" s="287"/>
      <c r="J809" s="287"/>
      <c r="K809" s="287"/>
      <c r="L809" s="287"/>
      <c r="M809" s="287"/>
      <c r="N809" s="287"/>
      <c r="O809" s="287"/>
      <c r="P809" s="287"/>
      <c r="Q809" s="287"/>
      <c r="R809" s="287"/>
      <c r="S809" s="287"/>
      <c r="T809" s="287"/>
      <c r="U809" s="287"/>
      <c r="V809" s="287"/>
      <c r="W809" s="287"/>
      <c r="X809" s="287"/>
      <c r="Y809" s="287"/>
      <c r="Z809" s="287"/>
      <c r="AA809" s="287"/>
      <c r="AB809" s="287"/>
      <c r="AC809" s="287"/>
      <c r="AD809" s="287"/>
      <c r="AE809" s="287"/>
      <c r="AF809" s="287"/>
      <c r="AG809" s="287"/>
      <c r="AH809" s="287"/>
    </row>
    <row r="810" spans="1:34" ht="13.5" customHeight="1" x14ac:dyDescent="0.25">
      <c r="A810" s="287"/>
      <c r="B810" s="287"/>
      <c r="C810" s="287"/>
      <c r="D810" s="287"/>
      <c r="E810" s="287"/>
      <c r="F810" s="287"/>
      <c r="G810" s="287"/>
      <c r="H810" s="287"/>
      <c r="I810" s="287"/>
      <c r="J810" s="287"/>
      <c r="K810" s="287"/>
      <c r="L810" s="287"/>
      <c r="M810" s="287"/>
      <c r="N810" s="287"/>
      <c r="O810" s="287"/>
      <c r="P810" s="287"/>
      <c r="Q810" s="287"/>
      <c r="R810" s="287"/>
      <c r="S810" s="287"/>
      <c r="T810" s="287"/>
      <c r="U810" s="287"/>
      <c r="V810" s="287"/>
      <c r="W810" s="287"/>
      <c r="X810" s="287"/>
      <c r="Y810" s="287"/>
      <c r="Z810" s="287"/>
      <c r="AA810" s="287"/>
      <c r="AB810" s="287"/>
      <c r="AC810" s="287"/>
      <c r="AD810" s="287"/>
      <c r="AE810" s="287"/>
      <c r="AF810" s="287"/>
      <c r="AG810" s="287"/>
      <c r="AH810" s="287"/>
    </row>
    <row r="811" spans="1:34" ht="13.5" customHeight="1" x14ac:dyDescent="0.25">
      <c r="A811" s="287"/>
      <c r="B811" s="287"/>
      <c r="C811" s="287"/>
      <c r="D811" s="287"/>
      <c r="E811" s="287"/>
      <c r="F811" s="287"/>
      <c r="G811" s="287"/>
      <c r="H811" s="287"/>
      <c r="I811" s="287"/>
      <c r="J811" s="287"/>
      <c r="K811" s="287"/>
      <c r="L811" s="287"/>
      <c r="M811" s="287"/>
      <c r="N811" s="287"/>
      <c r="O811" s="287"/>
      <c r="P811" s="287"/>
      <c r="Q811" s="287"/>
      <c r="R811" s="287"/>
      <c r="S811" s="287"/>
      <c r="T811" s="287"/>
      <c r="U811" s="287"/>
      <c r="V811" s="287"/>
      <c r="W811" s="287"/>
      <c r="X811" s="287"/>
      <c r="Y811" s="287"/>
      <c r="Z811" s="287"/>
      <c r="AA811" s="287"/>
      <c r="AB811" s="287"/>
      <c r="AC811" s="287"/>
      <c r="AD811" s="287"/>
      <c r="AE811" s="287"/>
      <c r="AF811" s="287"/>
      <c r="AG811" s="287"/>
      <c r="AH811" s="287"/>
    </row>
    <row r="812" spans="1:34" ht="13.5" customHeight="1" x14ac:dyDescent="0.25">
      <c r="A812" s="287"/>
      <c r="B812" s="287"/>
      <c r="C812" s="287"/>
      <c r="D812" s="287"/>
      <c r="E812" s="287"/>
      <c r="F812" s="287"/>
      <c r="G812" s="287"/>
      <c r="H812" s="287"/>
      <c r="I812" s="287"/>
      <c r="J812" s="287"/>
      <c r="K812" s="287"/>
      <c r="L812" s="287"/>
      <c r="M812" s="287"/>
      <c r="N812" s="287"/>
      <c r="O812" s="287"/>
      <c r="P812" s="287"/>
      <c r="Q812" s="287"/>
      <c r="R812" s="287"/>
      <c r="S812" s="287"/>
      <c r="T812" s="287"/>
      <c r="U812" s="287"/>
      <c r="V812" s="287"/>
      <c r="W812" s="287"/>
      <c r="X812" s="287"/>
      <c r="Y812" s="287"/>
      <c r="Z812" s="287"/>
      <c r="AA812" s="287"/>
      <c r="AB812" s="287"/>
      <c r="AC812" s="287"/>
      <c r="AD812" s="287"/>
      <c r="AE812" s="287"/>
      <c r="AF812" s="287"/>
      <c r="AG812" s="287"/>
      <c r="AH812" s="287"/>
    </row>
    <row r="813" spans="1:34" ht="13.5" customHeight="1" x14ac:dyDescent="0.25">
      <c r="A813" s="287"/>
      <c r="B813" s="287"/>
      <c r="C813" s="287"/>
      <c r="D813" s="287"/>
      <c r="E813" s="287"/>
      <c r="F813" s="287"/>
      <c r="G813" s="287"/>
      <c r="H813" s="287"/>
      <c r="I813" s="287"/>
      <c r="J813" s="287"/>
      <c r="K813" s="287"/>
      <c r="L813" s="287"/>
      <c r="M813" s="287"/>
      <c r="N813" s="287"/>
      <c r="O813" s="287"/>
      <c r="P813" s="287"/>
      <c r="Q813" s="287"/>
      <c r="R813" s="287"/>
      <c r="S813" s="287"/>
      <c r="T813" s="287"/>
      <c r="U813" s="287"/>
      <c r="V813" s="287"/>
      <c r="W813" s="287"/>
      <c r="X813" s="287"/>
      <c r="Y813" s="287"/>
      <c r="Z813" s="287"/>
      <c r="AA813" s="287"/>
      <c r="AB813" s="287"/>
      <c r="AC813" s="287"/>
      <c r="AD813" s="287"/>
      <c r="AE813" s="287"/>
      <c r="AF813" s="287"/>
      <c r="AG813" s="287"/>
      <c r="AH813" s="287"/>
    </row>
    <row r="814" spans="1:34" ht="13.5" customHeight="1" x14ac:dyDescent="0.25">
      <c r="A814" s="287"/>
      <c r="B814" s="287"/>
      <c r="C814" s="287"/>
      <c r="D814" s="287"/>
      <c r="E814" s="287"/>
      <c r="F814" s="287"/>
      <c r="G814" s="287"/>
      <c r="H814" s="287"/>
      <c r="I814" s="287"/>
      <c r="J814" s="287"/>
      <c r="K814" s="287"/>
      <c r="L814" s="287"/>
      <c r="M814" s="287"/>
      <c r="N814" s="287"/>
      <c r="O814" s="287"/>
      <c r="P814" s="287"/>
      <c r="Q814" s="287"/>
      <c r="R814" s="287"/>
      <c r="S814" s="287"/>
      <c r="T814" s="287"/>
      <c r="U814" s="287"/>
      <c r="V814" s="287"/>
      <c r="W814" s="287"/>
      <c r="X814" s="287"/>
      <c r="Y814" s="287"/>
      <c r="Z814" s="287"/>
      <c r="AA814" s="287"/>
      <c r="AB814" s="287"/>
      <c r="AC814" s="287"/>
      <c r="AD814" s="287"/>
      <c r="AE814" s="287"/>
      <c r="AF814" s="287"/>
      <c r="AG814" s="287"/>
      <c r="AH814" s="287"/>
    </row>
    <row r="815" spans="1:34" ht="13.5" customHeight="1" x14ac:dyDescent="0.25">
      <c r="A815" s="287"/>
      <c r="B815" s="287"/>
      <c r="C815" s="287"/>
      <c r="D815" s="287"/>
      <c r="E815" s="287"/>
      <c r="F815" s="287"/>
      <c r="G815" s="287"/>
      <c r="H815" s="287"/>
      <c r="I815" s="287"/>
      <c r="J815" s="287"/>
      <c r="K815" s="287"/>
      <c r="L815" s="287"/>
      <c r="M815" s="287"/>
      <c r="N815" s="287"/>
      <c r="O815" s="287"/>
      <c r="P815" s="287"/>
      <c r="Q815" s="287"/>
      <c r="R815" s="287"/>
      <c r="S815" s="287"/>
      <c r="T815" s="287"/>
      <c r="U815" s="287"/>
      <c r="V815" s="287"/>
      <c r="W815" s="287"/>
      <c r="X815" s="287"/>
      <c r="Y815" s="287"/>
      <c r="Z815" s="287"/>
      <c r="AA815" s="287"/>
      <c r="AB815" s="287"/>
      <c r="AC815" s="287"/>
      <c r="AD815" s="287"/>
      <c r="AE815" s="287"/>
      <c r="AF815" s="287"/>
      <c r="AG815" s="287"/>
      <c r="AH815" s="287"/>
    </row>
    <row r="816" spans="1:34" ht="13.5" customHeight="1" x14ac:dyDescent="0.25">
      <c r="A816" s="287"/>
      <c r="B816" s="287"/>
      <c r="C816" s="287"/>
      <c r="D816" s="287"/>
      <c r="E816" s="287"/>
      <c r="F816" s="287"/>
      <c r="G816" s="287"/>
      <c r="H816" s="287"/>
      <c r="I816" s="287"/>
      <c r="J816" s="287"/>
      <c r="K816" s="287"/>
      <c r="L816" s="287"/>
      <c r="M816" s="287"/>
      <c r="N816" s="287"/>
      <c r="O816" s="287"/>
      <c r="P816" s="287"/>
      <c r="Q816" s="287"/>
      <c r="R816" s="287"/>
      <c r="S816" s="287"/>
      <c r="T816" s="287"/>
      <c r="U816" s="287"/>
      <c r="V816" s="287"/>
      <c r="W816" s="287"/>
      <c r="X816" s="287"/>
      <c r="Y816" s="287"/>
      <c r="Z816" s="287"/>
      <c r="AA816" s="287"/>
      <c r="AB816" s="287"/>
      <c r="AC816" s="287"/>
      <c r="AD816" s="287"/>
      <c r="AE816" s="287"/>
      <c r="AF816" s="287"/>
      <c r="AG816" s="287"/>
      <c r="AH816" s="287"/>
    </row>
    <row r="817" spans="1:34" ht="13.5" customHeight="1" x14ac:dyDescent="0.25">
      <c r="A817" s="287"/>
      <c r="B817" s="287"/>
      <c r="C817" s="287"/>
      <c r="D817" s="287"/>
      <c r="E817" s="287"/>
      <c r="F817" s="287"/>
      <c r="G817" s="287"/>
      <c r="H817" s="287"/>
      <c r="I817" s="287"/>
      <c r="J817" s="287"/>
      <c r="K817" s="287"/>
      <c r="L817" s="287"/>
      <c r="M817" s="287"/>
      <c r="N817" s="287"/>
      <c r="O817" s="287"/>
      <c r="P817" s="287"/>
      <c r="Q817" s="287"/>
      <c r="R817" s="287"/>
      <c r="S817" s="287"/>
      <c r="T817" s="287"/>
      <c r="U817" s="287"/>
      <c r="V817" s="287"/>
      <c r="W817" s="287"/>
      <c r="X817" s="287"/>
      <c r="Y817" s="287"/>
      <c r="Z817" s="287"/>
      <c r="AA817" s="287"/>
      <c r="AB817" s="287"/>
      <c r="AC817" s="287"/>
      <c r="AD817" s="287"/>
      <c r="AE817" s="287"/>
      <c r="AF817" s="287"/>
      <c r="AG817" s="287"/>
      <c r="AH817" s="287"/>
    </row>
    <row r="818" spans="1:34" ht="13.5" customHeight="1" x14ac:dyDescent="0.25">
      <c r="A818" s="287"/>
      <c r="B818" s="287"/>
      <c r="C818" s="287"/>
      <c r="D818" s="287"/>
      <c r="E818" s="287"/>
      <c r="F818" s="287"/>
      <c r="G818" s="287"/>
      <c r="H818" s="287"/>
      <c r="I818" s="287"/>
      <c r="J818" s="287"/>
      <c r="K818" s="287"/>
      <c r="L818" s="287"/>
      <c r="M818" s="287"/>
      <c r="N818" s="287"/>
      <c r="O818" s="287"/>
      <c r="P818" s="287"/>
      <c r="Q818" s="287"/>
      <c r="R818" s="287"/>
      <c r="S818" s="287"/>
      <c r="T818" s="287"/>
      <c r="U818" s="287"/>
      <c r="V818" s="287"/>
      <c r="W818" s="287"/>
      <c r="X818" s="287"/>
      <c r="Y818" s="287"/>
      <c r="Z818" s="287"/>
      <c r="AA818" s="287"/>
      <c r="AB818" s="287"/>
      <c r="AC818" s="287"/>
      <c r="AD818" s="287"/>
      <c r="AE818" s="287"/>
      <c r="AF818" s="287"/>
      <c r="AG818" s="287"/>
      <c r="AH818" s="287"/>
    </row>
    <row r="819" spans="1:34" ht="13.5" customHeight="1" x14ac:dyDescent="0.25">
      <c r="A819" s="287"/>
      <c r="B819" s="287"/>
      <c r="C819" s="287"/>
      <c r="D819" s="287"/>
      <c r="E819" s="287"/>
      <c r="F819" s="287"/>
      <c r="G819" s="287"/>
      <c r="H819" s="287"/>
      <c r="I819" s="287"/>
      <c r="J819" s="287"/>
      <c r="K819" s="287"/>
      <c r="L819" s="287"/>
      <c r="M819" s="287"/>
      <c r="N819" s="287"/>
      <c r="O819" s="287"/>
      <c r="P819" s="287"/>
      <c r="Q819" s="287"/>
      <c r="R819" s="287"/>
      <c r="S819" s="287"/>
      <c r="T819" s="287"/>
      <c r="U819" s="287"/>
      <c r="V819" s="287"/>
      <c r="W819" s="287"/>
      <c r="X819" s="287"/>
      <c r="Y819" s="287"/>
      <c r="Z819" s="287"/>
      <c r="AA819" s="287"/>
      <c r="AB819" s="287"/>
      <c r="AC819" s="287"/>
      <c r="AD819" s="287"/>
      <c r="AE819" s="287"/>
      <c r="AF819" s="287"/>
      <c r="AG819" s="287"/>
      <c r="AH819" s="287"/>
    </row>
    <row r="820" spans="1:34" ht="13.5" customHeight="1" x14ac:dyDescent="0.25">
      <c r="A820" s="287"/>
      <c r="B820" s="287"/>
      <c r="C820" s="287"/>
      <c r="D820" s="287"/>
      <c r="E820" s="287"/>
      <c r="F820" s="287"/>
      <c r="G820" s="287"/>
      <c r="H820" s="287"/>
      <c r="I820" s="287"/>
      <c r="J820" s="287"/>
      <c r="K820" s="287"/>
      <c r="L820" s="287"/>
      <c r="M820" s="287"/>
      <c r="N820" s="287"/>
      <c r="O820" s="287"/>
      <c r="P820" s="287"/>
      <c r="Q820" s="287"/>
      <c r="R820" s="287"/>
      <c r="S820" s="287"/>
      <c r="T820" s="287"/>
      <c r="U820" s="287"/>
      <c r="V820" s="287"/>
      <c r="W820" s="287"/>
      <c r="X820" s="287"/>
      <c r="Y820" s="287"/>
      <c r="Z820" s="287"/>
      <c r="AA820" s="287"/>
      <c r="AB820" s="287"/>
      <c r="AC820" s="287"/>
      <c r="AD820" s="287"/>
      <c r="AE820" s="287"/>
      <c r="AF820" s="287"/>
      <c r="AG820" s="287"/>
      <c r="AH820" s="287"/>
    </row>
    <row r="821" spans="1:34" ht="13.5" customHeight="1" x14ac:dyDescent="0.25">
      <c r="A821" s="287"/>
      <c r="B821" s="287"/>
      <c r="C821" s="287"/>
      <c r="D821" s="287"/>
      <c r="E821" s="287"/>
      <c r="F821" s="287"/>
      <c r="G821" s="287"/>
      <c r="H821" s="287"/>
      <c r="I821" s="287"/>
      <c r="J821" s="287"/>
      <c r="K821" s="287"/>
      <c r="L821" s="287"/>
      <c r="M821" s="287"/>
      <c r="N821" s="287"/>
      <c r="O821" s="287"/>
      <c r="P821" s="287"/>
      <c r="Q821" s="287"/>
      <c r="R821" s="287"/>
      <c r="S821" s="287"/>
      <c r="T821" s="287"/>
      <c r="U821" s="287"/>
      <c r="V821" s="287"/>
      <c r="W821" s="287"/>
      <c r="X821" s="287"/>
      <c r="Y821" s="287"/>
      <c r="Z821" s="287"/>
      <c r="AA821" s="287"/>
      <c r="AB821" s="287"/>
      <c r="AC821" s="287"/>
      <c r="AD821" s="287"/>
      <c r="AE821" s="287"/>
      <c r="AF821" s="287"/>
      <c r="AG821" s="287"/>
      <c r="AH821" s="287"/>
    </row>
    <row r="822" spans="1:34" ht="13.5" customHeight="1" x14ac:dyDescent="0.25">
      <c r="A822" s="287"/>
      <c r="B822" s="287"/>
      <c r="C822" s="287"/>
      <c r="D822" s="287"/>
      <c r="E822" s="287"/>
      <c r="F822" s="287"/>
      <c r="G822" s="287"/>
      <c r="H822" s="287"/>
      <c r="I822" s="287"/>
      <c r="J822" s="287"/>
      <c r="K822" s="287"/>
      <c r="L822" s="287"/>
      <c r="M822" s="287"/>
      <c r="N822" s="287"/>
      <c r="O822" s="287"/>
      <c r="P822" s="287"/>
      <c r="Q822" s="287"/>
      <c r="R822" s="287"/>
      <c r="S822" s="287"/>
      <c r="T822" s="287"/>
      <c r="U822" s="287"/>
      <c r="V822" s="287"/>
      <c r="W822" s="287"/>
      <c r="X822" s="287"/>
      <c r="Y822" s="287"/>
      <c r="Z822" s="287"/>
      <c r="AA822" s="287"/>
      <c r="AB822" s="287"/>
      <c r="AC822" s="287"/>
      <c r="AD822" s="287"/>
      <c r="AE822" s="287"/>
      <c r="AF822" s="287"/>
      <c r="AG822" s="287"/>
      <c r="AH822" s="287"/>
    </row>
    <row r="823" spans="1:34" ht="13.5" customHeight="1" x14ac:dyDescent="0.25">
      <c r="A823" s="287"/>
      <c r="B823" s="287"/>
      <c r="C823" s="287"/>
      <c r="D823" s="287"/>
      <c r="E823" s="287"/>
      <c r="F823" s="287"/>
      <c r="G823" s="287"/>
      <c r="H823" s="287"/>
      <c r="I823" s="287"/>
      <c r="J823" s="287"/>
      <c r="K823" s="287"/>
      <c r="L823" s="287"/>
      <c r="M823" s="287"/>
      <c r="N823" s="287"/>
      <c r="O823" s="287"/>
      <c r="P823" s="287"/>
      <c r="Q823" s="287"/>
      <c r="R823" s="287"/>
      <c r="S823" s="287"/>
      <c r="T823" s="287"/>
      <c r="U823" s="287"/>
      <c r="V823" s="287"/>
      <c r="W823" s="287"/>
      <c r="X823" s="287"/>
      <c r="Y823" s="287"/>
      <c r="Z823" s="287"/>
      <c r="AA823" s="287"/>
      <c r="AB823" s="287"/>
      <c r="AC823" s="287"/>
      <c r="AD823" s="287"/>
      <c r="AE823" s="287"/>
      <c r="AF823" s="287"/>
      <c r="AG823" s="287"/>
      <c r="AH823" s="287"/>
    </row>
    <row r="824" spans="1:34" ht="13.5" customHeight="1" x14ac:dyDescent="0.25">
      <c r="A824" s="287"/>
      <c r="B824" s="287"/>
      <c r="C824" s="287"/>
      <c r="D824" s="287"/>
      <c r="E824" s="287"/>
      <c r="F824" s="287"/>
      <c r="G824" s="287"/>
      <c r="H824" s="287"/>
      <c r="I824" s="287"/>
      <c r="J824" s="287"/>
      <c r="K824" s="287"/>
      <c r="L824" s="287"/>
      <c r="M824" s="287"/>
      <c r="N824" s="287"/>
      <c r="O824" s="287"/>
      <c r="P824" s="287"/>
      <c r="Q824" s="287"/>
      <c r="R824" s="287"/>
      <c r="S824" s="287"/>
      <c r="T824" s="287"/>
      <c r="U824" s="287"/>
      <c r="V824" s="287"/>
      <c r="W824" s="287"/>
      <c r="X824" s="287"/>
      <c r="Y824" s="287"/>
      <c r="Z824" s="287"/>
      <c r="AA824" s="287"/>
      <c r="AB824" s="287"/>
      <c r="AC824" s="287"/>
      <c r="AD824" s="287"/>
      <c r="AE824" s="287"/>
      <c r="AF824" s="287"/>
      <c r="AG824" s="287"/>
      <c r="AH824" s="287"/>
    </row>
    <row r="825" spans="1:34" ht="13.5" customHeight="1" x14ac:dyDescent="0.25">
      <c r="A825" s="287"/>
      <c r="B825" s="287"/>
      <c r="C825" s="287"/>
      <c r="D825" s="287"/>
      <c r="E825" s="287"/>
      <c r="F825" s="287"/>
      <c r="G825" s="287"/>
      <c r="H825" s="287"/>
      <c r="I825" s="287"/>
      <c r="J825" s="287"/>
      <c r="K825" s="287"/>
      <c r="L825" s="287"/>
      <c r="M825" s="287"/>
      <c r="N825" s="287"/>
      <c r="O825" s="287"/>
      <c r="P825" s="287"/>
      <c r="Q825" s="287"/>
      <c r="R825" s="287"/>
      <c r="S825" s="287"/>
      <c r="T825" s="287"/>
      <c r="U825" s="287"/>
      <c r="V825" s="287"/>
      <c r="W825" s="287"/>
      <c r="X825" s="287"/>
      <c r="Y825" s="287"/>
      <c r="Z825" s="287"/>
      <c r="AA825" s="287"/>
      <c r="AB825" s="287"/>
      <c r="AC825" s="287"/>
      <c r="AD825" s="287"/>
      <c r="AE825" s="287"/>
      <c r="AF825" s="287"/>
      <c r="AG825" s="287"/>
      <c r="AH825" s="287"/>
    </row>
    <row r="826" spans="1:34" ht="13.5" customHeight="1" x14ac:dyDescent="0.25">
      <c r="A826" s="287"/>
      <c r="B826" s="287"/>
      <c r="C826" s="287"/>
      <c r="D826" s="287"/>
      <c r="E826" s="287"/>
      <c r="F826" s="287"/>
      <c r="G826" s="287"/>
      <c r="H826" s="287"/>
      <c r="I826" s="287"/>
      <c r="J826" s="287"/>
      <c r="K826" s="287"/>
      <c r="L826" s="287"/>
      <c r="M826" s="287"/>
      <c r="N826" s="287"/>
      <c r="O826" s="287"/>
      <c r="P826" s="287"/>
      <c r="Q826" s="287"/>
      <c r="R826" s="287"/>
      <c r="S826" s="287"/>
      <c r="T826" s="287"/>
      <c r="U826" s="287"/>
      <c r="V826" s="287"/>
      <c r="W826" s="287"/>
      <c r="X826" s="287"/>
      <c r="Y826" s="287"/>
      <c r="Z826" s="287"/>
      <c r="AA826" s="287"/>
      <c r="AB826" s="287"/>
      <c r="AC826" s="287"/>
      <c r="AD826" s="287"/>
      <c r="AE826" s="287"/>
      <c r="AF826" s="287"/>
      <c r="AG826" s="287"/>
      <c r="AH826" s="287"/>
    </row>
    <row r="827" spans="1:34" ht="13.5" customHeight="1" x14ac:dyDescent="0.25">
      <c r="A827" s="287"/>
      <c r="B827" s="287"/>
      <c r="C827" s="287"/>
      <c r="D827" s="287"/>
      <c r="E827" s="287"/>
      <c r="F827" s="287"/>
      <c r="G827" s="287"/>
      <c r="H827" s="287"/>
      <c r="I827" s="287"/>
      <c r="J827" s="287"/>
      <c r="K827" s="287"/>
      <c r="L827" s="287"/>
      <c r="M827" s="287"/>
      <c r="N827" s="287"/>
      <c r="O827" s="287"/>
      <c r="P827" s="287"/>
      <c r="Q827" s="287"/>
      <c r="R827" s="287"/>
      <c r="S827" s="287"/>
      <c r="T827" s="287"/>
      <c r="U827" s="287"/>
      <c r="V827" s="287"/>
      <c r="W827" s="287"/>
      <c r="X827" s="287"/>
      <c r="Y827" s="287"/>
      <c r="Z827" s="287"/>
      <c r="AA827" s="287"/>
      <c r="AB827" s="287"/>
      <c r="AC827" s="287"/>
      <c r="AD827" s="287"/>
      <c r="AE827" s="287"/>
      <c r="AF827" s="287"/>
      <c r="AG827" s="287"/>
      <c r="AH827" s="287"/>
    </row>
    <row r="828" spans="1:34" ht="13.5" customHeight="1" x14ac:dyDescent="0.25">
      <c r="A828" s="287"/>
      <c r="B828" s="287"/>
      <c r="C828" s="287"/>
      <c r="D828" s="287"/>
      <c r="E828" s="287"/>
      <c r="F828" s="287"/>
      <c r="G828" s="287"/>
      <c r="H828" s="287"/>
      <c r="I828" s="287"/>
      <c r="J828" s="287"/>
      <c r="K828" s="287"/>
      <c r="L828" s="287"/>
      <c r="M828" s="287"/>
      <c r="N828" s="287"/>
      <c r="O828" s="287"/>
      <c r="P828" s="287"/>
      <c r="Q828" s="287"/>
      <c r="R828" s="287"/>
      <c r="S828" s="287"/>
      <c r="T828" s="287"/>
      <c r="U828" s="287"/>
      <c r="V828" s="287"/>
      <c r="W828" s="287"/>
      <c r="X828" s="287"/>
      <c r="Y828" s="287"/>
      <c r="Z828" s="287"/>
      <c r="AA828" s="287"/>
      <c r="AB828" s="287"/>
      <c r="AC828" s="287"/>
      <c r="AD828" s="287"/>
      <c r="AE828" s="287"/>
      <c r="AF828" s="287"/>
      <c r="AG828" s="287"/>
      <c r="AH828" s="287"/>
    </row>
    <row r="829" spans="1:34" ht="13.5" customHeight="1" x14ac:dyDescent="0.25">
      <c r="A829" s="287"/>
      <c r="B829" s="287"/>
      <c r="C829" s="287"/>
      <c r="D829" s="287"/>
      <c r="E829" s="287"/>
      <c r="F829" s="287"/>
      <c r="G829" s="287"/>
      <c r="H829" s="287"/>
      <c r="I829" s="287"/>
      <c r="J829" s="287"/>
      <c r="K829" s="287"/>
      <c r="L829" s="287"/>
      <c r="M829" s="287"/>
      <c r="N829" s="287"/>
      <c r="O829" s="287"/>
      <c r="P829" s="287"/>
      <c r="Q829" s="287"/>
      <c r="R829" s="287"/>
      <c r="S829" s="287"/>
      <c r="T829" s="287"/>
      <c r="U829" s="287"/>
      <c r="V829" s="287"/>
      <c r="W829" s="287"/>
      <c r="X829" s="287"/>
      <c r="Y829" s="287"/>
      <c r="Z829" s="287"/>
      <c r="AA829" s="287"/>
      <c r="AB829" s="287"/>
      <c r="AC829" s="287"/>
      <c r="AD829" s="287"/>
      <c r="AE829" s="287"/>
      <c r="AF829" s="287"/>
      <c r="AG829" s="287"/>
      <c r="AH829" s="287"/>
    </row>
    <row r="830" spans="1:34" ht="13.5" customHeight="1" x14ac:dyDescent="0.25">
      <c r="A830" s="287"/>
      <c r="B830" s="287"/>
      <c r="C830" s="287"/>
      <c r="D830" s="287"/>
      <c r="E830" s="287"/>
      <c r="F830" s="287"/>
      <c r="G830" s="287"/>
      <c r="H830" s="287"/>
      <c r="I830" s="287"/>
      <c r="J830" s="287"/>
      <c r="K830" s="287"/>
      <c r="L830" s="287"/>
      <c r="M830" s="287"/>
      <c r="N830" s="287"/>
      <c r="O830" s="287"/>
      <c r="P830" s="287"/>
      <c r="Q830" s="287"/>
      <c r="R830" s="287"/>
      <c r="S830" s="287"/>
      <c r="T830" s="287"/>
      <c r="U830" s="287"/>
      <c r="V830" s="287"/>
      <c r="W830" s="287"/>
      <c r="X830" s="287"/>
      <c r="Y830" s="287"/>
      <c r="Z830" s="287"/>
      <c r="AA830" s="287"/>
      <c r="AB830" s="287"/>
      <c r="AC830" s="287"/>
      <c r="AD830" s="287"/>
      <c r="AE830" s="287"/>
      <c r="AF830" s="287"/>
      <c r="AG830" s="287"/>
      <c r="AH830" s="287"/>
    </row>
    <row r="831" spans="1:34" ht="13.5" customHeight="1" x14ac:dyDescent="0.25">
      <c r="A831" s="287"/>
      <c r="B831" s="287"/>
      <c r="C831" s="287"/>
      <c r="D831" s="287"/>
      <c r="E831" s="287"/>
      <c r="F831" s="287"/>
      <c r="G831" s="287"/>
      <c r="H831" s="287"/>
      <c r="I831" s="287"/>
      <c r="J831" s="287"/>
      <c r="K831" s="287"/>
      <c r="L831" s="287"/>
      <c r="M831" s="287"/>
      <c r="N831" s="287"/>
      <c r="O831" s="287"/>
      <c r="P831" s="287"/>
      <c r="Q831" s="287"/>
      <c r="R831" s="287"/>
      <c r="S831" s="287"/>
      <c r="T831" s="287"/>
      <c r="U831" s="287"/>
      <c r="V831" s="287"/>
      <c r="W831" s="287"/>
      <c r="X831" s="287"/>
      <c r="Y831" s="287"/>
      <c r="Z831" s="287"/>
      <c r="AA831" s="287"/>
      <c r="AB831" s="287"/>
      <c r="AC831" s="287"/>
      <c r="AD831" s="287"/>
      <c r="AE831" s="287"/>
      <c r="AF831" s="287"/>
      <c r="AG831" s="287"/>
      <c r="AH831" s="287"/>
    </row>
    <row r="832" spans="1:34" ht="13.5" customHeight="1" x14ac:dyDescent="0.25">
      <c r="A832" s="287"/>
      <c r="B832" s="287"/>
      <c r="C832" s="287"/>
      <c r="D832" s="287"/>
      <c r="E832" s="287"/>
      <c r="F832" s="287"/>
      <c r="G832" s="287"/>
      <c r="H832" s="287"/>
      <c r="I832" s="287"/>
      <c r="J832" s="287"/>
      <c r="K832" s="287"/>
      <c r="L832" s="287"/>
      <c r="M832" s="287"/>
      <c r="N832" s="287"/>
      <c r="O832" s="287"/>
      <c r="P832" s="287"/>
      <c r="Q832" s="287"/>
      <c r="R832" s="287"/>
      <c r="S832" s="287"/>
      <c r="T832" s="287"/>
      <c r="U832" s="287"/>
      <c r="V832" s="287"/>
      <c r="W832" s="287"/>
      <c r="X832" s="287"/>
      <c r="Y832" s="287"/>
      <c r="Z832" s="287"/>
      <c r="AA832" s="287"/>
      <c r="AB832" s="287"/>
      <c r="AC832" s="287"/>
      <c r="AD832" s="287"/>
      <c r="AE832" s="287"/>
      <c r="AF832" s="287"/>
      <c r="AG832" s="287"/>
      <c r="AH832" s="287"/>
    </row>
    <row r="833" spans="1:34" ht="13.5" customHeight="1" x14ac:dyDescent="0.25">
      <c r="A833" s="287"/>
      <c r="B833" s="287"/>
      <c r="C833" s="287"/>
      <c r="D833" s="287"/>
      <c r="E833" s="287"/>
      <c r="F833" s="287"/>
      <c r="G833" s="287"/>
      <c r="H833" s="287"/>
      <c r="I833" s="287"/>
      <c r="J833" s="287"/>
      <c r="K833" s="287"/>
      <c r="L833" s="287"/>
      <c r="M833" s="287"/>
      <c r="N833" s="287"/>
      <c r="O833" s="287"/>
      <c r="P833" s="287"/>
      <c r="Q833" s="287"/>
      <c r="R833" s="287"/>
      <c r="S833" s="287"/>
      <c r="T833" s="287"/>
      <c r="U833" s="287"/>
      <c r="V833" s="287"/>
      <c r="W833" s="287"/>
      <c r="X833" s="287"/>
      <c r="Y833" s="287"/>
      <c r="Z833" s="287"/>
      <c r="AA833" s="287"/>
      <c r="AB833" s="287"/>
      <c r="AC833" s="287"/>
      <c r="AD833" s="287"/>
      <c r="AE833" s="287"/>
      <c r="AF833" s="287"/>
      <c r="AG833" s="287"/>
      <c r="AH833" s="287"/>
    </row>
    <row r="834" spans="1:34" ht="13.5" customHeight="1" x14ac:dyDescent="0.25">
      <c r="A834" s="287"/>
      <c r="B834" s="287"/>
      <c r="C834" s="287"/>
      <c r="D834" s="287"/>
      <c r="E834" s="287"/>
      <c r="F834" s="287"/>
      <c r="G834" s="287"/>
      <c r="H834" s="287"/>
      <c r="I834" s="287"/>
      <c r="J834" s="287"/>
      <c r="K834" s="287"/>
      <c r="L834" s="287"/>
      <c r="M834" s="287"/>
      <c r="N834" s="287"/>
      <c r="O834" s="287"/>
      <c r="P834" s="287"/>
      <c r="Q834" s="287"/>
      <c r="R834" s="287"/>
      <c r="S834" s="287"/>
      <c r="T834" s="287"/>
      <c r="U834" s="287"/>
      <c r="V834" s="287"/>
      <c r="W834" s="287"/>
      <c r="X834" s="287"/>
      <c r="Y834" s="287"/>
      <c r="Z834" s="287"/>
      <c r="AA834" s="287"/>
      <c r="AB834" s="287"/>
      <c r="AC834" s="287"/>
      <c r="AD834" s="287"/>
      <c r="AE834" s="287"/>
      <c r="AF834" s="287"/>
      <c r="AG834" s="287"/>
      <c r="AH834" s="287"/>
    </row>
    <row r="835" spans="1:34" ht="13.5" customHeight="1" x14ac:dyDescent="0.25">
      <c r="A835" s="287"/>
      <c r="B835" s="287"/>
      <c r="C835" s="287"/>
      <c r="D835" s="287"/>
      <c r="E835" s="287"/>
      <c r="F835" s="287"/>
      <c r="G835" s="287"/>
      <c r="H835" s="287"/>
      <c r="I835" s="287"/>
      <c r="J835" s="287"/>
      <c r="K835" s="287"/>
      <c r="L835" s="287"/>
      <c r="M835" s="287"/>
      <c r="N835" s="287"/>
      <c r="O835" s="287"/>
      <c r="P835" s="287"/>
      <c r="Q835" s="287"/>
      <c r="R835" s="287"/>
      <c r="S835" s="287"/>
      <c r="T835" s="287"/>
      <c r="U835" s="287"/>
      <c r="V835" s="287"/>
      <c r="W835" s="287"/>
      <c r="X835" s="287"/>
      <c r="Y835" s="287"/>
      <c r="Z835" s="287"/>
      <c r="AA835" s="287"/>
      <c r="AB835" s="287"/>
      <c r="AC835" s="287"/>
      <c r="AD835" s="287"/>
      <c r="AE835" s="287"/>
      <c r="AF835" s="287"/>
      <c r="AG835" s="287"/>
      <c r="AH835" s="287"/>
    </row>
    <row r="836" spans="1:34" ht="13.5" customHeight="1" x14ac:dyDescent="0.25">
      <c r="A836" s="287"/>
      <c r="B836" s="287"/>
      <c r="C836" s="287"/>
      <c r="D836" s="287"/>
      <c r="E836" s="287"/>
      <c r="F836" s="287"/>
      <c r="G836" s="287"/>
      <c r="H836" s="287"/>
      <c r="I836" s="287"/>
      <c r="J836" s="287"/>
      <c r="K836" s="287"/>
      <c r="L836" s="287"/>
      <c r="M836" s="287"/>
      <c r="N836" s="287"/>
      <c r="O836" s="287"/>
      <c r="P836" s="287"/>
      <c r="Q836" s="287"/>
      <c r="R836" s="287"/>
      <c r="S836" s="287"/>
      <c r="T836" s="287"/>
      <c r="U836" s="287"/>
      <c r="V836" s="287"/>
      <c r="W836" s="287"/>
      <c r="X836" s="287"/>
      <c r="Y836" s="287"/>
      <c r="Z836" s="287"/>
      <c r="AA836" s="287"/>
      <c r="AB836" s="287"/>
      <c r="AC836" s="287"/>
      <c r="AD836" s="287"/>
      <c r="AE836" s="287"/>
      <c r="AF836" s="287"/>
      <c r="AG836" s="287"/>
      <c r="AH836" s="287"/>
    </row>
    <row r="837" spans="1:34" ht="13.5" customHeight="1" x14ac:dyDescent="0.25">
      <c r="A837" s="287"/>
      <c r="B837" s="287"/>
      <c r="C837" s="287"/>
      <c r="D837" s="287"/>
      <c r="E837" s="287"/>
      <c r="F837" s="287"/>
      <c r="G837" s="287"/>
      <c r="H837" s="287"/>
      <c r="I837" s="287"/>
      <c r="J837" s="287"/>
      <c r="K837" s="287"/>
      <c r="L837" s="287"/>
      <c r="M837" s="287"/>
      <c r="N837" s="287"/>
      <c r="O837" s="287"/>
      <c r="P837" s="287"/>
      <c r="Q837" s="287"/>
      <c r="R837" s="287"/>
      <c r="S837" s="287"/>
      <c r="T837" s="287"/>
      <c r="U837" s="287"/>
      <c r="V837" s="287"/>
      <c r="W837" s="287"/>
      <c r="X837" s="287"/>
      <c r="Y837" s="287"/>
      <c r="Z837" s="287"/>
      <c r="AA837" s="287"/>
      <c r="AB837" s="287"/>
      <c r="AC837" s="287"/>
      <c r="AD837" s="287"/>
      <c r="AE837" s="287"/>
      <c r="AF837" s="287"/>
      <c r="AG837" s="287"/>
      <c r="AH837" s="287"/>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FF4F-084E-41AC-9BBD-38E68D89F2A7}">
  <dimension ref="A1:AJ567"/>
  <sheetViews>
    <sheetView showGridLines="0" zoomScale="50" zoomScaleNormal="50" workbookViewId="0">
      <selection activeCell="G20" sqref="G20"/>
    </sheetView>
  </sheetViews>
  <sheetFormatPr defaultColWidth="9.26953125" defaultRowHeight="13.5" customHeight="1" x14ac:dyDescent="0.25"/>
  <cols>
    <col min="1" max="1" width="1.7265625" style="298" customWidth="1"/>
    <col min="2" max="2" width="2.7265625" style="298" customWidth="1"/>
    <col min="3" max="3" width="2" style="298" customWidth="1"/>
    <col min="4" max="4" width="53.7265625" style="298" bestFit="1" customWidth="1"/>
    <col min="5" max="7" width="20" style="298" customWidth="1"/>
    <col min="8" max="8" width="18.1796875" style="298" customWidth="1"/>
    <col min="9" max="15" width="20" style="298" customWidth="1"/>
    <col min="16" max="16" width="11.453125" style="298" customWidth="1"/>
    <col min="17" max="17" width="11.7265625" style="298" customWidth="1"/>
    <col min="18" max="16384" width="9.26953125" style="298"/>
  </cols>
  <sheetData>
    <row r="1" spans="1:36" s="287" customFormat="1" ht="13.5" customHeight="1" x14ac:dyDescent="0.25">
      <c r="A1" s="285"/>
      <c r="B1" s="285"/>
      <c r="C1" s="285"/>
      <c r="D1" s="286" t="s">
        <v>70</v>
      </c>
      <c r="E1" s="286"/>
    </row>
    <row r="2" spans="1:36" s="287" customFormat="1" ht="13.5" customHeight="1" x14ac:dyDescent="0.25">
      <c r="A2" s="285"/>
      <c r="B2" s="285"/>
      <c r="C2" s="285"/>
      <c r="D2" s="286"/>
      <c r="E2" s="288" t="s">
        <v>305</v>
      </c>
    </row>
    <row r="3" spans="1:36" s="287" customFormat="1" ht="13.5" customHeight="1" x14ac:dyDescent="0.25">
      <c r="A3" s="285"/>
      <c r="B3" s="285"/>
      <c r="C3" s="285"/>
      <c r="D3" s="286"/>
      <c r="E3" s="289" t="str">
        <f ca="1">MID(CELL("filename",E3),FIND("]",CELL("filename",E3))+1,256)</f>
        <v>Potential commercial farms</v>
      </c>
    </row>
    <row r="4" spans="1:36" s="287" customFormat="1" ht="13.5" customHeight="1" x14ac:dyDescent="0.25">
      <c r="A4" s="285"/>
      <c r="B4" s="285"/>
      <c r="C4" s="285"/>
      <c r="D4" s="286"/>
      <c r="E4" s="286"/>
    </row>
    <row r="5" spans="1:36" s="293" customFormat="1" ht="13.5" customHeight="1" x14ac:dyDescent="0.3">
      <c r="A5" s="290"/>
      <c r="B5" s="290"/>
      <c r="C5" s="290"/>
      <c r="D5" s="291"/>
      <c r="E5" s="292"/>
    </row>
    <row r="6" spans="1:36" s="297" customFormat="1" ht="13.5" customHeight="1" x14ac:dyDescent="0.3">
      <c r="A6" s="294"/>
      <c r="B6" s="294"/>
      <c r="C6" s="294"/>
      <c r="D6" s="295"/>
      <c r="E6" s="296"/>
    </row>
    <row r="7" spans="1:36" ht="13.5" customHeight="1" x14ac:dyDescent="0.3">
      <c r="D7" s="299" t="s">
        <v>308</v>
      </c>
      <c r="N7" s="287"/>
      <c r="O7" s="287"/>
      <c r="P7" s="287"/>
    </row>
    <row r="8" spans="1:36" ht="13.5" customHeight="1" x14ac:dyDescent="0.3">
      <c r="D8" s="300" t="s">
        <v>307</v>
      </c>
      <c r="K8" s="287"/>
      <c r="N8" s="287"/>
      <c r="O8" s="287"/>
      <c r="P8" s="287"/>
    </row>
    <row r="9" spans="1:36" ht="13.5" customHeight="1" x14ac:dyDescent="0.25">
      <c r="A9" s="287"/>
      <c r="B9" s="287"/>
      <c r="C9" s="287"/>
      <c r="D9" s="287"/>
      <c r="E9" s="287"/>
      <c r="F9" s="287"/>
      <c r="G9" s="287"/>
      <c r="H9" s="287"/>
      <c r="I9" s="287"/>
      <c r="J9" s="287"/>
      <c r="K9" s="287"/>
      <c r="L9" s="287"/>
      <c r="M9" s="287"/>
      <c r="N9" s="287"/>
      <c r="O9" s="287"/>
      <c r="P9" s="287"/>
      <c r="Q9" s="287"/>
      <c r="R9" s="287"/>
      <c r="S9" s="287"/>
      <c r="T9" s="287"/>
      <c r="U9" s="287"/>
      <c r="V9" s="287"/>
      <c r="W9" s="287"/>
      <c r="X9" s="287"/>
      <c r="Y9" s="287"/>
      <c r="Z9" s="287"/>
      <c r="AA9" s="287"/>
      <c r="AB9" s="287"/>
      <c r="AC9" s="287"/>
      <c r="AD9" s="287"/>
      <c r="AE9" s="287"/>
      <c r="AF9" s="287"/>
      <c r="AG9" s="287"/>
      <c r="AH9" s="287"/>
      <c r="AI9" s="287"/>
      <c r="AJ9" s="287"/>
    </row>
    <row r="10" spans="1:36" ht="13.5" customHeight="1" x14ac:dyDescent="0.25">
      <c r="A10" s="287"/>
      <c r="B10" s="287"/>
      <c r="C10" s="287"/>
      <c r="D10" s="330" t="s">
        <v>309</v>
      </c>
      <c r="E10" s="330" t="s">
        <v>306</v>
      </c>
      <c r="F10" s="330" t="s">
        <v>258</v>
      </c>
      <c r="G10" s="330" t="s">
        <v>317</v>
      </c>
      <c r="H10" s="298" t="s">
        <v>318</v>
      </c>
      <c r="I10" s="287"/>
      <c r="J10" s="287"/>
      <c r="K10" s="287"/>
      <c r="L10" s="287"/>
      <c r="M10" s="287"/>
      <c r="N10" s="287"/>
      <c r="O10" s="287"/>
      <c r="P10" s="287"/>
      <c r="Q10" s="287"/>
      <c r="R10" s="287"/>
      <c r="S10" s="287"/>
      <c r="T10" s="287"/>
      <c r="U10" s="287"/>
      <c r="V10" s="287"/>
      <c r="W10" s="287"/>
      <c r="X10" s="287"/>
      <c r="Y10" s="287"/>
      <c r="Z10" s="287"/>
      <c r="AA10" s="287"/>
      <c r="AB10" s="287"/>
      <c r="AC10" s="287"/>
      <c r="AD10" s="287"/>
      <c r="AE10" s="287"/>
      <c r="AF10" s="287"/>
      <c r="AG10" s="287"/>
      <c r="AH10" s="287"/>
      <c r="AI10" s="287"/>
      <c r="AJ10" s="287"/>
    </row>
    <row r="11" spans="1:36" ht="13.5" customHeight="1" x14ac:dyDescent="0.25">
      <c r="A11" s="287"/>
      <c r="B11" s="287"/>
      <c r="C11" s="287"/>
      <c r="D11" s="287" t="s">
        <v>310</v>
      </c>
      <c r="E11" s="287" t="s">
        <v>161</v>
      </c>
      <c r="F11" s="287">
        <f>16500+25000</f>
        <v>41500</v>
      </c>
      <c r="G11" s="287">
        <f>F11*ProjectedP205_Consumption!E190/1000000</f>
        <v>2.5217734374999998</v>
      </c>
      <c r="H11" s="287" t="s">
        <v>216</v>
      </c>
      <c r="I11" s="287"/>
      <c r="J11" s="287"/>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c r="AH11" s="287"/>
      <c r="AI11" s="287"/>
      <c r="AJ11" s="287"/>
    </row>
    <row r="12" spans="1:36" ht="13.5" customHeight="1" x14ac:dyDescent="0.25">
      <c r="A12" s="287"/>
      <c r="B12" s="287"/>
      <c r="C12" s="287"/>
      <c r="D12" s="287" t="s">
        <v>311</v>
      </c>
      <c r="E12" s="287" t="s">
        <v>161</v>
      </c>
      <c r="F12" s="287">
        <f>11000+28000</f>
        <v>39000</v>
      </c>
      <c r="G12" s="287">
        <f>F12*ProjectedP205_Consumption!E190/1000000</f>
        <v>2.3698593749999999</v>
      </c>
      <c r="H12" s="287" t="s">
        <v>216</v>
      </c>
      <c r="I12" s="287"/>
      <c r="J12" s="287"/>
      <c r="K12" s="287"/>
      <c r="L12" s="287"/>
      <c r="M12" s="287"/>
      <c r="N12" s="287"/>
      <c r="O12" s="287"/>
      <c r="P12" s="287"/>
      <c r="Q12" s="287"/>
      <c r="R12" s="287"/>
      <c r="S12" s="287"/>
      <c r="T12" s="287"/>
      <c r="U12" s="287"/>
      <c r="V12" s="287"/>
      <c r="W12" s="287"/>
      <c r="X12" s="287"/>
      <c r="Y12" s="287"/>
      <c r="Z12" s="287"/>
      <c r="AA12" s="287"/>
      <c r="AB12" s="287"/>
      <c r="AC12" s="287"/>
      <c r="AD12" s="287"/>
      <c r="AE12" s="287"/>
      <c r="AF12" s="287"/>
      <c r="AG12" s="287"/>
      <c r="AH12" s="287"/>
      <c r="AI12" s="287"/>
      <c r="AJ12" s="287"/>
    </row>
    <row r="13" spans="1:36" ht="13.5" customHeight="1" x14ac:dyDescent="0.25">
      <c r="A13" s="287"/>
      <c r="B13" s="287"/>
      <c r="C13" s="287"/>
      <c r="D13" s="287" t="s">
        <v>312</v>
      </c>
      <c r="E13" s="287" t="s">
        <v>161</v>
      </c>
      <c r="F13" s="287">
        <v>12000</v>
      </c>
      <c r="G13" s="287">
        <f>F13*ProjectedP205_Consumption!E190/1000000</f>
        <v>0.72918749999999999</v>
      </c>
      <c r="H13" s="287" t="s">
        <v>216</v>
      </c>
      <c r="I13" s="287"/>
      <c r="J13" s="287"/>
      <c r="K13" s="287"/>
      <c r="L13" s="287"/>
      <c r="M13" s="287"/>
      <c r="N13" s="287"/>
      <c r="O13" s="287"/>
      <c r="P13" s="287"/>
      <c r="Q13" s="287"/>
      <c r="R13" s="287"/>
      <c r="S13" s="287"/>
      <c r="T13" s="287"/>
      <c r="U13" s="287"/>
      <c r="V13" s="287"/>
      <c r="W13" s="287"/>
      <c r="X13" s="287"/>
      <c r="Y13" s="287"/>
      <c r="Z13" s="287"/>
      <c r="AA13" s="287"/>
      <c r="AB13" s="287"/>
      <c r="AC13" s="287"/>
      <c r="AD13" s="287"/>
      <c r="AE13" s="287"/>
      <c r="AF13" s="287"/>
      <c r="AG13" s="287"/>
      <c r="AH13" s="287"/>
      <c r="AI13" s="287"/>
      <c r="AJ13" s="287"/>
    </row>
    <row r="14" spans="1:36" ht="13.5" customHeight="1" x14ac:dyDescent="0.25">
      <c r="A14" s="287"/>
      <c r="B14" s="287"/>
      <c r="C14" s="287"/>
      <c r="D14" s="287" t="s">
        <v>313</v>
      </c>
      <c r="E14" s="287" t="s">
        <v>62</v>
      </c>
      <c r="F14" s="287">
        <v>3000</v>
      </c>
      <c r="G14" s="287">
        <f>F14*ProjectedP205_Consumption!E181/1000000</f>
        <v>0.13468749999999999</v>
      </c>
      <c r="H14" s="287"/>
      <c r="I14" s="287"/>
      <c r="J14" s="287"/>
      <c r="K14" s="287"/>
      <c r="L14" s="287"/>
      <c r="M14" s="287"/>
      <c r="N14" s="287"/>
      <c r="O14" s="287"/>
      <c r="P14" s="287"/>
      <c r="Q14" s="287"/>
      <c r="R14" s="287"/>
      <c r="S14" s="287"/>
      <c r="T14" s="287"/>
      <c r="U14" s="287"/>
      <c r="V14" s="287"/>
      <c r="W14" s="287"/>
      <c r="X14" s="287"/>
      <c r="Y14" s="287"/>
      <c r="Z14" s="287"/>
      <c r="AA14" s="287"/>
      <c r="AB14" s="287"/>
      <c r="AC14" s="287"/>
      <c r="AD14" s="287"/>
      <c r="AE14" s="287"/>
      <c r="AF14" s="287"/>
      <c r="AG14" s="287"/>
      <c r="AH14" s="287"/>
      <c r="AI14" s="287"/>
      <c r="AJ14" s="287"/>
    </row>
    <row r="15" spans="1:36" ht="13.5" customHeight="1" x14ac:dyDescent="0.25">
      <c r="A15" s="287"/>
      <c r="B15" s="287"/>
      <c r="C15" s="287"/>
      <c r="D15" s="287" t="s">
        <v>314</v>
      </c>
      <c r="E15" s="287" t="s">
        <v>61</v>
      </c>
      <c r="F15" s="287">
        <v>5000</v>
      </c>
      <c r="G15" s="287">
        <f>F15*ProjectedP205_Consumption!$E$182/1000000</f>
        <v>0.25928571428571429</v>
      </c>
      <c r="H15" s="287" t="s">
        <v>216</v>
      </c>
      <c r="I15" s="287"/>
      <c r="J15" s="287"/>
      <c r="K15" s="287"/>
      <c r="L15" s="287"/>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row>
    <row r="16" spans="1:36" ht="13.5" customHeight="1" x14ac:dyDescent="0.25">
      <c r="A16" s="287"/>
      <c r="B16" s="287"/>
      <c r="C16" s="287"/>
      <c r="D16" s="287" t="s">
        <v>315</v>
      </c>
      <c r="E16" s="287" t="s">
        <v>61</v>
      </c>
      <c r="F16" s="287">
        <v>1600</v>
      </c>
      <c r="G16" s="287">
        <f>F16*ProjectedP205_Consumption!$E$182/1000000</f>
        <v>8.2971428571428571E-2</v>
      </c>
      <c r="H16" s="287" t="s">
        <v>216</v>
      </c>
      <c r="I16" s="287"/>
      <c r="J16" s="287"/>
      <c r="K16" s="287"/>
      <c r="L16" s="287"/>
      <c r="M16" s="287"/>
      <c r="N16" s="287"/>
      <c r="O16" s="287"/>
      <c r="P16" s="287"/>
      <c r="Q16" s="287"/>
      <c r="R16" s="287"/>
      <c r="S16" s="287"/>
      <c r="T16" s="287"/>
      <c r="U16" s="287"/>
      <c r="V16" s="287"/>
      <c r="W16" s="287"/>
      <c r="X16" s="287"/>
      <c r="Y16" s="287"/>
      <c r="Z16" s="287"/>
      <c r="AA16" s="287"/>
      <c r="AB16" s="287"/>
      <c r="AC16" s="287"/>
      <c r="AD16" s="287"/>
      <c r="AE16" s="287"/>
      <c r="AF16" s="287"/>
      <c r="AG16" s="287"/>
      <c r="AH16" s="287"/>
      <c r="AI16" s="287"/>
      <c r="AJ16" s="287"/>
    </row>
    <row r="17" spans="1:36" ht="13.5" customHeight="1" x14ac:dyDescent="0.25">
      <c r="A17" s="287"/>
      <c r="B17" s="287"/>
      <c r="C17" s="287"/>
      <c r="D17" s="287" t="s">
        <v>316</v>
      </c>
      <c r="E17" s="287" t="s">
        <v>61</v>
      </c>
      <c r="F17" s="287">
        <v>3900</v>
      </c>
      <c r="G17" s="287">
        <f>F17*ProjectedP205_Consumption!$E$182/1000000</f>
        <v>0.20224285714285714</v>
      </c>
      <c r="H17" s="287" t="s">
        <v>216</v>
      </c>
      <c r="I17" s="287"/>
      <c r="J17" s="287"/>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row>
    <row r="18" spans="1:36" ht="13.5" customHeight="1" x14ac:dyDescent="0.25">
      <c r="A18" s="287"/>
      <c r="B18" s="287"/>
      <c r="C18" s="287"/>
      <c r="D18" s="287"/>
      <c r="E18" s="287"/>
      <c r="F18" s="287"/>
      <c r="G18" s="287"/>
      <c r="H18" s="287"/>
      <c r="I18" s="287"/>
      <c r="J18" s="287"/>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row>
    <row r="19" spans="1:36" ht="13.5" customHeight="1" x14ac:dyDescent="0.25">
      <c r="A19" s="287"/>
      <c r="B19" s="287"/>
      <c r="C19" s="287"/>
      <c r="D19" s="287"/>
      <c r="E19" s="287"/>
      <c r="F19" s="287"/>
      <c r="G19" s="287">
        <f>7/46%</f>
        <v>15.217391304347826</v>
      </c>
      <c r="H19" s="287"/>
      <c r="I19" s="287"/>
      <c r="J19" s="287"/>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row>
    <row r="20" spans="1:36" ht="13.5" customHeight="1" x14ac:dyDescent="0.25">
      <c r="A20" s="287"/>
      <c r="B20" s="287"/>
      <c r="C20" s="287"/>
      <c r="D20" s="287"/>
      <c r="E20" s="287"/>
      <c r="F20" s="287"/>
      <c r="G20" s="287"/>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row>
    <row r="21" spans="1:36" ht="13.5" customHeight="1" x14ac:dyDescent="0.25">
      <c r="A21" s="287"/>
      <c r="B21" s="287"/>
      <c r="C21" s="287"/>
      <c r="D21" s="287"/>
      <c r="E21" s="287"/>
      <c r="F21" s="287"/>
      <c r="G21" s="287"/>
      <c r="H21" s="287"/>
      <c r="I21" s="287"/>
      <c r="J21" s="287"/>
      <c r="K21" s="287"/>
      <c r="L21" s="287"/>
      <c r="M21" s="287"/>
      <c r="N21" s="287"/>
      <c r="O21" s="287"/>
      <c r="P21" s="287"/>
      <c r="Q21" s="287"/>
      <c r="R21" s="287"/>
      <c r="S21" s="287"/>
      <c r="T21" s="287"/>
      <c r="U21" s="287"/>
      <c r="V21" s="287"/>
      <c r="W21" s="287"/>
      <c r="X21" s="287"/>
      <c r="Y21" s="287"/>
      <c r="Z21" s="287"/>
      <c r="AA21" s="287"/>
      <c r="AB21" s="287"/>
      <c r="AC21" s="287"/>
      <c r="AD21" s="287"/>
      <c r="AE21" s="287"/>
      <c r="AF21" s="287"/>
      <c r="AG21" s="287"/>
      <c r="AH21" s="287"/>
      <c r="AI21" s="287"/>
      <c r="AJ21" s="287"/>
    </row>
    <row r="22" spans="1:36" ht="13.5" customHeight="1" x14ac:dyDescent="0.25">
      <c r="A22" s="287"/>
      <c r="B22" s="287"/>
      <c r="C22" s="287"/>
      <c r="D22" s="287"/>
      <c r="E22" s="287"/>
      <c r="F22" s="287"/>
      <c r="G22" s="287"/>
      <c r="H22" s="287"/>
      <c r="I22" s="287"/>
      <c r="J22" s="287"/>
      <c r="K22" s="287"/>
      <c r="L22" s="287"/>
      <c r="M22" s="287"/>
      <c r="N22" s="287"/>
      <c r="O22" s="287"/>
      <c r="P22" s="287"/>
      <c r="Q22" s="287"/>
      <c r="R22" s="287"/>
      <c r="S22" s="287"/>
      <c r="T22" s="287"/>
      <c r="U22" s="287"/>
      <c r="V22" s="287"/>
      <c r="W22" s="287"/>
      <c r="X22" s="287"/>
      <c r="Y22" s="287"/>
      <c r="Z22" s="287"/>
      <c r="AA22" s="287"/>
      <c r="AB22" s="287"/>
      <c r="AC22" s="287"/>
      <c r="AD22" s="287"/>
      <c r="AE22" s="287"/>
      <c r="AF22" s="287"/>
      <c r="AG22" s="287"/>
      <c r="AH22" s="287"/>
      <c r="AI22" s="287"/>
      <c r="AJ22" s="287"/>
    </row>
    <row r="23" spans="1:36" ht="13.5" customHeight="1" x14ac:dyDescent="0.25">
      <c r="A23" s="287"/>
      <c r="B23" s="287"/>
      <c r="C23" s="287"/>
      <c r="D23" s="287"/>
      <c r="E23" s="287"/>
      <c r="F23" s="287"/>
      <c r="G23" s="287"/>
      <c r="H23" s="287"/>
      <c r="I23" s="287"/>
      <c r="J23" s="287"/>
      <c r="K23" s="287"/>
      <c r="L23" s="287"/>
      <c r="M23" s="287"/>
      <c r="N23" s="287"/>
      <c r="O23" s="287"/>
      <c r="P23" s="287"/>
      <c r="Q23" s="287"/>
      <c r="R23" s="287"/>
      <c r="S23" s="287"/>
      <c r="T23" s="287"/>
      <c r="U23" s="287"/>
      <c r="V23" s="287"/>
      <c r="W23" s="287"/>
      <c r="X23" s="287"/>
      <c r="Y23" s="287"/>
      <c r="Z23" s="287"/>
      <c r="AA23" s="287"/>
      <c r="AB23" s="287"/>
      <c r="AC23" s="287"/>
      <c r="AD23" s="287"/>
      <c r="AE23" s="287"/>
      <c r="AF23" s="287"/>
      <c r="AG23" s="287"/>
      <c r="AH23" s="287"/>
      <c r="AI23" s="287"/>
      <c r="AJ23" s="287"/>
    </row>
    <row r="24" spans="1:36" ht="13.5" customHeight="1" x14ac:dyDescent="0.25">
      <c r="A24" s="287"/>
      <c r="B24" s="287"/>
      <c r="C24" s="287"/>
      <c r="D24" s="287"/>
      <c r="E24" s="287"/>
      <c r="F24" s="287"/>
      <c r="G24" s="287"/>
      <c r="H24" s="287"/>
      <c r="I24" s="287"/>
      <c r="J24" s="287"/>
      <c r="K24" s="287"/>
      <c r="L24" s="287"/>
      <c r="M24" s="287"/>
      <c r="N24" s="287"/>
      <c r="O24" s="287"/>
      <c r="P24" s="287"/>
      <c r="Q24" s="287"/>
      <c r="R24" s="287"/>
      <c r="S24" s="287"/>
      <c r="T24" s="287"/>
      <c r="U24" s="287"/>
      <c r="V24" s="287"/>
      <c r="W24" s="287"/>
      <c r="X24" s="287"/>
      <c r="Y24" s="287"/>
      <c r="Z24" s="287"/>
      <c r="AA24" s="287"/>
      <c r="AB24" s="287"/>
      <c r="AC24" s="287"/>
      <c r="AD24" s="287"/>
      <c r="AE24" s="287"/>
      <c r="AF24" s="287"/>
      <c r="AG24" s="287"/>
      <c r="AH24" s="287"/>
      <c r="AI24" s="287"/>
      <c r="AJ24" s="287"/>
    </row>
    <row r="25" spans="1:36" ht="13.5" customHeight="1" x14ac:dyDescent="0.25">
      <c r="A25" s="287"/>
      <c r="B25" s="287"/>
      <c r="C25" s="287"/>
      <c r="D25" s="287"/>
      <c r="E25" s="287"/>
      <c r="F25" s="287"/>
      <c r="G25" s="287"/>
      <c r="H25" s="287"/>
      <c r="I25" s="287"/>
      <c r="J25" s="287"/>
      <c r="K25" s="287"/>
      <c r="L25" s="287"/>
      <c r="M25" s="287"/>
      <c r="N25" s="287"/>
      <c r="O25" s="287"/>
      <c r="P25" s="287"/>
      <c r="Q25" s="287"/>
      <c r="R25" s="287"/>
      <c r="S25" s="287"/>
      <c r="T25" s="287"/>
      <c r="U25" s="287"/>
      <c r="V25" s="287"/>
      <c r="W25" s="287"/>
      <c r="X25" s="287"/>
      <c r="Y25" s="287"/>
      <c r="Z25" s="287"/>
      <c r="AA25" s="287"/>
      <c r="AB25" s="287"/>
      <c r="AC25" s="287"/>
      <c r="AD25" s="287"/>
      <c r="AE25" s="287"/>
      <c r="AF25" s="287"/>
      <c r="AG25" s="287"/>
      <c r="AH25" s="287"/>
      <c r="AI25" s="287"/>
      <c r="AJ25" s="287"/>
    </row>
    <row r="26" spans="1:36" ht="13.5" customHeight="1" x14ac:dyDescent="0.25">
      <c r="A26" s="287"/>
      <c r="B26" s="287"/>
      <c r="C26" s="287"/>
      <c r="D26" s="287"/>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287"/>
      <c r="AF26" s="287"/>
      <c r="AG26" s="287"/>
      <c r="AH26" s="287"/>
      <c r="AI26" s="287"/>
      <c r="AJ26" s="287"/>
    </row>
    <row r="27" spans="1:36" ht="13.5" customHeight="1" x14ac:dyDescent="0.25">
      <c r="A27" s="287"/>
      <c r="B27" s="287"/>
      <c r="C27" s="287"/>
      <c r="D27" s="287"/>
      <c r="E27" s="287"/>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E27" s="287"/>
      <c r="AF27" s="287"/>
      <c r="AG27" s="287"/>
      <c r="AH27" s="287"/>
      <c r="AI27" s="287"/>
      <c r="AJ27" s="287"/>
    </row>
    <row r="28" spans="1:36" ht="13.5" customHeight="1" x14ac:dyDescent="0.25">
      <c r="A28" s="287"/>
      <c r="B28" s="287"/>
      <c r="C28" s="287"/>
      <c r="D28" s="287"/>
      <c r="E28" s="287"/>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E28" s="287"/>
      <c r="AF28" s="287"/>
      <c r="AG28" s="287"/>
      <c r="AH28" s="287"/>
      <c r="AI28" s="287"/>
      <c r="AJ28" s="287"/>
    </row>
    <row r="29" spans="1:36" ht="13.5" customHeight="1" x14ac:dyDescent="0.25">
      <c r="A29" s="287"/>
      <c r="B29" s="287"/>
      <c r="C29" s="287"/>
      <c r="D29" s="287"/>
      <c r="E29" s="287"/>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row>
    <row r="30" spans="1:36" ht="13.5" customHeight="1" x14ac:dyDescent="0.25">
      <c r="A30" s="287"/>
      <c r="B30" s="287"/>
      <c r="C30" s="287"/>
      <c r="D30" s="287"/>
      <c r="E30" s="287"/>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E30" s="287"/>
      <c r="AF30" s="287"/>
      <c r="AG30" s="287"/>
      <c r="AH30" s="287"/>
      <c r="AI30" s="287"/>
      <c r="AJ30" s="287"/>
    </row>
    <row r="31" spans="1:36" ht="13.5" customHeight="1" x14ac:dyDescent="0.25">
      <c r="A31" s="287"/>
      <c r="B31" s="287"/>
      <c r="C31" s="287"/>
      <c r="D31" s="287"/>
      <c r="E31" s="287"/>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E31" s="287"/>
      <c r="AF31" s="287"/>
      <c r="AG31" s="287"/>
      <c r="AH31" s="287"/>
      <c r="AI31" s="287"/>
      <c r="AJ31" s="287"/>
    </row>
    <row r="32" spans="1:36" ht="13.5" customHeight="1" x14ac:dyDescent="0.25">
      <c r="A32" s="287"/>
      <c r="B32" s="287"/>
      <c r="C32" s="287"/>
      <c r="D32" s="287"/>
      <c r="E32" s="287"/>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E32" s="287"/>
      <c r="AF32" s="287"/>
      <c r="AG32" s="287"/>
      <c r="AH32" s="287"/>
      <c r="AI32" s="287"/>
      <c r="AJ32" s="287"/>
    </row>
    <row r="33" spans="1:36" ht="13.5" customHeight="1" x14ac:dyDescent="0.25">
      <c r="A33" s="287"/>
      <c r="B33" s="287"/>
      <c r="C33" s="287"/>
      <c r="D33" s="287"/>
      <c r="E33" s="287"/>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E33" s="287"/>
      <c r="AF33" s="287"/>
      <c r="AG33" s="287"/>
      <c r="AH33" s="287"/>
      <c r="AI33" s="287"/>
      <c r="AJ33" s="287"/>
    </row>
    <row r="34" spans="1:36" ht="13.5" customHeight="1" x14ac:dyDescent="0.25">
      <c r="A34" s="287"/>
      <c r="B34" s="287"/>
      <c r="C34" s="287"/>
      <c r="D34" s="287"/>
      <c r="E34" s="287"/>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E34" s="287"/>
      <c r="AF34" s="287"/>
      <c r="AG34" s="287"/>
      <c r="AH34" s="287"/>
      <c r="AI34" s="287"/>
      <c r="AJ34" s="287"/>
    </row>
    <row r="35" spans="1:36" ht="13.5" customHeight="1" x14ac:dyDescent="0.25">
      <c r="A35" s="287"/>
      <c r="B35" s="287"/>
      <c r="C35" s="287"/>
      <c r="D35" s="287"/>
      <c r="E35" s="287"/>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E35" s="287"/>
      <c r="AF35" s="287"/>
      <c r="AG35" s="287"/>
      <c r="AH35" s="287"/>
      <c r="AI35" s="287"/>
      <c r="AJ35" s="287"/>
    </row>
    <row r="36" spans="1:36" ht="13.5" customHeight="1" x14ac:dyDescent="0.25">
      <c r="A36" s="287"/>
      <c r="B36" s="287"/>
      <c r="C36" s="287"/>
      <c r="D36" s="287"/>
      <c r="E36" s="287"/>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E36" s="287"/>
      <c r="AF36" s="287"/>
      <c r="AG36" s="287"/>
      <c r="AH36" s="287"/>
      <c r="AI36" s="287"/>
      <c r="AJ36" s="287"/>
    </row>
    <row r="37" spans="1:36" ht="13.5" customHeight="1" x14ac:dyDescent="0.25">
      <c r="A37" s="287"/>
      <c r="B37" s="287"/>
      <c r="C37" s="287"/>
      <c r="D37" s="287"/>
      <c r="E37" s="287"/>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E37" s="287"/>
      <c r="AF37" s="287"/>
      <c r="AG37" s="287"/>
      <c r="AH37" s="287"/>
      <c r="AI37" s="287"/>
      <c r="AJ37" s="287"/>
    </row>
    <row r="38" spans="1:36" ht="13.5" customHeight="1" x14ac:dyDescent="0.25">
      <c r="A38" s="287"/>
      <c r="B38" s="287"/>
      <c r="C38" s="287"/>
      <c r="D38" s="287"/>
      <c r="E38" s="287"/>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E38" s="287"/>
      <c r="AF38" s="287"/>
      <c r="AG38" s="287"/>
      <c r="AH38" s="287"/>
      <c r="AI38" s="287"/>
      <c r="AJ38" s="287"/>
    </row>
    <row r="39" spans="1:36" ht="13.5" customHeight="1" x14ac:dyDescent="0.25">
      <c r="A39" s="287"/>
      <c r="B39" s="287"/>
      <c r="C39" s="287"/>
      <c r="D39" s="287"/>
      <c r="E39" s="287"/>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E39" s="287"/>
      <c r="AF39" s="287"/>
      <c r="AG39" s="287"/>
      <c r="AH39" s="287"/>
      <c r="AI39" s="287"/>
      <c r="AJ39" s="287"/>
    </row>
    <row r="40" spans="1:36" ht="13.5" customHeight="1" x14ac:dyDescent="0.25">
      <c r="A40" s="287"/>
      <c r="B40" s="287"/>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row>
    <row r="41" spans="1:36" ht="13.5" customHeight="1" x14ac:dyDescent="0.25">
      <c r="A41" s="287"/>
      <c r="B41" s="287"/>
      <c r="C41" s="287"/>
      <c r="D41" s="287"/>
      <c r="E41" s="287"/>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E41" s="287"/>
      <c r="AF41" s="287"/>
      <c r="AG41" s="287"/>
      <c r="AH41" s="287"/>
      <c r="AI41" s="287"/>
      <c r="AJ41" s="287"/>
    </row>
    <row r="42" spans="1:36" ht="13.5" customHeight="1" x14ac:dyDescent="0.25">
      <c r="A42" s="287"/>
      <c r="B42" s="287"/>
      <c r="C42" s="287"/>
      <c r="D42" s="287"/>
      <c r="E42" s="287"/>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E42" s="287"/>
      <c r="AF42" s="287"/>
      <c r="AG42" s="287"/>
      <c r="AH42" s="287"/>
      <c r="AI42" s="287"/>
      <c r="AJ42" s="287"/>
    </row>
    <row r="43" spans="1:36" ht="13.5" customHeight="1" x14ac:dyDescent="0.25">
      <c r="A43" s="287"/>
      <c r="B43" s="287"/>
      <c r="C43" s="287"/>
      <c r="D43" s="287"/>
      <c r="E43" s="287"/>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E43" s="287"/>
      <c r="AF43" s="287"/>
      <c r="AG43" s="287"/>
      <c r="AH43" s="287"/>
      <c r="AI43" s="287"/>
      <c r="AJ43" s="287"/>
    </row>
    <row r="44" spans="1:36" ht="13.5" customHeight="1" x14ac:dyDescent="0.25">
      <c r="A44" s="287"/>
      <c r="B44" s="287"/>
      <c r="C44" s="287"/>
      <c r="D44" s="287"/>
      <c r="E44" s="287"/>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c r="AH44" s="287"/>
      <c r="AI44" s="287"/>
      <c r="AJ44" s="287"/>
    </row>
    <row r="45" spans="1:36" ht="13.5" customHeight="1" x14ac:dyDescent="0.25">
      <c r="A45" s="287"/>
      <c r="B45" s="287"/>
      <c r="C45" s="287"/>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c r="AH45" s="287"/>
      <c r="AI45" s="287"/>
      <c r="AJ45" s="287"/>
    </row>
    <row r="46" spans="1:36" ht="13.5" customHeight="1" x14ac:dyDescent="0.25">
      <c r="A46" s="287"/>
      <c r="B46" s="287"/>
      <c r="C46" s="287"/>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E46" s="287"/>
      <c r="AF46" s="287"/>
      <c r="AG46" s="287"/>
      <c r="AH46" s="287"/>
      <c r="AI46" s="287"/>
      <c r="AJ46" s="287"/>
    </row>
    <row r="47" spans="1:36" ht="13.5" customHeight="1" x14ac:dyDescent="0.25">
      <c r="A47" s="287"/>
      <c r="B47" s="287"/>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E47" s="287"/>
      <c r="AF47" s="287"/>
      <c r="AG47" s="287"/>
      <c r="AH47" s="287"/>
      <c r="AI47" s="287"/>
      <c r="AJ47" s="287"/>
    </row>
    <row r="48" spans="1:36" ht="13.5" customHeight="1" x14ac:dyDescent="0.25">
      <c r="A48" s="287"/>
      <c r="B48" s="287"/>
      <c r="C48" s="287"/>
      <c r="D48" s="287"/>
      <c r="E48" s="287"/>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E48" s="287"/>
      <c r="AF48" s="287"/>
      <c r="AG48" s="287"/>
      <c r="AH48" s="287"/>
      <c r="AI48" s="287"/>
      <c r="AJ48" s="287"/>
    </row>
    <row r="49" spans="1:36" ht="13.5" customHeight="1" x14ac:dyDescent="0.25">
      <c r="A49" s="287"/>
      <c r="B49" s="287"/>
      <c r="C49" s="287"/>
      <c r="D49" s="287"/>
      <c r="E49" s="287"/>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E49" s="287"/>
      <c r="AF49" s="287"/>
      <c r="AG49" s="287"/>
      <c r="AH49" s="287"/>
      <c r="AI49" s="287"/>
      <c r="AJ49" s="287"/>
    </row>
    <row r="50" spans="1:36" ht="13.5" customHeight="1" x14ac:dyDescent="0.25">
      <c r="A50" s="287"/>
      <c r="B50" s="287"/>
      <c r="C50" s="287"/>
      <c r="D50" s="287"/>
      <c r="E50" s="287"/>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E50" s="287"/>
      <c r="AF50" s="287"/>
      <c r="AG50" s="287"/>
      <c r="AH50" s="287"/>
      <c r="AI50" s="287"/>
      <c r="AJ50" s="287"/>
    </row>
    <row r="51" spans="1:36" ht="13.5" customHeight="1" x14ac:dyDescent="0.25">
      <c r="A51" s="287"/>
      <c r="B51" s="287"/>
      <c r="C51" s="287"/>
      <c r="D51" s="287"/>
      <c r="E51" s="287"/>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E51" s="287"/>
      <c r="AF51" s="287"/>
      <c r="AG51" s="287"/>
      <c r="AH51" s="287"/>
      <c r="AI51" s="287"/>
      <c r="AJ51" s="287"/>
    </row>
    <row r="52" spans="1:36" ht="13.5" customHeight="1" x14ac:dyDescent="0.25">
      <c r="A52" s="287"/>
      <c r="B52" s="287"/>
      <c r="C52" s="287"/>
      <c r="D52" s="287"/>
      <c r="E52" s="287"/>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E52" s="287"/>
      <c r="AF52" s="287"/>
      <c r="AG52" s="287"/>
      <c r="AH52" s="287"/>
      <c r="AI52" s="287"/>
      <c r="AJ52" s="287"/>
    </row>
    <row r="53" spans="1:36" ht="13.5" customHeight="1" x14ac:dyDescent="0.25">
      <c r="A53" s="287"/>
      <c r="B53" s="287"/>
      <c r="C53" s="287"/>
      <c r="D53" s="287"/>
      <c r="E53" s="287"/>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E53" s="287"/>
      <c r="AF53" s="287"/>
      <c r="AG53" s="287"/>
      <c r="AH53" s="287"/>
      <c r="AI53" s="287"/>
      <c r="AJ53" s="287"/>
    </row>
    <row r="54" spans="1:36" ht="13.5" customHeight="1" x14ac:dyDescent="0.25">
      <c r="A54" s="287"/>
      <c r="B54" s="287"/>
      <c r="C54" s="287"/>
      <c r="D54" s="287"/>
      <c r="E54" s="287"/>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E54" s="287"/>
      <c r="AF54" s="287"/>
      <c r="AG54" s="287"/>
      <c r="AH54" s="287"/>
      <c r="AI54" s="287"/>
      <c r="AJ54" s="287"/>
    </row>
    <row r="55" spans="1:36" ht="13.5" customHeight="1" x14ac:dyDescent="0.25">
      <c r="A55" s="287"/>
      <c r="B55" s="287"/>
      <c r="C55" s="287"/>
      <c r="D55" s="287"/>
      <c r="E55" s="287"/>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E55" s="287"/>
      <c r="AF55" s="287"/>
      <c r="AG55" s="287"/>
      <c r="AH55" s="287"/>
      <c r="AI55" s="287"/>
      <c r="AJ55" s="287"/>
    </row>
    <row r="56" spans="1:36" ht="13.5" customHeight="1" x14ac:dyDescent="0.25">
      <c r="A56" s="287"/>
      <c r="B56" s="287"/>
      <c r="C56" s="287"/>
      <c r="D56" s="287"/>
      <c r="E56" s="287"/>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E56" s="287"/>
      <c r="AF56" s="287"/>
      <c r="AG56" s="287"/>
      <c r="AH56" s="287"/>
      <c r="AI56" s="287"/>
      <c r="AJ56" s="287"/>
    </row>
    <row r="57" spans="1:36" ht="13.5" customHeight="1" x14ac:dyDescent="0.25">
      <c r="A57" s="287"/>
      <c r="B57" s="287"/>
      <c r="C57" s="287"/>
      <c r="D57" s="287"/>
      <c r="E57" s="287"/>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E57" s="287"/>
      <c r="AF57" s="287"/>
      <c r="AG57" s="287"/>
      <c r="AH57" s="287"/>
      <c r="AI57" s="287"/>
      <c r="AJ57" s="287"/>
    </row>
    <row r="58" spans="1:36" ht="13.5" customHeight="1" x14ac:dyDescent="0.25">
      <c r="A58" s="287"/>
      <c r="B58" s="287"/>
      <c r="C58" s="287"/>
      <c r="D58" s="287"/>
      <c r="E58" s="287"/>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E58" s="287"/>
      <c r="AF58" s="287"/>
      <c r="AG58" s="287"/>
      <c r="AH58" s="287"/>
      <c r="AI58" s="287"/>
      <c r="AJ58" s="287"/>
    </row>
    <row r="59" spans="1:36" ht="13.5" customHeight="1" x14ac:dyDescent="0.25">
      <c r="A59" s="287"/>
      <c r="B59" s="287"/>
      <c r="C59" s="287"/>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287"/>
      <c r="AJ59" s="287"/>
    </row>
    <row r="60" spans="1:36" ht="13.5" customHeight="1" x14ac:dyDescent="0.25">
      <c r="A60" s="287"/>
      <c r="B60" s="287"/>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287"/>
      <c r="AJ60" s="287"/>
    </row>
    <row r="61" spans="1:36" ht="13.5" customHeight="1" x14ac:dyDescent="0.25">
      <c r="A61" s="287"/>
      <c r="B61" s="287"/>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287"/>
      <c r="AJ61" s="287"/>
    </row>
    <row r="62" spans="1:36" ht="13.5" customHeight="1" x14ac:dyDescent="0.25">
      <c r="A62" s="287"/>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row>
    <row r="63" spans="1:36" ht="13.5" customHeight="1" x14ac:dyDescent="0.25">
      <c r="A63" s="287"/>
      <c r="B63" s="287"/>
      <c r="C63" s="287"/>
      <c r="D63" s="287"/>
      <c r="E63" s="287"/>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E63" s="287"/>
      <c r="AF63" s="287"/>
      <c r="AG63" s="287"/>
      <c r="AH63" s="287"/>
      <c r="AI63" s="287"/>
      <c r="AJ63" s="287"/>
    </row>
    <row r="64" spans="1:36" ht="13.5" customHeight="1" x14ac:dyDescent="0.25">
      <c r="A64" s="287"/>
      <c r="B64" s="287"/>
      <c r="C64" s="287"/>
      <c r="D64" s="287"/>
      <c r="E64" s="287"/>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E64" s="287"/>
      <c r="AF64" s="287"/>
      <c r="AG64" s="287"/>
      <c r="AH64" s="287"/>
      <c r="AI64" s="287"/>
      <c r="AJ64" s="287"/>
    </row>
    <row r="65" spans="1:36" ht="13.5" customHeight="1" x14ac:dyDescent="0.25">
      <c r="A65" s="287"/>
      <c r="B65" s="287"/>
      <c r="C65" s="287"/>
      <c r="D65" s="287"/>
      <c r="E65" s="287"/>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E65" s="287"/>
      <c r="AF65" s="287"/>
      <c r="AG65" s="287"/>
      <c r="AH65" s="287"/>
      <c r="AI65" s="287"/>
      <c r="AJ65" s="287"/>
    </row>
    <row r="66" spans="1:36" ht="13.5" customHeight="1" x14ac:dyDescent="0.25">
      <c r="A66" s="287"/>
      <c r="B66" s="287"/>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E66" s="287"/>
      <c r="AF66" s="287"/>
      <c r="AG66" s="287"/>
      <c r="AH66" s="287"/>
      <c r="AI66" s="287"/>
      <c r="AJ66" s="287"/>
    </row>
    <row r="67" spans="1:36" ht="13.5" customHeight="1" x14ac:dyDescent="0.25">
      <c r="A67" s="287"/>
      <c r="B67" s="287"/>
      <c r="C67" s="287"/>
      <c r="D67" s="287"/>
      <c r="E67" s="287"/>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E67" s="287"/>
      <c r="AF67" s="287"/>
      <c r="AG67" s="287"/>
      <c r="AH67" s="287"/>
      <c r="AI67" s="287"/>
      <c r="AJ67" s="287"/>
    </row>
    <row r="68" spans="1:36" ht="13.5" customHeight="1" x14ac:dyDescent="0.25">
      <c r="A68" s="287"/>
      <c r="B68" s="287"/>
      <c r="C68" s="287"/>
      <c r="D68" s="287"/>
      <c r="E68" s="287"/>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E68" s="287"/>
      <c r="AF68" s="287"/>
      <c r="AG68" s="287"/>
      <c r="AH68" s="287"/>
      <c r="AI68" s="287"/>
      <c r="AJ68" s="287"/>
    </row>
    <row r="69" spans="1:36" ht="13.5" customHeight="1" x14ac:dyDescent="0.25">
      <c r="A69" s="287"/>
      <c r="B69" s="287"/>
      <c r="C69" s="287"/>
      <c r="D69" s="287"/>
      <c r="E69" s="287"/>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E69" s="287"/>
      <c r="AF69" s="287"/>
      <c r="AG69" s="287"/>
      <c r="AH69" s="287"/>
      <c r="AI69" s="287"/>
      <c r="AJ69" s="287"/>
    </row>
    <row r="70" spans="1:36" ht="13.5" customHeight="1" x14ac:dyDescent="0.25">
      <c r="A70" s="287"/>
      <c r="B70" s="287"/>
      <c r="C70" s="287"/>
      <c r="D70" s="287"/>
      <c r="E70" s="287"/>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E70" s="287"/>
      <c r="AF70" s="287"/>
      <c r="AG70" s="287"/>
      <c r="AH70" s="287"/>
      <c r="AI70" s="287"/>
      <c r="AJ70" s="287"/>
    </row>
    <row r="71" spans="1:36" ht="13.5" customHeight="1" x14ac:dyDescent="0.25">
      <c r="A71" s="287"/>
      <c r="B71" s="287"/>
      <c r="C71" s="287"/>
      <c r="D71" s="287"/>
      <c r="E71" s="287"/>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E71" s="287"/>
      <c r="AF71" s="287"/>
      <c r="AG71" s="287"/>
      <c r="AH71" s="287"/>
      <c r="AI71" s="287"/>
      <c r="AJ71" s="287"/>
    </row>
    <row r="72" spans="1:36" ht="13.5" customHeight="1" x14ac:dyDescent="0.25">
      <c r="A72" s="287"/>
      <c r="B72" s="287"/>
      <c r="C72" s="287"/>
      <c r="D72" s="287"/>
      <c r="E72" s="287"/>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E72" s="287"/>
      <c r="AF72" s="287"/>
      <c r="AG72" s="287"/>
      <c r="AH72" s="287"/>
      <c r="AI72" s="287"/>
      <c r="AJ72" s="287"/>
    </row>
    <row r="73" spans="1:36" ht="13.5" customHeight="1" x14ac:dyDescent="0.25">
      <c r="A73" s="287"/>
      <c r="B73" s="287"/>
      <c r="C73" s="287"/>
      <c r="D73" s="287"/>
      <c r="E73" s="287"/>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E73" s="287"/>
      <c r="AF73" s="287"/>
      <c r="AG73" s="287"/>
      <c r="AH73" s="287"/>
      <c r="AI73" s="287"/>
      <c r="AJ73" s="287"/>
    </row>
    <row r="74" spans="1:36" ht="13.5" customHeight="1" x14ac:dyDescent="0.25">
      <c r="A74" s="287"/>
      <c r="B74" s="287"/>
      <c r="C74" s="287"/>
      <c r="D74" s="287"/>
      <c r="E74" s="287"/>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E74" s="287"/>
      <c r="AF74" s="287"/>
      <c r="AG74" s="287"/>
      <c r="AH74" s="287"/>
      <c r="AI74" s="287"/>
      <c r="AJ74" s="287"/>
    </row>
    <row r="75" spans="1:36" ht="13.5" customHeight="1" x14ac:dyDescent="0.25">
      <c r="A75" s="287"/>
      <c r="B75" s="287"/>
      <c r="C75" s="287"/>
      <c r="D75" s="287"/>
      <c r="E75" s="287"/>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E75" s="287"/>
      <c r="AF75" s="287"/>
      <c r="AG75" s="287"/>
      <c r="AH75" s="287"/>
      <c r="AI75" s="287"/>
      <c r="AJ75" s="287"/>
    </row>
    <row r="76" spans="1:36" ht="13.5" customHeight="1" x14ac:dyDescent="0.25">
      <c r="A76" s="287"/>
      <c r="B76" s="287"/>
      <c r="C76" s="287"/>
      <c r="D76" s="287"/>
      <c r="E76" s="287"/>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E76" s="287"/>
      <c r="AF76" s="287"/>
      <c r="AG76" s="287"/>
      <c r="AH76" s="287"/>
      <c r="AI76" s="287"/>
      <c r="AJ76" s="287"/>
    </row>
    <row r="77" spans="1:36" ht="13.5" customHeight="1" x14ac:dyDescent="0.25">
      <c r="A77" s="287"/>
      <c r="B77" s="287"/>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I77" s="287"/>
      <c r="AJ77" s="287"/>
    </row>
    <row r="78" spans="1:36" ht="13.5" customHeight="1" x14ac:dyDescent="0.25">
      <c r="A78" s="287"/>
      <c r="B78" s="287"/>
      <c r="C78" s="287"/>
      <c r="D78" s="287"/>
      <c r="E78" s="287"/>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E78" s="287"/>
      <c r="AF78" s="287"/>
      <c r="AG78" s="287"/>
      <c r="AH78" s="287"/>
      <c r="AI78" s="287"/>
      <c r="AJ78" s="287"/>
    </row>
    <row r="79" spans="1:36" ht="13.5" customHeight="1" x14ac:dyDescent="0.25">
      <c r="A79" s="287"/>
      <c r="B79" s="287"/>
      <c r="C79" s="287"/>
      <c r="D79" s="287"/>
      <c r="E79" s="287"/>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7"/>
      <c r="AH79" s="287"/>
      <c r="AI79" s="287"/>
      <c r="AJ79" s="287"/>
    </row>
    <row r="80" spans="1:36" ht="13.5" customHeight="1" x14ac:dyDescent="0.25">
      <c r="A80" s="287"/>
      <c r="B80" s="287"/>
      <c r="C80" s="287"/>
      <c r="D80" s="287"/>
      <c r="E80" s="287"/>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E80" s="287"/>
      <c r="AF80" s="287"/>
      <c r="AG80" s="287"/>
      <c r="AH80" s="287"/>
      <c r="AI80" s="287"/>
      <c r="AJ80" s="287"/>
    </row>
    <row r="81" spans="1:36" ht="13.5" customHeight="1" x14ac:dyDescent="0.25">
      <c r="A81" s="287"/>
      <c r="B81" s="287"/>
      <c r="C81" s="287"/>
      <c r="D81" s="287"/>
      <c r="E81" s="287"/>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E81" s="287"/>
      <c r="AF81" s="287"/>
      <c r="AG81" s="287"/>
      <c r="AH81" s="287"/>
      <c r="AI81" s="287"/>
      <c r="AJ81" s="287"/>
    </row>
    <row r="82" spans="1:36" ht="13.5" customHeight="1" x14ac:dyDescent="0.25">
      <c r="A82" s="287"/>
      <c r="B82" s="287"/>
      <c r="C82" s="287"/>
      <c r="D82" s="287"/>
      <c r="E82" s="287"/>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7"/>
      <c r="AH82" s="287"/>
      <c r="AI82" s="287"/>
      <c r="AJ82" s="287"/>
    </row>
    <row r="83" spans="1:36" ht="13.5" customHeight="1" x14ac:dyDescent="0.25">
      <c r="A83" s="287"/>
      <c r="B83" s="287"/>
      <c r="C83" s="287"/>
      <c r="D83" s="287"/>
      <c r="E83" s="287"/>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E83" s="287"/>
      <c r="AF83" s="287"/>
      <c r="AG83" s="287"/>
      <c r="AH83" s="287"/>
      <c r="AI83" s="287"/>
      <c r="AJ83" s="287"/>
    </row>
    <row r="84" spans="1:36" ht="13.5" customHeight="1" x14ac:dyDescent="0.25">
      <c r="A84" s="287"/>
      <c r="B84" s="287"/>
      <c r="C84" s="287"/>
      <c r="D84" s="287"/>
      <c r="E84" s="287"/>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E84" s="287"/>
      <c r="AF84" s="287"/>
      <c r="AG84" s="287"/>
      <c r="AH84" s="287"/>
      <c r="AI84" s="287"/>
      <c r="AJ84" s="287"/>
    </row>
    <row r="85" spans="1:36" ht="13.5" customHeight="1" x14ac:dyDescent="0.25">
      <c r="A85" s="287"/>
      <c r="B85" s="287"/>
      <c r="C85" s="287"/>
      <c r="D85" s="287"/>
      <c r="E85" s="287"/>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7"/>
      <c r="AG85" s="287"/>
      <c r="AH85" s="287"/>
      <c r="AI85" s="287"/>
      <c r="AJ85" s="287"/>
    </row>
    <row r="86" spans="1:36" ht="13.5" customHeight="1" x14ac:dyDescent="0.25">
      <c r="A86" s="287"/>
      <c r="B86" s="287"/>
      <c r="C86" s="287"/>
      <c r="D86" s="287"/>
      <c r="E86" s="287"/>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E86" s="287"/>
      <c r="AF86" s="287"/>
      <c r="AG86" s="287"/>
      <c r="AH86" s="287"/>
      <c r="AI86" s="287"/>
      <c r="AJ86" s="287"/>
    </row>
    <row r="87" spans="1:36" ht="13.5" customHeight="1" x14ac:dyDescent="0.25">
      <c r="A87" s="287"/>
      <c r="B87" s="287"/>
      <c r="C87" s="287"/>
      <c r="D87" s="287"/>
      <c r="E87" s="287"/>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E87" s="287"/>
      <c r="AF87" s="287"/>
      <c r="AG87" s="287"/>
      <c r="AH87" s="287"/>
      <c r="AI87" s="287"/>
      <c r="AJ87" s="287"/>
    </row>
    <row r="88" spans="1:36" ht="13.5" customHeight="1" x14ac:dyDescent="0.25">
      <c r="A88" s="287"/>
      <c r="B88" s="287"/>
      <c r="C88" s="287"/>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c r="AH88" s="287"/>
      <c r="AI88" s="287"/>
      <c r="AJ88" s="287"/>
    </row>
    <row r="89" spans="1:36" ht="13.5" customHeight="1" x14ac:dyDescent="0.25">
      <c r="A89" s="287"/>
      <c r="B89" s="287"/>
      <c r="C89" s="287"/>
      <c r="D89" s="287"/>
      <c r="E89" s="287"/>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c r="AH89" s="287"/>
      <c r="AI89" s="287"/>
      <c r="AJ89" s="287"/>
    </row>
    <row r="90" spans="1:36" ht="13.5" customHeight="1" x14ac:dyDescent="0.25">
      <c r="A90" s="287"/>
      <c r="B90" s="287"/>
      <c r="C90" s="287"/>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c r="AH90" s="287"/>
      <c r="AI90" s="287"/>
      <c r="AJ90" s="287"/>
    </row>
    <row r="91" spans="1:36" ht="13.5" customHeight="1" x14ac:dyDescent="0.25">
      <c r="A91" s="287"/>
      <c r="B91" s="287"/>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E91" s="287"/>
      <c r="AF91" s="287"/>
      <c r="AG91" s="287"/>
      <c r="AH91" s="287"/>
      <c r="AI91" s="287"/>
      <c r="AJ91" s="287"/>
    </row>
    <row r="92" spans="1:36" ht="13.5" customHeight="1" x14ac:dyDescent="0.25">
      <c r="A92" s="287"/>
      <c r="B92" s="287"/>
      <c r="C92" s="287"/>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c r="AH92" s="287"/>
      <c r="AI92" s="287"/>
      <c r="AJ92" s="287"/>
    </row>
    <row r="93" spans="1:36" ht="13.5" customHeight="1" x14ac:dyDescent="0.25">
      <c r="A93" s="287"/>
      <c r="B93" s="287"/>
      <c r="C93" s="287"/>
      <c r="D93" s="287"/>
      <c r="E93" s="287"/>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E93" s="287"/>
      <c r="AF93" s="287"/>
      <c r="AG93" s="287"/>
      <c r="AH93" s="287"/>
      <c r="AI93" s="287"/>
      <c r="AJ93" s="287"/>
    </row>
    <row r="94" spans="1:36" ht="13.5" customHeight="1" x14ac:dyDescent="0.25">
      <c r="A94" s="287"/>
      <c r="B94" s="287"/>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E94" s="287"/>
      <c r="AF94" s="287"/>
      <c r="AG94" s="287"/>
      <c r="AH94" s="287"/>
      <c r="AI94" s="287"/>
      <c r="AJ94" s="287"/>
    </row>
    <row r="95" spans="1:36" ht="13.5" customHeight="1" x14ac:dyDescent="0.25">
      <c r="A95" s="287"/>
      <c r="B95" s="287"/>
      <c r="C95" s="287"/>
      <c r="D95" s="287"/>
      <c r="E95" s="287"/>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E95" s="287"/>
      <c r="AF95" s="287"/>
      <c r="AG95" s="287"/>
      <c r="AH95" s="287"/>
      <c r="AI95" s="287"/>
      <c r="AJ95" s="287"/>
    </row>
    <row r="96" spans="1:36" ht="13.5" customHeight="1" x14ac:dyDescent="0.25">
      <c r="A96" s="287"/>
      <c r="B96" s="287"/>
      <c r="C96" s="287"/>
      <c r="D96" s="287"/>
      <c r="E96" s="287"/>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E96" s="287"/>
      <c r="AF96" s="287"/>
      <c r="AG96" s="287"/>
      <c r="AH96" s="287"/>
      <c r="AI96" s="287"/>
      <c r="AJ96" s="287"/>
    </row>
    <row r="97" spans="1:36" ht="13.5" customHeight="1" x14ac:dyDescent="0.25">
      <c r="A97" s="287"/>
      <c r="B97" s="287"/>
      <c r="C97" s="287"/>
      <c r="D97" s="287"/>
      <c r="E97" s="287"/>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E97" s="287"/>
      <c r="AF97" s="287"/>
      <c r="AG97" s="287"/>
      <c r="AH97" s="287"/>
      <c r="AI97" s="287"/>
      <c r="AJ97" s="287"/>
    </row>
    <row r="98" spans="1:36" ht="13.5" customHeight="1" x14ac:dyDescent="0.25">
      <c r="A98" s="287"/>
      <c r="B98" s="287"/>
      <c r="C98" s="287"/>
      <c r="D98" s="287"/>
      <c r="E98" s="287"/>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E98" s="287"/>
      <c r="AF98" s="287"/>
      <c r="AG98" s="287"/>
      <c r="AH98" s="287"/>
      <c r="AI98" s="287"/>
      <c r="AJ98" s="287"/>
    </row>
    <row r="99" spans="1:36" ht="13.5" customHeight="1" x14ac:dyDescent="0.25">
      <c r="A99" s="287"/>
      <c r="B99" s="287"/>
      <c r="C99" s="287"/>
      <c r="D99" s="287"/>
      <c r="E99" s="287"/>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E99" s="287"/>
      <c r="AF99" s="287"/>
      <c r="AG99" s="287"/>
      <c r="AH99" s="287"/>
      <c r="AI99" s="287"/>
      <c r="AJ99" s="287"/>
    </row>
    <row r="100" spans="1:36" ht="13.5" customHeight="1" x14ac:dyDescent="0.25">
      <c r="A100" s="287"/>
      <c r="B100" s="287"/>
      <c r="C100" s="287"/>
      <c r="D100" s="287"/>
      <c r="E100" s="287"/>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E100" s="287"/>
      <c r="AF100" s="287"/>
      <c r="AG100" s="287"/>
      <c r="AH100" s="287"/>
      <c r="AI100" s="287"/>
      <c r="AJ100" s="287"/>
    </row>
    <row r="101" spans="1:36" ht="13.5" customHeight="1" x14ac:dyDescent="0.25">
      <c r="A101" s="287"/>
      <c r="B101" s="287"/>
      <c r="C101" s="287"/>
      <c r="D101" s="287"/>
      <c r="E101" s="287"/>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E101" s="287"/>
      <c r="AF101" s="287"/>
      <c r="AG101" s="287"/>
      <c r="AH101" s="287"/>
      <c r="AI101" s="287"/>
      <c r="AJ101" s="287"/>
    </row>
    <row r="102" spans="1:36" ht="13.5" customHeight="1" x14ac:dyDescent="0.25">
      <c r="A102" s="287"/>
      <c r="B102" s="287"/>
      <c r="C102" s="287"/>
      <c r="D102" s="287"/>
      <c r="E102" s="287"/>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E102" s="287"/>
      <c r="AF102" s="287"/>
      <c r="AG102" s="287"/>
      <c r="AH102" s="287"/>
      <c r="AI102" s="287"/>
      <c r="AJ102" s="287"/>
    </row>
    <row r="103" spans="1:36" ht="13.5" customHeight="1" x14ac:dyDescent="0.25">
      <c r="A103" s="287"/>
      <c r="B103" s="287"/>
      <c r="C103" s="287"/>
      <c r="D103" s="287"/>
      <c r="E103" s="287"/>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E103" s="287"/>
      <c r="AF103" s="287"/>
      <c r="AG103" s="287"/>
      <c r="AH103" s="287"/>
      <c r="AI103" s="287"/>
      <c r="AJ103" s="287"/>
    </row>
    <row r="104" spans="1:36" ht="13.5" customHeight="1" x14ac:dyDescent="0.25">
      <c r="A104" s="287"/>
      <c r="B104" s="287"/>
      <c r="C104" s="287"/>
      <c r="D104" s="287"/>
      <c r="E104" s="287"/>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E104" s="287"/>
      <c r="AF104" s="287"/>
      <c r="AG104" s="287"/>
      <c r="AH104" s="287"/>
      <c r="AI104" s="287"/>
      <c r="AJ104" s="287"/>
    </row>
    <row r="105" spans="1:36" ht="13.5" customHeight="1" x14ac:dyDescent="0.25">
      <c r="A105" s="287"/>
      <c r="B105" s="287"/>
      <c r="C105" s="287"/>
      <c r="D105" s="287"/>
      <c r="E105" s="287"/>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E105" s="287"/>
      <c r="AF105" s="287"/>
      <c r="AG105" s="287"/>
      <c r="AH105" s="287"/>
      <c r="AI105" s="287"/>
      <c r="AJ105" s="287"/>
    </row>
    <row r="106" spans="1:36" ht="13.5" customHeight="1" x14ac:dyDescent="0.25">
      <c r="A106" s="287"/>
      <c r="B106" s="287"/>
      <c r="C106" s="287"/>
      <c r="D106" s="287"/>
      <c r="E106" s="287"/>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E106" s="287"/>
      <c r="AF106" s="287"/>
      <c r="AG106" s="287"/>
      <c r="AH106" s="287"/>
      <c r="AI106" s="287"/>
      <c r="AJ106" s="287"/>
    </row>
    <row r="107" spans="1:36" ht="13.5" customHeight="1" x14ac:dyDescent="0.25">
      <c r="A107" s="287"/>
      <c r="B107" s="287"/>
      <c r="C107" s="287"/>
      <c r="D107" s="287"/>
      <c r="E107" s="287"/>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E107" s="287"/>
      <c r="AF107" s="287"/>
      <c r="AG107" s="287"/>
      <c r="AH107" s="287"/>
      <c r="AI107" s="287"/>
      <c r="AJ107" s="287"/>
    </row>
    <row r="108" spans="1:36" ht="13.5" customHeight="1" x14ac:dyDescent="0.25">
      <c r="A108" s="287"/>
      <c r="B108" s="287"/>
      <c r="C108" s="287"/>
      <c r="D108" s="287"/>
      <c r="E108" s="287"/>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E108" s="287"/>
      <c r="AF108" s="287"/>
      <c r="AG108" s="287"/>
      <c r="AH108" s="287"/>
      <c r="AI108" s="287"/>
      <c r="AJ108" s="287"/>
    </row>
    <row r="109" spans="1:36" ht="13.5" customHeight="1" x14ac:dyDescent="0.25">
      <c r="A109" s="287"/>
      <c r="B109" s="287"/>
      <c r="C109" s="287"/>
      <c r="D109" s="287"/>
      <c r="E109" s="287"/>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E109" s="287"/>
      <c r="AF109" s="287"/>
      <c r="AG109" s="287"/>
      <c r="AH109" s="287"/>
      <c r="AI109" s="287"/>
      <c r="AJ109" s="287"/>
    </row>
    <row r="110" spans="1:36" ht="13.5" customHeight="1" x14ac:dyDescent="0.25">
      <c r="A110" s="287"/>
      <c r="B110" s="287"/>
      <c r="C110" s="287"/>
      <c r="D110" s="287"/>
      <c r="E110" s="287"/>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E110" s="287"/>
      <c r="AF110" s="287"/>
      <c r="AG110" s="287"/>
      <c r="AH110" s="287"/>
      <c r="AI110" s="287"/>
      <c r="AJ110" s="287"/>
    </row>
    <row r="111" spans="1:36" ht="13.5" customHeight="1" x14ac:dyDescent="0.25">
      <c r="A111" s="287"/>
      <c r="B111" s="287"/>
      <c r="C111" s="287"/>
      <c r="D111" s="287"/>
      <c r="E111" s="287"/>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E111" s="287"/>
      <c r="AF111" s="287"/>
      <c r="AG111" s="287"/>
      <c r="AH111" s="287"/>
      <c r="AI111" s="287"/>
      <c r="AJ111" s="287"/>
    </row>
    <row r="112" spans="1:36" ht="13.5" customHeight="1" x14ac:dyDescent="0.25">
      <c r="A112" s="287"/>
      <c r="B112" s="287"/>
      <c r="C112" s="287"/>
      <c r="D112" s="287"/>
      <c r="E112" s="287"/>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E112" s="287"/>
      <c r="AF112" s="287"/>
      <c r="AG112" s="287"/>
      <c r="AH112" s="287"/>
      <c r="AI112" s="287"/>
      <c r="AJ112" s="287"/>
    </row>
    <row r="113" spans="1:36" ht="13.5" customHeight="1" x14ac:dyDescent="0.25">
      <c r="A113" s="287"/>
      <c r="B113" s="287"/>
      <c r="C113" s="287"/>
      <c r="D113" s="287"/>
      <c r="E113" s="287"/>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E113" s="287"/>
      <c r="AF113" s="287"/>
      <c r="AG113" s="287"/>
      <c r="AH113" s="287"/>
      <c r="AI113" s="287"/>
      <c r="AJ113" s="287"/>
    </row>
    <row r="114" spans="1:36" ht="13.5" customHeight="1" x14ac:dyDescent="0.25">
      <c r="A114" s="287"/>
      <c r="B114" s="287"/>
      <c r="C114" s="287"/>
      <c r="D114" s="287"/>
      <c r="E114" s="287"/>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E114" s="287"/>
      <c r="AF114" s="287"/>
      <c r="AG114" s="287"/>
      <c r="AH114" s="287"/>
      <c r="AI114" s="287"/>
      <c r="AJ114" s="287"/>
    </row>
    <row r="115" spans="1:36" ht="13.5" customHeight="1" x14ac:dyDescent="0.25">
      <c r="A115" s="287"/>
      <c r="B115" s="287"/>
      <c r="C115" s="287"/>
      <c r="D115" s="287"/>
      <c r="E115" s="287"/>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E115" s="287"/>
      <c r="AF115" s="287"/>
      <c r="AG115" s="287"/>
      <c r="AH115" s="287"/>
      <c r="AI115" s="287"/>
      <c r="AJ115" s="287"/>
    </row>
    <row r="116" spans="1:36" ht="13.5" customHeight="1" x14ac:dyDescent="0.25">
      <c r="A116" s="287"/>
      <c r="B116" s="287"/>
      <c r="C116" s="287"/>
      <c r="D116" s="287"/>
      <c r="E116" s="287"/>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E116" s="287"/>
      <c r="AF116" s="287"/>
      <c r="AG116" s="287"/>
      <c r="AH116" s="287"/>
      <c r="AI116" s="287"/>
      <c r="AJ116" s="287"/>
    </row>
    <row r="117" spans="1:36" ht="13.5" customHeight="1" x14ac:dyDescent="0.25">
      <c r="A117" s="287"/>
      <c r="B117" s="287"/>
      <c r="C117" s="287"/>
      <c r="D117" s="287"/>
      <c r="E117" s="287"/>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E117" s="287"/>
      <c r="AF117" s="287"/>
      <c r="AG117" s="287"/>
      <c r="AH117" s="287"/>
      <c r="AI117" s="287"/>
      <c r="AJ117" s="287"/>
    </row>
    <row r="118" spans="1:36" ht="13.5" customHeight="1" x14ac:dyDescent="0.25">
      <c r="A118" s="287"/>
      <c r="B118" s="287"/>
      <c r="C118" s="287"/>
      <c r="D118" s="287"/>
      <c r="E118" s="287"/>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E118" s="287"/>
      <c r="AF118" s="287"/>
      <c r="AG118" s="287"/>
      <c r="AH118" s="287"/>
      <c r="AI118" s="287"/>
      <c r="AJ118" s="287"/>
    </row>
    <row r="119" spans="1:36" ht="13.5" customHeight="1" x14ac:dyDescent="0.25">
      <c r="A119" s="287"/>
      <c r="B119" s="287"/>
      <c r="C119" s="287"/>
      <c r="D119" s="287"/>
      <c r="E119" s="287"/>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E119" s="287"/>
      <c r="AF119" s="287"/>
      <c r="AG119" s="287"/>
      <c r="AH119" s="287"/>
      <c r="AI119" s="287"/>
      <c r="AJ119" s="287"/>
    </row>
    <row r="120" spans="1:36" ht="13.5" customHeight="1" x14ac:dyDescent="0.25">
      <c r="A120" s="287"/>
      <c r="B120" s="287"/>
      <c r="C120" s="287"/>
      <c r="D120" s="287"/>
      <c r="E120" s="287"/>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E120" s="287"/>
      <c r="AF120" s="287"/>
      <c r="AG120" s="287"/>
      <c r="AH120" s="287"/>
      <c r="AI120" s="287"/>
      <c r="AJ120" s="287"/>
    </row>
    <row r="121" spans="1:36" ht="13.5" customHeight="1" x14ac:dyDescent="0.25">
      <c r="A121" s="287"/>
      <c r="B121" s="287"/>
      <c r="C121" s="287"/>
      <c r="D121" s="287"/>
      <c r="E121" s="287"/>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E121" s="287"/>
      <c r="AF121" s="287"/>
      <c r="AG121" s="287"/>
      <c r="AH121" s="287"/>
      <c r="AI121" s="287"/>
      <c r="AJ121" s="287"/>
    </row>
    <row r="122" spans="1:36" ht="13.5" customHeight="1" x14ac:dyDescent="0.25">
      <c r="A122" s="287"/>
      <c r="B122" s="287"/>
      <c r="C122" s="287"/>
      <c r="D122" s="287"/>
      <c r="E122" s="287"/>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E122" s="287"/>
      <c r="AF122" s="287"/>
      <c r="AG122" s="287"/>
      <c r="AH122" s="287"/>
      <c r="AI122" s="287"/>
      <c r="AJ122" s="287"/>
    </row>
    <row r="123" spans="1:36" ht="13.5" customHeight="1" x14ac:dyDescent="0.25">
      <c r="A123" s="287"/>
      <c r="B123" s="287"/>
      <c r="C123" s="287"/>
      <c r="D123" s="287"/>
      <c r="E123" s="287"/>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E123" s="287"/>
      <c r="AF123" s="287"/>
      <c r="AG123" s="287"/>
      <c r="AH123" s="287"/>
      <c r="AI123" s="287"/>
      <c r="AJ123" s="287"/>
    </row>
    <row r="124" spans="1:36" ht="13.5" customHeight="1" x14ac:dyDescent="0.25">
      <c r="A124" s="287"/>
      <c r="B124" s="287"/>
      <c r="C124" s="287"/>
      <c r="D124" s="287"/>
      <c r="E124" s="287"/>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E124" s="287"/>
      <c r="AF124" s="287"/>
      <c r="AG124" s="287"/>
      <c r="AH124" s="287"/>
      <c r="AI124" s="287"/>
      <c r="AJ124" s="287"/>
    </row>
    <row r="125" spans="1:36" ht="13.5" customHeight="1" x14ac:dyDescent="0.25">
      <c r="A125" s="287"/>
      <c r="B125" s="287"/>
      <c r="C125" s="287"/>
      <c r="D125" s="287"/>
      <c r="E125" s="287"/>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E125" s="287"/>
      <c r="AF125" s="287"/>
      <c r="AG125" s="287"/>
      <c r="AH125" s="287"/>
      <c r="AI125" s="287"/>
      <c r="AJ125" s="287"/>
    </row>
    <row r="126" spans="1:36" ht="13.5" customHeight="1" x14ac:dyDescent="0.25">
      <c r="A126" s="287"/>
      <c r="B126" s="287"/>
      <c r="C126" s="287"/>
      <c r="D126" s="287"/>
      <c r="E126" s="287"/>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E126" s="287"/>
      <c r="AF126" s="287"/>
      <c r="AG126" s="287"/>
      <c r="AH126" s="287"/>
      <c r="AI126" s="287"/>
      <c r="AJ126" s="287"/>
    </row>
    <row r="127" spans="1:36" ht="13.5" customHeight="1" x14ac:dyDescent="0.25">
      <c r="A127" s="287"/>
      <c r="B127" s="287"/>
      <c r="C127" s="287"/>
      <c r="D127" s="287"/>
      <c r="E127" s="287"/>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E127" s="287"/>
      <c r="AF127" s="287"/>
      <c r="AG127" s="287"/>
      <c r="AH127" s="287"/>
      <c r="AI127" s="287"/>
      <c r="AJ127" s="287"/>
    </row>
    <row r="128" spans="1:36" ht="13.5" customHeight="1" x14ac:dyDescent="0.25">
      <c r="A128" s="287"/>
      <c r="B128" s="287"/>
      <c r="C128" s="287"/>
      <c r="D128" s="287"/>
      <c r="E128" s="287"/>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E128" s="287"/>
      <c r="AF128" s="287"/>
      <c r="AG128" s="287"/>
      <c r="AH128" s="287"/>
      <c r="AI128" s="287"/>
      <c r="AJ128" s="287"/>
    </row>
    <row r="129" spans="1:36" ht="13.5" customHeight="1" x14ac:dyDescent="0.25">
      <c r="A129" s="287"/>
      <c r="B129" s="287"/>
      <c r="C129" s="287"/>
      <c r="D129" s="287"/>
      <c r="E129" s="287"/>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E129" s="287"/>
      <c r="AF129" s="287"/>
      <c r="AG129" s="287"/>
      <c r="AH129" s="287"/>
      <c r="AI129" s="287"/>
      <c r="AJ129" s="287"/>
    </row>
    <row r="130" spans="1:36" ht="13.5" customHeight="1" x14ac:dyDescent="0.25">
      <c r="A130" s="287"/>
      <c r="B130" s="287"/>
      <c r="C130" s="287"/>
      <c r="D130" s="287"/>
      <c r="E130" s="287"/>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E130" s="287"/>
      <c r="AF130" s="287"/>
      <c r="AG130" s="287"/>
      <c r="AH130" s="287"/>
      <c r="AI130" s="287"/>
      <c r="AJ130" s="287"/>
    </row>
    <row r="131" spans="1:36" ht="13.5" customHeight="1" x14ac:dyDescent="0.25">
      <c r="A131" s="287"/>
      <c r="B131" s="287"/>
      <c r="C131" s="287"/>
      <c r="D131" s="287"/>
      <c r="E131" s="287"/>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E131" s="287"/>
      <c r="AF131" s="287"/>
      <c r="AG131" s="287"/>
      <c r="AH131" s="287"/>
      <c r="AI131" s="287"/>
      <c r="AJ131" s="287"/>
    </row>
    <row r="132" spans="1:36" ht="13.5" customHeight="1" x14ac:dyDescent="0.25">
      <c r="A132" s="287"/>
      <c r="B132" s="287"/>
      <c r="C132" s="287"/>
      <c r="D132" s="287"/>
      <c r="E132" s="287"/>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E132" s="287"/>
      <c r="AF132" s="287"/>
      <c r="AG132" s="287"/>
      <c r="AH132" s="287"/>
      <c r="AI132" s="287"/>
      <c r="AJ132" s="287"/>
    </row>
    <row r="133" spans="1:36" ht="13.5" customHeight="1" x14ac:dyDescent="0.25">
      <c r="A133" s="287"/>
      <c r="B133" s="287"/>
      <c r="C133" s="287"/>
      <c r="D133" s="287"/>
      <c r="E133" s="287"/>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E133" s="287"/>
      <c r="AF133" s="287"/>
      <c r="AG133" s="287"/>
      <c r="AH133" s="287"/>
      <c r="AI133" s="287"/>
      <c r="AJ133" s="287"/>
    </row>
    <row r="134" spans="1:36" ht="13.5" customHeight="1" x14ac:dyDescent="0.25">
      <c r="A134" s="287"/>
      <c r="B134" s="287"/>
      <c r="C134" s="287"/>
      <c r="D134" s="287"/>
      <c r="E134" s="287"/>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E134" s="287"/>
      <c r="AF134" s="287"/>
      <c r="AG134" s="287"/>
      <c r="AH134" s="287"/>
      <c r="AI134" s="287"/>
      <c r="AJ134" s="287"/>
    </row>
    <row r="135" spans="1:36" ht="13.5" customHeight="1" x14ac:dyDescent="0.25">
      <c r="A135" s="287"/>
      <c r="B135" s="287"/>
      <c r="C135" s="287"/>
      <c r="D135" s="287"/>
      <c r="E135" s="287"/>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E135" s="287"/>
      <c r="AF135" s="287"/>
      <c r="AG135" s="287"/>
      <c r="AH135" s="287"/>
      <c r="AI135" s="287"/>
      <c r="AJ135" s="287"/>
    </row>
    <row r="136" spans="1:36" ht="13.5" customHeight="1" x14ac:dyDescent="0.25">
      <c r="A136" s="287"/>
      <c r="B136" s="287"/>
      <c r="C136" s="287"/>
      <c r="D136" s="287"/>
      <c r="E136" s="287"/>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E136" s="287"/>
      <c r="AF136" s="287"/>
      <c r="AG136" s="287"/>
      <c r="AH136" s="287"/>
      <c r="AI136" s="287"/>
      <c r="AJ136" s="287"/>
    </row>
    <row r="137" spans="1:36" ht="13.5" customHeight="1" x14ac:dyDescent="0.25">
      <c r="A137" s="287"/>
      <c r="B137" s="287"/>
      <c r="C137" s="287"/>
      <c r="D137" s="287"/>
      <c r="E137" s="287"/>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E137" s="287"/>
      <c r="AF137" s="287"/>
      <c r="AG137" s="287"/>
      <c r="AH137" s="287"/>
      <c r="AI137" s="287"/>
      <c r="AJ137" s="287"/>
    </row>
    <row r="138" spans="1:36" ht="13.5" customHeight="1" x14ac:dyDescent="0.25">
      <c r="A138" s="287"/>
      <c r="B138" s="287"/>
      <c r="C138" s="287"/>
      <c r="D138" s="287"/>
      <c r="E138" s="287"/>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E138" s="287"/>
      <c r="AF138" s="287"/>
      <c r="AG138" s="287"/>
      <c r="AH138" s="287"/>
      <c r="AI138" s="287"/>
      <c r="AJ138" s="287"/>
    </row>
    <row r="139" spans="1:36" ht="13.5" customHeight="1" x14ac:dyDescent="0.25">
      <c r="A139" s="287"/>
      <c r="B139" s="287"/>
      <c r="C139" s="287"/>
      <c r="D139" s="287"/>
      <c r="E139" s="287"/>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E139" s="287"/>
      <c r="AF139" s="287"/>
      <c r="AG139" s="287"/>
      <c r="AH139" s="287"/>
      <c r="AI139" s="287"/>
      <c r="AJ139" s="287"/>
    </row>
    <row r="140" spans="1:36" ht="13.5" customHeight="1" x14ac:dyDescent="0.25">
      <c r="A140" s="287"/>
      <c r="B140" s="287"/>
      <c r="C140" s="287"/>
      <c r="D140" s="287"/>
      <c r="E140" s="287"/>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E140" s="287"/>
      <c r="AF140" s="287"/>
      <c r="AG140" s="287"/>
      <c r="AH140" s="287"/>
      <c r="AI140" s="287"/>
      <c r="AJ140" s="287"/>
    </row>
    <row r="141" spans="1:36" ht="13.5" customHeight="1" x14ac:dyDescent="0.25">
      <c r="A141" s="287"/>
      <c r="B141" s="287"/>
      <c r="C141" s="287"/>
      <c r="D141" s="287"/>
      <c r="E141" s="287"/>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E141" s="287"/>
      <c r="AF141" s="287"/>
      <c r="AG141" s="287"/>
      <c r="AH141" s="287"/>
      <c r="AI141" s="287"/>
      <c r="AJ141" s="287"/>
    </row>
    <row r="142" spans="1:36" ht="13.5" customHeight="1" x14ac:dyDescent="0.25">
      <c r="A142" s="287"/>
      <c r="B142" s="287"/>
      <c r="C142" s="287"/>
      <c r="D142" s="287"/>
      <c r="E142" s="287"/>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E142" s="287"/>
      <c r="AF142" s="287"/>
      <c r="AG142" s="287"/>
      <c r="AH142" s="287"/>
      <c r="AI142" s="287"/>
      <c r="AJ142" s="287"/>
    </row>
    <row r="143" spans="1:36" ht="13.5" customHeight="1" x14ac:dyDescent="0.25">
      <c r="A143" s="287"/>
      <c r="B143" s="287"/>
      <c r="C143" s="287"/>
      <c r="D143" s="287"/>
      <c r="E143" s="287"/>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E143" s="287"/>
      <c r="AF143" s="287"/>
      <c r="AG143" s="287"/>
      <c r="AH143" s="287"/>
      <c r="AI143" s="287"/>
      <c r="AJ143" s="287"/>
    </row>
    <row r="144" spans="1:36" ht="13.5" customHeight="1" x14ac:dyDescent="0.25">
      <c r="A144" s="287"/>
      <c r="B144" s="287"/>
      <c r="C144" s="287"/>
      <c r="D144" s="287"/>
      <c r="E144" s="287"/>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E144" s="287"/>
      <c r="AF144" s="287"/>
      <c r="AG144" s="287"/>
      <c r="AH144" s="287"/>
      <c r="AI144" s="287"/>
      <c r="AJ144" s="287"/>
    </row>
    <row r="145" spans="1:36" ht="13.5" customHeight="1" x14ac:dyDescent="0.25">
      <c r="A145" s="287"/>
      <c r="B145" s="287"/>
      <c r="C145" s="287"/>
      <c r="D145" s="287"/>
      <c r="E145" s="287"/>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E145" s="287"/>
      <c r="AF145" s="287"/>
      <c r="AG145" s="287"/>
      <c r="AH145" s="287"/>
      <c r="AI145" s="287"/>
      <c r="AJ145" s="287"/>
    </row>
    <row r="146" spans="1:36" ht="13.5" customHeight="1" x14ac:dyDescent="0.25">
      <c r="A146" s="287"/>
      <c r="B146" s="287"/>
      <c r="C146" s="287"/>
      <c r="D146" s="287"/>
      <c r="E146" s="287"/>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E146" s="287"/>
      <c r="AF146" s="287"/>
      <c r="AG146" s="287"/>
      <c r="AH146" s="287"/>
      <c r="AI146" s="287"/>
      <c r="AJ146" s="287"/>
    </row>
    <row r="147" spans="1:36" ht="13.5" customHeight="1" x14ac:dyDescent="0.25">
      <c r="A147" s="287"/>
      <c r="B147" s="287"/>
      <c r="C147" s="287"/>
      <c r="D147" s="287"/>
      <c r="E147" s="287"/>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E147" s="287"/>
      <c r="AF147" s="287"/>
      <c r="AG147" s="287"/>
      <c r="AH147" s="287"/>
      <c r="AI147" s="287"/>
      <c r="AJ147" s="287"/>
    </row>
    <row r="148" spans="1:36" ht="13.5" customHeight="1" x14ac:dyDescent="0.25">
      <c r="A148" s="287"/>
      <c r="B148" s="287"/>
      <c r="C148" s="287"/>
      <c r="D148" s="287"/>
      <c r="E148" s="287"/>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E148" s="287"/>
      <c r="AF148" s="287"/>
      <c r="AG148" s="287"/>
      <c r="AH148" s="287"/>
      <c r="AI148" s="287"/>
      <c r="AJ148" s="287"/>
    </row>
    <row r="149" spans="1:36" ht="13.5" customHeight="1" x14ac:dyDescent="0.25">
      <c r="A149" s="287"/>
      <c r="B149" s="287"/>
      <c r="C149" s="287"/>
      <c r="D149" s="287"/>
      <c r="E149" s="287"/>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E149" s="287"/>
      <c r="AF149" s="287"/>
      <c r="AG149" s="287"/>
      <c r="AH149" s="287"/>
      <c r="AI149" s="287"/>
      <c r="AJ149" s="287"/>
    </row>
    <row r="150" spans="1:36" ht="13.5" customHeight="1" x14ac:dyDescent="0.25">
      <c r="A150" s="287"/>
      <c r="B150" s="287"/>
      <c r="C150" s="287"/>
      <c r="D150" s="287"/>
      <c r="E150" s="287"/>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E150" s="287"/>
      <c r="AF150" s="287"/>
      <c r="AG150" s="287"/>
      <c r="AH150" s="287"/>
      <c r="AI150" s="287"/>
      <c r="AJ150" s="287"/>
    </row>
    <row r="151" spans="1:36" ht="13.5" customHeight="1" x14ac:dyDescent="0.25">
      <c r="A151" s="287"/>
      <c r="B151" s="287"/>
      <c r="C151" s="287"/>
      <c r="D151" s="287"/>
      <c r="E151" s="287"/>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E151" s="287"/>
      <c r="AF151" s="287"/>
      <c r="AG151" s="287"/>
      <c r="AH151" s="287"/>
      <c r="AI151" s="287"/>
      <c r="AJ151" s="287"/>
    </row>
    <row r="152" spans="1:36" ht="13.5" customHeight="1" x14ac:dyDescent="0.25">
      <c r="A152" s="287"/>
      <c r="B152" s="287"/>
      <c r="C152" s="287"/>
      <c r="D152" s="287"/>
      <c r="E152" s="287"/>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E152" s="287"/>
      <c r="AF152" s="287"/>
      <c r="AG152" s="287"/>
      <c r="AH152" s="287"/>
      <c r="AI152" s="287"/>
      <c r="AJ152" s="287"/>
    </row>
    <row r="153" spans="1:36" ht="13.5" customHeight="1" x14ac:dyDescent="0.25">
      <c r="A153" s="287"/>
      <c r="B153" s="287"/>
      <c r="C153" s="287"/>
      <c r="D153" s="287"/>
      <c r="E153" s="287"/>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E153" s="287"/>
      <c r="AF153" s="287"/>
      <c r="AG153" s="287"/>
      <c r="AH153" s="287"/>
      <c r="AI153" s="287"/>
      <c r="AJ153" s="287"/>
    </row>
    <row r="154" spans="1:36" ht="13.5" customHeight="1" x14ac:dyDescent="0.25">
      <c r="A154" s="287"/>
      <c r="B154" s="287"/>
      <c r="C154" s="287"/>
      <c r="D154" s="287"/>
      <c r="E154" s="287"/>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E154" s="287"/>
      <c r="AF154" s="287"/>
      <c r="AG154" s="287"/>
      <c r="AH154" s="287"/>
      <c r="AI154" s="287"/>
      <c r="AJ154" s="287"/>
    </row>
    <row r="155" spans="1:36" ht="13.5" customHeight="1" x14ac:dyDescent="0.25">
      <c r="A155" s="287"/>
      <c r="B155" s="287"/>
      <c r="C155" s="287"/>
      <c r="D155" s="287"/>
      <c r="E155" s="287"/>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E155" s="287"/>
      <c r="AF155" s="287"/>
      <c r="AG155" s="287"/>
      <c r="AH155" s="287"/>
      <c r="AI155" s="287"/>
      <c r="AJ155" s="287"/>
    </row>
    <row r="156" spans="1:36" ht="13.5" customHeight="1" x14ac:dyDescent="0.25">
      <c r="A156" s="287"/>
      <c r="B156" s="287"/>
      <c r="C156" s="287"/>
      <c r="D156" s="287"/>
      <c r="E156" s="287"/>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E156" s="287"/>
      <c r="AF156" s="287"/>
      <c r="AG156" s="287"/>
      <c r="AH156" s="287"/>
      <c r="AI156" s="287"/>
      <c r="AJ156" s="287"/>
    </row>
    <row r="157" spans="1:36" ht="13.5" customHeight="1" x14ac:dyDescent="0.25">
      <c r="A157" s="287"/>
      <c r="B157" s="287"/>
      <c r="C157" s="287"/>
      <c r="D157" s="287"/>
      <c r="E157" s="287"/>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E157" s="287"/>
      <c r="AF157" s="287"/>
      <c r="AG157" s="287"/>
      <c r="AH157" s="287"/>
      <c r="AI157" s="287"/>
      <c r="AJ157" s="287"/>
    </row>
    <row r="158" spans="1:36" ht="13.5" customHeight="1" x14ac:dyDescent="0.25">
      <c r="A158" s="287"/>
      <c r="B158" s="287"/>
      <c r="C158" s="287"/>
      <c r="D158" s="287"/>
      <c r="E158" s="287"/>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E158" s="287"/>
      <c r="AF158" s="287"/>
      <c r="AG158" s="287"/>
      <c r="AH158" s="287"/>
      <c r="AI158" s="287"/>
      <c r="AJ158" s="287"/>
    </row>
    <row r="159" spans="1:36" ht="13.5" customHeight="1" x14ac:dyDescent="0.25">
      <c r="A159" s="287"/>
      <c r="B159" s="287"/>
      <c r="C159" s="287"/>
      <c r="D159" s="287"/>
      <c r="E159" s="287"/>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E159" s="287"/>
      <c r="AF159" s="287"/>
      <c r="AG159" s="287"/>
      <c r="AH159" s="287"/>
      <c r="AI159" s="287"/>
      <c r="AJ159" s="287"/>
    </row>
    <row r="160" spans="1:36" ht="13.5" customHeight="1" x14ac:dyDescent="0.25">
      <c r="A160" s="287"/>
      <c r="B160" s="287"/>
      <c r="C160" s="287"/>
      <c r="D160" s="287"/>
      <c r="E160" s="287"/>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E160" s="287"/>
      <c r="AF160" s="287"/>
      <c r="AG160" s="287"/>
      <c r="AH160" s="287"/>
      <c r="AI160" s="287"/>
      <c r="AJ160" s="287"/>
    </row>
    <row r="161" spans="1:36" ht="13.5" customHeight="1" x14ac:dyDescent="0.25">
      <c r="A161" s="287"/>
      <c r="B161" s="287"/>
      <c r="C161" s="287"/>
      <c r="D161" s="287"/>
      <c r="E161" s="287"/>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E161" s="287"/>
      <c r="AF161" s="287"/>
      <c r="AG161" s="287"/>
      <c r="AH161" s="287"/>
      <c r="AI161" s="287"/>
      <c r="AJ161" s="287"/>
    </row>
    <row r="162" spans="1:36" ht="13.5" customHeight="1" x14ac:dyDescent="0.25">
      <c r="A162" s="287"/>
      <c r="B162" s="287"/>
      <c r="C162" s="287"/>
      <c r="D162" s="287"/>
      <c r="E162" s="287"/>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E162" s="287"/>
      <c r="AF162" s="287"/>
      <c r="AG162" s="287"/>
      <c r="AH162" s="287"/>
      <c r="AI162" s="287"/>
      <c r="AJ162" s="287"/>
    </row>
    <row r="163" spans="1:36" ht="13.5" customHeight="1" x14ac:dyDescent="0.25">
      <c r="A163" s="287"/>
      <c r="B163" s="287"/>
      <c r="C163" s="287"/>
      <c r="D163" s="287"/>
      <c r="E163" s="287"/>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E163" s="287"/>
      <c r="AF163" s="287"/>
      <c r="AG163" s="287"/>
      <c r="AH163" s="287"/>
      <c r="AI163" s="287"/>
      <c r="AJ163" s="287"/>
    </row>
    <row r="164" spans="1:36" ht="13.5" customHeight="1" x14ac:dyDescent="0.25">
      <c r="A164" s="287"/>
      <c r="B164" s="287"/>
      <c r="C164" s="287"/>
      <c r="D164" s="287"/>
      <c r="E164" s="287"/>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E164" s="287"/>
      <c r="AF164" s="287"/>
      <c r="AG164" s="287"/>
      <c r="AH164" s="287"/>
      <c r="AI164" s="287"/>
      <c r="AJ164" s="287"/>
    </row>
    <row r="165" spans="1:36" ht="13.5" customHeight="1" x14ac:dyDescent="0.25">
      <c r="A165" s="287"/>
      <c r="B165" s="287"/>
      <c r="C165" s="287"/>
      <c r="D165" s="287"/>
      <c r="E165" s="287"/>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E165" s="287"/>
      <c r="AF165" s="287"/>
      <c r="AG165" s="287"/>
      <c r="AH165" s="287"/>
      <c r="AI165" s="287"/>
      <c r="AJ165" s="287"/>
    </row>
    <row r="166" spans="1:36" ht="13.5" customHeight="1" x14ac:dyDescent="0.25">
      <c r="A166" s="287"/>
      <c r="B166" s="287"/>
      <c r="C166" s="287"/>
      <c r="D166" s="287"/>
      <c r="E166" s="287"/>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E166" s="287"/>
      <c r="AF166" s="287"/>
      <c r="AG166" s="287"/>
      <c r="AH166" s="287"/>
      <c r="AI166" s="287"/>
      <c r="AJ166" s="287"/>
    </row>
    <row r="167" spans="1:36" ht="13.5" customHeight="1" x14ac:dyDescent="0.25">
      <c r="A167" s="287"/>
      <c r="B167" s="287"/>
      <c r="C167" s="287"/>
      <c r="D167" s="287"/>
      <c r="E167" s="287"/>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E167" s="287"/>
      <c r="AF167" s="287"/>
      <c r="AG167" s="287"/>
      <c r="AH167" s="287"/>
      <c r="AI167" s="287"/>
      <c r="AJ167" s="287"/>
    </row>
    <row r="168" spans="1:36" ht="13.5" customHeight="1" x14ac:dyDescent="0.25">
      <c r="A168" s="287"/>
      <c r="B168" s="287"/>
      <c r="C168" s="287"/>
      <c r="D168" s="287"/>
      <c r="E168" s="287"/>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E168" s="287"/>
      <c r="AF168" s="287"/>
      <c r="AG168" s="287"/>
      <c r="AH168" s="287"/>
      <c r="AI168" s="287"/>
      <c r="AJ168" s="287"/>
    </row>
    <row r="169" spans="1:36" ht="13.5" customHeight="1" x14ac:dyDescent="0.25">
      <c r="A169" s="287"/>
      <c r="B169" s="287"/>
      <c r="C169" s="287"/>
      <c r="D169" s="287"/>
      <c r="E169" s="287"/>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E169" s="287"/>
      <c r="AF169" s="287"/>
      <c r="AG169" s="287"/>
      <c r="AH169" s="287"/>
      <c r="AI169" s="287"/>
      <c r="AJ169" s="287"/>
    </row>
    <row r="170" spans="1:36" ht="13.5" customHeight="1" x14ac:dyDescent="0.25">
      <c r="A170" s="287"/>
      <c r="B170" s="287"/>
      <c r="C170" s="287"/>
      <c r="D170" s="287"/>
      <c r="E170" s="287"/>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E170" s="287"/>
      <c r="AF170" s="287"/>
      <c r="AG170" s="287"/>
      <c r="AH170" s="287"/>
      <c r="AI170" s="287"/>
      <c r="AJ170" s="287"/>
    </row>
    <row r="171" spans="1:36" ht="13.5" customHeight="1" x14ac:dyDescent="0.25">
      <c r="A171" s="287"/>
      <c r="B171" s="287"/>
      <c r="C171" s="287"/>
      <c r="D171" s="287"/>
      <c r="E171" s="287"/>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E171" s="287"/>
      <c r="AF171" s="287"/>
      <c r="AG171" s="287"/>
      <c r="AH171" s="287"/>
      <c r="AI171" s="287"/>
      <c r="AJ171" s="287"/>
    </row>
    <row r="172" spans="1:36" ht="13.5" customHeight="1" x14ac:dyDescent="0.25">
      <c r="A172" s="287"/>
      <c r="B172" s="287"/>
      <c r="C172" s="287"/>
      <c r="D172" s="287"/>
      <c r="E172" s="287"/>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E172" s="287"/>
      <c r="AF172" s="287"/>
      <c r="AG172" s="287"/>
      <c r="AH172" s="287"/>
      <c r="AI172" s="287"/>
      <c r="AJ172" s="287"/>
    </row>
    <row r="173" spans="1:36" ht="13.5" customHeight="1" x14ac:dyDescent="0.25">
      <c r="A173" s="287"/>
      <c r="B173" s="287"/>
      <c r="C173" s="287"/>
      <c r="D173" s="287"/>
      <c r="E173" s="287"/>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E173" s="287"/>
      <c r="AF173" s="287"/>
      <c r="AG173" s="287"/>
      <c r="AH173" s="287"/>
      <c r="AI173" s="287"/>
      <c r="AJ173" s="287"/>
    </row>
    <row r="174" spans="1:36" ht="13.5" customHeight="1" x14ac:dyDescent="0.25">
      <c r="A174" s="287"/>
      <c r="B174" s="287"/>
      <c r="C174" s="287"/>
      <c r="D174" s="287"/>
      <c r="E174" s="287"/>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E174" s="287"/>
      <c r="AF174" s="287"/>
      <c r="AG174" s="287"/>
      <c r="AH174" s="287"/>
      <c r="AI174" s="287"/>
      <c r="AJ174" s="287"/>
    </row>
    <row r="175" spans="1:36" ht="13.5" customHeight="1" x14ac:dyDescent="0.25">
      <c r="A175" s="287"/>
      <c r="B175" s="287"/>
      <c r="C175" s="287"/>
      <c r="D175" s="287"/>
      <c r="E175" s="287"/>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E175" s="287"/>
      <c r="AF175" s="287"/>
      <c r="AG175" s="287"/>
      <c r="AH175" s="287"/>
      <c r="AI175" s="287"/>
      <c r="AJ175" s="287"/>
    </row>
    <row r="176" spans="1:36" ht="13.5" customHeight="1" x14ac:dyDescent="0.25">
      <c r="A176" s="287"/>
      <c r="B176" s="287"/>
      <c r="C176" s="287"/>
      <c r="D176" s="287"/>
      <c r="E176" s="287"/>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E176" s="287"/>
      <c r="AF176" s="287"/>
      <c r="AG176" s="287"/>
      <c r="AH176" s="287"/>
      <c r="AI176" s="287"/>
      <c r="AJ176" s="287"/>
    </row>
    <row r="177" spans="1:36" ht="13.5" customHeight="1" x14ac:dyDescent="0.25">
      <c r="A177" s="287"/>
      <c r="B177" s="287"/>
      <c r="C177" s="287"/>
      <c r="D177" s="287"/>
      <c r="E177" s="287"/>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E177" s="287"/>
      <c r="AF177" s="287"/>
      <c r="AG177" s="287"/>
      <c r="AH177" s="287"/>
      <c r="AI177" s="287"/>
      <c r="AJ177" s="287"/>
    </row>
    <row r="178" spans="1:36" ht="13.5" customHeight="1" x14ac:dyDescent="0.25">
      <c r="A178" s="287"/>
      <c r="B178" s="287"/>
      <c r="C178" s="287"/>
      <c r="D178" s="287"/>
      <c r="E178" s="287"/>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E178" s="287"/>
      <c r="AF178" s="287"/>
      <c r="AG178" s="287"/>
      <c r="AH178" s="287"/>
      <c r="AI178" s="287"/>
      <c r="AJ178" s="287"/>
    </row>
    <row r="179" spans="1:36" ht="13.5" customHeight="1" x14ac:dyDescent="0.25">
      <c r="A179" s="287"/>
      <c r="B179" s="287"/>
      <c r="C179" s="287"/>
      <c r="D179" s="287"/>
      <c r="E179" s="287"/>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E179" s="287"/>
      <c r="AF179" s="287"/>
      <c r="AG179" s="287"/>
      <c r="AH179" s="287"/>
      <c r="AI179" s="287"/>
      <c r="AJ179" s="287"/>
    </row>
    <row r="180" spans="1:36" ht="13.5" customHeight="1" x14ac:dyDescent="0.25">
      <c r="A180" s="287"/>
      <c r="B180" s="287"/>
      <c r="C180" s="287"/>
      <c r="D180" s="287"/>
      <c r="E180" s="287"/>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E180" s="287"/>
      <c r="AF180" s="287"/>
      <c r="AG180" s="287"/>
      <c r="AH180" s="287"/>
      <c r="AI180" s="287"/>
      <c r="AJ180" s="287"/>
    </row>
    <row r="181" spans="1:36" ht="13.5" customHeight="1" x14ac:dyDescent="0.25">
      <c r="A181" s="287"/>
      <c r="B181" s="287"/>
      <c r="C181" s="287"/>
      <c r="D181" s="287"/>
      <c r="E181" s="287"/>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E181" s="287"/>
      <c r="AF181" s="287"/>
      <c r="AG181" s="287"/>
      <c r="AH181" s="287"/>
      <c r="AI181" s="287"/>
      <c r="AJ181" s="287"/>
    </row>
    <row r="182" spans="1:36" ht="13.5" customHeight="1" x14ac:dyDescent="0.25">
      <c r="A182" s="287"/>
      <c r="B182" s="287"/>
      <c r="C182" s="287"/>
      <c r="D182" s="287"/>
      <c r="E182" s="287"/>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E182" s="287"/>
      <c r="AF182" s="287"/>
      <c r="AG182" s="287"/>
      <c r="AH182" s="287"/>
      <c r="AI182" s="287"/>
      <c r="AJ182" s="287"/>
    </row>
    <row r="183" spans="1:36" ht="13.5" customHeight="1" x14ac:dyDescent="0.25">
      <c r="A183" s="287"/>
      <c r="B183" s="287"/>
      <c r="C183" s="287"/>
      <c r="D183" s="287"/>
      <c r="E183" s="287"/>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E183" s="287"/>
      <c r="AF183" s="287"/>
      <c r="AG183" s="287"/>
      <c r="AH183" s="287"/>
      <c r="AI183" s="287"/>
      <c r="AJ183" s="287"/>
    </row>
    <row r="184" spans="1:36" ht="13.5" customHeight="1" x14ac:dyDescent="0.25">
      <c r="A184" s="287"/>
      <c r="B184" s="287"/>
      <c r="C184" s="287"/>
      <c r="D184" s="287"/>
      <c r="E184" s="287"/>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E184" s="287"/>
      <c r="AF184" s="287"/>
      <c r="AG184" s="287"/>
      <c r="AH184" s="287"/>
      <c r="AI184" s="287"/>
      <c r="AJ184" s="287"/>
    </row>
    <row r="185" spans="1:36" ht="13.5" customHeight="1" x14ac:dyDescent="0.25">
      <c r="A185" s="287"/>
      <c r="B185" s="287"/>
      <c r="C185" s="287"/>
      <c r="D185" s="287"/>
      <c r="E185" s="287"/>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E185" s="287"/>
      <c r="AF185" s="287"/>
      <c r="AG185" s="287"/>
      <c r="AH185" s="287"/>
      <c r="AI185" s="287"/>
      <c r="AJ185" s="287"/>
    </row>
    <row r="186" spans="1:36" ht="13.5" customHeight="1" x14ac:dyDescent="0.25">
      <c r="A186" s="287"/>
      <c r="B186" s="287"/>
      <c r="C186" s="287"/>
      <c r="D186" s="287"/>
      <c r="E186" s="287"/>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E186" s="287"/>
      <c r="AF186" s="287"/>
      <c r="AG186" s="287"/>
      <c r="AH186" s="287"/>
      <c r="AI186" s="287"/>
      <c r="AJ186" s="287"/>
    </row>
    <row r="187" spans="1:36" ht="13.5" customHeight="1" x14ac:dyDescent="0.25">
      <c r="A187" s="287"/>
      <c r="B187" s="287"/>
      <c r="C187" s="287"/>
      <c r="D187" s="287"/>
      <c r="E187" s="287"/>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E187" s="287"/>
      <c r="AF187" s="287"/>
      <c r="AG187" s="287"/>
      <c r="AH187" s="287"/>
      <c r="AI187" s="287"/>
      <c r="AJ187" s="287"/>
    </row>
    <row r="188" spans="1:36" ht="13.5" customHeight="1" x14ac:dyDescent="0.25">
      <c r="A188" s="287"/>
      <c r="B188" s="287"/>
      <c r="C188" s="287"/>
      <c r="D188" s="287"/>
      <c r="E188" s="287"/>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E188" s="287"/>
      <c r="AF188" s="287"/>
      <c r="AG188" s="287"/>
      <c r="AH188" s="287"/>
      <c r="AI188" s="287"/>
      <c r="AJ188" s="287"/>
    </row>
    <row r="189" spans="1:36" ht="13.5" customHeight="1" x14ac:dyDescent="0.25">
      <c r="A189" s="287"/>
      <c r="B189" s="287"/>
      <c r="C189" s="287"/>
      <c r="D189" s="287"/>
      <c r="E189" s="287"/>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E189" s="287"/>
      <c r="AF189" s="287"/>
      <c r="AG189" s="287"/>
      <c r="AH189" s="287"/>
      <c r="AI189" s="287"/>
      <c r="AJ189" s="287"/>
    </row>
    <row r="190" spans="1:36" ht="13.5" customHeight="1" x14ac:dyDescent="0.25">
      <c r="A190" s="287"/>
      <c r="B190" s="287"/>
      <c r="C190" s="287"/>
      <c r="D190" s="287"/>
      <c r="E190" s="287"/>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E190" s="287"/>
      <c r="AF190" s="287"/>
      <c r="AG190" s="287"/>
      <c r="AH190" s="287"/>
      <c r="AI190" s="287"/>
      <c r="AJ190" s="287"/>
    </row>
    <row r="191" spans="1:36" ht="13.5" customHeight="1" x14ac:dyDescent="0.25">
      <c r="A191" s="287"/>
      <c r="B191" s="287"/>
      <c r="C191" s="287"/>
      <c r="D191" s="287"/>
      <c r="E191" s="287"/>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E191" s="287"/>
      <c r="AF191" s="287"/>
      <c r="AG191" s="287"/>
      <c r="AH191" s="287"/>
      <c r="AI191" s="287"/>
      <c r="AJ191" s="287"/>
    </row>
    <row r="192" spans="1:36" ht="13.5" customHeight="1" x14ac:dyDescent="0.25">
      <c r="A192" s="287"/>
      <c r="B192" s="287"/>
      <c r="C192" s="287"/>
      <c r="D192" s="287"/>
      <c r="E192" s="287"/>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E192" s="287"/>
      <c r="AF192" s="287"/>
      <c r="AG192" s="287"/>
      <c r="AH192" s="287"/>
      <c r="AI192" s="287"/>
      <c r="AJ192" s="287"/>
    </row>
    <row r="193" spans="1:36" ht="13.5" customHeight="1" x14ac:dyDescent="0.25">
      <c r="A193" s="287"/>
      <c r="B193" s="287"/>
      <c r="C193" s="287"/>
      <c r="D193" s="287"/>
      <c r="E193" s="287"/>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E193" s="287"/>
      <c r="AF193" s="287"/>
      <c r="AG193" s="287"/>
      <c r="AH193" s="287"/>
      <c r="AI193" s="287"/>
      <c r="AJ193" s="287"/>
    </row>
    <row r="194" spans="1:36" ht="13.5" customHeight="1" x14ac:dyDescent="0.25">
      <c r="A194" s="287"/>
      <c r="B194" s="287"/>
      <c r="C194" s="287"/>
      <c r="D194" s="287"/>
      <c r="E194" s="287"/>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E194" s="287"/>
      <c r="AF194" s="287"/>
      <c r="AG194" s="287"/>
      <c r="AH194" s="287"/>
      <c r="AI194" s="287"/>
      <c r="AJ194" s="287"/>
    </row>
    <row r="195" spans="1:36" ht="13.5" customHeight="1" x14ac:dyDescent="0.25">
      <c r="A195" s="287"/>
      <c r="B195" s="287"/>
      <c r="C195" s="287"/>
      <c r="D195" s="287"/>
      <c r="E195" s="287"/>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E195" s="287"/>
      <c r="AF195" s="287"/>
      <c r="AG195" s="287"/>
      <c r="AH195" s="287"/>
      <c r="AI195" s="287"/>
      <c r="AJ195" s="287"/>
    </row>
    <row r="196" spans="1:36" ht="13.5" customHeight="1" x14ac:dyDescent="0.25">
      <c r="A196" s="287"/>
      <c r="B196" s="287"/>
      <c r="C196" s="287"/>
      <c r="D196" s="287"/>
      <c r="E196" s="287"/>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E196" s="287"/>
      <c r="AF196" s="287"/>
      <c r="AG196" s="287"/>
      <c r="AH196" s="287"/>
      <c r="AI196" s="287"/>
      <c r="AJ196" s="287"/>
    </row>
    <row r="197" spans="1:36" ht="13.5" customHeight="1" x14ac:dyDescent="0.25">
      <c r="A197" s="287"/>
      <c r="B197" s="287"/>
      <c r="C197" s="287"/>
      <c r="D197" s="287"/>
      <c r="E197" s="287"/>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E197" s="287"/>
      <c r="AF197" s="287"/>
      <c r="AG197" s="287"/>
      <c r="AH197" s="287"/>
      <c r="AI197" s="287"/>
      <c r="AJ197" s="287"/>
    </row>
    <row r="198" spans="1:36" ht="13.5" customHeight="1" x14ac:dyDescent="0.25">
      <c r="A198" s="287"/>
      <c r="B198" s="287"/>
      <c r="C198" s="287"/>
      <c r="D198" s="287"/>
      <c r="E198" s="287"/>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E198" s="287"/>
      <c r="AF198" s="287"/>
      <c r="AG198" s="287"/>
      <c r="AH198" s="287"/>
      <c r="AI198" s="287"/>
      <c r="AJ198" s="287"/>
    </row>
    <row r="199" spans="1:36" ht="13.5" customHeight="1" x14ac:dyDescent="0.25">
      <c r="A199" s="287"/>
      <c r="B199" s="287"/>
      <c r="C199" s="287"/>
      <c r="D199" s="287"/>
      <c r="E199" s="287"/>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E199" s="287"/>
      <c r="AF199" s="287"/>
      <c r="AG199" s="287"/>
      <c r="AH199" s="287"/>
      <c r="AI199" s="287"/>
      <c r="AJ199" s="287"/>
    </row>
    <row r="200" spans="1:36" ht="13.5" customHeight="1" x14ac:dyDescent="0.25">
      <c r="A200" s="287"/>
      <c r="B200" s="287"/>
      <c r="C200" s="287"/>
      <c r="D200" s="287"/>
      <c r="E200" s="287"/>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E200" s="287"/>
      <c r="AF200" s="287"/>
      <c r="AG200" s="287"/>
      <c r="AH200" s="287"/>
      <c r="AI200" s="287"/>
      <c r="AJ200" s="287"/>
    </row>
    <row r="201" spans="1:36" ht="13.5" customHeight="1" x14ac:dyDescent="0.25">
      <c r="A201" s="287"/>
      <c r="B201" s="287"/>
      <c r="C201" s="287"/>
      <c r="D201" s="287"/>
      <c r="E201" s="287"/>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E201" s="287"/>
      <c r="AF201" s="287"/>
      <c r="AG201" s="287"/>
      <c r="AH201" s="287"/>
      <c r="AI201" s="287"/>
      <c r="AJ201" s="287"/>
    </row>
    <row r="202" spans="1:36" ht="13.5" customHeight="1" x14ac:dyDescent="0.25">
      <c r="A202" s="287"/>
      <c r="B202" s="287"/>
      <c r="C202" s="287"/>
      <c r="D202" s="287"/>
      <c r="E202" s="287"/>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E202" s="287"/>
      <c r="AF202" s="287"/>
      <c r="AG202" s="287"/>
      <c r="AH202" s="287"/>
      <c r="AI202" s="287"/>
      <c r="AJ202" s="287"/>
    </row>
    <row r="203" spans="1:36" ht="13.5" customHeight="1" x14ac:dyDescent="0.25">
      <c r="A203" s="287"/>
      <c r="B203" s="287"/>
      <c r="C203" s="287"/>
      <c r="D203" s="287"/>
      <c r="E203" s="287"/>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E203" s="287"/>
      <c r="AF203" s="287"/>
      <c r="AG203" s="287"/>
      <c r="AH203" s="287"/>
      <c r="AI203" s="287"/>
      <c r="AJ203" s="287"/>
    </row>
    <row r="204" spans="1:36" ht="13.5" customHeight="1" x14ac:dyDescent="0.25">
      <c r="A204" s="287"/>
      <c r="B204" s="287"/>
      <c r="C204" s="287"/>
      <c r="D204" s="287"/>
      <c r="E204" s="287"/>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E204" s="287"/>
      <c r="AF204" s="287"/>
      <c r="AG204" s="287"/>
      <c r="AH204" s="287"/>
      <c r="AI204" s="287"/>
      <c r="AJ204" s="287"/>
    </row>
    <row r="205" spans="1:36" ht="13.5" customHeight="1" x14ac:dyDescent="0.25">
      <c r="A205" s="287"/>
      <c r="B205" s="287"/>
      <c r="C205" s="287"/>
      <c r="D205" s="287"/>
      <c r="E205" s="287"/>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E205" s="287"/>
      <c r="AF205" s="287"/>
      <c r="AG205" s="287"/>
      <c r="AH205" s="287"/>
      <c r="AI205" s="287"/>
      <c r="AJ205" s="287"/>
    </row>
    <row r="206" spans="1:36" ht="13.5" customHeight="1" x14ac:dyDescent="0.25">
      <c r="A206" s="287"/>
      <c r="B206" s="287"/>
      <c r="C206" s="287"/>
      <c r="D206" s="287"/>
      <c r="E206" s="287"/>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E206" s="287"/>
      <c r="AF206" s="287"/>
      <c r="AG206" s="287"/>
      <c r="AH206" s="287"/>
      <c r="AI206" s="287"/>
      <c r="AJ206" s="287"/>
    </row>
    <row r="207" spans="1:36" ht="13.5" customHeight="1" x14ac:dyDescent="0.25">
      <c r="A207" s="287"/>
      <c r="B207" s="287"/>
      <c r="C207" s="287"/>
      <c r="D207" s="287"/>
      <c r="E207" s="287"/>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E207" s="287"/>
      <c r="AF207" s="287"/>
      <c r="AG207" s="287"/>
      <c r="AH207" s="287"/>
      <c r="AI207" s="287"/>
      <c r="AJ207" s="287"/>
    </row>
    <row r="208" spans="1:36" ht="13.5" customHeight="1" x14ac:dyDescent="0.25">
      <c r="A208" s="287"/>
      <c r="B208" s="287"/>
      <c r="C208" s="287"/>
      <c r="D208" s="287"/>
      <c r="E208" s="287"/>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E208" s="287"/>
      <c r="AF208" s="287"/>
      <c r="AG208" s="287"/>
      <c r="AH208" s="287"/>
      <c r="AI208" s="287"/>
      <c r="AJ208" s="287"/>
    </row>
    <row r="209" spans="1:36" ht="13.5" customHeight="1" x14ac:dyDescent="0.25">
      <c r="A209" s="287"/>
      <c r="B209" s="287"/>
      <c r="C209" s="287"/>
      <c r="D209" s="287"/>
      <c r="E209" s="287"/>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E209" s="287"/>
      <c r="AF209" s="287"/>
      <c r="AG209" s="287"/>
      <c r="AH209" s="287"/>
      <c r="AI209" s="287"/>
      <c r="AJ209" s="287"/>
    </row>
    <row r="210" spans="1:36" ht="13.5" customHeight="1" x14ac:dyDescent="0.25">
      <c r="A210" s="287"/>
      <c r="B210" s="287"/>
      <c r="C210" s="287"/>
      <c r="D210" s="287"/>
      <c r="E210" s="287"/>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E210" s="287"/>
      <c r="AF210" s="287"/>
      <c r="AG210" s="287"/>
      <c r="AH210" s="287"/>
      <c r="AI210" s="287"/>
      <c r="AJ210" s="287"/>
    </row>
    <row r="211" spans="1:36" ht="13.5" customHeight="1" x14ac:dyDescent="0.25">
      <c r="A211" s="287"/>
      <c r="B211" s="287"/>
      <c r="C211" s="287"/>
      <c r="D211" s="287"/>
      <c r="E211" s="287"/>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E211" s="287"/>
      <c r="AF211" s="287"/>
      <c r="AG211" s="287"/>
      <c r="AH211" s="287"/>
      <c r="AI211" s="287"/>
      <c r="AJ211" s="287"/>
    </row>
    <row r="212" spans="1:36" ht="13.5" customHeight="1" x14ac:dyDescent="0.25">
      <c r="A212" s="287"/>
      <c r="B212" s="287"/>
      <c r="C212" s="287"/>
      <c r="D212" s="287"/>
      <c r="E212" s="287"/>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E212" s="287"/>
      <c r="AF212" s="287"/>
      <c r="AG212" s="287"/>
      <c r="AH212" s="287"/>
      <c r="AI212" s="287"/>
      <c r="AJ212" s="287"/>
    </row>
    <row r="213" spans="1:36" ht="13.5" customHeight="1" x14ac:dyDescent="0.25">
      <c r="A213" s="287"/>
      <c r="B213" s="287"/>
      <c r="C213" s="287"/>
      <c r="D213" s="287"/>
      <c r="E213" s="287"/>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E213" s="287"/>
      <c r="AF213" s="287"/>
      <c r="AG213" s="287"/>
      <c r="AH213" s="287"/>
      <c r="AI213" s="287"/>
      <c r="AJ213" s="287"/>
    </row>
    <row r="214" spans="1:36" ht="13.5" customHeight="1" x14ac:dyDescent="0.25">
      <c r="A214" s="287"/>
      <c r="B214" s="287"/>
      <c r="C214" s="287"/>
      <c r="D214" s="287"/>
      <c r="E214" s="287"/>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E214" s="287"/>
      <c r="AF214" s="287"/>
      <c r="AG214" s="287"/>
      <c r="AH214" s="287"/>
      <c r="AI214" s="287"/>
      <c r="AJ214" s="287"/>
    </row>
    <row r="215" spans="1:36" ht="13.5" customHeight="1" x14ac:dyDescent="0.25">
      <c r="A215" s="287"/>
      <c r="B215" s="287"/>
      <c r="C215" s="287"/>
      <c r="D215" s="287"/>
      <c r="E215" s="287"/>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E215" s="287"/>
      <c r="AF215" s="287"/>
      <c r="AG215" s="287"/>
      <c r="AH215" s="287"/>
      <c r="AI215" s="287"/>
      <c r="AJ215" s="287"/>
    </row>
    <row r="216" spans="1:36" ht="13.5" customHeight="1" x14ac:dyDescent="0.25">
      <c r="A216" s="287"/>
      <c r="B216" s="287"/>
      <c r="C216" s="287"/>
      <c r="D216" s="287"/>
      <c r="E216" s="287"/>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E216" s="287"/>
      <c r="AF216" s="287"/>
      <c r="AG216" s="287"/>
      <c r="AH216" s="287"/>
      <c r="AI216" s="287"/>
      <c r="AJ216" s="287"/>
    </row>
    <row r="217" spans="1:36" ht="13.5" customHeight="1" x14ac:dyDescent="0.25">
      <c r="A217" s="287"/>
      <c r="B217" s="287"/>
      <c r="C217" s="287"/>
      <c r="D217" s="287"/>
      <c r="E217" s="287"/>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E217" s="287"/>
      <c r="AF217" s="287"/>
      <c r="AG217" s="287"/>
      <c r="AH217" s="287"/>
      <c r="AI217" s="287"/>
      <c r="AJ217" s="287"/>
    </row>
    <row r="218" spans="1:36" ht="13.5" customHeight="1" x14ac:dyDescent="0.25">
      <c r="A218" s="287"/>
      <c r="B218" s="287"/>
      <c r="C218" s="287"/>
      <c r="D218" s="287"/>
      <c r="E218" s="287"/>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E218" s="287"/>
      <c r="AF218" s="287"/>
      <c r="AG218" s="287"/>
      <c r="AH218" s="287"/>
      <c r="AI218" s="287"/>
      <c r="AJ218" s="287"/>
    </row>
    <row r="219" spans="1:36" ht="13.5" customHeight="1" x14ac:dyDescent="0.25">
      <c r="A219" s="287"/>
      <c r="B219" s="287"/>
      <c r="C219" s="287"/>
      <c r="D219" s="287"/>
      <c r="E219" s="287"/>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E219" s="287"/>
      <c r="AF219" s="287"/>
      <c r="AG219" s="287"/>
      <c r="AH219" s="287"/>
      <c r="AI219" s="287"/>
      <c r="AJ219" s="287"/>
    </row>
    <row r="220" spans="1:36" ht="13.5" customHeight="1" x14ac:dyDescent="0.25">
      <c r="A220" s="287"/>
      <c r="B220" s="287"/>
      <c r="C220" s="287"/>
      <c r="D220" s="287"/>
      <c r="E220" s="287"/>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E220" s="287"/>
      <c r="AF220" s="287"/>
      <c r="AG220" s="287"/>
      <c r="AH220" s="287"/>
      <c r="AI220" s="287"/>
      <c r="AJ220" s="287"/>
    </row>
    <row r="221" spans="1:36" ht="13.5" customHeight="1" x14ac:dyDescent="0.25">
      <c r="A221" s="287"/>
      <c r="B221" s="287"/>
      <c r="C221" s="287"/>
      <c r="D221" s="287"/>
      <c r="E221" s="287"/>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E221" s="287"/>
      <c r="AF221" s="287"/>
      <c r="AG221" s="287"/>
      <c r="AH221" s="287"/>
      <c r="AI221" s="287"/>
      <c r="AJ221" s="287"/>
    </row>
    <row r="222" spans="1:36" ht="13.5" customHeight="1" x14ac:dyDescent="0.25">
      <c r="A222" s="287"/>
      <c r="B222" s="287"/>
      <c r="C222" s="287"/>
      <c r="D222" s="287"/>
      <c r="E222" s="287"/>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E222" s="287"/>
      <c r="AF222" s="287"/>
      <c r="AG222" s="287"/>
      <c r="AH222" s="287"/>
      <c r="AI222" s="287"/>
      <c r="AJ222" s="287"/>
    </row>
    <row r="223" spans="1:36" ht="13.5" customHeight="1" x14ac:dyDescent="0.25">
      <c r="A223" s="287"/>
      <c r="B223" s="287"/>
      <c r="C223" s="287"/>
      <c r="D223" s="287"/>
      <c r="E223" s="287"/>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E223" s="287"/>
      <c r="AF223" s="287"/>
      <c r="AG223" s="287"/>
      <c r="AH223" s="287"/>
      <c r="AI223" s="287"/>
      <c r="AJ223" s="287"/>
    </row>
    <row r="224" spans="1:36" ht="13.5" customHeight="1" x14ac:dyDescent="0.25">
      <c r="A224" s="287"/>
      <c r="B224" s="287"/>
      <c r="C224" s="287"/>
      <c r="D224" s="287"/>
      <c r="E224" s="287"/>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E224" s="287"/>
      <c r="AF224" s="287"/>
      <c r="AG224" s="287"/>
      <c r="AH224" s="287"/>
      <c r="AI224" s="287"/>
      <c r="AJ224" s="287"/>
    </row>
    <row r="225" spans="1:36" ht="13.5" customHeight="1" x14ac:dyDescent="0.25">
      <c r="A225" s="287"/>
      <c r="B225" s="287"/>
      <c r="C225" s="287"/>
      <c r="D225" s="287"/>
      <c r="E225" s="287"/>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E225" s="287"/>
      <c r="AF225" s="287"/>
      <c r="AG225" s="287"/>
      <c r="AH225" s="287"/>
      <c r="AI225" s="287"/>
      <c r="AJ225" s="287"/>
    </row>
    <row r="226" spans="1:36" ht="13.5" customHeight="1" x14ac:dyDescent="0.25">
      <c r="A226" s="287"/>
      <c r="B226" s="287"/>
      <c r="C226" s="287"/>
      <c r="D226" s="287"/>
      <c r="E226" s="287"/>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E226" s="287"/>
      <c r="AF226" s="287"/>
      <c r="AG226" s="287"/>
      <c r="AH226" s="287"/>
      <c r="AI226" s="287"/>
      <c r="AJ226" s="287"/>
    </row>
    <row r="227" spans="1:36" ht="13.5" customHeight="1" x14ac:dyDescent="0.25">
      <c r="A227" s="287"/>
      <c r="B227" s="287"/>
      <c r="C227" s="287"/>
      <c r="D227" s="287"/>
      <c r="E227" s="287"/>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E227" s="287"/>
      <c r="AF227" s="287"/>
      <c r="AG227" s="287"/>
      <c r="AH227" s="287"/>
      <c r="AI227" s="287"/>
      <c r="AJ227" s="287"/>
    </row>
    <row r="228" spans="1:36" ht="13.5" customHeight="1" x14ac:dyDescent="0.25">
      <c r="A228" s="287"/>
      <c r="B228" s="287"/>
      <c r="C228" s="287"/>
      <c r="D228" s="287"/>
      <c r="E228" s="287"/>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E228" s="287"/>
      <c r="AF228" s="287"/>
      <c r="AG228" s="287"/>
      <c r="AH228" s="287"/>
      <c r="AI228" s="287"/>
      <c r="AJ228" s="287"/>
    </row>
    <row r="229" spans="1:36" ht="13.5" customHeight="1" x14ac:dyDescent="0.25">
      <c r="A229" s="287"/>
      <c r="B229" s="287"/>
      <c r="C229" s="287"/>
      <c r="D229" s="287"/>
      <c r="E229" s="287"/>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E229" s="287"/>
      <c r="AF229" s="287"/>
      <c r="AG229" s="287"/>
      <c r="AH229" s="287"/>
      <c r="AI229" s="287"/>
      <c r="AJ229" s="287"/>
    </row>
    <row r="230" spans="1:36" ht="13.5" customHeight="1" x14ac:dyDescent="0.25">
      <c r="A230" s="287"/>
      <c r="B230" s="287"/>
      <c r="C230" s="287"/>
      <c r="D230" s="287"/>
      <c r="E230" s="287"/>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E230" s="287"/>
      <c r="AF230" s="287"/>
      <c r="AG230" s="287"/>
      <c r="AH230" s="287"/>
      <c r="AI230" s="287"/>
      <c r="AJ230" s="287"/>
    </row>
    <row r="231" spans="1:36" ht="13.5" customHeight="1" x14ac:dyDescent="0.25">
      <c r="A231" s="287"/>
      <c r="B231" s="287"/>
      <c r="C231" s="287"/>
      <c r="D231" s="287"/>
      <c r="E231" s="287"/>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E231" s="287"/>
      <c r="AF231" s="287"/>
      <c r="AG231" s="287"/>
      <c r="AH231" s="287"/>
      <c r="AI231" s="287"/>
      <c r="AJ231" s="287"/>
    </row>
    <row r="232" spans="1:36" ht="13.5" customHeight="1" x14ac:dyDescent="0.25">
      <c r="A232" s="287"/>
      <c r="B232" s="287"/>
      <c r="C232" s="287"/>
      <c r="D232" s="287"/>
      <c r="E232" s="287"/>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E232" s="287"/>
      <c r="AF232" s="287"/>
      <c r="AG232" s="287"/>
      <c r="AH232" s="287"/>
      <c r="AI232" s="287"/>
      <c r="AJ232" s="287"/>
    </row>
    <row r="233" spans="1:36" ht="13.5" customHeight="1" x14ac:dyDescent="0.25">
      <c r="A233" s="287"/>
      <c r="B233" s="287"/>
      <c r="C233" s="287"/>
      <c r="D233" s="287"/>
      <c r="E233" s="287"/>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E233" s="287"/>
      <c r="AF233" s="287"/>
      <c r="AG233" s="287"/>
      <c r="AH233" s="287"/>
      <c r="AI233" s="287"/>
      <c r="AJ233" s="287"/>
    </row>
    <row r="234" spans="1:36" ht="13.5" customHeight="1" x14ac:dyDescent="0.25">
      <c r="A234" s="287"/>
      <c r="B234" s="287"/>
      <c r="C234" s="287"/>
      <c r="D234" s="287"/>
      <c r="E234" s="287"/>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E234" s="287"/>
      <c r="AF234" s="287"/>
      <c r="AG234" s="287"/>
      <c r="AH234" s="287"/>
      <c r="AI234" s="287"/>
      <c r="AJ234" s="287"/>
    </row>
    <row r="235" spans="1:36" ht="13.5" customHeight="1" x14ac:dyDescent="0.25">
      <c r="A235" s="287"/>
      <c r="B235" s="287"/>
      <c r="C235" s="287"/>
      <c r="D235" s="287"/>
      <c r="E235" s="287"/>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E235" s="287"/>
      <c r="AF235" s="287"/>
      <c r="AG235" s="287"/>
      <c r="AH235" s="287"/>
      <c r="AI235" s="287"/>
      <c r="AJ235" s="287"/>
    </row>
    <row r="236" spans="1:36" ht="13.5" customHeight="1" x14ac:dyDescent="0.25">
      <c r="A236" s="287"/>
      <c r="B236" s="287"/>
      <c r="C236" s="287"/>
      <c r="D236" s="287"/>
      <c r="E236" s="287"/>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E236" s="287"/>
      <c r="AF236" s="287"/>
      <c r="AG236" s="287"/>
      <c r="AH236" s="287"/>
      <c r="AI236" s="287"/>
      <c r="AJ236" s="287"/>
    </row>
    <row r="237" spans="1:36" ht="13.5" customHeight="1" x14ac:dyDescent="0.25">
      <c r="A237" s="287"/>
      <c r="B237" s="287"/>
      <c r="C237" s="287"/>
      <c r="D237" s="287"/>
      <c r="E237" s="287"/>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E237" s="287"/>
      <c r="AF237" s="287"/>
      <c r="AG237" s="287"/>
      <c r="AH237" s="287"/>
      <c r="AI237" s="287"/>
      <c r="AJ237" s="287"/>
    </row>
    <row r="238" spans="1:36" ht="13.5" customHeight="1" x14ac:dyDescent="0.25">
      <c r="A238" s="287"/>
      <c r="B238" s="287"/>
      <c r="C238" s="287"/>
      <c r="D238" s="287"/>
      <c r="E238" s="287"/>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E238" s="287"/>
      <c r="AF238" s="287"/>
      <c r="AG238" s="287"/>
      <c r="AH238" s="287"/>
      <c r="AI238" s="287"/>
      <c r="AJ238" s="287"/>
    </row>
    <row r="239" spans="1:36" ht="13.5" customHeight="1" x14ac:dyDescent="0.25">
      <c r="A239" s="287"/>
      <c r="B239" s="287"/>
      <c r="C239" s="287"/>
      <c r="D239" s="287"/>
      <c r="E239" s="287"/>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E239" s="287"/>
      <c r="AF239" s="287"/>
      <c r="AG239" s="287"/>
      <c r="AH239" s="287"/>
      <c r="AI239" s="287"/>
      <c r="AJ239" s="287"/>
    </row>
    <row r="240" spans="1:36" ht="13.5" customHeight="1" x14ac:dyDescent="0.25">
      <c r="A240" s="287"/>
      <c r="B240" s="287"/>
      <c r="C240" s="287"/>
      <c r="D240" s="287"/>
      <c r="E240" s="287"/>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E240" s="287"/>
      <c r="AF240" s="287"/>
      <c r="AG240" s="287"/>
      <c r="AH240" s="287"/>
      <c r="AI240" s="287"/>
      <c r="AJ240" s="287"/>
    </row>
    <row r="241" spans="1:36" ht="13.5" customHeight="1" x14ac:dyDescent="0.25">
      <c r="A241" s="287"/>
      <c r="B241" s="287"/>
      <c r="C241" s="287"/>
      <c r="D241" s="287"/>
      <c r="E241" s="287"/>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E241" s="287"/>
      <c r="AF241" s="287"/>
      <c r="AG241" s="287"/>
      <c r="AH241" s="287"/>
      <c r="AI241" s="287"/>
      <c r="AJ241" s="287"/>
    </row>
    <row r="242" spans="1:36" ht="13.5" customHeight="1" x14ac:dyDescent="0.25">
      <c r="A242" s="287"/>
      <c r="B242" s="287"/>
      <c r="C242" s="287"/>
      <c r="D242" s="287"/>
      <c r="E242" s="287"/>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E242" s="287"/>
      <c r="AF242" s="287"/>
      <c r="AG242" s="287"/>
      <c r="AH242" s="287"/>
      <c r="AI242" s="287"/>
      <c r="AJ242" s="287"/>
    </row>
    <row r="243" spans="1:36" ht="13.5" customHeight="1" x14ac:dyDescent="0.25">
      <c r="A243" s="287"/>
      <c r="B243" s="287"/>
      <c r="C243" s="287"/>
      <c r="D243" s="287"/>
      <c r="E243" s="287"/>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E243" s="287"/>
      <c r="AF243" s="287"/>
      <c r="AG243" s="287"/>
      <c r="AH243" s="287"/>
      <c r="AI243" s="287"/>
      <c r="AJ243" s="287"/>
    </row>
    <row r="244" spans="1:36" ht="13.5" customHeight="1" x14ac:dyDescent="0.25">
      <c r="A244" s="287"/>
      <c r="B244" s="287"/>
      <c r="C244" s="287"/>
      <c r="D244" s="287"/>
      <c r="E244" s="287"/>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E244" s="287"/>
      <c r="AF244" s="287"/>
      <c r="AG244" s="287"/>
      <c r="AH244" s="287"/>
      <c r="AI244" s="287"/>
      <c r="AJ244" s="287"/>
    </row>
    <row r="245" spans="1:36" ht="13.5" customHeight="1" x14ac:dyDescent="0.25">
      <c r="A245" s="287"/>
      <c r="B245" s="287"/>
      <c r="C245" s="287"/>
      <c r="D245" s="287"/>
      <c r="E245" s="287"/>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E245" s="287"/>
      <c r="AF245" s="287"/>
      <c r="AG245" s="287"/>
      <c r="AH245" s="287"/>
      <c r="AI245" s="287"/>
      <c r="AJ245" s="287"/>
    </row>
    <row r="246" spans="1:36" ht="13.5" customHeight="1" x14ac:dyDescent="0.25">
      <c r="A246" s="287"/>
      <c r="B246" s="287"/>
      <c r="C246" s="287"/>
      <c r="D246" s="287"/>
      <c r="E246" s="287"/>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E246" s="287"/>
      <c r="AF246" s="287"/>
      <c r="AG246" s="287"/>
      <c r="AH246" s="287"/>
      <c r="AI246" s="287"/>
      <c r="AJ246" s="287"/>
    </row>
    <row r="247" spans="1:36" ht="13.5" customHeight="1" x14ac:dyDescent="0.25">
      <c r="A247" s="287"/>
      <c r="B247" s="287"/>
      <c r="C247" s="287"/>
      <c r="D247" s="287"/>
      <c r="E247" s="287"/>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E247" s="287"/>
      <c r="AF247" s="287"/>
      <c r="AG247" s="287"/>
      <c r="AH247" s="287"/>
      <c r="AI247" s="287"/>
      <c r="AJ247" s="287"/>
    </row>
    <row r="248" spans="1:36" ht="13.5" customHeight="1" x14ac:dyDescent="0.25">
      <c r="A248" s="287"/>
      <c r="B248" s="287"/>
      <c r="C248" s="287"/>
      <c r="D248" s="287"/>
      <c r="E248" s="287"/>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E248" s="287"/>
      <c r="AF248" s="287"/>
      <c r="AG248" s="287"/>
      <c r="AH248" s="287"/>
      <c r="AI248" s="287"/>
      <c r="AJ248" s="287"/>
    </row>
    <row r="249" spans="1:36" ht="13.5" customHeight="1" x14ac:dyDescent="0.25">
      <c r="A249" s="287"/>
      <c r="B249" s="287"/>
      <c r="C249" s="287"/>
      <c r="D249" s="287"/>
      <c r="E249" s="287"/>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E249" s="287"/>
      <c r="AF249" s="287"/>
      <c r="AG249" s="287"/>
      <c r="AH249" s="287"/>
      <c r="AI249" s="287"/>
      <c r="AJ249" s="287"/>
    </row>
    <row r="250" spans="1:36" ht="13.5" customHeight="1" x14ac:dyDescent="0.25">
      <c r="A250" s="287"/>
      <c r="B250" s="287"/>
      <c r="C250" s="287"/>
      <c r="D250" s="287"/>
      <c r="E250" s="287"/>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E250" s="287"/>
      <c r="AF250" s="287"/>
      <c r="AG250" s="287"/>
      <c r="AH250" s="287"/>
      <c r="AI250" s="287"/>
      <c r="AJ250" s="287"/>
    </row>
    <row r="251" spans="1:36" ht="13.5" customHeight="1" x14ac:dyDescent="0.25">
      <c r="A251" s="287"/>
      <c r="B251" s="287"/>
      <c r="C251" s="287"/>
      <c r="D251" s="287"/>
      <c r="E251" s="287"/>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E251" s="287"/>
      <c r="AF251" s="287"/>
      <c r="AG251" s="287"/>
      <c r="AH251" s="287"/>
      <c r="AI251" s="287"/>
      <c r="AJ251" s="287"/>
    </row>
    <row r="252" spans="1:36" ht="13.5" customHeight="1" x14ac:dyDescent="0.25">
      <c r="A252" s="287"/>
      <c r="B252" s="287"/>
      <c r="C252" s="287"/>
      <c r="D252" s="287"/>
      <c r="E252" s="287"/>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E252" s="287"/>
      <c r="AF252" s="287"/>
      <c r="AG252" s="287"/>
      <c r="AH252" s="287"/>
      <c r="AI252" s="287"/>
      <c r="AJ252" s="287"/>
    </row>
    <row r="253" spans="1:36" ht="13.5" customHeight="1" x14ac:dyDescent="0.25">
      <c r="A253" s="287"/>
      <c r="B253" s="287"/>
      <c r="C253" s="287"/>
      <c r="D253" s="287"/>
      <c r="E253" s="287"/>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E253" s="287"/>
      <c r="AF253" s="287"/>
      <c r="AG253" s="287"/>
      <c r="AH253" s="287"/>
      <c r="AI253" s="287"/>
      <c r="AJ253" s="287"/>
    </row>
    <row r="254" spans="1:36" ht="13.5" customHeight="1" x14ac:dyDescent="0.25">
      <c r="A254" s="287"/>
      <c r="B254" s="287"/>
      <c r="C254" s="287"/>
      <c r="D254" s="287"/>
      <c r="E254" s="287"/>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E254" s="287"/>
      <c r="AF254" s="287"/>
      <c r="AG254" s="287"/>
      <c r="AH254" s="287"/>
      <c r="AI254" s="287"/>
      <c r="AJ254" s="287"/>
    </row>
    <row r="255" spans="1:36" ht="13.5" customHeight="1" x14ac:dyDescent="0.25">
      <c r="A255" s="287"/>
      <c r="B255" s="287"/>
      <c r="C255" s="287"/>
      <c r="D255" s="287"/>
      <c r="E255" s="287"/>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E255" s="287"/>
      <c r="AF255" s="287"/>
      <c r="AG255" s="287"/>
      <c r="AH255" s="287"/>
      <c r="AI255" s="287"/>
      <c r="AJ255" s="287"/>
    </row>
    <row r="256" spans="1:36" ht="13.5" customHeight="1" x14ac:dyDescent="0.25">
      <c r="A256" s="287"/>
      <c r="B256" s="287"/>
      <c r="C256" s="287"/>
      <c r="D256" s="287"/>
      <c r="E256" s="287"/>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E256" s="287"/>
      <c r="AF256" s="287"/>
      <c r="AG256" s="287"/>
      <c r="AH256" s="287"/>
      <c r="AI256" s="287"/>
      <c r="AJ256" s="287"/>
    </row>
    <row r="257" spans="1:36" ht="13.5" customHeight="1" x14ac:dyDescent="0.25">
      <c r="A257" s="287"/>
      <c r="B257" s="287"/>
      <c r="C257" s="287"/>
      <c r="D257" s="287"/>
      <c r="E257" s="287"/>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E257" s="287"/>
      <c r="AF257" s="287"/>
      <c r="AG257" s="287"/>
      <c r="AH257" s="287"/>
      <c r="AI257" s="287"/>
      <c r="AJ257" s="287"/>
    </row>
    <row r="258" spans="1:36" ht="13.5" customHeight="1" x14ac:dyDescent="0.25">
      <c r="A258" s="287"/>
      <c r="B258" s="287"/>
      <c r="C258" s="287"/>
      <c r="D258" s="287"/>
      <c r="E258" s="287"/>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E258" s="287"/>
      <c r="AF258" s="287"/>
      <c r="AG258" s="287"/>
      <c r="AH258" s="287"/>
      <c r="AI258" s="287"/>
      <c r="AJ258" s="287"/>
    </row>
    <row r="259" spans="1:36" ht="13.5" customHeight="1" x14ac:dyDescent="0.25">
      <c r="A259" s="287"/>
      <c r="B259" s="287"/>
      <c r="C259" s="287"/>
      <c r="D259" s="287"/>
      <c r="E259" s="287"/>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E259" s="287"/>
      <c r="AF259" s="287"/>
      <c r="AG259" s="287"/>
      <c r="AH259" s="287"/>
      <c r="AI259" s="287"/>
      <c r="AJ259" s="287"/>
    </row>
    <row r="260" spans="1:36" ht="13.5" customHeight="1" x14ac:dyDescent="0.25">
      <c r="A260" s="287"/>
      <c r="B260" s="287"/>
      <c r="C260" s="287"/>
      <c r="D260" s="287"/>
      <c r="E260" s="287"/>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E260" s="287"/>
      <c r="AF260" s="287"/>
      <c r="AG260" s="287"/>
      <c r="AH260" s="287"/>
      <c r="AI260" s="287"/>
      <c r="AJ260" s="287"/>
    </row>
    <row r="261" spans="1:36" ht="13.5" customHeight="1" x14ac:dyDescent="0.25">
      <c r="A261" s="287"/>
      <c r="B261" s="287"/>
      <c r="C261" s="287"/>
      <c r="D261" s="287"/>
      <c r="E261" s="287"/>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E261" s="287"/>
      <c r="AF261" s="287"/>
      <c r="AG261" s="287"/>
      <c r="AH261" s="287"/>
      <c r="AI261" s="287"/>
      <c r="AJ261" s="287"/>
    </row>
    <row r="262" spans="1:36" ht="13.5" customHeight="1" x14ac:dyDescent="0.25">
      <c r="A262" s="287"/>
      <c r="B262" s="287"/>
      <c r="C262" s="287"/>
      <c r="D262" s="287"/>
      <c r="E262" s="287"/>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E262" s="287"/>
      <c r="AF262" s="287"/>
      <c r="AG262" s="287"/>
      <c r="AH262" s="287"/>
      <c r="AI262" s="287"/>
      <c r="AJ262" s="287"/>
    </row>
    <row r="263" spans="1:36" ht="13.5" customHeight="1" x14ac:dyDescent="0.25">
      <c r="A263" s="287"/>
      <c r="B263" s="287"/>
      <c r="C263" s="287"/>
      <c r="D263" s="287"/>
      <c r="E263" s="287"/>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E263" s="287"/>
      <c r="AF263" s="287"/>
      <c r="AG263" s="287"/>
      <c r="AH263" s="287"/>
      <c r="AI263" s="287"/>
      <c r="AJ263" s="287"/>
    </row>
    <row r="264" spans="1:36" ht="13.5" customHeight="1" x14ac:dyDescent="0.25">
      <c r="A264" s="287"/>
      <c r="B264" s="287"/>
      <c r="C264" s="287"/>
      <c r="D264" s="287"/>
      <c r="E264" s="287"/>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E264" s="287"/>
      <c r="AF264" s="287"/>
      <c r="AG264" s="287"/>
      <c r="AH264" s="287"/>
      <c r="AI264" s="287"/>
      <c r="AJ264" s="287"/>
    </row>
    <row r="265" spans="1:36" ht="13.5" customHeight="1" x14ac:dyDescent="0.25">
      <c r="A265" s="287"/>
      <c r="B265" s="287"/>
      <c r="C265" s="287"/>
      <c r="D265" s="287"/>
      <c r="E265" s="287"/>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E265" s="287"/>
      <c r="AF265" s="287"/>
      <c r="AG265" s="287"/>
      <c r="AH265" s="287"/>
      <c r="AI265" s="287"/>
      <c r="AJ265" s="287"/>
    </row>
    <row r="266" spans="1:36" ht="13.5" customHeight="1" x14ac:dyDescent="0.25">
      <c r="A266" s="287"/>
      <c r="B266" s="287"/>
      <c r="C266" s="287"/>
      <c r="D266" s="287"/>
      <c r="E266" s="287"/>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E266" s="287"/>
      <c r="AF266" s="287"/>
      <c r="AG266" s="287"/>
      <c r="AH266" s="287"/>
      <c r="AI266" s="287"/>
      <c r="AJ266" s="287"/>
    </row>
    <row r="267" spans="1:36" ht="13.5" customHeight="1" x14ac:dyDescent="0.25">
      <c r="A267" s="287"/>
      <c r="B267" s="287"/>
      <c r="C267" s="287"/>
      <c r="D267" s="287"/>
      <c r="E267" s="287"/>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E267" s="287"/>
      <c r="AF267" s="287"/>
      <c r="AG267" s="287"/>
      <c r="AH267" s="287"/>
      <c r="AI267" s="287"/>
      <c r="AJ267" s="287"/>
    </row>
    <row r="268" spans="1:36" ht="13.5" customHeight="1" x14ac:dyDescent="0.25">
      <c r="A268" s="287"/>
      <c r="B268" s="287"/>
      <c r="C268" s="287"/>
      <c r="D268" s="287"/>
      <c r="E268" s="287"/>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E268" s="287"/>
      <c r="AF268" s="287"/>
      <c r="AG268" s="287"/>
      <c r="AH268" s="287"/>
      <c r="AI268" s="287"/>
      <c r="AJ268" s="287"/>
    </row>
    <row r="269" spans="1:36" ht="13.5" customHeight="1" x14ac:dyDescent="0.25">
      <c r="A269" s="287"/>
      <c r="B269" s="287"/>
      <c r="C269" s="287"/>
      <c r="D269" s="287"/>
      <c r="E269" s="287"/>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E269" s="287"/>
      <c r="AF269" s="287"/>
      <c r="AG269" s="287"/>
      <c r="AH269" s="287"/>
      <c r="AI269" s="287"/>
      <c r="AJ269" s="287"/>
    </row>
    <row r="270" spans="1:36" ht="13.5" customHeight="1" x14ac:dyDescent="0.25">
      <c r="A270" s="287"/>
      <c r="B270" s="287"/>
      <c r="C270" s="287"/>
      <c r="D270" s="287"/>
      <c r="E270" s="287"/>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E270" s="287"/>
      <c r="AF270" s="287"/>
      <c r="AG270" s="287"/>
      <c r="AH270" s="287"/>
      <c r="AI270" s="287"/>
      <c r="AJ270" s="287"/>
    </row>
    <row r="271" spans="1:36" ht="13.5" customHeight="1" x14ac:dyDescent="0.25">
      <c r="A271" s="287"/>
      <c r="B271" s="287"/>
      <c r="C271" s="287"/>
      <c r="D271" s="287"/>
      <c r="E271" s="287"/>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E271" s="287"/>
      <c r="AF271" s="287"/>
      <c r="AG271" s="287"/>
      <c r="AH271" s="287"/>
      <c r="AI271" s="287"/>
      <c r="AJ271" s="287"/>
    </row>
    <row r="272" spans="1:36" ht="13.5" customHeight="1" x14ac:dyDescent="0.25">
      <c r="A272" s="287"/>
      <c r="B272" s="287"/>
      <c r="C272" s="287"/>
      <c r="D272" s="287"/>
      <c r="E272" s="287"/>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E272" s="287"/>
      <c r="AF272" s="287"/>
      <c r="AG272" s="287"/>
      <c r="AH272" s="287"/>
      <c r="AI272" s="287"/>
      <c r="AJ272" s="287"/>
    </row>
    <row r="273" spans="1:36" ht="13.5" customHeight="1" x14ac:dyDescent="0.25">
      <c r="A273" s="287"/>
      <c r="B273" s="287"/>
      <c r="C273" s="287"/>
      <c r="D273" s="287"/>
      <c r="E273" s="287"/>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E273" s="287"/>
      <c r="AF273" s="287"/>
      <c r="AG273" s="287"/>
      <c r="AH273" s="287"/>
      <c r="AI273" s="287"/>
      <c r="AJ273" s="287"/>
    </row>
    <row r="274" spans="1:36" ht="13.5" customHeight="1" x14ac:dyDescent="0.25">
      <c r="A274" s="287"/>
      <c r="B274" s="287"/>
      <c r="C274" s="287"/>
      <c r="D274" s="287"/>
      <c r="E274" s="287"/>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E274" s="287"/>
      <c r="AF274" s="287"/>
      <c r="AG274" s="287"/>
      <c r="AH274" s="287"/>
      <c r="AI274" s="287"/>
      <c r="AJ274" s="287"/>
    </row>
    <row r="275" spans="1:36" ht="13.5" customHeight="1" x14ac:dyDescent="0.25">
      <c r="A275" s="287"/>
      <c r="B275" s="287"/>
      <c r="C275" s="287"/>
      <c r="D275" s="287"/>
      <c r="E275" s="287"/>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E275" s="287"/>
      <c r="AF275" s="287"/>
      <c r="AG275" s="287"/>
      <c r="AH275" s="287"/>
      <c r="AI275" s="287"/>
      <c r="AJ275" s="287"/>
    </row>
    <row r="276" spans="1:36" ht="13.5" customHeight="1" x14ac:dyDescent="0.25">
      <c r="A276" s="287"/>
      <c r="B276" s="287"/>
      <c r="C276" s="287"/>
      <c r="D276" s="287"/>
      <c r="E276" s="287"/>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E276" s="287"/>
      <c r="AF276" s="287"/>
      <c r="AG276" s="287"/>
      <c r="AH276" s="287"/>
      <c r="AI276" s="287"/>
      <c r="AJ276" s="287"/>
    </row>
    <row r="277" spans="1:36" ht="13.5" customHeight="1" x14ac:dyDescent="0.25">
      <c r="A277" s="287"/>
      <c r="B277" s="287"/>
      <c r="C277" s="287"/>
      <c r="D277" s="287"/>
      <c r="E277" s="287"/>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E277" s="287"/>
      <c r="AF277" s="287"/>
      <c r="AG277" s="287"/>
      <c r="AH277" s="287"/>
      <c r="AI277" s="287"/>
      <c r="AJ277" s="287"/>
    </row>
    <row r="278" spans="1:36" ht="13.5" customHeight="1" x14ac:dyDescent="0.25">
      <c r="A278" s="287"/>
      <c r="B278" s="287"/>
      <c r="C278" s="287"/>
      <c r="D278" s="287"/>
      <c r="E278" s="287"/>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E278" s="287"/>
      <c r="AF278" s="287"/>
      <c r="AG278" s="287"/>
      <c r="AH278" s="287"/>
      <c r="AI278" s="287"/>
      <c r="AJ278" s="287"/>
    </row>
    <row r="279" spans="1:36" ht="13.5" customHeight="1" x14ac:dyDescent="0.25">
      <c r="A279" s="287"/>
      <c r="B279" s="287"/>
      <c r="C279" s="287"/>
      <c r="D279" s="287"/>
      <c r="E279" s="287"/>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E279" s="287"/>
      <c r="AF279" s="287"/>
      <c r="AG279" s="287"/>
      <c r="AH279" s="287"/>
      <c r="AI279" s="287"/>
      <c r="AJ279" s="287"/>
    </row>
    <row r="280" spans="1:36" ht="13.5" customHeight="1" x14ac:dyDescent="0.25">
      <c r="A280" s="287"/>
      <c r="B280" s="287"/>
      <c r="C280" s="287"/>
      <c r="D280" s="287"/>
      <c r="E280" s="287"/>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E280" s="287"/>
      <c r="AF280" s="287"/>
      <c r="AG280" s="287"/>
      <c r="AH280" s="287"/>
      <c r="AI280" s="287"/>
      <c r="AJ280" s="287"/>
    </row>
    <row r="281" spans="1:36" ht="13.5" customHeight="1" x14ac:dyDescent="0.25">
      <c r="A281" s="287"/>
      <c r="B281" s="287"/>
      <c r="C281" s="287"/>
      <c r="D281" s="287"/>
      <c r="E281" s="287"/>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E281" s="287"/>
      <c r="AF281" s="287"/>
      <c r="AG281" s="287"/>
      <c r="AH281" s="287"/>
      <c r="AI281" s="287"/>
      <c r="AJ281" s="287"/>
    </row>
    <row r="282" spans="1:36" ht="13.5" customHeight="1" x14ac:dyDescent="0.25">
      <c r="A282" s="287"/>
      <c r="B282" s="287"/>
      <c r="C282" s="287"/>
      <c r="D282" s="287"/>
      <c r="E282" s="287"/>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E282" s="287"/>
      <c r="AF282" s="287"/>
      <c r="AG282" s="287"/>
      <c r="AH282" s="287"/>
      <c r="AI282" s="287"/>
      <c r="AJ282" s="287"/>
    </row>
    <row r="283" spans="1:36" ht="13.5" customHeight="1" x14ac:dyDescent="0.25">
      <c r="A283" s="287"/>
      <c r="B283" s="287"/>
      <c r="C283" s="287"/>
      <c r="D283" s="287"/>
      <c r="E283" s="287"/>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E283" s="287"/>
      <c r="AF283" s="287"/>
      <c r="AG283" s="287"/>
      <c r="AH283" s="287"/>
      <c r="AI283" s="287"/>
      <c r="AJ283" s="287"/>
    </row>
    <row r="284" spans="1:36" ht="13.5" customHeight="1" x14ac:dyDescent="0.25">
      <c r="A284" s="287"/>
      <c r="B284" s="287"/>
      <c r="C284" s="287"/>
      <c r="D284" s="287"/>
      <c r="E284" s="287"/>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E284" s="287"/>
      <c r="AF284" s="287"/>
      <c r="AG284" s="287"/>
      <c r="AH284" s="287"/>
      <c r="AI284" s="287"/>
      <c r="AJ284" s="287"/>
    </row>
    <row r="285" spans="1:36" ht="13.5" customHeight="1" x14ac:dyDescent="0.25">
      <c r="A285" s="287"/>
      <c r="B285" s="287"/>
      <c r="C285" s="287"/>
      <c r="D285" s="287"/>
      <c r="E285" s="287"/>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E285" s="287"/>
      <c r="AF285" s="287"/>
      <c r="AG285" s="287"/>
      <c r="AH285" s="287"/>
      <c r="AI285" s="287"/>
      <c r="AJ285" s="287"/>
    </row>
    <row r="286" spans="1:36" ht="13.5" customHeight="1" x14ac:dyDescent="0.25">
      <c r="A286" s="287"/>
      <c r="B286" s="287"/>
      <c r="C286" s="287"/>
      <c r="D286" s="287"/>
      <c r="E286" s="287"/>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E286" s="287"/>
      <c r="AF286" s="287"/>
      <c r="AG286" s="287"/>
      <c r="AH286" s="287"/>
      <c r="AI286" s="287"/>
      <c r="AJ286" s="287"/>
    </row>
    <row r="287" spans="1:36" ht="13.5" customHeight="1" x14ac:dyDescent="0.25">
      <c r="A287" s="287"/>
      <c r="B287" s="287"/>
      <c r="C287" s="287"/>
      <c r="D287" s="287"/>
      <c r="E287" s="287"/>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E287" s="287"/>
      <c r="AF287" s="287"/>
      <c r="AG287" s="287"/>
      <c r="AH287" s="287"/>
      <c r="AI287" s="287"/>
      <c r="AJ287" s="287"/>
    </row>
    <row r="288" spans="1:36" ht="13.5" customHeight="1" x14ac:dyDescent="0.25">
      <c r="A288" s="287"/>
      <c r="B288" s="287"/>
      <c r="C288" s="287"/>
      <c r="D288" s="287"/>
      <c r="E288" s="287"/>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E288" s="287"/>
      <c r="AF288" s="287"/>
      <c r="AG288" s="287"/>
      <c r="AH288" s="287"/>
      <c r="AI288" s="287"/>
      <c r="AJ288" s="287"/>
    </row>
    <row r="289" spans="1:36" ht="13.5" customHeight="1" x14ac:dyDescent="0.25">
      <c r="A289" s="287"/>
      <c r="B289" s="287"/>
      <c r="C289" s="287"/>
      <c r="D289" s="287"/>
      <c r="E289" s="287"/>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E289" s="287"/>
      <c r="AF289" s="287"/>
      <c r="AG289" s="287"/>
      <c r="AH289" s="287"/>
      <c r="AI289" s="287"/>
      <c r="AJ289" s="287"/>
    </row>
    <row r="290" spans="1:36" ht="13.5" customHeight="1" x14ac:dyDescent="0.25">
      <c r="A290" s="287"/>
      <c r="B290" s="287"/>
      <c r="C290" s="287"/>
      <c r="D290" s="287"/>
      <c r="E290" s="287"/>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E290" s="287"/>
      <c r="AF290" s="287"/>
      <c r="AG290" s="287"/>
      <c r="AH290" s="287"/>
      <c r="AI290" s="287"/>
      <c r="AJ290" s="287"/>
    </row>
    <row r="291" spans="1:36" ht="13.5" customHeight="1" x14ac:dyDescent="0.25">
      <c r="A291" s="287"/>
      <c r="B291" s="287"/>
      <c r="C291" s="287"/>
      <c r="D291" s="287"/>
      <c r="E291" s="287"/>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E291" s="287"/>
      <c r="AF291" s="287"/>
      <c r="AG291" s="287"/>
      <c r="AH291" s="287"/>
      <c r="AI291" s="287"/>
      <c r="AJ291" s="287"/>
    </row>
    <row r="292" spans="1:36" ht="13.5" customHeight="1" x14ac:dyDescent="0.25">
      <c r="A292" s="287"/>
      <c r="B292" s="287"/>
      <c r="C292" s="287"/>
      <c r="D292" s="287"/>
      <c r="E292" s="287"/>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E292" s="287"/>
      <c r="AF292" s="287"/>
      <c r="AG292" s="287"/>
      <c r="AH292" s="287"/>
      <c r="AI292" s="287"/>
      <c r="AJ292" s="287"/>
    </row>
    <row r="293" spans="1:36" ht="13.5" customHeight="1" x14ac:dyDescent="0.25">
      <c r="A293" s="287"/>
      <c r="B293" s="287"/>
      <c r="C293" s="287"/>
      <c r="D293" s="287"/>
      <c r="E293" s="287"/>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E293" s="287"/>
      <c r="AF293" s="287"/>
      <c r="AG293" s="287"/>
      <c r="AH293" s="287"/>
      <c r="AI293" s="287"/>
      <c r="AJ293" s="287"/>
    </row>
    <row r="294" spans="1:36" ht="13.5" customHeight="1" x14ac:dyDescent="0.25">
      <c r="A294" s="287"/>
      <c r="B294" s="287"/>
      <c r="C294" s="287"/>
      <c r="D294" s="287"/>
      <c r="E294" s="287"/>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E294" s="287"/>
      <c r="AF294" s="287"/>
      <c r="AG294" s="287"/>
      <c r="AH294" s="287"/>
      <c r="AI294" s="287"/>
      <c r="AJ294" s="287"/>
    </row>
    <row r="295" spans="1:36" ht="13.5" customHeight="1" x14ac:dyDescent="0.25">
      <c r="A295" s="287"/>
      <c r="B295" s="287"/>
      <c r="C295" s="287"/>
      <c r="D295" s="287"/>
      <c r="E295" s="287"/>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E295" s="287"/>
      <c r="AF295" s="287"/>
      <c r="AG295" s="287"/>
      <c r="AH295" s="287"/>
      <c r="AI295" s="287"/>
      <c r="AJ295" s="287"/>
    </row>
    <row r="296" spans="1:36" ht="13.5" customHeight="1" x14ac:dyDescent="0.25">
      <c r="A296" s="287"/>
      <c r="B296" s="287"/>
      <c r="C296" s="287"/>
      <c r="D296" s="287"/>
      <c r="E296" s="287"/>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E296" s="287"/>
      <c r="AF296" s="287"/>
      <c r="AG296" s="287"/>
      <c r="AH296" s="287"/>
      <c r="AI296" s="287"/>
      <c r="AJ296" s="287"/>
    </row>
    <row r="297" spans="1:36" ht="13.5" customHeight="1" x14ac:dyDescent="0.25">
      <c r="A297" s="287"/>
      <c r="B297" s="287"/>
      <c r="C297" s="287"/>
      <c r="D297" s="287"/>
      <c r="E297" s="287"/>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E297" s="287"/>
      <c r="AF297" s="287"/>
      <c r="AG297" s="287"/>
      <c r="AH297" s="287"/>
      <c r="AI297" s="287"/>
      <c r="AJ297" s="287"/>
    </row>
    <row r="298" spans="1:36" ht="13.5" customHeight="1" x14ac:dyDescent="0.25">
      <c r="A298" s="287"/>
      <c r="B298" s="287"/>
      <c r="C298" s="287"/>
      <c r="D298" s="287"/>
      <c r="E298" s="287"/>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E298" s="287"/>
      <c r="AF298" s="287"/>
      <c r="AG298" s="287"/>
      <c r="AH298" s="287"/>
      <c r="AI298" s="287"/>
      <c r="AJ298" s="287"/>
    </row>
    <row r="299" spans="1:36" ht="13.5" customHeight="1" x14ac:dyDescent="0.25">
      <c r="A299" s="287"/>
      <c r="B299" s="287"/>
      <c r="C299" s="287"/>
      <c r="D299" s="287"/>
      <c r="E299" s="287"/>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E299" s="287"/>
      <c r="AF299" s="287"/>
      <c r="AG299" s="287"/>
      <c r="AH299" s="287"/>
      <c r="AI299" s="287"/>
      <c r="AJ299" s="287"/>
    </row>
    <row r="300" spans="1:36" ht="13.5" customHeight="1" x14ac:dyDescent="0.25">
      <c r="A300" s="287"/>
      <c r="B300" s="287"/>
      <c r="C300" s="287"/>
      <c r="D300" s="287"/>
      <c r="E300" s="287"/>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E300" s="287"/>
      <c r="AF300" s="287"/>
      <c r="AG300" s="287"/>
      <c r="AH300" s="287"/>
      <c r="AI300" s="287"/>
      <c r="AJ300" s="287"/>
    </row>
    <row r="301" spans="1:36" ht="13.5" customHeight="1" x14ac:dyDescent="0.25">
      <c r="A301" s="287"/>
      <c r="B301" s="287"/>
      <c r="C301" s="287"/>
      <c r="D301" s="287"/>
      <c r="E301" s="287"/>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E301" s="287"/>
      <c r="AF301" s="287"/>
      <c r="AG301" s="287"/>
      <c r="AH301" s="287"/>
      <c r="AI301" s="287"/>
      <c r="AJ301" s="287"/>
    </row>
    <row r="302" spans="1:36" ht="13.5" customHeight="1" x14ac:dyDescent="0.25">
      <c r="A302" s="287"/>
      <c r="B302" s="287"/>
      <c r="C302" s="287"/>
      <c r="D302" s="287"/>
      <c r="E302" s="287"/>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E302" s="287"/>
      <c r="AF302" s="287"/>
      <c r="AG302" s="287"/>
      <c r="AH302" s="287"/>
      <c r="AI302" s="287"/>
      <c r="AJ302" s="287"/>
    </row>
    <row r="303" spans="1:36" ht="13.5" customHeight="1" x14ac:dyDescent="0.25">
      <c r="A303" s="287"/>
      <c r="B303" s="287"/>
      <c r="C303" s="287"/>
      <c r="D303" s="287"/>
      <c r="E303" s="287"/>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E303" s="287"/>
      <c r="AF303" s="287"/>
      <c r="AG303" s="287"/>
      <c r="AH303" s="287"/>
      <c r="AI303" s="287"/>
      <c r="AJ303" s="287"/>
    </row>
    <row r="304" spans="1:36" ht="13.5" customHeight="1" x14ac:dyDescent="0.25">
      <c r="A304" s="287"/>
      <c r="B304" s="287"/>
      <c r="C304" s="287"/>
      <c r="D304" s="287"/>
      <c r="E304" s="287"/>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E304" s="287"/>
      <c r="AF304" s="287"/>
      <c r="AG304" s="287"/>
      <c r="AH304" s="287"/>
      <c r="AI304" s="287"/>
      <c r="AJ304" s="287"/>
    </row>
    <row r="305" spans="1:36" ht="13.5" customHeight="1" x14ac:dyDescent="0.25">
      <c r="A305" s="287"/>
      <c r="B305" s="287"/>
      <c r="C305" s="287"/>
      <c r="D305" s="287"/>
      <c r="E305" s="287"/>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E305" s="287"/>
      <c r="AF305" s="287"/>
      <c r="AG305" s="287"/>
      <c r="AH305" s="287"/>
      <c r="AI305" s="287"/>
      <c r="AJ305" s="287"/>
    </row>
    <row r="306" spans="1:36" ht="13.5" customHeight="1" x14ac:dyDescent="0.25">
      <c r="A306" s="287"/>
      <c r="B306" s="287"/>
      <c r="C306" s="287"/>
      <c r="D306" s="287"/>
      <c r="E306" s="287"/>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E306" s="287"/>
      <c r="AF306" s="287"/>
      <c r="AG306" s="287"/>
      <c r="AH306" s="287"/>
      <c r="AI306" s="287"/>
      <c r="AJ306" s="287"/>
    </row>
    <row r="307" spans="1:36" ht="13.5" customHeight="1" x14ac:dyDescent="0.25">
      <c r="A307" s="287"/>
      <c r="B307" s="287"/>
      <c r="C307" s="287"/>
      <c r="D307" s="287"/>
      <c r="E307" s="287"/>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E307" s="287"/>
      <c r="AF307" s="287"/>
      <c r="AG307" s="287"/>
      <c r="AH307" s="287"/>
      <c r="AI307" s="287"/>
      <c r="AJ307" s="287"/>
    </row>
    <row r="308" spans="1:36" ht="13.5" customHeight="1" x14ac:dyDescent="0.25">
      <c r="A308" s="287"/>
      <c r="B308" s="287"/>
      <c r="C308" s="287"/>
      <c r="D308" s="287"/>
      <c r="E308" s="287"/>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E308" s="287"/>
      <c r="AF308" s="287"/>
      <c r="AG308" s="287"/>
      <c r="AH308" s="287"/>
      <c r="AI308" s="287"/>
      <c r="AJ308" s="287"/>
    </row>
    <row r="309" spans="1:36" ht="13.5" customHeight="1" x14ac:dyDescent="0.25">
      <c r="A309" s="287"/>
      <c r="B309" s="287"/>
      <c r="C309" s="287"/>
      <c r="D309" s="287"/>
      <c r="E309" s="287"/>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E309" s="287"/>
      <c r="AF309" s="287"/>
      <c r="AG309" s="287"/>
      <c r="AH309" s="287"/>
      <c r="AI309" s="287"/>
      <c r="AJ309" s="287"/>
    </row>
    <row r="310" spans="1:36" ht="13.5" customHeight="1" x14ac:dyDescent="0.25">
      <c r="A310" s="287"/>
      <c r="B310" s="287"/>
      <c r="C310" s="287"/>
      <c r="D310" s="287"/>
      <c r="E310" s="287"/>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E310" s="287"/>
      <c r="AF310" s="287"/>
      <c r="AG310" s="287"/>
      <c r="AH310" s="287"/>
      <c r="AI310" s="287"/>
      <c r="AJ310" s="287"/>
    </row>
    <row r="311" spans="1:36" ht="13.5" customHeight="1" x14ac:dyDescent="0.25">
      <c r="A311" s="287"/>
      <c r="B311" s="287"/>
      <c r="C311" s="287"/>
      <c r="D311" s="287"/>
      <c r="E311" s="287"/>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E311" s="287"/>
      <c r="AF311" s="287"/>
      <c r="AG311" s="287"/>
      <c r="AH311" s="287"/>
      <c r="AI311" s="287"/>
      <c r="AJ311" s="287"/>
    </row>
    <row r="312" spans="1:36" ht="13.5" customHeight="1" x14ac:dyDescent="0.25">
      <c r="A312" s="287"/>
      <c r="B312" s="287"/>
      <c r="C312" s="287"/>
      <c r="D312" s="287"/>
      <c r="E312" s="287"/>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E312" s="287"/>
      <c r="AF312" s="287"/>
      <c r="AG312" s="287"/>
      <c r="AH312" s="287"/>
      <c r="AI312" s="287"/>
      <c r="AJ312" s="287"/>
    </row>
    <row r="313" spans="1:36" ht="13.5" customHeight="1" x14ac:dyDescent="0.25">
      <c r="A313" s="287"/>
      <c r="B313" s="287"/>
      <c r="C313" s="287"/>
      <c r="D313" s="287"/>
      <c r="E313" s="287"/>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E313" s="287"/>
      <c r="AF313" s="287"/>
      <c r="AG313" s="287"/>
      <c r="AH313" s="287"/>
      <c r="AI313" s="287"/>
      <c r="AJ313" s="287"/>
    </row>
    <row r="314" spans="1:36" ht="13.5" customHeight="1" x14ac:dyDescent="0.25">
      <c r="A314" s="287"/>
      <c r="B314" s="287"/>
      <c r="C314" s="287"/>
      <c r="D314" s="287"/>
      <c r="E314" s="287"/>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E314" s="287"/>
      <c r="AF314" s="287"/>
      <c r="AG314" s="287"/>
      <c r="AH314" s="287"/>
      <c r="AI314" s="287"/>
      <c r="AJ314" s="287"/>
    </row>
    <row r="315" spans="1:36" ht="13.5" customHeight="1" x14ac:dyDescent="0.25">
      <c r="A315" s="287"/>
      <c r="B315" s="287"/>
      <c r="C315" s="287"/>
      <c r="D315" s="287"/>
      <c r="E315" s="287"/>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E315" s="287"/>
      <c r="AF315" s="287"/>
      <c r="AG315" s="287"/>
      <c r="AH315" s="287"/>
      <c r="AI315" s="287"/>
      <c r="AJ315" s="287"/>
    </row>
    <row r="316" spans="1:36" ht="13.5" customHeight="1" x14ac:dyDescent="0.25">
      <c r="A316" s="287"/>
      <c r="B316" s="287"/>
      <c r="C316" s="287"/>
      <c r="D316" s="287"/>
      <c r="E316" s="287"/>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E316" s="287"/>
      <c r="AF316" s="287"/>
      <c r="AG316" s="287"/>
      <c r="AH316" s="287"/>
      <c r="AI316" s="287"/>
      <c r="AJ316" s="287"/>
    </row>
    <row r="317" spans="1:36" ht="13.5" customHeight="1" x14ac:dyDescent="0.25">
      <c r="A317" s="287"/>
      <c r="B317" s="287"/>
      <c r="C317" s="287"/>
      <c r="D317" s="287"/>
      <c r="E317" s="287"/>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E317" s="287"/>
      <c r="AF317" s="287"/>
      <c r="AG317" s="287"/>
      <c r="AH317" s="287"/>
      <c r="AI317" s="287"/>
      <c r="AJ317" s="287"/>
    </row>
    <row r="318" spans="1:36" ht="13.5" customHeight="1" x14ac:dyDescent="0.25">
      <c r="A318" s="287"/>
      <c r="B318" s="287"/>
      <c r="C318" s="287"/>
      <c r="D318" s="287"/>
      <c r="E318" s="287"/>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E318" s="287"/>
      <c r="AF318" s="287"/>
      <c r="AG318" s="287"/>
      <c r="AH318" s="287"/>
      <c r="AI318" s="287"/>
      <c r="AJ318" s="287"/>
    </row>
    <row r="319" spans="1:36" ht="13.5" customHeight="1" x14ac:dyDescent="0.25">
      <c r="A319" s="287"/>
      <c r="B319" s="287"/>
      <c r="C319" s="287"/>
      <c r="D319" s="287"/>
      <c r="E319" s="287"/>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E319" s="287"/>
      <c r="AF319" s="287"/>
      <c r="AG319" s="287"/>
      <c r="AH319" s="287"/>
      <c r="AI319" s="287"/>
      <c r="AJ319" s="287"/>
    </row>
    <row r="320" spans="1:36" ht="13.5" customHeight="1" x14ac:dyDescent="0.25">
      <c r="A320" s="287"/>
      <c r="B320" s="287"/>
      <c r="C320" s="287"/>
      <c r="D320" s="287"/>
      <c r="E320" s="287"/>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E320" s="287"/>
      <c r="AF320" s="287"/>
      <c r="AG320" s="287"/>
      <c r="AH320" s="287"/>
      <c r="AI320" s="287"/>
      <c r="AJ320" s="287"/>
    </row>
    <row r="321" spans="1:36" ht="13.5" customHeight="1" x14ac:dyDescent="0.25">
      <c r="A321" s="287"/>
      <c r="B321" s="287"/>
      <c r="C321" s="287"/>
      <c r="D321" s="287"/>
      <c r="E321" s="287"/>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E321" s="287"/>
      <c r="AF321" s="287"/>
      <c r="AG321" s="287"/>
      <c r="AH321" s="287"/>
      <c r="AI321" s="287"/>
      <c r="AJ321" s="287"/>
    </row>
    <row r="322" spans="1:36" ht="13.5" customHeight="1" x14ac:dyDescent="0.25">
      <c r="A322" s="287"/>
      <c r="B322" s="287"/>
      <c r="C322" s="287"/>
      <c r="D322" s="287"/>
      <c r="E322" s="287"/>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E322" s="287"/>
      <c r="AF322" s="287"/>
      <c r="AG322" s="287"/>
      <c r="AH322" s="287"/>
      <c r="AI322" s="287"/>
      <c r="AJ322" s="287"/>
    </row>
    <row r="323" spans="1:36" ht="13.5" customHeight="1" x14ac:dyDescent="0.25">
      <c r="A323" s="287"/>
      <c r="B323" s="287"/>
      <c r="C323" s="287"/>
      <c r="D323" s="287"/>
      <c r="E323" s="287"/>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E323" s="287"/>
      <c r="AF323" s="287"/>
      <c r="AG323" s="287"/>
      <c r="AH323" s="287"/>
      <c r="AI323" s="287"/>
      <c r="AJ323" s="287"/>
    </row>
    <row r="324" spans="1:36" ht="13.5" customHeight="1" x14ac:dyDescent="0.25">
      <c r="A324" s="287"/>
      <c r="B324" s="287"/>
      <c r="C324" s="287"/>
      <c r="D324" s="287"/>
      <c r="E324" s="287"/>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E324" s="287"/>
      <c r="AF324" s="287"/>
      <c r="AG324" s="287"/>
      <c r="AH324" s="287"/>
      <c r="AI324" s="287"/>
      <c r="AJ324" s="287"/>
    </row>
    <row r="325" spans="1:36" ht="13.5" customHeight="1" x14ac:dyDescent="0.25">
      <c r="A325" s="287"/>
      <c r="B325" s="287"/>
      <c r="C325" s="287"/>
      <c r="D325" s="287"/>
      <c r="E325" s="287"/>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E325" s="287"/>
      <c r="AF325" s="287"/>
      <c r="AG325" s="287"/>
      <c r="AH325" s="287"/>
      <c r="AI325" s="287"/>
      <c r="AJ325" s="287"/>
    </row>
    <row r="326" spans="1:36" ht="13.5" customHeight="1" x14ac:dyDescent="0.25">
      <c r="A326" s="287"/>
      <c r="B326" s="287"/>
      <c r="C326" s="287"/>
      <c r="D326" s="287"/>
      <c r="E326" s="287"/>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E326" s="287"/>
      <c r="AF326" s="287"/>
      <c r="AG326" s="287"/>
      <c r="AH326" s="287"/>
      <c r="AI326" s="287"/>
      <c r="AJ326" s="287"/>
    </row>
    <row r="327" spans="1:36" ht="13.5" customHeight="1" x14ac:dyDescent="0.25">
      <c r="A327" s="287"/>
      <c r="B327" s="287"/>
      <c r="C327" s="287"/>
      <c r="D327" s="287"/>
      <c r="E327" s="287"/>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E327" s="287"/>
      <c r="AF327" s="287"/>
      <c r="AG327" s="287"/>
      <c r="AH327" s="287"/>
      <c r="AI327" s="287"/>
      <c r="AJ327" s="287"/>
    </row>
    <row r="328" spans="1:36" ht="13.5" customHeight="1" x14ac:dyDescent="0.25">
      <c r="A328" s="287"/>
      <c r="B328" s="287"/>
      <c r="C328" s="287"/>
      <c r="D328" s="287"/>
      <c r="E328" s="287"/>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E328" s="287"/>
      <c r="AF328" s="287"/>
      <c r="AG328" s="287"/>
      <c r="AH328" s="287"/>
      <c r="AI328" s="287"/>
      <c r="AJ328" s="287"/>
    </row>
    <row r="329" spans="1:36" ht="13.5" customHeight="1" x14ac:dyDescent="0.25">
      <c r="A329" s="287"/>
      <c r="B329" s="287"/>
      <c r="C329" s="287"/>
      <c r="D329" s="287"/>
      <c r="E329" s="287"/>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E329" s="287"/>
      <c r="AF329" s="287"/>
      <c r="AG329" s="287"/>
      <c r="AH329" s="287"/>
      <c r="AI329" s="287"/>
      <c r="AJ329" s="287"/>
    </row>
    <row r="330" spans="1:36" ht="13.5" customHeight="1" x14ac:dyDescent="0.25">
      <c r="A330" s="287"/>
      <c r="B330" s="287"/>
      <c r="C330" s="287"/>
      <c r="D330" s="287"/>
      <c r="E330" s="287"/>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E330" s="287"/>
      <c r="AF330" s="287"/>
      <c r="AG330" s="287"/>
      <c r="AH330" s="287"/>
      <c r="AI330" s="287"/>
      <c r="AJ330" s="287"/>
    </row>
    <row r="331" spans="1:36" ht="13.5" customHeight="1" x14ac:dyDescent="0.25">
      <c r="A331" s="287"/>
      <c r="B331" s="287"/>
      <c r="C331" s="287"/>
      <c r="D331" s="287"/>
      <c r="E331" s="287"/>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E331" s="287"/>
      <c r="AF331" s="287"/>
      <c r="AG331" s="287"/>
      <c r="AH331" s="287"/>
      <c r="AI331" s="287"/>
      <c r="AJ331" s="287"/>
    </row>
    <row r="332" spans="1:36" ht="13.5" customHeight="1" x14ac:dyDescent="0.25">
      <c r="A332" s="287"/>
      <c r="B332" s="287"/>
      <c r="C332" s="287"/>
      <c r="D332" s="287"/>
      <c r="E332" s="287"/>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E332" s="287"/>
      <c r="AF332" s="287"/>
      <c r="AG332" s="287"/>
      <c r="AH332" s="287"/>
      <c r="AI332" s="287"/>
      <c r="AJ332" s="287"/>
    </row>
    <row r="333" spans="1:36" ht="13.5" customHeight="1" x14ac:dyDescent="0.25">
      <c r="A333" s="287"/>
      <c r="B333" s="287"/>
      <c r="C333" s="287"/>
      <c r="D333" s="287"/>
      <c r="E333" s="287"/>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E333" s="287"/>
      <c r="AF333" s="287"/>
      <c r="AG333" s="287"/>
      <c r="AH333" s="287"/>
      <c r="AI333" s="287"/>
      <c r="AJ333" s="287"/>
    </row>
    <row r="334" spans="1:36" ht="13.5" customHeight="1" x14ac:dyDescent="0.25">
      <c r="A334" s="287"/>
      <c r="B334" s="287"/>
      <c r="C334" s="287"/>
      <c r="D334" s="287"/>
      <c r="E334" s="287"/>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E334" s="287"/>
      <c r="AF334" s="287"/>
      <c r="AG334" s="287"/>
      <c r="AH334" s="287"/>
      <c r="AI334" s="287"/>
      <c r="AJ334" s="287"/>
    </row>
    <row r="335" spans="1:36" ht="13.5" customHeight="1" x14ac:dyDescent="0.25">
      <c r="A335" s="287"/>
      <c r="B335" s="287"/>
      <c r="C335" s="287"/>
      <c r="D335" s="287"/>
      <c r="E335" s="287"/>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E335" s="287"/>
      <c r="AF335" s="287"/>
      <c r="AG335" s="287"/>
      <c r="AH335" s="287"/>
      <c r="AI335" s="287"/>
      <c r="AJ335" s="287"/>
    </row>
    <row r="336" spans="1:36" ht="13.5" customHeight="1" x14ac:dyDescent="0.25">
      <c r="A336" s="287"/>
      <c r="B336" s="287"/>
      <c r="C336" s="287"/>
      <c r="D336" s="287"/>
      <c r="E336" s="287"/>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E336" s="287"/>
      <c r="AF336" s="287"/>
      <c r="AG336" s="287"/>
      <c r="AH336" s="287"/>
      <c r="AI336" s="287"/>
      <c r="AJ336" s="287"/>
    </row>
    <row r="337" spans="1:36" ht="13.5" customHeight="1" x14ac:dyDescent="0.25">
      <c r="A337" s="287"/>
      <c r="B337" s="287"/>
      <c r="C337" s="287"/>
      <c r="D337" s="287"/>
      <c r="E337" s="287"/>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E337" s="287"/>
      <c r="AF337" s="287"/>
      <c r="AG337" s="287"/>
      <c r="AH337" s="287"/>
      <c r="AI337" s="287"/>
      <c r="AJ337" s="287"/>
    </row>
    <row r="338" spans="1:36" ht="13.5" customHeight="1" x14ac:dyDescent="0.25">
      <c r="A338" s="287"/>
      <c r="B338" s="287"/>
      <c r="C338" s="287"/>
      <c r="D338" s="287"/>
      <c r="E338" s="287"/>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E338" s="287"/>
      <c r="AF338" s="287"/>
      <c r="AG338" s="287"/>
      <c r="AH338" s="287"/>
      <c r="AI338" s="287"/>
      <c r="AJ338" s="287"/>
    </row>
    <row r="339" spans="1:36" ht="13.5" customHeight="1" x14ac:dyDescent="0.25">
      <c r="A339" s="287"/>
      <c r="B339" s="287"/>
      <c r="C339" s="287"/>
      <c r="D339" s="287"/>
      <c r="E339" s="287"/>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E339" s="287"/>
      <c r="AF339" s="287"/>
      <c r="AG339" s="287"/>
      <c r="AH339" s="287"/>
      <c r="AI339" s="287"/>
      <c r="AJ339" s="287"/>
    </row>
    <row r="340" spans="1:36" ht="13.5" customHeight="1" x14ac:dyDescent="0.25">
      <c r="A340" s="287"/>
      <c r="B340" s="287"/>
      <c r="C340" s="287"/>
      <c r="D340" s="287"/>
      <c r="E340" s="287"/>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E340" s="287"/>
      <c r="AF340" s="287"/>
      <c r="AG340" s="287"/>
      <c r="AH340" s="287"/>
      <c r="AI340" s="287"/>
      <c r="AJ340" s="287"/>
    </row>
    <row r="341" spans="1:36" ht="13.5" customHeight="1" x14ac:dyDescent="0.25">
      <c r="A341" s="287"/>
      <c r="B341" s="287"/>
      <c r="C341" s="287"/>
      <c r="D341" s="287"/>
      <c r="E341" s="287"/>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E341" s="287"/>
      <c r="AF341" s="287"/>
      <c r="AG341" s="287"/>
      <c r="AH341" s="287"/>
      <c r="AI341" s="287"/>
      <c r="AJ341" s="287"/>
    </row>
    <row r="342" spans="1:36" ht="13.5" customHeight="1" x14ac:dyDescent="0.25">
      <c r="A342" s="287"/>
      <c r="B342" s="287"/>
      <c r="C342" s="287"/>
      <c r="D342" s="287"/>
      <c r="E342" s="287"/>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E342" s="287"/>
      <c r="AF342" s="287"/>
      <c r="AG342" s="287"/>
      <c r="AH342" s="287"/>
      <c r="AI342" s="287"/>
      <c r="AJ342" s="287"/>
    </row>
    <row r="343" spans="1:36" ht="13.5" customHeight="1" x14ac:dyDescent="0.25">
      <c r="A343" s="287"/>
      <c r="B343" s="287"/>
      <c r="C343" s="287"/>
      <c r="D343" s="287"/>
      <c r="E343" s="287"/>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E343" s="287"/>
      <c r="AF343" s="287"/>
      <c r="AG343" s="287"/>
      <c r="AH343" s="287"/>
      <c r="AI343" s="287"/>
      <c r="AJ343" s="287"/>
    </row>
    <row r="344" spans="1:36" ht="13.5" customHeight="1" x14ac:dyDescent="0.25">
      <c r="A344" s="287"/>
      <c r="B344" s="287"/>
      <c r="C344" s="287"/>
      <c r="D344" s="287"/>
      <c r="E344" s="287"/>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E344" s="287"/>
      <c r="AF344" s="287"/>
      <c r="AG344" s="287"/>
      <c r="AH344" s="287"/>
      <c r="AI344" s="287"/>
      <c r="AJ344" s="287"/>
    </row>
    <row r="345" spans="1:36" ht="13.5" customHeight="1" x14ac:dyDescent="0.25">
      <c r="A345" s="287"/>
      <c r="B345" s="287"/>
      <c r="C345" s="287"/>
      <c r="D345" s="287"/>
      <c r="E345" s="287"/>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E345" s="287"/>
      <c r="AF345" s="287"/>
      <c r="AG345" s="287"/>
      <c r="AH345" s="287"/>
      <c r="AI345" s="287"/>
      <c r="AJ345" s="287"/>
    </row>
    <row r="346" spans="1:36" ht="13.5" customHeight="1" x14ac:dyDescent="0.25">
      <c r="A346" s="287"/>
      <c r="B346" s="287"/>
      <c r="C346" s="287"/>
      <c r="D346" s="287"/>
      <c r="E346" s="287"/>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E346" s="287"/>
      <c r="AF346" s="287"/>
      <c r="AG346" s="287"/>
      <c r="AH346" s="287"/>
      <c r="AI346" s="287"/>
      <c r="AJ346" s="287"/>
    </row>
    <row r="347" spans="1:36" ht="13.5" customHeight="1" x14ac:dyDescent="0.25">
      <c r="A347" s="287"/>
      <c r="B347" s="287"/>
      <c r="C347" s="287"/>
      <c r="D347" s="287"/>
      <c r="E347" s="287"/>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E347" s="287"/>
      <c r="AF347" s="287"/>
      <c r="AG347" s="287"/>
      <c r="AH347" s="287"/>
      <c r="AI347" s="287"/>
      <c r="AJ347" s="287"/>
    </row>
    <row r="348" spans="1:36" ht="13.5" customHeight="1" x14ac:dyDescent="0.25">
      <c r="A348" s="287"/>
      <c r="B348" s="287"/>
      <c r="C348" s="287"/>
      <c r="D348" s="287"/>
      <c r="E348" s="287"/>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E348" s="287"/>
      <c r="AF348" s="287"/>
      <c r="AG348" s="287"/>
      <c r="AH348" s="287"/>
      <c r="AI348" s="287"/>
      <c r="AJ348" s="287"/>
    </row>
    <row r="349" spans="1:36" ht="13.5" customHeight="1" x14ac:dyDescent="0.25">
      <c r="A349" s="287"/>
      <c r="B349" s="287"/>
      <c r="C349" s="287"/>
      <c r="D349" s="287"/>
      <c r="E349" s="287"/>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E349" s="287"/>
      <c r="AF349" s="287"/>
      <c r="AG349" s="287"/>
      <c r="AH349" s="287"/>
      <c r="AI349" s="287"/>
      <c r="AJ349" s="287"/>
    </row>
    <row r="350" spans="1:36" ht="13.5" customHeight="1" x14ac:dyDescent="0.25">
      <c r="A350" s="287"/>
      <c r="B350" s="287"/>
      <c r="C350" s="287"/>
      <c r="D350" s="287"/>
      <c r="E350" s="287"/>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E350" s="287"/>
      <c r="AF350" s="287"/>
      <c r="AG350" s="287"/>
      <c r="AH350" s="287"/>
      <c r="AI350" s="287"/>
      <c r="AJ350" s="287"/>
    </row>
    <row r="351" spans="1:36" ht="13.5" customHeight="1" x14ac:dyDescent="0.25">
      <c r="A351" s="287"/>
      <c r="B351" s="287"/>
      <c r="C351" s="287"/>
      <c r="D351" s="287"/>
      <c r="E351" s="287"/>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E351" s="287"/>
      <c r="AF351" s="287"/>
      <c r="AG351" s="287"/>
      <c r="AH351" s="287"/>
      <c r="AI351" s="287"/>
      <c r="AJ351" s="287"/>
    </row>
    <row r="352" spans="1:36" ht="13.5" customHeight="1" x14ac:dyDescent="0.25">
      <c r="A352" s="287"/>
      <c r="B352" s="287"/>
      <c r="C352" s="287"/>
      <c r="D352" s="287"/>
      <c r="E352" s="287"/>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E352" s="287"/>
      <c r="AF352" s="287"/>
      <c r="AG352" s="287"/>
      <c r="AH352" s="287"/>
      <c r="AI352" s="287"/>
      <c r="AJ352" s="287"/>
    </row>
    <row r="353" spans="1:36" ht="13.5" customHeight="1" x14ac:dyDescent="0.25">
      <c r="A353" s="287"/>
      <c r="B353" s="287"/>
      <c r="C353" s="287"/>
      <c r="D353" s="287"/>
      <c r="E353" s="287"/>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E353" s="287"/>
      <c r="AF353" s="287"/>
      <c r="AG353" s="287"/>
      <c r="AH353" s="287"/>
      <c r="AI353" s="287"/>
      <c r="AJ353" s="287"/>
    </row>
    <row r="354" spans="1:36" ht="13.5" customHeight="1" x14ac:dyDescent="0.25">
      <c r="A354" s="287"/>
      <c r="B354" s="287"/>
      <c r="C354" s="287"/>
      <c r="D354" s="287"/>
      <c r="E354" s="287"/>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E354" s="287"/>
      <c r="AF354" s="287"/>
      <c r="AG354" s="287"/>
      <c r="AH354" s="287"/>
      <c r="AI354" s="287"/>
      <c r="AJ354" s="287"/>
    </row>
    <row r="355" spans="1:36" ht="13.5" customHeight="1" x14ac:dyDescent="0.25">
      <c r="A355" s="287"/>
      <c r="B355" s="287"/>
      <c r="C355" s="287"/>
      <c r="D355" s="287"/>
      <c r="E355" s="287"/>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E355" s="287"/>
      <c r="AF355" s="287"/>
      <c r="AG355" s="287"/>
      <c r="AH355" s="287"/>
      <c r="AI355" s="287"/>
      <c r="AJ355" s="287"/>
    </row>
    <row r="356" spans="1:36" ht="13.5" customHeight="1" x14ac:dyDescent="0.25">
      <c r="A356" s="287"/>
      <c r="B356" s="287"/>
      <c r="C356" s="287"/>
      <c r="D356" s="287"/>
      <c r="E356" s="287"/>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E356" s="287"/>
      <c r="AF356" s="287"/>
      <c r="AG356" s="287"/>
      <c r="AH356" s="287"/>
      <c r="AI356" s="287"/>
      <c r="AJ356" s="287"/>
    </row>
    <row r="357" spans="1:36" ht="13.5" customHeight="1" x14ac:dyDescent="0.25">
      <c r="A357" s="287"/>
      <c r="B357" s="287"/>
      <c r="C357" s="287"/>
      <c r="D357" s="287"/>
      <c r="E357" s="287"/>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E357" s="287"/>
      <c r="AF357" s="287"/>
      <c r="AG357" s="287"/>
      <c r="AH357" s="287"/>
      <c r="AI357" s="287"/>
      <c r="AJ357" s="287"/>
    </row>
    <row r="358" spans="1:36" ht="13.5" customHeight="1" x14ac:dyDescent="0.25">
      <c r="A358" s="287"/>
      <c r="B358" s="287"/>
      <c r="C358" s="287"/>
      <c r="D358" s="287"/>
      <c r="E358" s="287"/>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E358" s="287"/>
      <c r="AF358" s="287"/>
      <c r="AG358" s="287"/>
      <c r="AH358" s="287"/>
      <c r="AI358" s="287"/>
      <c r="AJ358" s="287"/>
    </row>
    <row r="359" spans="1:36" ht="13.5" customHeight="1" x14ac:dyDescent="0.25">
      <c r="A359" s="287"/>
      <c r="B359" s="287"/>
      <c r="C359" s="287"/>
      <c r="D359" s="287"/>
      <c r="E359" s="287"/>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E359" s="287"/>
      <c r="AF359" s="287"/>
      <c r="AG359" s="287"/>
      <c r="AH359" s="287"/>
      <c r="AI359" s="287"/>
      <c r="AJ359" s="287"/>
    </row>
    <row r="360" spans="1:36" ht="13.5" customHeight="1" x14ac:dyDescent="0.25">
      <c r="A360" s="287"/>
      <c r="B360" s="287"/>
      <c r="C360" s="287"/>
      <c r="D360" s="287"/>
      <c r="E360" s="287"/>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E360" s="287"/>
      <c r="AF360" s="287"/>
      <c r="AG360" s="287"/>
      <c r="AH360" s="287"/>
      <c r="AI360" s="287"/>
      <c r="AJ360" s="287"/>
    </row>
    <row r="361" spans="1:36" ht="13.5" customHeight="1" x14ac:dyDescent="0.25">
      <c r="A361" s="287"/>
      <c r="B361" s="287"/>
      <c r="C361" s="287"/>
      <c r="D361" s="287"/>
      <c r="E361" s="287"/>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E361" s="287"/>
      <c r="AF361" s="287"/>
      <c r="AG361" s="287"/>
      <c r="AH361" s="287"/>
      <c r="AI361" s="287"/>
      <c r="AJ361" s="287"/>
    </row>
    <row r="362" spans="1:36" ht="13.5" customHeight="1" x14ac:dyDescent="0.25">
      <c r="A362" s="287"/>
      <c r="B362" s="287"/>
      <c r="C362" s="287"/>
      <c r="D362" s="287"/>
      <c r="E362" s="287"/>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E362" s="287"/>
      <c r="AF362" s="287"/>
      <c r="AG362" s="287"/>
      <c r="AH362" s="287"/>
      <c r="AI362" s="287"/>
      <c r="AJ362" s="287"/>
    </row>
    <row r="363" spans="1:36" ht="13.5" customHeight="1" x14ac:dyDescent="0.25">
      <c r="A363" s="287"/>
      <c r="B363" s="287"/>
      <c r="C363" s="287"/>
      <c r="D363" s="287"/>
      <c r="E363" s="287"/>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E363" s="287"/>
      <c r="AF363" s="287"/>
      <c r="AG363" s="287"/>
      <c r="AH363" s="287"/>
      <c r="AI363" s="287"/>
      <c r="AJ363" s="287"/>
    </row>
    <row r="364" spans="1:36" ht="13.5" customHeight="1" x14ac:dyDescent="0.25">
      <c r="A364" s="287"/>
      <c r="B364" s="287"/>
      <c r="C364" s="287"/>
      <c r="D364" s="287"/>
      <c r="E364" s="287"/>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E364" s="287"/>
      <c r="AF364" s="287"/>
      <c r="AG364" s="287"/>
      <c r="AH364" s="287"/>
      <c r="AI364" s="287"/>
      <c r="AJ364" s="287"/>
    </row>
    <row r="365" spans="1:36" ht="13.5" customHeight="1" x14ac:dyDescent="0.25">
      <c r="A365" s="287"/>
      <c r="B365" s="287"/>
      <c r="C365" s="287"/>
      <c r="D365" s="287"/>
      <c r="E365" s="287"/>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E365" s="287"/>
      <c r="AF365" s="287"/>
      <c r="AG365" s="287"/>
      <c r="AH365" s="287"/>
      <c r="AI365" s="287"/>
      <c r="AJ365" s="287"/>
    </row>
    <row r="366" spans="1:36" ht="13.5" customHeight="1" x14ac:dyDescent="0.25">
      <c r="A366" s="287"/>
      <c r="B366" s="287"/>
      <c r="C366" s="287"/>
      <c r="D366" s="287"/>
      <c r="E366" s="287"/>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E366" s="287"/>
      <c r="AF366" s="287"/>
      <c r="AG366" s="287"/>
      <c r="AH366" s="287"/>
      <c r="AI366" s="287"/>
      <c r="AJ366" s="287"/>
    </row>
    <row r="367" spans="1:36" ht="13.5" customHeight="1" x14ac:dyDescent="0.25">
      <c r="A367" s="287"/>
      <c r="B367" s="287"/>
      <c r="C367" s="287"/>
      <c r="D367" s="287"/>
      <c r="E367" s="287"/>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E367" s="287"/>
      <c r="AF367" s="287"/>
      <c r="AG367" s="287"/>
      <c r="AH367" s="287"/>
      <c r="AI367" s="287"/>
      <c r="AJ367" s="287"/>
    </row>
    <row r="368" spans="1:36" ht="13.5" customHeight="1" x14ac:dyDescent="0.25">
      <c r="A368" s="287"/>
      <c r="B368" s="287"/>
      <c r="C368" s="287"/>
      <c r="D368" s="287"/>
      <c r="E368" s="287"/>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E368" s="287"/>
      <c r="AF368" s="287"/>
      <c r="AG368" s="287"/>
      <c r="AH368" s="287"/>
      <c r="AI368" s="287"/>
      <c r="AJ368" s="287"/>
    </row>
    <row r="369" spans="1:36" ht="13.5" customHeight="1" x14ac:dyDescent="0.25">
      <c r="A369" s="287"/>
      <c r="B369" s="287"/>
      <c r="C369" s="287"/>
      <c r="D369" s="287"/>
      <c r="E369" s="287"/>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E369" s="287"/>
      <c r="AF369" s="287"/>
      <c r="AG369" s="287"/>
      <c r="AH369" s="287"/>
      <c r="AI369" s="287"/>
      <c r="AJ369" s="287"/>
    </row>
    <row r="370" spans="1:36" ht="13.5" customHeight="1" x14ac:dyDescent="0.25">
      <c r="A370" s="287"/>
      <c r="B370" s="287"/>
      <c r="C370" s="287"/>
      <c r="D370" s="287"/>
      <c r="E370" s="287"/>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E370" s="287"/>
      <c r="AF370" s="287"/>
      <c r="AG370" s="287"/>
      <c r="AH370" s="287"/>
      <c r="AI370" s="287"/>
      <c r="AJ370" s="287"/>
    </row>
    <row r="371" spans="1:36" ht="13.5" customHeight="1" x14ac:dyDescent="0.25">
      <c r="A371" s="287"/>
      <c r="B371" s="287"/>
      <c r="C371" s="287"/>
      <c r="D371" s="287"/>
      <c r="E371" s="287"/>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E371" s="287"/>
      <c r="AF371" s="287"/>
      <c r="AG371" s="287"/>
      <c r="AH371" s="287"/>
      <c r="AI371" s="287"/>
      <c r="AJ371" s="287"/>
    </row>
    <row r="372" spans="1:36" ht="13.5" customHeight="1" x14ac:dyDescent="0.25">
      <c r="A372" s="287"/>
      <c r="B372" s="287"/>
      <c r="C372" s="287"/>
      <c r="D372" s="287"/>
      <c r="E372" s="287"/>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E372" s="287"/>
      <c r="AF372" s="287"/>
      <c r="AG372" s="287"/>
      <c r="AH372" s="287"/>
      <c r="AI372" s="287"/>
      <c r="AJ372" s="287"/>
    </row>
    <row r="373" spans="1:36" ht="13.5" customHeight="1" x14ac:dyDescent="0.25">
      <c r="A373" s="287"/>
      <c r="B373" s="287"/>
      <c r="C373" s="287"/>
      <c r="D373" s="287"/>
      <c r="E373" s="287"/>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E373" s="287"/>
      <c r="AF373" s="287"/>
      <c r="AG373" s="287"/>
      <c r="AH373" s="287"/>
      <c r="AI373" s="287"/>
      <c r="AJ373" s="287"/>
    </row>
    <row r="374" spans="1:36" ht="13.5" customHeight="1" x14ac:dyDescent="0.25">
      <c r="A374" s="287"/>
      <c r="B374" s="287"/>
      <c r="C374" s="287"/>
      <c r="D374" s="287"/>
      <c r="E374" s="287"/>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E374" s="287"/>
      <c r="AF374" s="287"/>
      <c r="AG374" s="287"/>
      <c r="AH374" s="287"/>
      <c r="AI374" s="287"/>
      <c r="AJ374" s="287"/>
    </row>
    <row r="375" spans="1:36" ht="13.5" customHeight="1" x14ac:dyDescent="0.25">
      <c r="A375" s="287"/>
      <c r="B375" s="287"/>
      <c r="C375" s="287"/>
      <c r="D375" s="287"/>
      <c r="E375" s="287"/>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E375" s="287"/>
      <c r="AF375" s="287"/>
      <c r="AG375" s="287"/>
      <c r="AH375" s="287"/>
      <c r="AI375" s="287"/>
      <c r="AJ375" s="287"/>
    </row>
    <row r="376" spans="1:36" ht="13.5" customHeight="1" x14ac:dyDescent="0.25">
      <c r="A376" s="287"/>
      <c r="B376" s="287"/>
      <c r="C376" s="287"/>
      <c r="D376" s="287"/>
      <c r="E376" s="287"/>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E376" s="287"/>
      <c r="AF376" s="287"/>
      <c r="AG376" s="287"/>
      <c r="AH376" s="287"/>
      <c r="AI376" s="287"/>
      <c r="AJ376" s="287"/>
    </row>
    <row r="377" spans="1:36" ht="13.5" customHeight="1" x14ac:dyDescent="0.25">
      <c r="A377" s="287"/>
      <c r="B377" s="287"/>
      <c r="C377" s="287"/>
      <c r="D377" s="287"/>
      <c r="E377" s="287"/>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E377" s="287"/>
      <c r="AF377" s="287"/>
      <c r="AG377" s="287"/>
      <c r="AH377" s="287"/>
      <c r="AI377" s="287"/>
      <c r="AJ377" s="287"/>
    </row>
    <row r="378" spans="1:36" ht="13.5" customHeight="1" x14ac:dyDescent="0.25">
      <c r="A378" s="287"/>
      <c r="B378" s="287"/>
      <c r="C378" s="287"/>
      <c r="D378" s="287"/>
      <c r="E378" s="287"/>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E378" s="287"/>
      <c r="AF378" s="287"/>
      <c r="AG378" s="287"/>
      <c r="AH378" s="287"/>
      <c r="AI378" s="287"/>
      <c r="AJ378" s="287"/>
    </row>
    <row r="379" spans="1:36" ht="13.5" customHeight="1" x14ac:dyDescent="0.25">
      <c r="A379" s="287"/>
      <c r="B379" s="287"/>
      <c r="C379" s="287"/>
      <c r="D379" s="287"/>
      <c r="E379" s="287"/>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E379" s="287"/>
      <c r="AF379" s="287"/>
      <c r="AG379" s="287"/>
      <c r="AH379" s="287"/>
      <c r="AI379" s="287"/>
      <c r="AJ379" s="287"/>
    </row>
    <row r="380" spans="1:36" ht="13.5" customHeight="1" x14ac:dyDescent="0.25">
      <c r="A380" s="287"/>
      <c r="B380" s="287"/>
      <c r="C380" s="287"/>
      <c r="D380" s="287"/>
      <c r="E380" s="287"/>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E380" s="287"/>
      <c r="AF380" s="287"/>
      <c r="AG380" s="287"/>
      <c r="AH380" s="287"/>
      <c r="AI380" s="287"/>
      <c r="AJ380" s="287"/>
    </row>
    <row r="381" spans="1:36" ht="13.5" customHeight="1" x14ac:dyDescent="0.25">
      <c r="A381" s="287"/>
      <c r="B381" s="287"/>
      <c r="C381" s="287"/>
      <c r="D381" s="287"/>
      <c r="E381" s="287"/>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E381" s="287"/>
      <c r="AF381" s="287"/>
      <c r="AG381" s="287"/>
      <c r="AH381" s="287"/>
      <c r="AI381" s="287"/>
      <c r="AJ381" s="287"/>
    </row>
    <row r="382" spans="1:36" ht="13.5" customHeight="1" x14ac:dyDescent="0.25">
      <c r="A382" s="287"/>
      <c r="B382" s="287"/>
      <c r="C382" s="287"/>
      <c r="D382" s="287"/>
      <c r="E382" s="287"/>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E382" s="287"/>
      <c r="AF382" s="287"/>
      <c r="AG382" s="287"/>
      <c r="AH382" s="287"/>
      <c r="AI382" s="287"/>
      <c r="AJ382" s="287"/>
    </row>
    <row r="383" spans="1:36" ht="13.5" customHeight="1" x14ac:dyDescent="0.25">
      <c r="A383" s="287"/>
      <c r="B383" s="287"/>
      <c r="C383" s="287"/>
      <c r="D383" s="287"/>
      <c r="E383" s="287"/>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E383" s="287"/>
      <c r="AF383" s="287"/>
      <c r="AG383" s="287"/>
      <c r="AH383" s="287"/>
      <c r="AI383" s="287"/>
      <c r="AJ383" s="287"/>
    </row>
    <row r="384" spans="1:36" ht="13.5" customHeight="1" x14ac:dyDescent="0.25">
      <c r="A384" s="287"/>
      <c r="B384" s="287"/>
      <c r="C384" s="287"/>
      <c r="D384" s="287"/>
      <c r="E384" s="287"/>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E384" s="287"/>
      <c r="AF384" s="287"/>
      <c r="AG384" s="287"/>
      <c r="AH384" s="287"/>
      <c r="AI384" s="287"/>
      <c r="AJ384" s="287"/>
    </row>
    <row r="385" spans="1:36" ht="13.5" customHeight="1" x14ac:dyDescent="0.25">
      <c r="A385" s="287"/>
      <c r="B385" s="287"/>
      <c r="C385" s="287"/>
      <c r="D385" s="287"/>
      <c r="E385" s="287"/>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E385" s="287"/>
      <c r="AF385" s="287"/>
      <c r="AG385" s="287"/>
      <c r="AH385" s="287"/>
      <c r="AI385" s="287"/>
      <c r="AJ385" s="287"/>
    </row>
    <row r="386" spans="1:36" ht="13.5" customHeight="1" x14ac:dyDescent="0.25">
      <c r="A386" s="287"/>
      <c r="B386" s="287"/>
      <c r="C386" s="287"/>
      <c r="D386" s="287"/>
      <c r="E386" s="287"/>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E386" s="287"/>
      <c r="AF386" s="287"/>
      <c r="AG386" s="287"/>
      <c r="AH386" s="287"/>
      <c r="AI386" s="287"/>
      <c r="AJ386" s="287"/>
    </row>
    <row r="387" spans="1:36" ht="13.5" customHeight="1" x14ac:dyDescent="0.25">
      <c r="A387" s="287"/>
      <c r="B387" s="287"/>
      <c r="C387" s="287"/>
      <c r="D387" s="287"/>
      <c r="E387" s="287"/>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E387" s="287"/>
      <c r="AF387" s="287"/>
      <c r="AG387" s="287"/>
      <c r="AH387" s="287"/>
      <c r="AI387" s="287"/>
      <c r="AJ387" s="287"/>
    </row>
    <row r="388" spans="1:36" ht="13.5" customHeight="1" x14ac:dyDescent="0.25">
      <c r="A388" s="287"/>
      <c r="B388" s="287"/>
      <c r="C388" s="287"/>
      <c r="D388" s="287"/>
      <c r="E388" s="287"/>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E388" s="287"/>
      <c r="AF388" s="287"/>
      <c r="AG388" s="287"/>
      <c r="AH388" s="287"/>
      <c r="AI388" s="287"/>
      <c r="AJ388" s="287"/>
    </row>
    <row r="389" spans="1:36" ht="13.5" customHeight="1" x14ac:dyDescent="0.25">
      <c r="A389" s="287"/>
      <c r="B389" s="287"/>
      <c r="C389" s="287"/>
      <c r="D389" s="287"/>
      <c r="E389" s="287"/>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E389" s="287"/>
      <c r="AF389" s="287"/>
      <c r="AG389" s="287"/>
      <c r="AH389" s="287"/>
      <c r="AI389" s="287"/>
      <c r="AJ389" s="287"/>
    </row>
    <row r="390" spans="1:36" ht="13.5" customHeight="1" x14ac:dyDescent="0.25">
      <c r="A390" s="287"/>
      <c r="B390" s="287"/>
      <c r="C390" s="287"/>
      <c r="D390" s="287"/>
      <c r="E390" s="287"/>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E390" s="287"/>
      <c r="AF390" s="287"/>
      <c r="AG390" s="287"/>
      <c r="AH390" s="287"/>
      <c r="AI390" s="287"/>
      <c r="AJ390" s="287"/>
    </row>
    <row r="391" spans="1:36" ht="13.5" customHeight="1" x14ac:dyDescent="0.25">
      <c r="A391" s="287"/>
      <c r="B391" s="287"/>
      <c r="C391" s="287"/>
      <c r="D391" s="287"/>
      <c r="E391" s="287"/>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E391" s="287"/>
      <c r="AF391" s="287"/>
      <c r="AG391" s="287"/>
      <c r="AH391" s="287"/>
      <c r="AI391" s="287"/>
      <c r="AJ391" s="287"/>
    </row>
    <row r="392" spans="1:36" ht="13.5" customHeight="1" x14ac:dyDescent="0.25">
      <c r="A392" s="287"/>
      <c r="B392" s="287"/>
      <c r="C392" s="287"/>
      <c r="D392" s="287"/>
      <c r="E392" s="287"/>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E392" s="287"/>
      <c r="AF392" s="287"/>
      <c r="AG392" s="287"/>
      <c r="AH392" s="287"/>
      <c r="AI392" s="287"/>
      <c r="AJ392" s="287"/>
    </row>
    <row r="393" spans="1:36" ht="13.5" customHeight="1" x14ac:dyDescent="0.25">
      <c r="A393" s="287"/>
      <c r="B393" s="287"/>
      <c r="C393" s="287"/>
      <c r="D393" s="287"/>
      <c r="E393" s="287"/>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E393" s="287"/>
      <c r="AF393" s="287"/>
      <c r="AG393" s="287"/>
      <c r="AH393" s="287"/>
      <c r="AI393" s="287"/>
      <c r="AJ393" s="287"/>
    </row>
    <row r="394" spans="1:36" ht="13.5" customHeight="1" x14ac:dyDescent="0.25">
      <c r="A394" s="287"/>
      <c r="B394" s="287"/>
      <c r="C394" s="287"/>
      <c r="D394" s="287"/>
      <c r="E394" s="287"/>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E394" s="287"/>
      <c r="AF394" s="287"/>
      <c r="AG394" s="287"/>
      <c r="AH394" s="287"/>
      <c r="AI394" s="287"/>
      <c r="AJ394" s="287"/>
    </row>
    <row r="395" spans="1:36" ht="13.5" customHeight="1" x14ac:dyDescent="0.25">
      <c r="A395" s="287"/>
      <c r="B395" s="287"/>
      <c r="C395" s="287"/>
      <c r="D395" s="287"/>
      <c r="E395" s="287"/>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E395" s="287"/>
      <c r="AF395" s="287"/>
      <c r="AG395" s="287"/>
      <c r="AH395" s="287"/>
      <c r="AI395" s="287"/>
      <c r="AJ395" s="287"/>
    </row>
    <row r="396" spans="1:36" ht="13.5" customHeight="1" x14ac:dyDescent="0.25">
      <c r="A396" s="287"/>
      <c r="B396" s="287"/>
      <c r="C396" s="287"/>
      <c r="D396" s="287"/>
      <c r="E396" s="287"/>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E396" s="287"/>
      <c r="AF396" s="287"/>
      <c r="AG396" s="287"/>
      <c r="AH396" s="287"/>
      <c r="AI396" s="287"/>
      <c r="AJ396" s="287"/>
    </row>
    <row r="397" spans="1:36" ht="13.5" customHeight="1" x14ac:dyDescent="0.25">
      <c r="A397" s="287"/>
      <c r="B397" s="287"/>
      <c r="C397" s="287"/>
      <c r="D397" s="287"/>
      <c r="E397" s="287"/>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E397" s="287"/>
      <c r="AF397" s="287"/>
      <c r="AG397" s="287"/>
      <c r="AH397" s="287"/>
      <c r="AI397" s="287"/>
      <c r="AJ397" s="287"/>
    </row>
    <row r="398" spans="1:36" ht="13.5" customHeight="1" x14ac:dyDescent="0.25">
      <c r="A398" s="287"/>
      <c r="B398" s="287"/>
      <c r="C398" s="287"/>
      <c r="D398" s="287"/>
      <c r="E398" s="287"/>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E398" s="287"/>
      <c r="AF398" s="287"/>
      <c r="AG398" s="287"/>
      <c r="AH398" s="287"/>
      <c r="AI398" s="287"/>
      <c r="AJ398" s="287"/>
    </row>
    <row r="399" spans="1:36" ht="13.5" customHeight="1" x14ac:dyDescent="0.25">
      <c r="A399" s="287"/>
      <c r="B399" s="287"/>
      <c r="C399" s="287"/>
      <c r="D399" s="287"/>
      <c r="E399" s="287"/>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E399" s="287"/>
      <c r="AF399" s="287"/>
      <c r="AG399" s="287"/>
      <c r="AH399" s="287"/>
      <c r="AI399" s="287"/>
      <c r="AJ399" s="287"/>
    </row>
    <row r="400" spans="1:36" ht="13.5" customHeight="1" x14ac:dyDescent="0.25">
      <c r="A400" s="287"/>
      <c r="B400" s="287"/>
      <c r="C400" s="287"/>
      <c r="D400" s="287"/>
      <c r="E400" s="287"/>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E400" s="287"/>
      <c r="AF400" s="287"/>
      <c r="AG400" s="287"/>
      <c r="AH400" s="287"/>
      <c r="AI400" s="287"/>
      <c r="AJ400" s="287"/>
    </row>
    <row r="401" spans="1:36" ht="13.5" customHeight="1" x14ac:dyDescent="0.25">
      <c r="A401" s="287"/>
      <c r="B401" s="287"/>
      <c r="C401" s="287"/>
      <c r="D401" s="287"/>
      <c r="E401" s="287"/>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E401" s="287"/>
      <c r="AF401" s="287"/>
      <c r="AG401" s="287"/>
      <c r="AH401" s="287"/>
      <c r="AI401" s="287"/>
      <c r="AJ401" s="287"/>
    </row>
    <row r="402" spans="1:36" ht="13.5" customHeight="1" x14ac:dyDescent="0.25">
      <c r="A402" s="287"/>
      <c r="B402" s="287"/>
      <c r="C402" s="287"/>
      <c r="D402" s="287"/>
      <c r="E402" s="287"/>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E402" s="287"/>
      <c r="AF402" s="287"/>
      <c r="AG402" s="287"/>
      <c r="AH402" s="287"/>
      <c r="AI402" s="287"/>
      <c r="AJ402" s="287"/>
    </row>
    <row r="403" spans="1:36" ht="13.5" customHeight="1" x14ac:dyDescent="0.25">
      <c r="A403" s="287"/>
      <c r="B403" s="287"/>
      <c r="C403" s="287"/>
      <c r="D403" s="287"/>
      <c r="E403" s="287"/>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E403" s="287"/>
      <c r="AF403" s="287"/>
      <c r="AG403" s="287"/>
      <c r="AH403" s="287"/>
      <c r="AI403" s="287"/>
      <c r="AJ403" s="287"/>
    </row>
    <row r="404" spans="1:36" ht="13.5" customHeight="1" x14ac:dyDescent="0.25">
      <c r="A404" s="287"/>
      <c r="B404" s="287"/>
      <c r="C404" s="287"/>
      <c r="D404" s="287"/>
      <c r="E404" s="287"/>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E404" s="287"/>
      <c r="AF404" s="287"/>
      <c r="AG404" s="287"/>
      <c r="AH404" s="287"/>
      <c r="AI404" s="287"/>
      <c r="AJ404" s="287"/>
    </row>
    <row r="405" spans="1:36" ht="13.5" customHeight="1" x14ac:dyDescent="0.25">
      <c r="A405" s="287"/>
      <c r="B405" s="287"/>
      <c r="C405" s="287"/>
      <c r="D405" s="287"/>
      <c r="E405" s="287"/>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E405" s="287"/>
      <c r="AF405" s="287"/>
      <c r="AG405" s="287"/>
      <c r="AH405" s="287"/>
      <c r="AI405" s="287"/>
      <c r="AJ405" s="287"/>
    </row>
    <row r="406" spans="1:36" ht="13.5" customHeight="1" x14ac:dyDescent="0.25">
      <c r="A406" s="287"/>
      <c r="B406" s="287"/>
      <c r="C406" s="287"/>
      <c r="D406" s="287"/>
      <c r="E406" s="287"/>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E406" s="287"/>
      <c r="AF406" s="287"/>
      <c r="AG406" s="287"/>
      <c r="AH406" s="287"/>
      <c r="AI406" s="287"/>
      <c r="AJ406" s="287"/>
    </row>
    <row r="407" spans="1:36" ht="13.5" customHeight="1" x14ac:dyDescent="0.25">
      <c r="A407" s="287"/>
      <c r="B407" s="287"/>
      <c r="C407" s="287"/>
      <c r="D407" s="287"/>
      <c r="E407" s="287"/>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E407" s="287"/>
      <c r="AF407" s="287"/>
      <c r="AG407" s="287"/>
      <c r="AH407" s="287"/>
      <c r="AI407" s="287"/>
      <c r="AJ407" s="287"/>
    </row>
    <row r="408" spans="1:36" ht="13.5" customHeight="1" x14ac:dyDescent="0.25">
      <c r="A408" s="287"/>
      <c r="B408" s="287"/>
      <c r="C408" s="287"/>
      <c r="D408" s="287"/>
      <c r="E408" s="287"/>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E408" s="287"/>
      <c r="AF408" s="287"/>
      <c r="AG408" s="287"/>
      <c r="AH408" s="287"/>
      <c r="AI408" s="287"/>
      <c r="AJ408" s="287"/>
    </row>
    <row r="409" spans="1:36" ht="13.5" customHeight="1" x14ac:dyDescent="0.25">
      <c r="A409" s="287"/>
      <c r="B409" s="287"/>
      <c r="C409" s="287"/>
      <c r="D409" s="287"/>
      <c r="E409" s="287"/>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E409" s="287"/>
      <c r="AF409" s="287"/>
      <c r="AG409" s="287"/>
      <c r="AH409" s="287"/>
      <c r="AI409" s="287"/>
      <c r="AJ409" s="287"/>
    </row>
    <row r="410" spans="1:36" ht="13.5" customHeight="1" x14ac:dyDescent="0.25">
      <c r="A410" s="287"/>
      <c r="B410" s="287"/>
      <c r="C410" s="287"/>
      <c r="D410" s="287"/>
      <c r="E410" s="287"/>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E410" s="287"/>
      <c r="AF410" s="287"/>
      <c r="AG410" s="287"/>
      <c r="AH410" s="287"/>
      <c r="AI410" s="287"/>
      <c r="AJ410" s="287"/>
    </row>
    <row r="411" spans="1:36" ht="13.5" customHeight="1" x14ac:dyDescent="0.25">
      <c r="A411" s="287"/>
      <c r="B411" s="287"/>
      <c r="C411" s="287"/>
      <c r="D411" s="287"/>
      <c r="E411" s="287"/>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E411" s="287"/>
      <c r="AF411" s="287"/>
      <c r="AG411" s="287"/>
      <c r="AH411" s="287"/>
      <c r="AI411" s="287"/>
      <c r="AJ411" s="287"/>
    </row>
    <row r="412" spans="1:36" ht="13.5" customHeight="1" x14ac:dyDescent="0.25">
      <c r="A412" s="287"/>
      <c r="B412" s="287"/>
      <c r="C412" s="287"/>
      <c r="D412" s="287"/>
      <c r="E412" s="287"/>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E412" s="287"/>
      <c r="AF412" s="287"/>
      <c r="AG412" s="287"/>
      <c r="AH412" s="287"/>
      <c r="AI412" s="287"/>
      <c r="AJ412" s="287"/>
    </row>
    <row r="413" spans="1:36" ht="13.5" customHeight="1" x14ac:dyDescent="0.25">
      <c r="A413" s="287"/>
      <c r="B413" s="287"/>
      <c r="C413" s="287"/>
      <c r="D413" s="287"/>
      <c r="E413" s="287"/>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E413" s="287"/>
      <c r="AF413" s="287"/>
      <c r="AG413" s="287"/>
      <c r="AH413" s="287"/>
      <c r="AI413" s="287"/>
      <c r="AJ413" s="287"/>
    </row>
    <row r="414" spans="1:36" ht="13.5" customHeight="1" x14ac:dyDescent="0.25">
      <c r="A414" s="287"/>
      <c r="B414" s="287"/>
      <c r="C414" s="287"/>
      <c r="D414" s="287"/>
      <c r="E414" s="287"/>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E414" s="287"/>
      <c r="AF414" s="287"/>
      <c r="AG414" s="287"/>
      <c r="AH414" s="287"/>
      <c r="AI414" s="287"/>
      <c r="AJ414" s="287"/>
    </row>
    <row r="415" spans="1:36" ht="13.5" customHeight="1" x14ac:dyDescent="0.25">
      <c r="A415" s="287"/>
      <c r="B415" s="287"/>
      <c r="C415" s="287"/>
      <c r="D415" s="287"/>
      <c r="E415" s="287"/>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E415" s="287"/>
      <c r="AF415" s="287"/>
      <c r="AG415" s="287"/>
      <c r="AH415" s="287"/>
      <c r="AI415" s="287"/>
      <c r="AJ415" s="287"/>
    </row>
    <row r="416" spans="1:36" ht="13.5" customHeight="1" x14ac:dyDescent="0.25">
      <c r="A416" s="287"/>
      <c r="B416" s="287"/>
      <c r="C416" s="287"/>
      <c r="D416" s="287"/>
      <c r="E416" s="287"/>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E416" s="287"/>
      <c r="AF416" s="287"/>
      <c r="AG416" s="287"/>
      <c r="AH416" s="287"/>
      <c r="AI416" s="287"/>
      <c r="AJ416" s="287"/>
    </row>
    <row r="417" spans="1:36" ht="13.5" customHeight="1" x14ac:dyDescent="0.25">
      <c r="A417" s="287"/>
      <c r="B417" s="287"/>
      <c r="C417" s="287"/>
      <c r="D417" s="287"/>
      <c r="E417" s="287"/>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E417" s="287"/>
      <c r="AF417" s="287"/>
      <c r="AG417" s="287"/>
      <c r="AH417" s="287"/>
      <c r="AI417" s="287"/>
      <c r="AJ417" s="287"/>
    </row>
    <row r="418" spans="1:36" ht="13.5" customHeight="1" x14ac:dyDescent="0.25">
      <c r="A418" s="287"/>
      <c r="B418" s="287"/>
      <c r="C418" s="287"/>
      <c r="D418" s="287"/>
      <c r="E418" s="287"/>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E418" s="287"/>
      <c r="AF418" s="287"/>
      <c r="AG418" s="287"/>
      <c r="AH418" s="287"/>
      <c r="AI418" s="287"/>
      <c r="AJ418" s="287"/>
    </row>
    <row r="419" spans="1:36" ht="13.5" customHeight="1" x14ac:dyDescent="0.25">
      <c r="A419" s="287"/>
      <c r="B419" s="287"/>
      <c r="C419" s="287"/>
      <c r="D419" s="287"/>
      <c r="E419" s="287"/>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E419" s="287"/>
      <c r="AF419" s="287"/>
      <c r="AG419" s="287"/>
      <c r="AH419" s="287"/>
      <c r="AI419" s="287"/>
      <c r="AJ419" s="287"/>
    </row>
    <row r="420" spans="1:36" ht="13.5" customHeight="1" x14ac:dyDescent="0.25">
      <c r="A420" s="287"/>
      <c r="B420" s="287"/>
      <c r="C420" s="287"/>
      <c r="D420" s="287"/>
      <c r="E420" s="287"/>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E420" s="287"/>
      <c r="AF420" s="287"/>
      <c r="AG420" s="287"/>
      <c r="AH420" s="287"/>
      <c r="AI420" s="287"/>
      <c r="AJ420" s="287"/>
    </row>
    <row r="421" spans="1:36" ht="13.5" customHeight="1" x14ac:dyDescent="0.25">
      <c r="A421" s="287"/>
      <c r="B421" s="287"/>
      <c r="C421" s="287"/>
      <c r="D421" s="287"/>
      <c r="E421" s="287"/>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E421" s="287"/>
      <c r="AF421" s="287"/>
      <c r="AG421" s="287"/>
      <c r="AH421" s="287"/>
      <c r="AI421" s="287"/>
      <c r="AJ421" s="287"/>
    </row>
    <row r="422" spans="1:36" ht="13.5" customHeight="1" x14ac:dyDescent="0.25">
      <c r="A422" s="287"/>
      <c r="B422" s="287"/>
      <c r="C422" s="287"/>
      <c r="D422" s="287"/>
      <c r="E422" s="287"/>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E422" s="287"/>
      <c r="AF422" s="287"/>
      <c r="AG422" s="287"/>
      <c r="AH422" s="287"/>
      <c r="AI422" s="287"/>
      <c r="AJ422" s="287"/>
    </row>
    <row r="423" spans="1:36" ht="13.5" customHeight="1" x14ac:dyDescent="0.25">
      <c r="A423" s="287"/>
      <c r="B423" s="287"/>
      <c r="C423" s="287"/>
      <c r="D423" s="287"/>
      <c r="E423" s="287"/>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E423" s="287"/>
      <c r="AF423" s="287"/>
      <c r="AG423" s="287"/>
      <c r="AH423" s="287"/>
      <c r="AI423" s="287"/>
      <c r="AJ423" s="287"/>
    </row>
    <row r="424" spans="1:36" ht="13.5" customHeight="1" x14ac:dyDescent="0.25">
      <c r="A424" s="287"/>
      <c r="B424" s="287"/>
      <c r="C424" s="287"/>
      <c r="D424" s="287"/>
      <c r="E424" s="287"/>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E424" s="287"/>
      <c r="AF424" s="287"/>
      <c r="AG424" s="287"/>
      <c r="AH424" s="287"/>
      <c r="AI424" s="287"/>
      <c r="AJ424" s="287"/>
    </row>
    <row r="425" spans="1:36" ht="13.5" customHeight="1" x14ac:dyDescent="0.25">
      <c r="A425" s="287"/>
      <c r="B425" s="287"/>
      <c r="C425" s="287"/>
      <c r="D425" s="287"/>
      <c r="E425" s="287"/>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E425" s="287"/>
      <c r="AF425" s="287"/>
      <c r="AG425" s="287"/>
      <c r="AH425" s="287"/>
      <c r="AI425" s="287"/>
      <c r="AJ425" s="287"/>
    </row>
    <row r="426" spans="1:36" ht="13.5" customHeight="1" x14ac:dyDescent="0.25">
      <c r="A426" s="287"/>
      <c r="B426" s="287"/>
      <c r="C426" s="287"/>
      <c r="D426" s="287"/>
      <c r="E426" s="287"/>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E426" s="287"/>
      <c r="AF426" s="287"/>
      <c r="AG426" s="287"/>
      <c r="AH426" s="287"/>
      <c r="AI426" s="287"/>
      <c r="AJ426" s="287"/>
    </row>
    <row r="427" spans="1:36" ht="13.5" customHeight="1" x14ac:dyDescent="0.25">
      <c r="A427" s="287"/>
      <c r="B427" s="287"/>
      <c r="C427" s="287"/>
      <c r="D427" s="287"/>
      <c r="E427" s="287"/>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E427" s="287"/>
      <c r="AF427" s="287"/>
      <c r="AG427" s="287"/>
      <c r="AH427" s="287"/>
      <c r="AI427" s="287"/>
      <c r="AJ427" s="287"/>
    </row>
    <row r="428" spans="1:36" ht="13.5" customHeight="1" x14ac:dyDescent="0.25">
      <c r="A428" s="287"/>
      <c r="B428" s="287"/>
      <c r="C428" s="287"/>
      <c r="D428" s="287"/>
      <c r="E428" s="287"/>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E428" s="287"/>
      <c r="AF428" s="287"/>
      <c r="AG428" s="287"/>
      <c r="AH428" s="287"/>
      <c r="AI428" s="287"/>
      <c r="AJ428" s="287"/>
    </row>
    <row r="429" spans="1:36" ht="13.5" customHeight="1" x14ac:dyDescent="0.25">
      <c r="A429" s="287"/>
      <c r="B429" s="287"/>
      <c r="C429" s="287"/>
      <c r="D429" s="287"/>
      <c r="E429" s="287"/>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E429" s="287"/>
      <c r="AF429" s="287"/>
      <c r="AG429" s="287"/>
      <c r="AH429" s="287"/>
      <c r="AI429" s="287"/>
      <c r="AJ429" s="287"/>
    </row>
    <row r="430" spans="1:36" ht="13.5" customHeight="1" x14ac:dyDescent="0.25">
      <c r="A430" s="287"/>
      <c r="B430" s="287"/>
      <c r="C430" s="287"/>
      <c r="D430" s="287"/>
      <c r="E430" s="287"/>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E430" s="287"/>
      <c r="AF430" s="287"/>
      <c r="AG430" s="287"/>
      <c r="AH430" s="287"/>
      <c r="AI430" s="287"/>
      <c r="AJ430" s="287"/>
    </row>
    <row r="431" spans="1:36" ht="13.5" customHeight="1" x14ac:dyDescent="0.25">
      <c r="A431" s="287"/>
      <c r="B431" s="287"/>
      <c r="C431" s="287"/>
      <c r="D431" s="287"/>
      <c r="E431" s="287"/>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E431" s="287"/>
      <c r="AF431" s="287"/>
      <c r="AG431" s="287"/>
      <c r="AH431" s="287"/>
      <c r="AI431" s="287"/>
      <c r="AJ431" s="287"/>
    </row>
    <row r="432" spans="1:36" ht="13.5" customHeight="1" x14ac:dyDescent="0.25">
      <c r="A432" s="287"/>
      <c r="B432" s="287"/>
      <c r="C432" s="287"/>
      <c r="D432" s="287"/>
      <c r="E432" s="287"/>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E432" s="287"/>
      <c r="AF432" s="287"/>
      <c r="AG432" s="287"/>
      <c r="AH432" s="287"/>
      <c r="AI432" s="287"/>
      <c r="AJ432" s="287"/>
    </row>
    <row r="433" spans="1:36" ht="13.5" customHeight="1" x14ac:dyDescent="0.25">
      <c r="A433" s="287"/>
      <c r="B433" s="287"/>
      <c r="C433" s="287"/>
      <c r="D433" s="287"/>
      <c r="E433" s="287"/>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E433" s="287"/>
      <c r="AF433" s="287"/>
      <c r="AG433" s="287"/>
      <c r="AH433" s="287"/>
      <c r="AI433" s="287"/>
      <c r="AJ433" s="287"/>
    </row>
    <row r="434" spans="1:36" ht="13.5" customHeight="1" x14ac:dyDescent="0.25">
      <c r="A434" s="287"/>
      <c r="B434" s="287"/>
      <c r="C434" s="287"/>
      <c r="D434" s="287"/>
      <c r="E434" s="287"/>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E434" s="287"/>
      <c r="AF434" s="287"/>
      <c r="AG434" s="287"/>
      <c r="AH434" s="287"/>
      <c r="AI434" s="287"/>
      <c r="AJ434" s="287"/>
    </row>
    <row r="435" spans="1:36" ht="13.5" customHeight="1" x14ac:dyDescent="0.25">
      <c r="A435" s="287"/>
      <c r="B435" s="287"/>
      <c r="C435" s="287"/>
      <c r="D435" s="287"/>
      <c r="E435" s="287"/>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E435" s="287"/>
      <c r="AF435" s="287"/>
      <c r="AG435" s="287"/>
      <c r="AH435" s="287"/>
      <c r="AI435" s="287"/>
      <c r="AJ435" s="287"/>
    </row>
    <row r="436" spans="1:36" ht="13.5" customHeight="1" x14ac:dyDescent="0.25">
      <c r="A436" s="287"/>
      <c r="B436" s="287"/>
      <c r="C436" s="287"/>
      <c r="D436" s="287"/>
      <c r="E436" s="287"/>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E436" s="287"/>
      <c r="AF436" s="287"/>
      <c r="AG436" s="287"/>
      <c r="AH436" s="287"/>
      <c r="AI436" s="287"/>
      <c r="AJ436" s="287"/>
    </row>
    <row r="437" spans="1:36" ht="13.5" customHeight="1" x14ac:dyDescent="0.25">
      <c r="A437" s="287"/>
      <c r="B437" s="287"/>
      <c r="C437" s="287"/>
      <c r="D437" s="287"/>
      <c r="E437" s="287"/>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E437" s="287"/>
      <c r="AF437" s="287"/>
      <c r="AG437" s="287"/>
      <c r="AH437" s="287"/>
      <c r="AI437" s="287"/>
      <c r="AJ437" s="287"/>
    </row>
    <row r="438" spans="1:36" ht="13.5" customHeight="1" x14ac:dyDescent="0.25">
      <c r="A438" s="287"/>
      <c r="B438" s="287"/>
      <c r="C438" s="287"/>
      <c r="D438" s="287"/>
      <c r="E438" s="287"/>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E438" s="287"/>
      <c r="AF438" s="287"/>
      <c r="AG438" s="287"/>
      <c r="AH438" s="287"/>
      <c r="AI438" s="287"/>
      <c r="AJ438" s="287"/>
    </row>
    <row r="439" spans="1:36" ht="13.5" customHeight="1" x14ac:dyDescent="0.25">
      <c r="A439" s="287"/>
      <c r="B439" s="287"/>
      <c r="C439" s="287"/>
      <c r="D439" s="287"/>
      <c r="E439" s="287"/>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E439" s="287"/>
      <c r="AF439" s="287"/>
      <c r="AG439" s="287"/>
      <c r="AH439" s="287"/>
      <c r="AI439" s="287"/>
      <c r="AJ439" s="287"/>
    </row>
    <row r="440" spans="1:36" ht="13.5" customHeight="1" x14ac:dyDescent="0.25">
      <c r="A440" s="287"/>
      <c r="B440" s="287"/>
      <c r="C440" s="287"/>
      <c r="D440" s="287"/>
      <c r="E440" s="287"/>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E440" s="287"/>
      <c r="AF440" s="287"/>
      <c r="AG440" s="287"/>
      <c r="AH440" s="287"/>
      <c r="AI440" s="287"/>
      <c r="AJ440" s="287"/>
    </row>
    <row r="441" spans="1:36" ht="13.5" customHeight="1" x14ac:dyDescent="0.25">
      <c r="A441" s="287"/>
      <c r="B441" s="287"/>
      <c r="C441" s="287"/>
      <c r="D441" s="287"/>
      <c r="E441" s="287"/>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E441" s="287"/>
      <c r="AF441" s="287"/>
      <c r="AG441" s="287"/>
      <c r="AH441" s="287"/>
      <c r="AI441" s="287"/>
      <c r="AJ441" s="287"/>
    </row>
    <row r="442" spans="1:36" ht="13.5" customHeight="1" x14ac:dyDescent="0.25">
      <c r="A442" s="287"/>
      <c r="B442" s="287"/>
      <c r="C442" s="287"/>
      <c r="D442" s="287"/>
      <c r="E442" s="287"/>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E442" s="287"/>
      <c r="AF442" s="287"/>
      <c r="AG442" s="287"/>
      <c r="AH442" s="287"/>
      <c r="AI442" s="287"/>
      <c r="AJ442" s="287"/>
    </row>
    <row r="443" spans="1:36" ht="13.5" customHeight="1" x14ac:dyDescent="0.25">
      <c r="A443" s="287"/>
      <c r="B443" s="287"/>
      <c r="C443" s="287"/>
      <c r="D443" s="287"/>
      <c r="E443" s="287"/>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E443" s="287"/>
      <c r="AF443" s="287"/>
      <c r="AG443" s="287"/>
      <c r="AH443" s="287"/>
      <c r="AI443" s="287"/>
      <c r="AJ443" s="287"/>
    </row>
    <row r="444" spans="1:36" ht="13.5" customHeight="1" x14ac:dyDescent="0.25">
      <c r="A444" s="287"/>
      <c r="B444" s="287"/>
      <c r="C444" s="287"/>
      <c r="D444" s="287"/>
      <c r="E444" s="287"/>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E444" s="287"/>
      <c r="AF444" s="287"/>
      <c r="AG444" s="287"/>
      <c r="AH444" s="287"/>
      <c r="AI444" s="287"/>
      <c r="AJ444" s="287"/>
    </row>
    <row r="445" spans="1:36" ht="13.5" customHeight="1" x14ac:dyDescent="0.25">
      <c r="A445" s="287"/>
      <c r="B445" s="287"/>
      <c r="C445" s="287"/>
      <c r="D445" s="287"/>
      <c r="E445" s="287"/>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E445" s="287"/>
      <c r="AF445" s="287"/>
      <c r="AG445" s="287"/>
      <c r="AH445" s="287"/>
      <c r="AI445" s="287"/>
      <c r="AJ445" s="287"/>
    </row>
    <row r="446" spans="1:36" ht="13.5" customHeight="1" x14ac:dyDescent="0.25">
      <c r="A446" s="287"/>
      <c r="B446" s="287"/>
      <c r="C446" s="287"/>
      <c r="D446" s="287"/>
      <c r="E446" s="287"/>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E446" s="287"/>
      <c r="AF446" s="287"/>
      <c r="AG446" s="287"/>
      <c r="AH446" s="287"/>
      <c r="AI446" s="287"/>
      <c r="AJ446" s="287"/>
    </row>
    <row r="447" spans="1:36" ht="13.5" customHeight="1" x14ac:dyDescent="0.25">
      <c r="A447" s="287"/>
      <c r="B447" s="287"/>
      <c r="C447" s="287"/>
      <c r="D447" s="287"/>
      <c r="E447" s="287"/>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E447" s="287"/>
      <c r="AF447" s="287"/>
      <c r="AG447" s="287"/>
      <c r="AH447" s="287"/>
      <c r="AI447" s="287"/>
      <c r="AJ447" s="287"/>
    </row>
    <row r="448" spans="1:36" ht="13.5" customHeight="1" x14ac:dyDescent="0.25">
      <c r="A448" s="287"/>
      <c r="B448" s="287"/>
      <c r="C448" s="287"/>
      <c r="D448" s="287"/>
      <c r="E448" s="287"/>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E448" s="287"/>
      <c r="AF448" s="287"/>
      <c r="AG448" s="287"/>
      <c r="AH448" s="287"/>
      <c r="AI448" s="287"/>
      <c r="AJ448" s="287"/>
    </row>
    <row r="449" spans="1:36" ht="13.5" customHeight="1" x14ac:dyDescent="0.25">
      <c r="A449" s="287"/>
      <c r="B449" s="287"/>
      <c r="C449" s="287"/>
      <c r="D449" s="287"/>
      <c r="E449" s="287"/>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E449" s="287"/>
      <c r="AF449" s="287"/>
      <c r="AG449" s="287"/>
      <c r="AH449" s="287"/>
      <c r="AI449" s="287"/>
      <c r="AJ449" s="287"/>
    </row>
    <row r="450" spans="1:36" ht="13.5" customHeight="1" x14ac:dyDescent="0.25">
      <c r="A450" s="287"/>
      <c r="B450" s="287"/>
      <c r="C450" s="287"/>
      <c r="D450" s="287"/>
      <c r="E450" s="287"/>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E450" s="287"/>
      <c r="AF450" s="287"/>
      <c r="AG450" s="287"/>
      <c r="AH450" s="287"/>
      <c r="AI450" s="287"/>
      <c r="AJ450" s="287"/>
    </row>
    <row r="451" spans="1:36" ht="13.5" customHeight="1" x14ac:dyDescent="0.25">
      <c r="A451" s="287"/>
      <c r="B451" s="287"/>
      <c r="C451" s="287"/>
      <c r="D451" s="287"/>
      <c r="E451" s="287"/>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E451" s="287"/>
      <c r="AF451" s="287"/>
      <c r="AG451" s="287"/>
      <c r="AH451" s="287"/>
      <c r="AI451" s="287"/>
      <c r="AJ451" s="287"/>
    </row>
    <row r="452" spans="1:36" ht="13.5" customHeight="1" x14ac:dyDescent="0.25">
      <c r="A452" s="287"/>
      <c r="B452" s="287"/>
      <c r="C452" s="287"/>
      <c r="D452" s="287"/>
      <c r="E452" s="287"/>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E452" s="287"/>
      <c r="AF452" s="287"/>
      <c r="AG452" s="287"/>
      <c r="AH452" s="287"/>
      <c r="AI452" s="287"/>
      <c r="AJ452" s="287"/>
    </row>
    <row r="453" spans="1:36" ht="13.5" customHeight="1" x14ac:dyDescent="0.25">
      <c r="A453" s="287"/>
      <c r="B453" s="287"/>
      <c r="C453" s="287"/>
      <c r="D453" s="287"/>
      <c r="E453" s="287"/>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E453" s="287"/>
      <c r="AF453" s="287"/>
      <c r="AG453" s="287"/>
      <c r="AH453" s="287"/>
      <c r="AI453" s="287"/>
      <c r="AJ453" s="287"/>
    </row>
    <row r="454" spans="1:36" ht="13.5" customHeight="1" x14ac:dyDescent="0.25">
      <c r="A454" s="287"/>
      <c r="B454" s="287"/>
      <c r="C454" s="287"/>
      <c r="D454" s="287"/>
      <c r="E454" s="287"/>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E454" s="287"/>
      <c r="AF454" s="287"/>
      <c r="AG454" s="287"/>
      <c r="AH454" s="287"/>
      <c r="AI454" s="287"/>
      <c r="AJ454" s="287"/>
    </row>
    <row r="455" spans="1:36" ht="13.5" customHeight="1" x14ac:dyDescent="0.25">
      <c r="A455" s="287"/>
      <c r="B455" s="287"/>
      <c r="C455" s="287"/>
      <c r="D455" s="287"/>
      <c r="E455" s="287"/>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E455" s="287"/>
      <c r="AF455" s="287"/>
      <c r="AG455" s="287"/>
      <c r="AH455" s="287"/>
      <c r="AI455" s="287"/>
      <c r="AJ455" s="287"/>
    </row>
    <row r="456" spans="1:36" ht="13.5" customHeight="1" x14ac:dyDescent="0.25">
      <c r="A456" s="287"/>
      <c r="B456" s="287"/>
      <c r="C456" s="287"/>
      <c r="D456" s="287"/>
      <c r="E456" s="287"/>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E456" s="287"/>
      <c r="AF456" s="287"/>
      <c r="AG456" s="287"/>
      <c r="AH456" s="287"/>
      <c r="AI456" s="287"/>
      <c r="AJ456" s="287"/>
    </row>
    <row r="457" spans="1:36" ht="13.5" customHeight="1" x14ac:dyDescent="0.25">
      <c r="A457" s="287"/>
      <c r="B457" s="287"/>
      <c r="C457" s="287"/>
      <c r="D457" s="287"/>
      <c r="E457" s="287"/>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E457" s="287"/>
      <c r="AF457" s="287"/>
      <c r="AG457" s="287"/>
      <c r="AH457" s="287"/>
      <c r="AI457" s="287"/>
      <c r="AJ457" s="287"/>
    </row>
    <row r="458" spans="1:36" ht="13.5" customHeight="1" x14ac:dyDescent="0.25">
      <c r="A458" s="287"/>
      <c r="B458" s="287"/>
      <c r="C458" s="287"/>
      <c r="D458" s="287"/>
      <c r="E458" s="287"/>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E458" s="287"/>
      <c r="AF458" s="287"/>
      <c r="AG458" s="287"/>
      <c r="AH458" s="287"/>
      <c r="AI458" s="287"/>
      <c r="AJ458" s="287"/>
    </row>
    <row r="459" spans="1:36" ht="13.5" customHeight="1" x14ac:dyDescent="0.25">
      <c r="A459" s="287"/>
      <c r="B459" s="287"/>
      <c r="C459" s="287"/>
      <c r="D459" s="287"/>
      <c r="E459" s="287"/>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E459" s="287"/>
      <c r="AF459" s="287"/>
      <c r="AG459" s="287"/>
      <c r="AH459" s="287"/>
      <c r="AI459" s="287"/>
      <c r="AJ459" s="287"/>
    </row>
    <row r="460" spans="1:36" ht="13.5" customHeight="1" x14ac:dyDescent="0.25">
      <c r="A460" s="287"/>
      <c r="B460" s="287"/>
      <c r="C460" s="287"/>
      <c r="D460" s="287"/>
      <c r="E460" s="287"/>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E460" s="287"/>
      <c r="AF460" s="287"/>
      <c r="AG460" s="287"/>
      <c r="AH460" s="287"/>
      <c r="AI460" s="287"/>
      <c r="AJ460" s="287"/>
    </row>
    <row r="461" spans="1:36" ht="13.5" customHeight="1" x14ac:dyDescent="0.25">
      <c r="A461" s="287"/>
      <c r="B461" s="287"/>
      <c r="C461" s="287"/>
      <c r="D461" s="287"/>
      <c r="E461" s="287"/>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E461" s="287"/>
      <c r="AF461" s="287"/>
      <c r="AG461" s="287"/>
      <c r="AH461" s="287"/>
      <c r="AI461" s="287"/>
      <c r="AJ461" s="287"/>
    </row>
    <row r="462" spans="1:36" ht="13.5" customHeight="1" x14ac:dyDescent="0.25">
      <c r="A462" s="287"/>
      <c r="B462" s="287"/>
      <c r="C462" s="287"/>
      <c r="D462" s="287"/>
      <c r="E462" s="287"/>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E462" s="287"/>
      <c r="AF462" s="287"/>
      <c r="AG462" s="287"/>
      <c r="AH462" s="287"/>
      <c r="AI462" s="287"/>
      <c r="AJ462" s="287"/>
    </row>
    <row r="463" spans="1:36" ht="13.5" customHeight="1" x14ac:dyDescent="0.25">
      <c r="A463" s="287"/>
      <c r="B463" s="287"/>
      <c r="C463" s="287"/>
      <c r="D463" s="287"/>
      <c r="E463" s="287"/>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E463" s="287"/>
      <c r="AF463" s="287"/>
      <c r="AG463" s="287"/>
      <c r="AH463" s="287"/>
      <c r="AI463" s="287"/>
      <c r="AJ463" s="287"/>
    </row>
    <row r="464" spans="1:36" ht="13.5" customHeight="1" x14ac:dyDescent="0.25">
      <c r="A464" s="287"/>
      <c r="B464" s="287"/>
      <c r="C464" s="287"/>
      <c r="D464" s="287"/>
      <c r="E464" s="287"/>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E464" s="287"/>
      <c r="AF464" s="287"/>
      <c r="AG464" s="287"/>
      <c r="AH464" s="287"/>
      <c r="AI464" s="287"/>
      <c r="AJ464" s="287"/>
    </row>
    <row r="465" spans="1:36" ht="13.5" customHeight="1" x14ac:dyDescent="0.25">
      <c r="A465" s="287"/>
      <c r="B465" s="287"/>
      <c r="C465" s="287"/>
      <c r="D465" s="287"/>
      <c r="E465" s="287"/>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E465" s="287"/>
      <c r="AF465" s="287"/>
      <c r="AG465" s="287"/>
      <c r="AH465" s="287"/>
      <c r="AI465" s="287"/>
      <c r="AJ465" s="287"/>
    </row>
    <row r="466" spans="1:36" ht="13.5" customHeight="1" x14ac:dyDescent="0.25">
      <c r="A466" s="287"/>
      <c r="B466" s="287"/>
      <c r="C466" s="287"/>
      <c r="D466" s="287"/>
      <c r="E466" s="287"/>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E466" s="287"/>
      <c r="AF466" s="287"/>
      <c r="AG466" s="287"/>
      <c r="AH466" s="287"/>
      <c r="AI466" s="287"/>
      <c r="AJ466" s="287"/>
    </row>
    <row r="467" spans="1:36" ht="13.5" customHeight="1" x14ac:dyDescent="0.25">
      <c r="A467" s="287"/>
      <c r="B467" s="287"/>
      <c r="C467" s="287"/>
      <c r="D467" s="287"/>
      <c r="E467" s="287"/>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E467" s="287"/>
      <c r="AF467" s="287"/>
      <c r="AG467" s="287"/>
      <c r="AH467" s="287"/>
      <c r="AI467" s="287"/>
      <c r="AJ467" s="287"/>
    </row>
    <row r="468" spans="1:36" ht="13.5" customHeight="1" x14ac:dyDescent="0.25">
      <c r="A468" s="287"/>
      <c r="B468" s="287"/>
      <c r="C468" s="287"/>
      <c r="D468" s="287"/>
      <c r="E468" s="287"/>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E468" s="287"/>
      <c r="AF468" s="287"/>
      <c r="AG468" s="287"/>
      <c r="AH468" s="287"/>
      <c r="AI468" s="287"/>
      <c r="AJ468" s="287"/>
    </row>
    <row r="469" spans="1:36" ht="13.5" customHeight="1" x14ac:dyDescent="0.25">
      <c r="A469" s="287"/>
      <c r="B469" s="287"/>
      <c r="C469" s="287"/>
      <c r="D469" s="287"/>
      <c r="E469" s="287"/>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E469" s="287"/>
      <c r="AF469" s="287"/>
      <c r="AG469" s="287"/>
      <c r="AH469" s="287"/>
      <c r="AI469" s="287"/>
      <c r="AJ469" s="287"/>
    </row>
    <row r="470" spans="1:36" ht="13.5" customHeight="1" x14ac:dyDescent="0.25">
      <c r="A470" s="287"/>
      <c r="B470" s="287"/>
      <c r="C470" s="287"/>
      <c r="D470" s="287"/>
      <c r="E470" s="287"/>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E470" s="287"/>
      <c r="AF470" s="287"/>
      <c r="AG470" s="287"/>
      <c r="AH470" s="287"/>
      <c r="AI470" s="287"/>
      <c r="AJ470" s="287"/>
    </row>
    <row r="471" spans="1:36" ht="13.5" customHeight="1" x14ac:dyDescent="0.25">
      <c r="A471" s="287"/>
      <c r="B471" s="287"/>
      <c r="C471" s="287"/>
      <c r="D471" s="287"/>
      <c r="E471" s="287"/>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E471" s="287"/>
      <c r="AF471" s="287"/>
      <c r="AG471" s="287"/>
      <c r="AH471" s="287"/>
      <c r="AI471" s="287"/>
      <c r="AJ471" s="287"/>
    </row>
    <row r="472" spans="1:36" ht="13.5" customHeight="1" x14ac:dyDescent="0.25">
      <c r="A472" s="287"/>
      <c r="B472" s="287"/>
      <c r="C472" s="287"/>
      <c r="D472" s="287"/>
      <c r="E472" s="287"/>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E472" s="287"/>
      <c r="AF472" s="287"/>
      <c r="AG472" s="287"/>
      <c r="AH472" s="287"/>
      <c r="AI472" s="287"/>
      <c r="AJ472" s="287"/>
    </row>
    <row r="473" spans="1:36" ht="13.5" customHeight="1" x14ac:dyDescent="0.25">
      <c r="A473" s="287"/>
      <c r="B473" s="287"/>
      <c r="C473" s="287"/>
      <c r="D473" s="287"/>
      <c r="E473" s="287"/>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E473" s="287"/>
      <c r="AF473" s="287"/>
      <c r="AG473" s="287"/>
      <c r="AH473" s="287"/>
      <c r="AI473" s="287"/>
      <c r="AJ473" s="287"/>
    </row>
    <row r="474" spans="1:36" ht="13.5" customHeight="1" x14ac:dyDescent="0.25">
      <c r="A474" s="287"/>
      <c r="B474" s="287"/>
      <c r="C474" s="287"/>
      <c r="D474" s="287"/>
      <c r="E474" s="287"/>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E474" s="287"/>
      <c r="AF474" s="287"/>
      <c r="AG474" s="287"/>
      <c r="AH474" s="287"/>
      <c r="AI474" s="287"/>
      <c r="AJ474" s="287"/>
    </row>
    <row r="475" spans="1:36" ht="13.5" customHeight="1" x14ac:dyDescent="0.25">
      <c r="A475" s="287"/>
      <c r="B475" s="287"/>
      <c r="C475" s="287"/>
      <c r="D475" s="287"/>
      <c r="E475" s="287"/>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E475" s="287"/>
      <c r="AF475" s="287"/>
      <c r="AG475" s="287"/>
      <c r="AH475" s="287"/>
      <c r="AI475" s="287"/>
      <c r="AJ475" s="287"/>
    </row>
    <row r="476" spans="1:36" ht="13.5" customHeight="1" x14ac:dyDescent="0.25">
      <c r="A476" s="287"/>
      <c r="B476" s="287"/>
      <c r="C476" s="287"/>
      <c r="D476" s="287"/>
      <c r="E476" s="287"/>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E476" s="287"/>
      <c r="AF476" s="287"/>
      <c r="AG476" s="287"/>
      <c r="AH476" s="287"/>
      <c r="AI476" s="287"/>
      <c r="AJ476" s="287"/>
    </row>
    <row r="477" spans="1:36" ht="13.5" customHeight="1" x14ac:dyDescent="0.25">
      <c r="A477" s="287"/>
      <c r="B477" s="287"/>
      <c r="C477" s="287"/>
      <c r="D477" s="287"/>
      <c r="E477" s="287"/>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E477" s="287"/>
      <c r="AF477" s="287"/>
      <c r="AG477" s="287"/>
      <c r="AH477" s="287"/>
      <c r="AI477" s="287"/>
      <c r="AJ477" s="287"/>
    </row>
    <row r="478" spans="1:36" ht="13.5" customHeight="1" x14ac:dyDescent="0.25">
      <c r="A478" s="287"/>
      <c r="B478" s="287"/>
      <c r="C478" s="287"/>
      <c r="D478" s="287"/>
      <c r="E478" s="287"/>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E478" s="287"/>
      <c r="AF478" s="287"/>
      <c r="AG478" s="287"/>
      <c r="AH478" s="287"/>
      <c r="AI478" s="287"/>
      <c r="AJ478" s="287"/>
    </row>
    <row r="479" spans="1:36" ht="13.5" customHeight="1" x14ac:dyDescent="0.25">
      <c r="A479" s="287"/>
      <c r="B479" s="287"/>
      <c r="C479" s="287"/>
      <c r="D479" s="287"/>
      <c r="E479" s="287"/>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E479" s="287"/>
      <c r="AF479" s="287"/>
      <c r="AG479" s="287"/>
      <c r="AH479" s="287"/>
      <c r="AI479" s="287"/>
      <c r="AJ479" s="287"/>
    </row>
    <row r="480" spans="1:36" ht="13.5" customHeight="1" x14ac:dyDescent="0.25">
      <c r="A480" s="287"/>
      <c r="B480" s="287"/>
      <c r="C480" s="287"/>
      <c r="D480" s="287"/>
      <c r="E480" s="287"/>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E480" s="287"/>
      <c r="AF480" s="287"/>
      <c r="AG480" s="287"/>
      <c r="AH480" s="287"/>
      <c r="AI480" s="287"/>
      <c r="AJ480" s="287"/>
    </row>
    <row r="481" spans="1:36" ht="13.5" customHeight="1" x14ac:dyDescent="0.25">
      <c r="A481" s="287"/>
      <c r="B481" s="287"/>
      <c r="C481" s="287"/>
      <c r="D481" s="287"/>
      <c r="E481" s="287"/>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E481" s="287"/>
      <c r="AF481" s="287"/>
      <c r="AG481" s="287"/>
      <c r="AH481" s="287"/>
      <c r="AI481" s="287"/>
      <c r="AJ481" s="287"/>
    </row>
    <row r="482" spans="1:36" ht="13.5" customHeight="1" x14ac:dyDescent="0.25">
      <c r="A482" s="287"/>
      <c r="B482" s="287"/>
      <c r="C482" s="287"/>
      <c r="D482" s="287"/>
      <c r="E482" s="287"/>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E482" s="287"/>
      <c r="AF482" s="287"/>
      <c r="AG482" s="287"/>
      <c r="AH482" s="287"/>
      <c r="AI482" s="287"/>
      <c r="AJ482" s="287"/>
    </row>
    <row r="483" spans="1:36" ht="13.5" customHeight="1" x14ac:dyDescent="0.25">
      <c r="A483" s="287"/>
      <c r="B483" s="287"/>
      <c r="C483" s="287"/>
      <c r="D483" s="287"/>
      <c r="E483" s="287"/>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E483" s="287"/>
      <c r="AF483" s="287"/>
      <c r="AG483" s="287"/>
      <c r="AH483" s="287"/>
      <c r="AI483" s="287"/>
      <c r="AJ483" s="287"/>
    </row>
    <row r="484" spans="1:36" ht="13.5" customHeight="1" x14ac:dyDescent="0.25">
      <c r="A484" s="287"/>
      <c r="B484" s="287"/>
      <c r="C484" s="287"/>
      <c r="D484" s="287"/>
      <c r="E484" s="287"/>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E484" s="287"/>
      <c r="AF484" s="287"/>
      <c r="AG484" s="287"/>
      <c r="AH484" s="287"/>
      <c r="AI484" s="287"/>
      <c r="AJ484" s="287"/>
    </row>
    <row r="485" spans="1:36" ht="13.5" customHeight="1" x14ac:dyDescent="0.25">
      <c r="A485" s="287"/>
      <c r="B485" s="287"/>
      <c r="C485" s="287"/>
      <c r="D485" s="287"/>
      <c r="E485" s="287"/>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E485" s="287"/>
      <c r="AF485" s="287"/>
      <c r="AG485" s="287"/>
      <c r="AH485" s="287"/>
      <c r="AI485" s="287"/>
      <c r="AJ485" s="287"/>
    </row>
    <row r="486" spans="1:36" ht="13.5" customHeight="1" x14ac:dyDescent="0.25">
      <c r="A486" s="287"/>
      <c r="B486" s="287"/>
      <c r="C486" s="287"/>
      <c r="D486" s="287"/>
      <c r="E486" s="287"/>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E486" s="287"/>
      <c r="AF486" s="287"/>
      <c r="AG486" s="287"/>
      <c r="AH486" s="287"/>
      <c r="AI486" s="287"/>
      <c r="AJ486" s="287"/>
    </row>
    <row r="487" spans="1:36" ht="13.5" customHeight="1" x14ac:dyDescent="0.25">
      <c r="A487" s="287"/>
      <c r="B487" s="287"/>
      <c r="C487" s="287"/>
      <c r="D487" s="287"/>
      <c r="E487" s="287"/>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E487" s="287"/>
      <c r="AF487" s="287"/>
      <c r="AG487" s="287"/>
      <c r="AH487" s="287"/>
      <c r="AI487" s="287"/>
      <c r="AJ487" s="287"/>
    </row>
    <row r="488" spans="1:36" ht="13.5" customHeight="1" x14ac:dyDescent="0.25">
      <c r="A488" s="287"/>
      <c r="B488" s="287"/>
      <c r="C488" s="287"/>
      <c r="D488" s="287"/>
      <c r="E488" s="287"/>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E488" s="287"/>
      <c r="AF488" s="287"/>
      <c r="AG488" s="287"/>
      <c r="AH488" s="287"/>
      <c r="AI488" s="287"/>
      <c r="AJ488" s="287"/>
    </row>
    <row r="489" spans="1:36" ht="13.5" customHeight="1" x14ac:dyDescent="0.25">
      <c r="A489" s="287"/>
      <c r="B489" s="287"/>
      <c r="C489" s="287"/>
      <c r="D489" s="287"/>
      <c r="E489" s="287"/>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E489" s="287"/>
      <c r="AF489" s="287"/>
      <c r="AG489" s="287"/>
      <c r="AH489" s="287"/>
      <c r="AI489" s="287"/>
      <c r="AJ489" s="287"/>
    </row>
    <row r="490" spans="1:36" ht="13.5" customHeight="1" x14ac:dyDescent="0.25">
      <c r="A490" s="287"/>
      <c r="B490" s="287"/>
      <c r="C490" s="287"/>
      <c r="D490" s="287"/>
      <c r="E490" s="287"/>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E490" s="287"/>
      <c r="AF490" s="287"/>
      <c r="AG490" s="287"/>
      <c r="AH490" s="287"/>
      <c r="AI490" s="287"/>
      <c r="AJ490" s="287"/>
    </row>
    <row r="491" spans="1:36" ht="13.5" customHeight="1" x14ac:dyDescent="0.25">
      <c r="A491" s="287"/>
      <c r="B491" s="287"/>
      <c r="C491" s="287"/>
      <c r="D491" s="287"/>
      <c r="E491" s="287"/>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E491" s="287"/>
      <c r="AF491" s="287"/>
      <c r="AG491" s="287"/>
      <c r="AH491" s="287"/>
      <c r="AI491" s="287"/>
      <c r="AJ491" s="287"/>
    </row>
    <row r="492" spans="1:36" ht="13.5" customHeight="1" x14ac:dyDescent="0.25">
      <c r="A492" s="287"/>
      <c r="B492" s="287"/>
      <c r="C492" s="287"/>
      <c r="D492" s="287"/>
      <c r="E492" s="287"/>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E492" s="287"/>
      <c r="AF492" s="287"/>
      <c r="AG492" s="287"/>
      <c r="AH492" s="287"/>
      <c r="AI492" s="287"/>
      <c r="AJ492" s="287"/>
    </row>
    <row r="493" spans="1:36" ht="13.5" customHeight="1" x14ac:dyDescent="0.25">
      <c r="A493" s="287"/>
      <c r="B493" s="287"/>
      <c r="C493" s="287"/>
      <c r="D493" s="287"/>
      <c r="E493" s="287"/>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E493" s="287"/>
      <c r="AF493" s="287"/>
      <c r="AG493" s="287"/>
      <c r="AH493" s="287"/>
      <c r="AI493" s="287"/>
      <c r="AJ493" s="287"/>
    </row>
    <row r="494" spans="1:36" ht="13.5" customHeight="1" x14ac:dyDescent="0.25">
      <c r="A494" s="287"/>
      <c r="B494" s="287"/>
      <c r="C494" s="287"/>
      <c r="D494" s="287"/>
      <c r="E494" s="287"/>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E494" s="287"/>
      <c r="AF494" s="287"/>
      <c r="AG494" s="287"/>
      <c r="AH494" s="287"/>
      <c r="AI494" s="287"/>
      <c r="AJ494" s="287"/>
    </row>
    <row r="495" spans="1:36" ht="13.5" customHeight="1" x14ac:dyDescent="0.25">
      <c r="A495" s="287"/>
      <c r="B495" s="287"/>
      <c r="C495" s="287"/>
      <c r="D495" s="287"/>
      <c r="E495" s="287"/>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E495" s="287"/>
      <c r="AF495" s="287"/>
      <c r="AG495" s="287"/>
      <c r="AH495" s="287"/>
      <c r="AI495" s="287"/>
      <c r="AJ495" s="287"/>
    </row>
    <row r="496" spans="1:36" ht="13.5" customHeight="1" x14ac:dyDescent="0.25">
      <c r="A496" s="287"/>
      <c r="B496" s="287"/>
      <c r="C496" s="287"/>
      <c r="D496" s="287"/>
      <c r="E496" s="287"/>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E496" s="287"/>
      <c r="AF496" s="287"/>
      <c r="AG496" s="287"/>
      <c r="AH496" s="287"/>
      <c r="AI496" s="287"/>
      <c r="AJ496" s="287"/>
    </row>
    <row r="497" spans="1:36" ht="13.5" customHeight="1" x14ac:dyDescent="0.25">
      <c r="A497" s="287"/>
      <c r="B497" s="287"/>
      <c r="C497" s="287"/>
      <c r="D497" s="287"/>
      <c r="E497" s="287"/>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E497" s="287"/>
      <c r="AF497" s="287"/>
      <c r="AG497" s="287"/>
      <c r="AH497" s="287"/>
      <c r="AI497" s="287"/>
      <c r="AJ497" s="287"/>
    </row>
    <row r="498" spans="1:36" ht="13.5" customHeight="1" x14ac:dyDescent="0.25">
      <c r="A498" s="287"/>
      <c r="B498" s="287"/>
      <c r="C498" s="287"/>
      <c r="D498" s="287"/>
      <c r="E498" s="287"/>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E498" s="287"/>
      <c r="AF498" s="287"/>
      <c r="AG498" s="287"/>
      <c r="AH498" s="287"/>
      <c r="AI498" s="287"/>
      <c r="AJ498" s="287"/>
    </row>
    <row r="499" spans="1:36" ht="13.5" customHeight="1" x14ac:dyDescent="0.25">
      <c r="A499" s="287"/>
      <c r="B499" s="287"/>
      <c r="C499" s="287"/>
      <c r="D499" s="287"/>
      <c r="E499" s="287"/>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E499" s="287"/>
      <c r="AF499" s="287"/>
      <c r="AG499" s="287"/>
      <c r="AH499" s="287"/>
      <c r="AI499" s="287"/>
      <c r="AJ499" s="287"/>
    </row>
    <row r="500" spans="1:36" ht="13.5" customHeight="1" x14ac:dyDescent="0.25">
      <c r="A500" s="287"/>
      <c r="B500" s="287"/>
      <c r="C500" s="287"/>
      <c r="D500" s="287"/>
      <c r="E500" s="287"/>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E500" s="287"/>
      <c r="AF500" s="287"/>
      <c r="AG500" s="287"/>
      <c r="AH500" s="287"/>
      <c r="AI500" s="287"/>
      <c r="AJ500" s="287"/>
    </row>
    <row r="501" spans="1:36" ht="13.5" customHeight="1" x14ac:dyDescent="0.25">
      <c r="A501" s="287"/>
      <c r="B501" s="287"/>
      <c r="C501" s="287"/>
      <c r="D501" s="287"/>
      <c r="E501" s="287"/>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E501" s="287"/>
      <c r="AF501" s="287"/>
      <c r="AG501" s="287"/>
      <c r="AH501" s="287"/>
      <c r="AI501" s="287"/>
      <c r="AJ501" s="287"/>
    </row>
    <row r="502" spans="1:36" ht="13.5" customHeight="1" x14ac:dyDescent="0.25">
      <c r="A502" s="287"/>
      <c r="B502" s="287"/>
      <c r="C502" s="287"/>
      <c r="D502" s="287"/>
      <c r="E502" s="287"/>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E502" s="287"/>
      <c r="AF502" s="287"/>
      <c r="AG502" s="287"/>
      <c r="AH502" s="287"/>
      <c r="AI502" s="287"/>
      <c r="AJ502" s="287"/>
    </row>
    <row r="503" spans="1:36" ht="13.5" customHeight="1" x14ac:dyDescent="0.25">
      <c r="A503" s="287"/>
      <c r="B503" s="287"/>
      <c r="C503" s="287"/>
      <c r="D503" s="287"/>
      <c r="E503" s="287"/>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E503" s="287"/>
      <c r="AF503" s="287"/>
      <c r="AG503" s="287"/>
      <c r="AH503" s="287"/>
      <c r="AI503" s="287"/>
      <c r="AJ503" s="287"/>
    </row>
    <row r="504" spans="1:36" ht="13.5" customHeight="1" x14ac:dyDescent="0.25">
      <c r="A504" s="287"/>
      <c r="B504" s="287"/>
      <c r="C504" s="287"/>
      <c r="D504" s="287"/>
      <c r="E504" s="287"/>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E504" s="287"/>
      <c r="AF504" s="287"/>
      <c r="AG504" s="287"/>
      <c r="AH504" s="287"/>
      <c r="AI504" s="287"/>
      <c r="AJ504" s="287"/>
    </row>
    <row r="505" spans="1:36" ht="13.5" customHeight="1" x14ac:dyDescent="0.25">
      <c r="A505" s="287"/>
      <c r="B505" s="287"/>
      <c r="C505" s="287"/>
      <c r="D505" s="287"/>
      <c r="E505" s="287"/>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E505" s="287"/>
      <c r="AF505" s="287"/>
      <c r="AG505" s="287"/>
      <c r="AH505" s="287"/>
      <c r="AI505" s="287"/>
      <c r="AJ505" s="287"/>
    </row>
    <row r="506" spans="1:36" ht="13.5" customHeight="1" x14ac:dyDescent="0.25">
      <c r="A506" s="287"/>
      <c r="B506" s="287"/>
      <c r="C506" s="287"/>
      <c r="D506" s="287"/>
      <c r="E506" s="287"/>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E506" s="287"/>
      <c r="AF506" s="287"/>
      <c r="AG506" s="287"/>
      <c r="AH506" s="287"/>
      <c r="AI506" s="287"/>
      <c r="AJ506" s="287"/>
    </row>
    <row r="507" spans="1:36" ht="13.5" customHeight="1" x14ac:dyDescent="0.25">
      <c r="A507" s="287"/>
      <c r="B507" s="287"/>
      <c r="C507" s="287"/>
      <c r="D507" s="287"/>
      <c r="E507" s="287"/>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E507" s="287"/>
      <c r="AF507" s="287"/>
      <c r="AG507" s="287"/>
      <c r="AH507" s="287"/>
      <c r="AI507" s="287"/>
      <c r="AJ507" s="287"/>
    </row>
    <row r="508" spans="1:36" ht="13.5" customHeight="1" x14ac:dyDescent="0.25">
      <c r="A508" s="287"/>
      <c r="B508" s="287"/>
      <c r="C508" s="287"/>
      <c r="D508" s="287"/>
      <c r="E508" s="287"/>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E508" s="287"/>
      <c r="AF508" s="287"/>
      <c r="AG508" s="287"/>
      <c r="AH508" s="287"/>
      <c r="AI508" s="287"/>
      <c r="AJ508" s="287"/>
    </row>
    <row r="509" spans="1:36" ht="13.5" customHeight="1" x14ac:dyDescent="0.25">
      <c r="A509" s="287"/>
      <c r="B509" s="287"/>
      <c r="C509" s="287"/>
      <c r="D509" s="287"/>
      <c r="E509" s="287"/>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E509" s="287"/>
      <c r="AF509" s="287"/>
      <c r="AG509" s="287"/>
      <c r="AH509" s="287"/>
      <c r="AI509" s="287"/>
      <c r="AJ509" s="287"/>
    </row>
    <row r="510" spans="1:36" ht="13.5" customHeight="1" x14ac:dyDescent="0.25">
      <c r="A510" s="287"/>
      <c r="B510" s="287"/>
      <c r="C510" s="287"/>
      <c r="D510" s="287"/>
      <c r="E510" s="287"/>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E510" s="287"/>
      <c r="AF510" s="287"/>
      <c r="AG510" s="287"/>
      <c r="AH510" s="287"/>
      <c r="AI510" s="287"/>
      <c r="AJ510" s="287"/>
    </row>
    <row r="511" spans="1:36" ht="13.5" customHeight="1" x14ac:dyDescent="0.25">
      <c r="A511" s="287"/>
      <c r="B511" s="287"/>
      <c r="C511" s="287"/>
      <c r="D511" s="287"/>
      <c r="E511" s="287"/>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E511" s="287"/>
      <c r="AF511" s="287"/>
      <c r="AG511" s="287"/>
      <c r="AH511" s="287"/>
      <c r="AI511" s="287"/>
      <c r="AJ511" s="287"/>
    </row>
    <row r="512" spans="1:36" ht="13.5" customHeight="1" x14ac:dyDescent="0.25">
      <c r="A512" s="287"/>
      <c r="B512" s="287"/>
      <c r="C512" s="287"/>
      <c r="D512" s="287"/>
      <c r="E512" s="287"/>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E512" s="287"/>
      <c r="AF512" s="287"/>
      <c r="AG512" s="287"/>
      <c r="AH512" s="287"/>
      <c r="AI512" s="287"/>
      <c r="AJ512" s="287"/>
    </row>
    <row r="513" spans="1:36" ht="13.5" customHeight="1" x14ac:dyDescent="0.25">
      <c r="A513" s="287"/>
      <c r="B513" s="287"/>
      <c r="C513" s="287"/>
      <c r="D513" s="287"/>
      <c r="E513" s="287"/>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E513" s="287"/>
      <c r="AF513" s="287"/>
      <c r="AG513" s="287"/>
      <c r="AH513" s="287"/>
      <c r="AI513" s="287"/>
      <c r="AJ513" s="287"/>
    </row>
    <row r="514" spans="1:36" ht="13.5" customHeight="1" x14ac:dyDescent="0.25">
      <c r="A514" s="287"/>
      <c r="B514" s="287"/>
      <c r="C514" s="287"/>
      <c r="D514" s="287"/>
      <c r="E514" s="287"/>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E514" s="287"/>
      <c r="AF514" s="287"/>
      <c r="AG514" s="287"/>
      <c r="AH514" s="287"/>
      <c r="AI514" s="287"/>
      <c r="AJ514" s="287"/>
    </row>
    <row r="515" spans="1:36" ht="13.5" customHeight="1" x14ac:dyDescent="0.25">
      <c r="A515" s="287"/>
      <c r="B515" s="287"/>
      <c r="C515" s="287"/>
      <c r="D515" s="287"/>
      <c r="E515" s="287"/>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E515" s="287"/>
      <c r="AF515" s="287"/>
      <c r="AG515" s="287"/>
      <c r="AH515" s="287"/>
      <c r="AI515" s="287"/>
      <c r="AJ515" s="287"/>
    </row>
    <row r="516" spans="1:36" ht="13.5" customHeight="1" x14ac:dyDescent="0.25">
      <c r="A516" s="287"/>
      <c r="B516" s="287"/>
      <c r="C516" s="287"/>
      <c r="D516" s="287"/>
      <c r="E516" s="287"/>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E516" s="287"/>
      <c r="AF516" s="287"/>
      <c r="AG516" s="287"/>
      <c r="AH516" s="287"/>
      <c r="AI516" s="287"/>
      <c r="AJ516" s="287"/>
    </row>
    <row r="517" spans="1:36" ht="13.5" customHeight="1" x14ac:dyDescent="0.25">
      <c r="A517" s="287"/>
      <c r="B517" s="287"/>
      <c r="C517" s="287"/>
      <c r="D517" s="287"/>
      <c r="E517" s="287"/>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E517" s="287"/>
      <c r="AF517" s="287"/>
      <c r="AG517" s="287"/>
      <c r="AH517" s="287"/>
      <c r="AI517" s="287"/>
      <c r="AJ517" s="287"/>
    </row>
    <row r="518" spans="1:36" ht="13.5" customHeight="1" x14ac:dyDescent="0.25">
      <c r="A518" s="287"/>
      <c r="B518" s="287"/>
      <c r="C518" s="287"/>
      <c r="D518" s="287"/>
      <c r="E518" s="287"/>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E518" s="287"/>
      <c r="AF518" s="287"/>
      <c r="AG518" s="287"/>
      <c r="AH518" s="287"/>
      <c r="AI518" s="287"/>
      <c r="AJ518" s="287"/>
    </row>
    <row r="519" spans="1:36" ht="13.5" customHeight="1" x14ac:dyDescent="0.25">
      <c r="A519" s="287"/>
      <c r="B519" s="287"/>
      <c r="C519" s="287"/>
      <c r="D519" s="287"/>
      <c r="E519" s="287"/>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E519" s="287"/>
      <c r="AF519" s="287"/>
      <c r="AG519" s="287"/>
      <c r="AH519" s="287"/>
      <c r="AI519" s="287"/>
      <c r="AJ519" s="287"/>
    </row>
    <row r="520" spans="1:36" ht="13.5" customHeight="1" x14ac:dyDescent="0.25">
      <c r="A520" s="287"/>
      <c r="B520" s="287"/>
      <c r="C520" s="287"/>
      <c r="D520" s="287"/>
      <c r="E520" s="287"/>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E520" s="287"/>
      <c r="AF520" s="287"/>
      <c r="AG520" s="287"/>
      <c r="AH520" s="287"/>
      <c r="AI520" s="287"/>
      <c r="AJ520" s="287"/>
    </row>
    <row r="521" spans="1:36" ht="13.5" customHeight="1" x14ac:dyDescent="0.25">
      <c r="A521" s="287"/>
      <c r="B521" s="287"/>
      <c r="C521" s="287"/>
      <c r="D521" s="287"/>
      <c r="E521" s="287"/>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E521" s="287"/>
      <c r="AF521" s="287"/>
      <c r="AG521" s="287"/>
      <c r="AH521" s="287"/>
      <c r="AI521" s="287"/>
      <c r="AJ521" s="287"/>
    </row>
    <row r="522" spans="1:36" ht="13.5" customHeight="1" x14ac:dyDescent="0.25">
      <c r="A522" s="287"/>
      <c r="B522" s="287"/>
      <c r="C522" s="287"/>
      <c r="D522" s="287"/>
      <c r="E522" s="287"/>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E522" s="287"/>
      <c r="AF522" s="287"/>
      <c r="AG522" s="287"/>
      <c r="AH522" s="287"/>
      <c r="AI522" s="287"/>
      <c r="AJ522" s="287"/>
    </row>
    <row r="523" spans="1:36" ht="13.5" customHeight="1" x14ac:dyDescent="0.25">
      <c r="A523" s="287"/>
      <c r="B523" s="287"/>
      <c r="C523" s="287"/>
      <c r="D523" s="287"/>
      <c r="E523" s="287"/>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E523" s="287"/>
      <c r="AF523" s="287"/>
      <c r="AG523" s="287"/>
      <c r="AH523" s="287"/>
      <c r="AI523" s="287"/>
      <c r="AJ523" s="287"/>
    </row>
    <row r="524" spans="1:36" ht="13.5" customHeight="1" x14ac:dyDescent="0.25">
      <c r="A524" s="287"/>
      <c r="B524" s="287"/>
      <c r="C524" s="287"/>
      <c r="D524" s="287"/>
      <c r="E524" s="287"/>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E524" s="287"/>
      <c r="AF524" s="287"/>
      <c r="AG524" s="287"/>
      <c r="AH524" s="287"/>
      <c r="AI524" s="287"/>
      <c r="AJ524" s="287"/>
    </row>
    <row r="525" spans="1:36" ht="13.5" customHeight="1" x14ac:dyDescent="0.25">
      <c r="A525" s="287"/>
      <c r="B525" s="287"/>
      <c r="C525" s="287"/>
      <c r="D525" s="287"/>
      <c r="E525" s="287"/>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E525" s="287"/>
      <c r="AF525" s="287"/>
      <c r="AG525" s="287"/>
      <c r="AH525" s="287"/>
      <c r="AI525" s="287"/>
      <c r="AJ525" s="287"/>
    </row>
    <row r="526" spans="1:36" ht="13.5" customHeight="1" x14ac:dyDescent="0.25">
      <c r="A526" s="287"/>
      <c r="B526" s="287"/>
      <c r="C526" s="287"/>
      <c r="D526" s="287"/>
      <c r="E526" s="287"/>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E526" s="287"/>
      <c r="AF526" s="287"/>
      <c r="AG526" s="287"/>
      <c r="AH526" s="287"/>
      <c r="AI526" s="287"/>
      <c r="AJ526" s="287"/>
    </row>
    <row r="527" spans="1:36" ht="13.5" customHeight="1" x14ac:dyDescent="0.25">
      <c r="A527" s="287"/>
      <c r="B527" s="287"/>
      <c r="C527" s="287"/>
      <c r="D527" s="287"/>
      <c r="E527" s="287"/>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E527" s="287"/>
      <c r="AF527" s="287"/>
      <c r="AG527" s="287"/>
      <c r="AH527" s="287"/>
      <c r="AI527" s="287"/>
      <c r="AJ527" s="287"/>
    </row>
    <row r="528" spans="1:36" ht="13.5" customHeight="1" x14ac:dyDescent="0.25">
      <c r="A528" s="287"/>
      <c r="B528" s="287"/>
      <c r="C528" s="287"/>
      <c r="D528" s="287"/>
      <c r="E528" s="287"/>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E528" s="287"/>
      <c r="AF528" s="287"/>
      <c r="AG528" s="287"/>
      <c r="AH528" s="287"/>
      <c r="AI528" s="287"/>
      <c r="AJ528" s="287"/>
    </row>
    <row r="529" spans="1:36" ht="13.5" customHeight="1" x14ac:dyDescent="0.25">
      <c r="A529" s="287"/>
      <c r="B529" s="287"/>
      <c r="C529" s="287"/>
      <c r="D529" s="287"/>
      <c r="E529" s="287"/>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E529" s="287"/>
      <c r="AF529" s="287"/>
      <c r="AG529" s="287"/>
      <c r="AH529" s="287"/>
      <c r="AI529" s="287"/>
      <c r="AJ529" s="287"/>
    </row>
    <row r="530" spans="1:36" ht="13.5" customHeight="1" x14ac:dyDescent="0.25">
      <c r="A530" s="287"/>
      <c r="B530" s="287"/>
      <c r="C530" s="287"/>
      <c r="D530" s="287"/>
      <c r="E530" s="287"/>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E530" s="287"/>
      <c r="AF530" s="287"/>
      <c r="AG530" s="287"/>
      <c r="AH530" s="287"/>
      <c r="AI530" s="287"/>
      <c r="AJ530" s="287"/>
    </row>
    <row r="531" spans="1:36" ht="13.5" customHeight="1" x14ac:dyDescent="0.25">
      <c r="A531" s="287"/>
      <c r="B531" s="287"/>
      <c r="C531" s="287"/>
      <c r="D531" s="287"/>
      <c r="E531" s="287"/>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E531" s="287"/>
      <c r="AF531" s="287"/>
      <c r="AG531" s="287"/>
      <c r="AH531" s="287"/>
      <c r="AI531" s="287"/>
      <c r="AJ531" s="287"/>
    </row>
    <row r="532" spans="1:36" ht="13.5" customHeight="1" x14ac:dyDescent="0.25">
      <c r="A532" s="287"/>
      <c r="B532" s="287"/>
      <c r="C532" s="287"/>
      <c r="D532" s="287"/>
      <c r="E532" s="287"/>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E532" s="287"/>
      <c r="AF532" s="287"/>
      <c r="AG532" s="287"/>
      <c r="AH532" s="287"/>
      <c r="AI532" s="287"/>
      <c r="AJ532" s="287"/>
    </row>
    <row r="533" spans="1:36" ht="13.5" customHeight="1" x14ac:dyDescent="0.25">
      <c r="A533" s="287"/>
      <c r="B533" s="287"/>
      <c r="C533" s="287"/>
      <c r="D533" s="287"/>
      <c r="E533" s="287"/>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E533" s="287"/>
      <c r="AF533" s="287"/>
      <c r="AG533" s="287"/>
      <c r="AH533" s="287"/>
      <c r="AI533" s="287"/>
      <c r="AJ533" s="287"/>
    </row>
    <row r="534" spans="1:36" ht="13.5" customHeight="1" x14ac:dyDescent="0.25">
      <c r="A534" s="287"/>
      <c r="B534" s="287"/>
      <c r="C534" s="287"/>
      <c r="D534" s="287"/>
      <c r="E534" s="287"/>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E534" s="287"/>
      <c r="AF534" s="287"/>
      <c r="AG534" s="287"/>
      <c r="AH534" s="287"/>
      <c r="AI534" s="287"/>
      <c r="AJ534" s="287"/>
    </row>
    <row r="535" spans="1:36" ht="13.5" customHeight="1" x14ac:dyDescent="0.25">
      <c r="A535" s="287"/>
      <c r="B535" s="287"/>
      <c r="C535" s="287"/>
      <c r="D535" s="287"/>
      <c r="E535" s="287"/>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E535" s="287"/>
      <c r="AF535" s="287"/>
      <c r="AG535" s="287"/>
      <c r="AH535" s="287"/>
      <c r="AI535" s="287"/>
      <c r="AJ535" s="287"/>
    </row>
    <row r="536" spans="1:36" ht="13.5" customHeight="1" x14ac:dyDescent="0.25">
      <c r="A536" s="287"/>
      <c r="B536" s="287"/>
      <c r="C536" s="287"/>
      <c r="D536" s="287"/>
      <c r="E536" s="287"/>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E536" s="287"/>
      <c r="AF536" s="287"/>
      <c r="AG536" s="287"/>
      <c r="AH536" s="287"/>
      <c r="AI536" s="287"/>
      <c r="AJ536" s="287"/>
    </row>
    <row r="537" spans="1:36" ht="13.5" customHeight="1" x14ac:dyDescent="0.25">
      <c r="A537" s="287"/>
      <c r="B537" s="287"/>
      <c r="C537" s="287"/>
      <c r="D537" s="287"/>
      <c r="E537" s="287"/>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E537" s="287"/>
      <c r="AF537" s="287"/>
      <c r="AG537" s="287"/>
      <c r="AH537" s="287"/>
      <c r="AI537" s="287"/>
      <c r="AJ537" s="287"/>
    </row>
    <row r="538" spans="1:36" ht="13.5" customHeight="1" x14ac:dyDescent="0.25">
      <c r="A538" s="287"/>
      <c r="B538" s="287"/>
      <c r="C538" s="287"/>
      <c r="D538" s="287"/>
      <c r="E538" s="287"/>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E538" s="287"/>
      <c r="AF538" s="287"/>
      <c r="AG538" s="287"/>
      <c r="AH538" s="287"/>
      <c r="AI538" s="287"/>
      <c r="AJ538" s="287"/>
    </row>
    <row r="539" spans="1:36" ht="13.5" customHeight="1" x14ac:dyDescent="0.25">
      <c r="A539" s="287"/>
      <c r="B539" s="287"/>
      <c r="C539" s="287"/>
      <c r="D539" s="287"/>
      <c r="E539" s="287"/>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E539" s="287"/>
      <c r="AF539" s="287"/>
      <c r="AG539" s="287"/>
      <c r="AH539" s="287"/>
      <c r="AI539" s="287"/>
      <c r="AJ539" s="287"/>
    </row>
    <row r="540" spans="1:36" ht="13.5" customHeight="1" x14ac:dyDescent="0.25">
      <c r="A540" s="287"/>
      <c r="B540" s="287"/>
      <c r="C540" s="287"/>
      <c r="D540" s="287"/>
      <c r="E540" s="287"/>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E540" s="287"/>
      <c r="AF540" s="287"/>
      <c r="AG540" s="287"/>
      <c r="AH540" s="287"/>
      <c r="AI540" s="287"/>
      <c r="AJ540" s="287"/>
    </row>
    <row r="541" spans="1:36" ht="13.5" customHeight="1" x14ac:dyDescent="0.25">
      <c r="A541" s="287"/>
      <c r="B541" s="287"/>
      <c r="C541" s="287"/>
      <c r="D541" s="287"/>
      <c r="E541" s="287"/>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E541" s="287"/>
      <c r="AF541" s="287"/>
      <c r="AG541" s="287"/>
      <c r="AH541" s="287"/>
      <c r="AI541" s="287"/>
      <c r="AJ541" s="287"/>
    </row>
    <row r="542" spans="1:36" ht="13.5" customHeight="1" x14ac:dyDescent="0.25">
      <c r="A542" s="287"/>
      <c r="B542" s="287"/>
      <c r="C542" s="287"/>
      <c r="D542" s="287"/>
      <c r="E542" s="287"/>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E542" s="287"/>
      <c r="AF542" s="287"/>
      <c r="AG542" s="287"/>
      <c r="AH542" s="287"/>
      <c r="AI542" s="287"/>
      <c r="AJ542" s="287"/>
    </row>
    <row r="543" spans="1:36" ht="13.5" customHeight="1" x14ac:dyDescent="0.25">
      <c r="A543" s="287"/>
      <c r="B543" s="287"/>
      <c r="C543" s="287"/>
      <c r="D543" s="287"/>
      <c r="E543" s="287"/>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E543" s="287"/>
      <c r="AF543" s="287"/>
      <c r="AG543" s="287"/>
      <c r="AH543" s="287"/>
      <c r="AI543" s="287"/>
      <c r="AJ543" s="287"/>
    </row>
    <row r="544" spans="1:36" ht="13.5" customHeight="1" x14ac:dyDescent="0.25">
      <c r="A544" s="287"/>
      <c r="B544" s="287"/>
      <c r="C544" s="287"/>
      <c r="D544" s="287"/>
      <c r="E544" s="287"/>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E544" s="287"/>
      <c r="AF544" s="287"/>
      <c r="AG544" s="287"/>
      <c r="AH544" s="287"/>
      <c r="AI544" s="287"/>
      <c r="AJ544" s="287"/>
    </row>
    <row r="545" spans="1:36" ht="13.5" customHeight="1" x14ac:dyDescent="0.25">
      <c r="A545" s="287"/>
      <c r="B545" s="287"/>
      <c r="C545" s="287"/>
      <c r="D545" s="287"/>
      <c r="E545" s="287"/>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E545" s="287"/>
      <c r="AF545" s="287"/>
      <c r="AG545" s="287"/>
      <c r="AH545" s="287"/>
      <c r="AI545" s="287"/>
      <c r="AJ545" s="287"/>
    </row>
    <row r="546" spans="1:36" ht="13.5" customHeight="1" x14ac:dyDescent="0.25">
      <c r="A546" s="287"/>
      <c r="B546" s="287"/>
      <c r="C546" s="287"/>
      <c r="D546" s="287"/>
      <c r="E546" s="287"/>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E546" s="287"/>
      <c r="AF546" s="287"/>
      <c r="AG546" s="287"/>
      <c r="AH546" s="287"/>
      <c r="AI546" s="287"/>
      <c r="AJ546" s="287"/>
    </row>
    <row r="547" spans="1:36" ht="13.5" customHeight="1" x14ac:dyDescent="0.25">
      <c r="A547" s="287"/>
      <c r="B547" s="287"/>
      <c r="C547" s="287"/>
      <c r="D547" s="287"/>
      <c r="E547" s="287"/>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E547" s="287"/>
      <c r="AF547" s="287"/>
      <c r="AG547" s="287"/>
      <c r="AH547" s="287"/>
      <c r="AI547" s="287"/>
      <c r="AJ547" s="287"/>
    </row>
    <row r="548" spans="1:36" ht="13.5" customHeight="1" x14ac:dyDescent="0.25">
      <c r="A548" s="287"/>
      <c r="B548" s="287"/>
      <c r="C548" s="287"/>
      <c r="D548" s="287"/>
      <c r="E548" s="287"/>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E548" s="287"/>
      <c r="AF548" s="287"/>
      <c r="AG548" s="287"/>
      <c r="AH548" s="287"/>
      <c r="AI548" s="287"/>
      <c r="AJ548" s="287"/>
    </row>
    <row r="549" spans="1:36" ht="13.5" customHeight="1" x14ac:dyDescent="0.25">
      <c r="A549" s="287"/>
      <c r="B549" s="287"/>
      <c r="C549" s="287"/>
      <c r="D549" s="287"/>
      <c r="E549" s="287"/>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E549" s="287"/>
      <c r="AF549" s="287"/>
      <c r="AG549" s="287"/>
      <c r="AH549" s="287"/>
      <c r="AI549" s="287"/>
      <c r="AJ549" s="287"/>
    </row>
    <row r="550" spans="1:36" ht="13.5" customHeight="1" x14ac:dyDescent="0.25">
      <c r="A550" s="287"/>
      <c r="B550" s="287"/>
      <c r="C550" s="287"/>
      <c r="D550" s="287"/>
      <c r="E550" s="287"/>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E550" s="287"/>
      <c r="AF550" s="287"/>
      <c r="AG550" s="287"/>
      <c r="AH550" s="287"/>
      <c r="AI550" s="287"/>
      <c r="AJ550" s="287"/>
    </row>
    <row r="551" spans="1:36" ht="13.5" customHeight="1" x14ac:dyDescent="0.25">
      <c r="A551" s="287"/>
      <c r="B551" s="287"/>
      <c r="C551" s="287"/>
      <c r="D551" s="287"/>
      <c r="E551" s="287"/>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E551" s="287"/>
      <c r="AF551" s="287"/>
      <c r="AG551" s="287"/>
      <c r="AH551" s="287"/>
      <c r="AI551" s="287"/>
      <c r="AJ551" s="287"/>
    </row>
    <row r="552" spans="1:36" ht="13.5" customHeight="1" x14ac:dyDescent="0.25">
      <c r="A552" s="287"/>
      <c r="B552" s="287"/>
      <c r="C552" s="287"/>
      <c r="D552" s="287"/>
      <c r="E552" s="287"/>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E552" s="287"/>
      <c r="AF552" s="287"/>
      <c r="AG552" s="287"/>
      <c r="AH552" s="287"/>
      <c r="AI552" s="287"/>
      <c r="AJ552" s="287"/>
    </row>
    <row r="553" spans="1:36" ht="13.5" customHeight="1" x14ac:dyDescent="0.25">
      <c r="A553" s="287"/>
      <c r="B553" s="287"/>
      <c r="C553" s="287"/>
      <c r="D553" s="287"/>
      <c r="E553" s="287"/>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E553" s="287"/>
      <c r="AF553" s="287"/>
      <c r="AG553" s="287"/>
      <c r="AH553" s="287"/>
      <c r="AI553" s="287"/>
      <c r="AJ553" s="287"/>
    </row>
    <row r="554" spans="1:36" ht="13.5" customHeight="1" x14ac:dyDescent="0.25">
      <c r="A554" s="287"/>
      <c r="B554" s="287"/>
      <c r="C554" s="287"/>
      <c r="D554" s="287"/>
      <c r="E554" s="287"/>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E554" s="287"/>
      <c r="AF554" s="287"/>
      <c r="AG554" s="287"/>
      <c r="AH554" s="287"/>
      <c r="AI554" s="287"/>
      <c r="AJ554" s="287"/>
    </row>
    <row r="555" spans="1:36" ht="13.5" customHeight="1" x14ac:dyDescent="0.25">
      <c r="A555" s="287"/>
      <c r="B555" s="287"/>
      <c r="C555" s="287"/>
      <c r="D555" s="287"/>
      <c r="E555" s="287"/>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E555" s="287"/>
      <c r="AF555" s="287"/>
      <c r="AG555" s="287"/>
      <c r="AH555" s="287"/>
      <c r="AI555" s="287"/>
      <c r="AJ555" s="287"/>
    </row>
    <row r="556" spans="1:36" ht="13.5" customHeight="1" x14ac:dyDescent="0.25">
      <c r="A556" s="287"/>
      <c r="B556" s="287"/>
      <c r="C556" s="287"/>
      <c r="D556" s="287"/>
      <c r="E556" s="287"/>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E556" s="287"/>
      <c r="AF556" s="287"/>
      <c r="AG556" s="287"/>
      <c r="AH556" s="287"/>
      <c r="AI556" s="287"/>
      <c r="AJ556" s="287"/>
    </row>
    <row r="557" spans="1:36" ht="13.5" customHeight="1" x14ac:dyDescent="0.25">
      <c r="A557" s="287"/>
      <c r="B557" s="287"/>
      <c r="C557" s="287"/>
      <c r="D557" s="287"/>
      <c r="E557" s="287"/>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E557" s="287"/>
      <c r="AF557" s="287"/>
      <c r="AG557" s="287"/>
      <c r="AH557" s="287"/>
      <c r="AI557" s="287"/>
      <c r="AJ557" s="287"/>
    </row>
    <row r="558" spans="1:36" ht="13.5" customHeight="1" x14ac:dyDescent="0.25">
      <c r="A558" s="287"/>
      <c r="B558" s="287"/>
      <c r="C558" s="287"/>
      <c r="D558" s="287"/>
      <c r="E558" s="287"/>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E558" s="287"/>
      <c r="AF558" s="287"/>
      <c r="AG558" s="287"/>
      <c r="AH558" s="287"/>
      <c r="AI558" s="287"/>
      <c r="AJ558" s="287"/>
    </row>
    <row r="559" spans="1:36" ht="13.5" customHeight="1" x14ac:dyDescent="0.25">
      <c r="A559" s="287"/>
      <c r="B559" s="287"/>
      <c r="C559" s="287"/>
      <c r="D559" s="287"/>
      <c r="E559" s="287"/>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E559" s="287"/>
      <c r="AF559" s="287"/>
      <c r="AG559" s="287"/>
      <c r="AH559" s="287"/>
      <c r="AI559" s="287"/>
      <c r="AJ559" s="287"/>
    </row>
    <row r="560" spans="1:36" ht="13.5" customHeight="1" x14ac:dyDescent="0.25">
      <c r="A560" s="287"/>
      <c r="B560" s="287"/>
      <c r="C560" s="287"/>
      <c r="D560" s="287"/>
      <c r="E560" s="287"/>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E560" s="287"/>
      <c r="AF560" s="287"/>
      <c r="AG560" s="287"/>
      <c r="AH560" s="287"/>
      <c r="AI560" s="287"/>
      <c r="AJ560" s="287"/>
    </row>
    <row r="561" spans="1:36" ht="13.5" customHeight="1" x14ac:dyDescent="0.25">
      <c r="A561" s="287"/>
      <c r="B561" s="287"/>
      <c r="C561" s="287"/>
      <c r="D561" s="287"/>
      <c r="E561" s="287"/>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E561" s="287"/>
      <c r="AF561" s="287"/>
      <c r="AG561" s="287"/>
      <c r="AH561" s="287"/>
      <c r="AI561" s="287"/>
      <c r="AJ561" s="287"/>
    </row>
    <row r="562" spans="1:36" ht="13.5" customHeight="1" x14ac:dyDescent="0.25">
      <c r="A562" s="287"/>
      <c r="B562" s="287"/>
      <c r="C562" s="287"/>
      <c r="D562" s="287"/>
      <c r="E562" s="287"/>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E562" s="287"/>
      <c r="AF562" s="287"/>
      <c r="AG562" s="287"/>
      <c r="AH562" s="287"/>
      <c r="AI562" s="287"/>
      <c r="AJ562" s="287"/>
    </row>
    <row r="563" spans="1:36" ht="13.5" customHeight="1" x14ac:dyDescent="0.25">
      <c r="A563" s="287"/>
      <c r="B563" s="287"/>
      <c r="C563" s="287"/>
      <c r="D563" s="287"/>
      <c r="E563" s="287"/>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E563" s="287"/>
      <c r="AF563" s="287"/>
      <c r="AG563" s="287"/>
      <c r="AH563" s="287"/>
      <c r="AI563" s="287"/>
      <c r="AJ563" s="287"/>
    </row>
    <row r="564" spans="1:36" ht="13.5" customHeight="1" x14ac:dyDescent="0.25">
      <c r="A564" s="287"/>
      <c r="B564" s="287"/>
      <c r="C564" s="287"/>
      <c r="D564" s="287"/>
      <c r="E564" s="287"/>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E564" s="287"/>
      <c r="AF564" s="287"/>
      <c r="AG564" s="287"/>
      <c r="AH564" s="287"/>
      <c r="AI564" s="287"/>
      <c r="AJ564" s="287"/>
    </row>
    <row r="565" spans="1:36" ht="13.5" customHeight="1" x14ac:dyDescent="0.25">
      <c r="A565" s="287"/>
      <c r="B565" s="287"/>
      <c r="C565" s="287"/>
      <c r="D565" s="287"/>
      <c r="E565" s="287"/>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E565" s="287"/>
      <c r="AF565" s="287"/>
      <c r="AG565" s="287"/>
      <c r="AH565" s="287"/>
      <c r="AI565" s="287"/>
      <c r="AJ565" s="287"/>
    </row>
    <row r="566" spans="1:36" ht="13.5" customHeight="1" x14ac:dyDescent="0.25">
      <c r="A566" s="287"/>
      <c r="B566" s="287"/>
      <c r="C566" s="287"/>
      <c r="D566" s="287"/>
      <c r="E566" s="287"/>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E566" s="287"/>
      <c r="AF566" s="287"/>
      <c r="AG566" s="287"/>
      <c r="AH566" s="287"/>
      <c r="AI566" s="287"/>
      <c r="AJ566" s="287"/>
    </row>
    <row r="567" spans="1:36" ht="13.5" customHeight="1" x14ac:dyDescent="0.25">
      <c r="A567" s="287"/>
      <c r="B567" s="287"/>
      <c r="C567" s="287"/>
      <c r="D567" s="287"/>
      <c r="E567" s="287"/>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E567" s="287"/>
      <c r="AF567" s="287"/>
      <c r="AG567" s="287"/>
      <c r="AH567" s="287"/>
      <c r="AI567" s="287"/>
      <c r="AJ567" s="287"/>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DA30-F1DB-4218-82E6-E54920370C8F}">
  <sheetPr>
    <tabColor theme="9" tint="-0.499984740745262"/>
  </sheetPr>
  <dimension ref="A1:Q54"/>
  <sheetViews>
    <sheetView zoomScale="70" zoomScaleNormal="70" workbookViewId="0">
      <selection activeCell="B32" sqref="B32:B33"/>
    </sheetView>
  </sheetViews>
  <sheetFormatPr defaultColWidth="8.7265625" defaultRowHeight="12.5" x14ac:dyDescent="0.25"/>
  <cols>
    <col min="1" max="1" width="4" style="312" customWidth="1"/>
    <col min="2" max="2" width="38.81640625" style="312" bestFit="1" customWidth="1"/>
    <col min="3" max="3" width="19.6328125" style="312" bestFit="1" customWidth="1"/>
    <col min="4" max="4" width="20.54296875" style="312" bestFit="1" customWidth="1"/>
    <col min="5" max="5" width="18.6328125" style="312" customWidth="1"/>
    <col min="6" max="6" width="19.54296875" style="312" customWidth="1"/>
    <col min="7" max="7" width="20.453125" style="312" customWidth="1"/>
    <col min="8" max="8" width="86.08984375" style="312" bestFit="1" customWidth="1"/>
    <col min="9" max="10" width="8.7265625" style="312"/>
    <col min="11" max="17" width="13.6328125" style="312" customWidth="1"/>
    <col min="18" max="16384" width="8.7265625" style="312"/>
  </cols>
  <sheetData>
    <row r="1" spans="1:14" s="287" customFormat="1" ht="13.5" customHeight="1" x14ac:dyDescent="0.25">
      <c r="A1" s="285"/>
      <c r="B1" s="285"/>
      <c r="C1" s="285"/>
      <c r="D1" s="285"/>
      <c r="E1" s="286"/>
      <c r="F1" s="285"/>
      <c r="G1" s="336"/>
      <c r="H1" s="286"/>
    </row>
    <row r="2" spans="1:14" s="287" customFormat="1" ht="13.5" customHeight="1" x14ac:dyDescent="0.25">
      <c r="A2" s="285"/>
      <c r="B2" s="285"/>
      <c r="C2" s="285"/>
      <c r="D2" s="285"/>
      <c r="E2" s="286"/>
      <c r="F2" s="285"/>
      <c r="G2" s="336"/>
      <c r="H2" s="288"/>
    </row>
    <row r="3" spans="1:14" s="287" customFormat="1" ht="13.5" customHeight="1" x14ac:dyDescent="0.25">
      <c r="A3" s="285"/>
      <c r="B3" s="285"/>
      <c r="C3" s="285"/>
      <c r="D3" s="285"/>
      <c r="E3" s="286"/>
      <c r="F3" s="285"/>
      <c r="G3" s="27"/>
      <c r="H3" s="289"/>
    </row>
    <row r="4" spans="1:14" s="287" customFormat="1" ht="13.5" customHeight="1" x14ac:dyDescent="0.25">
      <c r="A4" s="285"/>
      <c r="B4" s="285"/>
      <c r="C4" s="285"/>
      <c r="D4" s="285"/>
      <c r="E4" s="286"/>
      <c r="F4" s="285"/>
      <c r="G4" s="337"/>
      <c r="H4" s="286"/>
    </row>
    <row r="5" spans="1:14" s="293" customFormat="1" ht="13.5" customHeight="1" x14ac:dyDescent="0.3">
      <c r="A5" s="290"/>
      <c r="B5" s="290"/>
      <c r="C5" s="290"/>
      <c r="D5" s="290"/>
      <c r="E5" s="291"/>
      <c r="F5" s="290"/>
      <c r="G5" s="292"/>
      <c r="H5" s="292"/>
    </row>
    <row r="6" spans="1:14" s="338" customFormat="1" ht="14.5" x14ac:dyDescent="0.35">
      <c r="B6" s="339"/>
      <c r="C6" s="339"/>
      <c r="D6" s="339"/>
      <c r="F6" s="339"/>
      <c r="N6" s="312"/>
    </row>
    <row r="9" spans="1:14" ht="15.5" x14ac:dyDescent="0.3">
      <c r="A9" s="340">
        <v>1</v>
      </c>
      <c r="B9" s="341" t="s">
        <v>175</v>
      </c>
    </row>
    <row r="10" spans="1:14" ht="15.5" x14ac:dyDescent="0.3">
      <c r="A10" s="342"/>
      <c r="B10" s="341"/>
    </row>
    <row r="11" spans="1:14" ht="14" x14ac:dyDescent="0.3">
      <c r="B11" s="343"/>
      <c r="C11" s="344">
        <v>2023</v>
      </c>
      <c r="D11" s="344">
        <v>2023</v>
      </c>
      <c r="E11" s="344">
        <v>2024</v>
      </c>
      <c r="F11" s="344">
        <v>2024</v>
      </c>
      <c r="G11" s="344">
        <v>2025</v>
      </c>
      <c r="H11" s="344">
        <v>2025</v>
      </c>
      <c r="I11" s="343"/>
      <c r="J11" s="343"/>
    </row>
    <row r="12" spans="1:14" ht="28" x14ac:dyDescent="0.25">
      <c r="B12" s="345" t="s">
        <v>93</v>
      </c>
      <c r="C12" s="345" t="s">
        <v>325</v>
      </c>
      <c r="D12" s="345" t="s">
        <v>326</v>
      </c>
      <c r="E12" s="345" t="s">
        <v>325</v>
      </c>
      <c r="F12" s="345" t="s">
        <v>326</v>
      </c>
      <c r="G12" s="345" t="s">
        <v>325</v>
      </c>
      <c r="H12" s="345" t="s">
        <v>326</v>
      </c>
      <c r="I12" s="345" t="s">
        <v>327</v>
      </c>
      <c r="J12" s="345" t="s">
        <v>328</v>
      </c>
      <c r="K12" s="346"/>
    </row>
    <row r="13" spans="1:14" x14ac:dyDescent="0.25">
      <c r="B13" s="312" t="s">
        <v>329</v>
      </c>
      <c r="C13" s="347">
        <f t="shared" ref="C13:H14" si="0">K23</f>
        <v>0</v>
      </c>
      <c r="D13" s="347">
        <f t="shared" si="0"/>
        <v>0</v>
      </c>
      <c r="E13" s="347">
        <f t="shared" si="0"/>
        <v>6000</v>
      </c>
      <c r="F13" s="347">
        <f t="shared" si="0"/>
        <v>15000</v>
      </c>
      <c r="G13" s="347">
        <f t="shared" si="0"/>
        <v>12000</v>
      </c>
      <c r="H13" s="347">
        <f t="shared" si="0"/>
        <v>30000</v>
      </c>
      <c r="I13" s="312" t="s">
        <v>330</v>
      </c>
    </row>
    <row r="14" spans="1:14" x14ac:dyDescent="0.25">
      <c r="B14" s="312" t="s">
        <v>331</v>
      </c>
      <c r="C14" s="347">
        <f t="shared" si="0"/>
        <v>0</v>
      </c>
      <c r="D14" s="347">
        <f t="shared" si="0"/>
        <v>0</v>
      </c>
      <c r="E14" s="347">
        <f t="shared" si="0"/>
        <v>30000</v>
      </c>
      <c r="F14" s="347">
        <f t="shared" si="0"/>
        <v>40000</v>
      </c>
      <c r="G14" s="347">
        <f t="shared" si="0"/>
        <v>0</v>
      </c>
      <c r="H14" s="347">
        <f t="shared" si="0"/>
        <v>0</v>
      </c>
      <c r="I14" s="312" t="s">
        <v>332</v>
      </c>
    </row>
    <row r="15" spans="1:14" x14ac:dyDescent="0.25">
      <c r="B15" s="312" t="s">
        <v>333</v>
      </c>
      <c r="C15" s="347">
        <f>K31</f>
        <v>0</v>
      </c>
      <c r="D15" s="347">
        <f t="shared" ref="D15:H15" si="1">L31</f>
        <v>0</v>
      </c>
      <c r="E15" s="347">
        <f t="shared" si="1"/>
        <v>2000</v>
      </c>
      <c r="F15" s="347">
        <f t="shared" si="1"/>
        <v>4500</v>
      </c>
      <c r="G15" s="347">
        <f t="shared" si="1"/>
        <v>4000</v>
      </c>
      <c r="H15" s="347">
        <f t="shared" si="1"/>
        <v>9000</v>
      </c>
      <c r="I15" s="312" t="s">
        <v>330</v>
      </c>
    </row>
    <row r="16" spans="1:14" x14ac:dyDescent="0.25">
      <c r="B16" s="312" t="s">
        <v>334</v>
      </c>
      <c r="C16" s="347">
        <f>K54</f>
        <v>1000</v>
      </c>
      <c r="D16" s="347">
        <f t="shared" ref="D16:H16" si="2">L54</f>
        <v>1500</v>
      </c>
      <c r="E16" s="347">
        <f t="shared" si="2"/>
        <v>12000</v>
      </c>
      <c r="F16" s="347">
        <f t="shared" si="2"/>
        <v>16000</v>
      </c>
      <c r="G16" s="347">
        <f t="shared" si="2"/>
        <v>24000</v>
      </c>
      <c r="H16" s="347">
        <f t="shared" si="2"/>
        <v>32000</v>
      </c>
      <c r="I16" s="312" t="s">
        <v>330</v>
      </c>
    </row>
    <row r="17" spans="1:17" x14ac:dyDescent="0.25">
      <c r="B17" s="348" t="s">
        <v>335</v>
      </c>
      <c r="C17" s="349">
        <f>SUM(C13:C16)</f>
        <v>1000</v>
      </c>
      <c r="D17" s="349">
        <f t="shared" ref="D17:G17" si="3">SUM(D13:D16)</f>
        <v>1500</v>
      </c>
      <c r="E17" s="349">
        <f t="shared" si="3"/>
        <v>50000</v>
      </c>
      <c r="F17" s="349">
        <f t="shared" si="3"/>
        <v>75500</v>
      </c>
      <c r="G17" s="349">
        <f t="shared" si="3"/>
        <v>40000</v>
      </c>
      <c r="H17" s="349">
        <f>SUM(H13:H16)</f>
        <v>71000</v>
      </c>
      <c r="I17" s="348"/>
      <c r="J17" s="348"/>
    </row>
    <row r="18" spans="1:17" x14ac:dyDescent="0.25">
      <c r="C18" s="347"/>
      <c r="D18" s="347"/>
      <c r="E18" s="347">
        <f>E17-E13-E14</f>
        <v>14000</v>
      </c>
      <c r="F18" s="347">
        <f t="shared" ref="F18:H18" si="4">F17-F13-F14</f>
        <v>20500</v>
      </c>
      <c r="G18" s="347">
        <f t="shared" si="4"/>
        <v>28000</v>
      </c>
      <c r="H18" s="347">
        <f t="shared" si="4"/>
        <v>41000</v>
      </c>
    </row>
    <row r="19" spans="1:17" ht="15.5" x14ac:dyDescent="0.3">
      <c r="A19" s="340">
        <v>2</v>
      </c>
      <c r="B19" s="341" t="s">
        <v>336</v>
      </c>
    </row>
    <row r="21" spans="1:17" ht="14" x14ac:dyDescent="0.25">
      <c r="B21" s="345" t="s">
        <v>93</v>
      </c>
      <c r="C21" s="345" t="s">
        <v>337</v>
      </c>
      <c r="D21" s="345" t="s">
        <v>338</v>
      </c>
      <c r="E21" s="344">
        <v>2023</v>
      </c>
      <c r="F21" s="344" t="s">
        <v>339</v>
      </c>
      <c r="G21" s="344" t="s">
        <v>340</v>
      </c>
      <c r="H21" s="344" t="s">
        <v>340</v>
      </c>
      <c r="I21" s="344" t="s">
        <v>341</v>
      </c>
      <c r="J21" s="344" t="s">
        <v>341</v>
      </c>
      <c r="K21" s="344">
        <v>2023</v>
      </c>
      <c r="L21" s="344">
        <v>2023</v>
      </c>
      <c r="M21" s="344">
        <v>2024</v>
      </c>
      <c r="N21" s="344">
        <v>2024</v>
      </c>
      <c r="O21" s="344">
        <v>2025</v>
      </c>
      <c r="P21" s="344">
        <v>2025</v>
      </c>
    </row>
    <row r="22" spans="1:17" ht="42" x14ac:dyDescent="0.25">
      <c r="B22" s="345"/>
      <c r="C22" s="345"/>
      <c r="D22" s="345"/>
      <c r="E22" s="345" t="s">
        <v>342</v>
      </c>
      <c r="F22" s="345" t="s">
        <v>343</v>
      </c>
      <c r="G22" s="345" t="s">
        <v>342</v>
      </c>
      <c r="H22" s="345" t="s">
        <v>343</v>
      </c>
      <c r="I22" s="345" t="s">
        <v>342</v>
      </c>
      <c r="J22" s="345" t="s">
        <v>343</v>
      </c>
      <c r="K22" s="345" t="s">
        <v>325</v>
      </c>
      <c r="L22" s="345" t="s">
        <v>326</v>
      </c>
      <c r="M22" s="345" t="s">
        <v>325</v>
      </c>
      <c r="N22" s="345" t="s">
        <v>326</v>
      </c>
      <c r="O22" s="345" t="s">
        <v>325</v>
      </c>
      <c r="P22" s="345" t="s">
        <v>326</v>
      </c>
    </row>
    <row r="23" spans="1:17" ht="13" x14ac:dyDescent="0.3">
      <c r="B23" s="310" t="s">
        <v>344</v>
      </c>
      <c r="C23" s="350">
        <v>1000</v>
      </c>
      <c r="D23" s="350">
        <v>2500</v>
      </c>
      <c r="E23" s="350">
        <v>0</v>
      </c>
      <c r="F23" s="350">
        <v>0</v>
      </c>
      <c r="G23" s="351">
        <v>0.5</v>
      </c>
      <c r="H23" s="351">
        <v>0.5</v>
      </c>
      <c r="I23" s="351">
        <v>1</v>
      </c>
      <c r="J23" s="351">
        <v>1</v>
      </c>
      <c r="K23" s="350">
        <f>E23*C23*12</f>
        <v>0</v>
      </c>
      <c r="L23" s="350">
        <f>F23*D23*12</f>
        <v>0</v>
      </c>
      <c r="M23" s="350">
        <f>G23*C23*12</f>
        <v>6000</v>
      </c>
      <c r="N23" s="350">
        <f>H23*D23*12</f>
        <v>15000</v>
      </c>
      <c r="O23" s="350">
        <f>I23*C23*12</f>
        <v>12000</v>
      </c>
      <c r="P23" s="350">
        <f>J23*D23*12</f>
        <v>30000</v>
      </c>
    </row>
    <row r="24" spans="1:17" ht="13" x14ac:dyDescent="0.3">
      <c r="B24" s="310" t="s">
        <v>331</v>
      </c>
      <c r="C24" s="350">
        <v>30000</v>
      </c>
      <c r="D24" s="350">
        <v>40000</v>
      </c>
      <c r="E24" s="350">
        <v>0</v>
      </c>
      <c r="F24" s="350">
        <v>0</v>
      </c>
      <c r="G24" s="351">
        <v>1</v>
      </c>
      <c r="H24" s="351">
        <v>1</v>
      </c>
      <c r="I24" s="351">
        <v>0</v>
      </c>
      <c r="J24" s="351">
        <v>0</v>
      </c>
      <c r="K24" s="350">
        <f>E24*C24</f>
        <v>0</v>
      </c>
      <c r="L24" s="350">
        <f>F24*D24</f>
        <v>0</v>
      </c>
      <c r="M24" s="350">
        <f>G24*C24</f>
        <v>30000</v>
      </c>
      <c r="N24" s="350">
        <f>H24*D24</f>
        <v>40000</v>
      </c>
      <c r="O24" s="350">
        <f>C24*I24</f>
        <v>0</v>
      </c>
      <c r="P24" s="350">
        <f>J24*D24</f>
        <v>0</v>
      </c>
    </row>
    <row r="26" spans="1:17" ht="15.5" x14ac:dyDescent="0.3">
      <c r="A26" s="340">
        <v>3</v>
      </c>
      <c r="B26" s="341" t="s">
        <v>345</v>
      </c>
    </row>
    <row r="27" spans="1:17" ht="15.5" x14ac:dyDescent="0.3">
      <c r="A27" s="342"/>
      <c r="B27" s="341"/>
    </row>
    <row r="28" spans="1:17" ht="14" x14ac:dyDescent="0.25">
      <c r="B28" s="352"/>
      <c r="C28" s="352"/>
      <c r="D28" s="352"/>
      <c r="E28" s="344">
        <v>2023</v>
      </c>
      <c r="F28" s="344" t="s">
        <v>339</v>
      </c>
      <c r="G28" s="344" t="s">
        <v>340</v>
      </c>
      <c r="H28" s="344" t="s">
        <v>340</v>
      </c>
      <c r="I28" s="344" t="s">
        <v>341</v>
      </c>
      <c r="J28" s="344" t="s">
        <v>341</v>
      </c>
      <c r="K28" s="344">
        <v>2023</v>
      </c>
      <c r="L28" s="344">
        <v>2023</v>
      </c>
      <c r="M28" s="344">
        <v>2024</v>
      </c>
      <c r="N28" s="344">
        <v>2024</v>
      </c>
      <c r="O28" s="344">
        <v>2025</v>
      </c>
      <c r="P28" s="344">
        <v>2025</v>
      </c>
      <c r="Q28" s="344"/>
    </row>
    <row r="29" spans="1:17" ht="42" x14ac:dyDescent="0.25">
      <c r="B29" s="345" t="s">
        <v>93</v>
      </c>
      <c r="C29" s="345" t="s">
        <v>337</v>
      </c>
      <c r="D29" s="345" t="s">
        <v>338</v>
      </c>
      <c r="E29" s="345" t="s">
        <v>342</v>
      </c>
      <c r="F29" s="345" t="s">
        <v>343</v>
      </c>
      <c r="G29" s="345" t="s">
        <v>342</v>
      </c>
      <c r="H29" s="345" t="s">
        <v>343</v>
      </c>
      <c r="I29" s="345" t="s">
        <v>342</v>
      </c>
      <c r="J29" s="345" t="s">
        <v>343</v>
      </c>
      <c r="K29" s="345" t="s">
        <v>325</v>
      </c>
      <c r="L29" s="345" t="s">
        <v>326</v>
      </c>
      <c r="M29" s="345" t="s">
        <v>325</v>
      </c>
      <c r="N29" s="345" t="s">
        <v>326</v>
      </c>
      <c r="O29" s="345" t="s">
        <v>325</v>
      </c>
      <c r="P29" s="345" t="s">
        <v>326</v>
      </c>
      <c r="Q29" s="345" t="s">
        <v>328</v>
      </c>
    </row>
    <row r="30" spans="1:17" s="353" customFormat="1" ht="14" x14ac:dyDescent="0.3">
      <c r="B30" s="310" t="s">
        <v>346</v>
      </c>
      <c r="C30" s="354"/>
      <c r="D30" s="354"/>
      <c r="E30" s="354">
        <v>0</v>
      </c>
      <c r="F30" s="354">
        <v>0</v>
      </c>
      <c r="G30" s="355">
        <v>0.5</v>
      </c>
      <c r="H30" s="355">
        <v>0.5</v>
      </c>
      <c r="I30" s="355">
        <v>1</v>
      </c>
      <c r="J30" s="355">
        <v>1</v>
      </c>
      <c r="K30" s="354"/>
      <c r="L30" s="354"/>
      <c r="M30" s="354"/>
      <c r="N30" s="354"/>
      <c r="O30" s="354"/>
      <c r="P30" s="354"/>
      <c r="Q30" s="356"/>
    </row>
    <row r="31" spans="1:17" ht="13" x14ac:dyDescent="0.3">
      <c r="B31" s="310" t="s">
        <v>347</v>
      </c>
      <c r="C31" s="350">
        <f>+C32*C33</f>
        <v>4000</v>
      </c>
      <c r="D31" s="350">
        <f>+D32*D33</f>
        <v>9000</v>
      </c>
      <c r="E31" s="350"/>
      <c r="F31" s="350"/>
      <c r="G31" s="350"/>
      <c r="H31" s="350"/>
      <c r="I31" s="350"/>
      <c r="J31" s="350"/>
      <c r="K31" s="350">
        <f>C31*E30</f>
        <v>0</v>
      </c>
      <c r="L31" s="350">
        <f>C31*F30</f>
        <v>0</v>
      </c>
      <c r="M31" s="350">
        <f>C31*G30</f>
        <v>2000</v>
      </c>
      <c r="N31" s="350">
        <f>D31*H30</f>
        <v>4500</v>
      </c>
      <c r="O31" s="350">
        <f>C31*I30</f>
        <v>4000</v>
      </c>
      <c r="P31" s="350">
        <f>D31*J30</f>
        <v>9000</v>
      </c>
      <c r="Q31" s="310"/>
    </row>
    <row r="32" spans="1:17" ht="13" x14ac:dyDescent="0.3">
      <c r="B32" s="373" t="s">
        <v>348</v>
      </c>
      <c r="C32" s="354">
        <v>2</v>
      </c>
      <c r="D32" s="357">
        <v>3</v>
      </c>
      <c r="E32" s="357"/>
      <c r="F32" s="357"/>
      <c r="G32" s="357"/>
      <c r="H32" s="357"/>
      <c r="I32" s="357"/>
      <c r="J32" s="357"/>
      <c r="K32" s="357"/>
      <c r="L32" s="357"/>
      <c r="M32" s="357"/>
      <c r="N32" s="357"/>
      <c r="O32" s="357"/>
      <c r="P32" s="357"/>
      <c r="Q32" s="312" t="s">
        <v>349</v>
      </c>
    </row>
    <row r="33" spans="1:17" ht="13" x14ac:dyDescent="0.3">
      <c r="B33" s="373" t="s">
        <v>350</v>
      </c>
      <c r="C33" s="354">
        <v>2000</v>
      </c>
      <c r="D33" s="354">
        <v>3000</v>
      </c>
      <c r="E33" s="354"/>
      <c r="F33" s="354"/>
      <c r="G33" s="354"/>
      <c r="H33" s="354"/>
      <c r="I33" s="354"/>
      <c r="J33" s="354"/>
      <c r="K33" s="354"/>
      <c r="L33" s="354"/>
      <c r="M33" s="354"/>
      <c r="N33" s="354"/>
      <c r="O33" s="354"/>
      <c r="P33" s="354"/>
      <c r="Q33" s="312" t="s">
        <v>351</v>
      </c>
    </row>
    <row r="35" spans="1:17" ht="15.5" x14ac:dyDescent="0.3">
      <c r="A35" s="340">
        <v>4</v>
      </c>
      <c r="B35" s="341" t="s">
        <v>352</v>
      </c>
    </row>
    <row r="37" spans="1:17" ht="14" x14ac:dyDescent="0.25">
      <c r="B37" s="352"/>
      <c r="C37" s="352"/>
      <c r="D37" s="352"/>
      <c r="E37" s="344">
        <v>2023</v>
      </c>
      <c r="F37" s="344" t="s">
        <v>339</v>
      </c>
      <c r="G37" s="344" t="s">
        <v>340</v>
      </c>
      <c r="H37" s="344" t="s">
        <v>340</v>
      </c>
      <c r="I37" s="344" t="s">
        <v>341</v>
      </c>
      <c r="J37" s="344" t="s">
        <v>341</v>
      </c>
      <c r="K37" s="344">
        <v>2023</v>
      </c>
      <c r="L37" s="344">
        <v>2023</v>
      </c>
      <c r="M37" s="344">
        <v>2024</v>
      </c>
      <c r="N37" s="344">
        <v>2024</v>
      </c>
      <c r="O37" s="344">
        <v>2025</v>
      </c>
      <c r="P37" s="344">
        <v>2025</v>
      </c>
      <c r="Q37" s="344"/>
    </row>
    <row r="38" spans="1:17" ht="42" x14ac:dyDescent="0.25">
      <c r="B38" s="345" t="s">
        <v>93</v>
      </c>
      <c r="C38" s="345" t="s">
        <v>337</v>
      </c>
      <c r="D38" s="345" t="s">
        <v>338</v>
      </c>
      <c r="E38" s="345" t="s">
        <v>342</v>
      </c>
      <c r="F38" s="345" t="s">
        <v>343</v>
      </c>
      <c r="G38" s="345" t="s">
        <v>342</v>
      </c>
      <c r="H38" s="345" t="s">
        <v>343</v>
      </c>
      <c r="I38" s="345" t="s">
        <v>342</v>
      </c>
      <c r="J38" s="345" t="s">
        <v>343</v>
      </c>
      <c r="K38" s="345" t="s">
        <v>325</v>
      </c>
      <c r="L38" s="345" t="s">
        <v>326</v>
      </c>
      <c r="M38" s="345" t="s">
        <v>325</v>
      </c>
      <c r="N38" s="345" t="s">
        <v>326</v>
      </c>
      <c r="O38" s="345" t="s">
        <v>325</v>
      </c>
      <c r="P38" s="345" t="s">
        <v>326</v>
      </c>
      <c r="Q38" s="345" t="s">
        <v>328</v>
      </c>
    </row>
    <row r="39" spans="1:17" ht="14" x14ac:dyDescent="0.25">
      <c r="B39" s="356"/>
      <c r="C39" s="356"/>
      <c r="D39" s="356"/>
      <c r="E39" s="356"/>
      <c r="F39" s="356"/>
      <c r="G39" s="356"/>
      <c r="H39" s="356"/>
      <c r="I39" s="356"/>
      <c r="J39" s="356"/>
      <c r="K39" s="356"/>
      <c r="L39" s="356"/>
      <c r="M39" s="356"/>
      <c r="N39" s="356"/>
      <c r="O39" s="356"/>
      <c r="P39" s="356"/>
      <c r="Q39" s="358"/>
    </row>
    <row r="40" spans="1:17" ht="13" x14ac:dyDescent="0.3">
      <c r="B40" s="310" t="s">
        <v>353</v>
      </c>
      <c r="C40" s="350"/>
      <c r="D40" s="350"/>
      <c r="E40" s="350"/>
      <c r="F40" s="350"/>
      <c r="G40" s="350"/>
      <c r="H40" s="350"/>
      <c r="I40" s="350"/>
      <c r="J40" s="350"/>
      <c r="K40" s="350"/>
      <c r="L40" s="350"/>
      <c r="M40" s="350"/>
      <c r="N40" s="350"/>
      <c r="O40" s="350"/>
      <c r="P40" s="350"/>
      <c r="Q40" s="350"/>
    </row>
    <row r="41" spans="1:17" ht="13" x14ac:dyDescent="0.3">
      <c r="B41" s="359" t="s">
        <v>354</v>
      </c>
      <c r="C41" s="350"/>
      <c r="D41" s="350"/>
      <c r="E41" s="354">
        <v>2000</v>
      </c>
      <c r="F41" s="354">
        <v>2000</v>
      </c>
      <c r="G41" s="354">
        <v>2000</v>
      </c>
      <c r="H41" s="354">
        <v>2000</v>
      </c>
      <c r="I41" s="354">
        <v>2000</v>
      </c>
      <c r="J41" s="354">
        <v>2000</v>
      </c>
      <c r="K41" s="354">
        <v>2000</v>
      </c>
      <c r="L41" s="354"/>
      <c r="M41" s="354"/>
      <c r="N41" s="354"/>
      <c r="O41" s="354"/>
      <c r="P41" s="354"/>
      <c r="Q41" s="350"/>
    </row>
    <row r="42" spans="1:17" ht="13" x14ac:dyDescent="0.3">
      <c r="B42" s="359" t="s">
        <v>355</v>
      </c>
      <c r="C42" s="350"/>
      <c r="D42" s="350"/>
      <c r="E42" s="360">
        <v>0</v>
      </c>
      <c r="F42" s="360">
        <v>0</v>
      </c>
      <c r="G42" s="360">
        <v>0.02</v>
      </c>
      <c r="H42" s="360">
        <f>G42</f>
        <v>0.02</v>
      </c>
      <c r="I42" s="360">
        <v>0.05</v>
      </c>
      <c r="J42" s="360">
        <f>I42</f>
        <v>0.05</v>
      </c>
      <c r="K42" s="360"/>
      <c r="L42" s="354"/>
      <c r="M42" s="354"/>
      <c r="N42" s="354"/>
      <c r="O42" s="354"/>
      <c r="P42" s="354"/>
      <c r="Q42" s="350"/>
    </row>
    <row r="43" spans="1:17" ht="13" x14ac:dyDescent="0.3">
      <c r="A43" s="361"/>
      <c r="B43" s="359" t="s">
        <v>356</v>
      </c>
      <c r="C43" s="354"/>
      <c r="D43" s="354"/>
      <c r="E43" s="354">
        <f>E41*E42</f>
        <v>0</v>
      </c>
      <c r="F43" s="354">
        <f t="shared" ref="F43:J43" si="5">F41*F42</f>
        <v>0</v>
      </c>
      <c r="G43" s="354">
        <f t="shared" si="5"/>
        <v>40</v>
      </c>
      <c r="H43" s="354">
        <f t="shared" si="5"/>
        <v>40</v>
      </c>
      <c r="I43" s="354">
        <f t="shared" si="5"/>
        <v>100</v>
      </c>
      <c r="J43" s="354">
        <f t="shared" si="5"/>
        <v>100</v>
      </c>
      <c r="K43" s="354"/>
      <c r="L43" s="354"/>
      <c r="M43" s="354"/>
      <c r="N43" s="354"/>
      <c r="O43" s="354"/>
      <c r="P43" s="354"/>
      <c r="Q43" s="312" t="s">
        <v>357</v>
      </c>
    </row>
    <row r="44" spans="1:17" ht="13" x14ac:dyDescent="0.3">
      <c r="A44" s="361"/>
      <c r="B44" s="359" t="s">
        <v>358</v>
      </c>
      <c r="C44" s="354">
        <v>100</v>
      </c>
      <c r="D44" s="354">
        <v>150</v>
      </c>
      <c r="E44" s="354"/>
      <c r="F44" s="354"/>
      <c r="G44" s="354"/>
      <c r="H44" s="354"/>
      <c r="I44" s="354"/>
      <c r="J44" s="354"/>
      <c r="K44" s="354">
        <f>$C$44*E43</f>
        <v>0</v>
      </c>
      <c r="L44" s="354">
        <f>$D$44*F42</f>
        <v>0</v>
      </c>
      <c r="M44" s="354">
        <f>$C$44*G43</f>
        <v>4000</v>
      </c>
      <c r="N44" s="354">
        <f>$D$44*H43</f>
        <v>6000</v>
      </c>
      <c r="O44" s="354">
        <f>$C$44*I43</f>
        <v>10000</v>
      </c>
      <c r="P44" s="354">
        <f>D44*J43</f>
        <v>15000</v>
      </c>
    </row>
    <row r="45" spans="1:17" ht="13" x14ac:dyDescent="0.3">
      <c r="B45" s="310" t="s">
        <v>359</v>
      </c>
      <c r="C45" s="350"/>
      <c r="D45" s="350"/>
      <c r="E45" s="350"/>
      <c r="F45" s="350"/>
      <c r="G45" s="350"/>
      <c r="H45" s="350"/>
      <c r="I45" s="350"/>
      <c r="J45" s="350"/>
      <c r="K45" s="350"/>
      <c r="L45" s="350"/>
      <c r="M45" s="350"/>
      <c r="N45" s="350"/>
      <c r="O45" s="350"/>
      <c r="P45" s="350"/>
      <c r="Q45" s="310"/>
    </row>
    <row r="46" spans="1:17" ht="13" x14ac:dyDescent="0.3">
      <c r="A46" s="361"/>
      <c r="B46" s="359" t="s">
        <v>360</v>
      </c>
      <c r="C46" s="354">
        <v>50</v>
      </c>
      <c r="D46" s="357">
        <v>100</v>
      </c>
      <c r="E46" s="357">
        <v>0</v>
      </c>
      <c r="F46" s="357">
        <v>0</v>
      </c>
      <c r="G46" s="357">
        <v>10</v>
      </c>
      <c r="H46" s="357">
        <f>G46</f>
        <v>10</v>
      </c>
      <c r="I46" s="357">
        <v>20</v>
      </c>
      <c r="J46" s="357">
        <f>I46</f>
        <v>20</v>
      </c>
      <c r="K46" s="357"/>
      <c r="L46" s="357"/>
      <c r="M46" s="357"/>
      <c r="N46" s="357"/>
      <c r="O46" s="357"/>
      <c r="P46" s="357"/>
    </row>
    <row r="47" spans="1:17" ht="13" x14ac:dyDescent="0.3">
      <c r="A47" s="361"/>
      <c r="B47" s="359" t="s">
        <v>361</v>
      </c>
      <c r="C47" s="354">
        <f>12000/30</f>
        <v>400</v>
      </c>
      <c r="D47" s="354">
        <f>12000/30</f>
        <v>400</v>
      </c>
      <c r="E47" s="354"/>
      <c r="F47" s="354"/>
      <c r="G47" s="354"/>
      <c r="H47" s="354"/>
      <c r="I47" s="354"/>
      <c r="J47" s="354"/>
      <c r="K47" s="354">
        <f>$C$47*E46</f>
        <v>0</v>
      </c>
      <c r="L47" s="354">
        <f>$D$47*F46</f>
        <v>0</v>
      </c>
      <c r="M47" s="354">
        <f>$C$47*G46</f>
        <v>4000</v>
      </c>
      <c r="N47" s="354">
        <f>$D$47*H46</f>
        <v>4000</v>
      </c>
      <c r="O47" s="354">
        <f>$C$47*I46</f>
        <v>8000</v>
      </c>
      <c r="P47" s="354">
        <f>$D$47*J46</f>
        <v>8000</v>
      </c>
      <c r="Q47" s="312" t="s">
        <v>362</v>
      </c>
    </row>
    <row r="48" spans="1:17" ht="13" x14ac:dyDescent="0.3">
      <c r="B48" s="310" t="s">
        <v>363</v>
      </c>
      <c r="C48" s="350">
        <f>+C49*C50</f>
        <v>0</v>
      </c>
      <c r="D48" s="350">
        <f>+D49*D50</f>
        <v>0</v>
      </c>
      <c r="E48" s="350"/>
      <c r="F48" s="350"/>
      <c r="G48" s="350"/>
      <c r="H48" s="350"/>
      <c r="I48" s="350"/>
      <c r="J48" s="350"/>
      <c r="K48" s="350"/>
      <c r="L48" s="350"/>
      <c r="M48" s="350"/>
      <c r="N48" s="350"/>
      <c r="O48" s="350"/>
      <c r="P48" s="350"/>
      <c r="Q48" s="310"/>
    </row>
    <row r="49" spans="2:17" ht="13" x14ac:dyDescent="0.3">
      <c r="B49" s="359" t="s">
        <v>364</v>
      </c>
      <c r="C49" s="362">
        <v>0</v>
      </c>
      <c r="D49" s="362">
        <v>0</v>
      </c>
      <c r="E49" s="362"/>
      <c r="F49" s="362"/>
      <c r="G49" s="362"/>
      <c r="H49" s="362"/>
      <c r="I49" s="362"/>
      <c r="J49" s="362"/>
      <c r="K49" s="362"/>
      <c r="L49" s="362"/>
      <c r="M49" s="362"/>
      <c r="N49" s="362"/>
      <c r="O49" s="362"/>
      <c r="P49" s="362"/>
      <c r="Q49" s="312" t="s">
        <v>365</v>
      </c>
    </row>
    <row r="50" spans="2:17" ht="13" x14ac:dyDescent="0.3">
      <c r="B50" s="359" t="s">
        <v>366</v>
      </c>
      <c r="C50" s="361"/>
      <c r="D50" s="361"/>
      <c r="E50" s="361"/>
      <c r="F50" s="361"/>
      <c r="G50" s="361"/>
      <c r="H50" s="361"/>
      <c r="I50" s="361"/>
      <c r="J50" s="361"/>
      <c r="K50" s="361">
        <v>0</v>
      </c>
      <c r="L50" s="361">
        <v>0</v>
      </c>
      <c r="M50" s="361">
        <v>0</v>
      </c>
      <c r="N50" s="361">
        <v>0</v>
      </c>
      <c r="O50" s="361">
        <v>0</v>
      </c>
      <c r="P50" s="361">
        <v>0</v>
      </c>
    </row>
    <row r="51" spans="2:17" ht="13" x14ac:dyDescent="0.3">
      <c r="B51" s="310" t="s">
        <v>367</v>
      </c>
      <c r="C51" s="350"/>
      <c r="D51" s="350"/>
      <c r="E51" s="350"/>
      <c r="F51" s="350"/>
      <c r="G51" s="350"/>
      <c r="H51" s="350"/>
      <c r="I51" s="350"/>
      <c r="J51" s="350"/>
      <c r="K51" s="350"/>
      <c r="L51" s="350"/>
      <c r="M51" s="350"/>
      <c r="N51" s="350"/>
      <c r="O51" s="350"/>
      <c r="P51" s="350"/>
      <c r="Q51" s="310"/>
    </row>
    <row r="52" spans="2:17" ht="13" x14ac:dyDescent="0.3">
      <c r="B52" s="359" t="s">
        <v>368</v>
      </c>
      <c r="C52" s="362">
        <v>10</v>
      </c>
      <c r="D52" s="362">
        <v>20</v>
      </c>
      <c r="E52" s="362">
        <v>5</v>
      </c>
      <c r="F52" s="362">
        <f>E52</f>
        <v>5</v>
      </c>
      <c r="G52" s="362">
        <v>20</v>
      </c>
      <c r="H52" s="362">
        <v>20</v>
      </c>
      <c r="I52" s="362">
        <v>30</v>
      </c>
      <c r="J52" s="362">
        <f>I52</f>
        <v>30</v>
      </c>
      <c r="K52" s="362"/>
      <c r="L52" s="362"/>
      <c r="M52" s="362"/>
      <c r="N52" s="362"/>
      <c r="O52" s="362"/>
      <c r="P52" s="362"/>
    </row>
    <row r="53" spans="2:17" ht="13" x14ac:dyDescent="0.3">
      <c r="B53" s="359" t="s">
        <v>369</v>
      </c>
      <c r="C53" s="363">
        <v>200</v>
      </c>
      <c r="D53" s="361">
        <v>300</v>
      </c>
      <c r="E53" s="361"/>
      <c r="F53" s="361"/>
      <c r="G53" s="361"/>
      <c r="H53" s="361"/>
      <c r="I53" s="361"/>
      <c r="J53" s="361"/>
      <c r="K53" s="361">
        <f>$C$53*E52</f>
        <v>1000</v>
      </c>
      <c r="L53" s="363">
        <f>$D$53*F52</f>
        <v>1500</v>
      </c>
      <c r="M53" s="361">
        <f>$C$53*G52</f>
        <v>4000</v>
      </c>
      <c r="N53" s="363">
        <f>$D$53*H52</f>
        <v>6000</v>
      </c>
      <c r="O53" s="361">
        <f>$C$53*I52</f>
        <v>6000</v>
      </c>
      <c r="P53" s="363">
        <f>$D$53*J52</f>
        <v>9000</v>
      </c>
      <c r="Q53" s="312" t="s">
        <v>362</v>
      </c>
    </row>
    <row r="54" spans="2:17" ht="13" x14ac:dyDescent="0.3">
      <c r="B54" s="310" t="s">
        <v>370</v>
      </c>
      <c r="K54" s="347">
        <f>K44+K47+K50+K53</f>
        <v>1000</v>
      </c>
      <c r="L54" s="347">
        <f t="shared" ref="L54:P54" si="6">L44+L47+L50+L53</f>
        <v>1500</v>
      </c>
      <c r="M54" s="347">
        <f t="shared" si="6"/>
        <v>12000</v>
      </c>
      <c r="N54" s="347">
        <f t="shared" si="6"/>
        <v>16000</v>
      </c>
      <c r="O54" s="347">
        <f t="shared" si="6"/>
        <v>24000</v>
      </c>
      <c r="P54" s="347">
        <f t="shared" si="6"/>
        <v>32000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0180-E413-40E6-A014-DEBCC8247687}">
  <sheetPr>
    <tabColor theme="3"/>
  </sheetPr>
  <dimension ref="A1"/>
  <sheetViews>
    <sheetView showGridLines="0" topLeftCell="A23" workbookViewId="0">
      <selection activeCell="A65" sqref="A65"/>
    </sheetView>
  </sheetViews>
  <sheetFormatPr defaultRowHeight="12.5" x14ac:dyDescent="0.25"/>
  <cols>
    <col min="5" max="5" width="13.7265625" customWidth="1"/>
    <col min="6" max="6" width="24" customWidth="1"/>
  </cols>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4AB-87E9-4ABA-B11B-91D36CED7916}">
  <dimension ref="A1:T77"/>
  <sheetViews>
    <sheetView showGridLines="0" zoomScale="85" zoomScaleNormal="85" workbookViewId="0">
      <selection activeCell="E7" sqref="E7"/>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29.81640625" style="2" bestFit="1" customWidth="1"/>
    <col min="6" max="6" width="18.1796875" style="2" customWidth="1"/>
    <col min="7" max="10" width="14.1796875" style="2" customWidth="1"/>
    <col min="11" max="11" width="16.26953125" style="2" bestFit="1" customWidth="1"/>
    <col min="12"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Uganda P205</v>
      </c>
    </row>
    <row r="3" spans="1:18" s="7" customFormat="1" ht="13.5" customHeight="1" x14ac:dyDescent="0.25">
      <c r="A3" s="5"/>
      <c r="B3" s="5"/>
      <c r="C3" s="5"/>
      <c r="D3" s="6"/>
      <c r="E3" s="27" t="str">
        <f ca="1">MID(CELL("filename",E3),FIND("]",CELL("filename",E3))+1,256)</f>
        <v>RAR_OCP</v>
      </c>
    </row>
    <row r="4" spans="1:18" s="7" customFormat="1" ht="13.5" customHeight="1" x14ac:dyDescent="0.25">
      <c r="A4" s="5"/>
      <c r="B4" s="5"/>
      <c r="C4" s="5"/>
      <c r="D4" s="6"/>
      <c r="E4" s="27"/>
    </row>
    <row r="5" spans="1:18" s="11" customFormat="1" ht="13.5" customHeight="1" x14ac:dyDescent="0.3">
      <c r="A5" s="8"/>
      <c r="B5" s="8"/>
      <c r="C5" s="8"/>
      <c r="D5" s="9"/>
      <c r="E5" s="10"/>
    </row>
    <row r="6" spans="1:18" ht="13.5" customHeight="1" x14ac:dyDescent="0.25">
      <c r="B6" s="7"/>
      <c r="C6" s="7"/>
      <c r="D6" s="7"/>
      <c r="E6" s="59" t="s">
        <v>74</v>
      </c>
      <c r="F6" s="7"/>
      <c r="G6" s="7"/>
      <c r="H6" s="7"/>
      <c r="I6" s="7"/>
      <c r="J6" s="7"/>
      <c r="K6" s="7"/>
      <c r="L6" s="7"/>
      <c r="M6" s="7"/>
      <c r="N6" s="7"/>
    </row>
    <row r="7" spans="1:18" ht="13.5" customHeight="1" x14ac:dyDescent="0.35">
      <c r="B7" s="51"/>
      <c r="C7" s="7"/>
      <c r="D7" s="52"/>
      <c r="E7" s="7"/>
      <c r="F7" s="7"/>
      <c r="G7" s="7" t="s">
        <v>75</v>
      </c>
      <c r="H7" s="7"/>
      <c r="I7" s="7" t="s">
        <v>76</v>
      </c>
      <c r="J7" s="7"/>
      <c r="K7" s="7"/>
      <c r="L7" s="7"/>
      <c r="M7" s="7"/>
      <c r="N7" s="7"/>
    </row>
    <row r="8" spans="1:18" ht="13.5" customHeight="1" x14ac:dyDescent="0.35">
      <c r="B8" s="7"/>
      <c r="C8" s="7"/>
      <c r="D8" s="7"/>
      <c r="E8" s="65" t="s">
        <v>77</v>
      </c>
      <c r="F8" s="65"/>
      <c r="G8" s="71">
        <v>31.05</v>
      </c>
      <c r="H8" s="71"/>
      <c r="I8" s="71">
        <v>31.05</v>
      </c>
      <c r="J8" s="65"/>
      <c r="K8" s="65"/>
      <c r="L8" s="65"/>
      <c r="M8" s="7"/>
      <c r="N8" s="7"/>
    </row>
    <row r="9" spans="1:18" ht="13.5" customHeight="1" x14ac:dyDescent="0.35">
      <c r="B9" s="7"/>
      <c r="C9" s="7"/>
      <c r="D9" s="35"/>
      <c r="E9" s="65" t="s">
        <v>78</v>
      </c>
      <c r="F9" s="66"/>
      <c r="G9" s="71">
        <v>184</v>
      </c>
      <c r="H9" s="71"/>
      <c r="I9" s="71">
        <v>184</v>
      </c>
      <c r="J9" s="66"/>
      <c r="K9" s="66"/>
      <c r="L9" s="67"/>
      <c r="M9" s="57"/>
      <c r="N9" s="57"/>
      <c r="O9" s="57"/>
      <c r="P9" s="58"/>
      <c r="Q9" s="57"/>
      <c r="R9" s="57"/>
    </row>
    <row r="10" spans="1:18" ht="13.5" customHeight="1" x14ac:dyDescent="0.35">
      <c r="B10" s="7"/>
      <c r="C10" s="7"/>
      <c r="D10" s="36"/>
      <c r="E10" s="66" t="s">
        <v>62</v>
      </c>
      <c r="G10" s="71">
        <v>44.895833333333336</v>
      </c>
      <c r="H10" s="71"/>
      <c r="I10" s="71">
        <v>36.042162698412703</v>
      </c>
      <c r="J10" s="66"/>
      <c r="K10" s="66"/>
      <c r="L10" s="67"/>
      <c r="M10" s="57"/>
      <c r="N10" s="57"/>
      <c r="O10" s="57"/>
      <c r="P10" s="58"/>
      <c r="Q10" s="57"/>
      <c r="R10" s="57"/>
    </row>
    <row r="11" spans="1:18" ht="13.5" customHeight="1" x14ac:dyDescent="0.35">
      <c r="B11" s="7"/>
      <c r="C11" s="7"/>
      <c r="D11" s="7"/>
      <c r="E11" s="95" t="s">
        <v>61</v>
      </c>
      <c r="G11" s="71">
        <v>51.857142857142854</v>
      </c>
      <c r="H11" s="71"/>
      <c r="I11" s="71"/>
      <c r="J11" s="66"/>
      <c r="K11" s="66"/>
      <c r="L11" s="67"/>
      <c r="M11" s="57"/>
      <c r="N11" s="57"/>
      <c r="O11" s="57"/>
      <c r="P11" s="58"/>
      <c r="Q11" s="57"/>
      <c r="R11" s="57"/>
    </row>
    <row r="12" spans="1:18" ht="13.5" customHeight="1" x14ac:dyDescent="0.35">
      <c r="B12" s="7"/>
      <c r="C12" s="7"/>
      <c r="D12" s="35"/>
      <c r="E12" s="66" t="s">
        <v>79</v>
      </c>
      <c r="G12" s="71">
        <v>53.5</v>
      </c>
      <c r="H12" s="71"/>
      <c r="I12" s="71"/>
      <c r="J12" s="66"/>
      <c r="K12" s="66"/>
      <c r="L12" s="67"/>
      <c r="M12" s="57"/>
      <c r="N12" s="57"/>
      <c r="O12" s="57"/>
      <c r="P12" s="58"/>
      <c r="Q12" s="57"/>
      <c r="R12" s="57"/>
    </row>
    <row r="13" spans="1:18" ht="13.5" customHeight="1" outlineLevel="1" x14ac:dyDescent="0.35">
      <c r="B13" s="7"/>
      <c r="C13" s="7"/>
      <c r="D13" s="7"/>
      <c r="E13" s="95" t="s">
        <v>58</v>
      </c>
      <c r="G13" s="71">
        <v>22.75</v>
      </c>
      <c r="H13" s="71"/>
      <c r="I13" s="71"/>
      <c r="J13" s="66"/>
      <c r="K13" s="66"/>
      <c r="L13" s="67"/>
      <c r="M13" s="57"/>
      <c r="N13" s="57"/>
      <c r="O13" s="57"/>
      <c r="P13" s="58"/>
      <c r="Q13" s="57"/>
      <c r="R13" s="57"/>
    </row>
    <row r="14" spans="1:18" ht="13.5" customHeight="1" outlineLevel="1" x14ac:dyDescent="0.25">
      <c r="B14" s="7"/>
      <c r="C14" s="7"/>
      <c r="D14" s="7"/>
      <c r="E14" t="s">
        <v>80</v>
      </c>
      <c r="G14" s="72">
        <v>22.5</v>
      </c>
      <c r="H14" s="72"/>
      <c r="I14" s="72"/>
      <c r="J14"/>
      <c r="K14"/>
      <c r="L14" s="53"/>
      <c r="M14" s="53"/>
      <c r="N14" s="7"/>
    </row>
    <row r="15" spans="1:18" ht="13.5" customHeight="1" outlineLevel="1" x14ac:dyDescent="0.25">
      <c r="B15" s="7"/>
      <c r="C15" s="7"/>
      <c r="D15" s="7"/>
      <c r="E15" s="96" t="s">
        <v>54</v>
      </c>
      <c r="G15" s="72">
        <v>20.75</v>
      </c>
      <c r="H15" s="72"/>
      <c r="I15" s="72"/>
      <c r="J15"/>
      <c r="K15"/>
      <c r="L15" s="53"/>
      <c r="M15" s="53"/>
      <c r="N15" s="7"/>
    </row>
    <row r="16" spans="1:18" ht="13.5" customHeight="1" outlineLevel="1" x14ac:dyDescent="0.25">
      <c r="B16" s="7"/>
      <c r="C16" s="7"/>
      <c r="D16" s="7"/>
      <c r="E16" t="s">
        <v>81</v>
      </c>
      <c r="F16" t="s">
        <v>82</v>
      </c>
      <c r="G16" s="72">
        <v>39.125</v>
      </c>
      <c r="H16" s="72"/>
      <c r="I16" s="72">
        <v>39.125</v>
      </c>
      <c r="J16"/>
      <c r="K16"/>
      <c r="L16" s="53"/>
      <c r="M16" s="53"/>
      <c r="N16" s="7"/>
    </row>
    <row r="17" spans="2:14" ht="13.5" customHeight="1" outlineLevel="1" x14ac:dyDescent="0.25">
      <c r="B17" s="7"/>
      <c r="C17" s="7"/>
      <c r="D17" s="7"/>
      <c r="E17" s="53" t="s">
        <v>63</v>
      </c>
      <c r="F17" s="69" t="s">
        <v>63</v>
      </c>
      <c r="G17" s="73">
        <v>82.40625</v>
      </c>
      <c r="H17" s="73"/>
      <c r="I17" s="73">
        <v>82.40625</v>
      </c>
      <c r="J17" s="53"/>
      <c r="K17" s="53"/>
      <c r="L17" s="53"/>
      <c r="M17" s="53"/>
      <c r="N17" s="7"/>
    </row>
    <row r="18" spans="2:14" ht="13.5" customHeight="1" outlineLevel="1" x14ac:dyDescent="0.25">
      <c r="B18" s="7"/>
      <c r="C18" s="7"/>
      <c r="D18" s="7"/>
      <c r="E18" s="53" t="s">
        <v>83</v>
      </c>
      <c r="F18" s="53" t="s">
        <v>83</v>
      </c>
      <c r="G18" s="73">
        <v>143.3125</v>
      </c>
      <c r="H18" s="73"/>
      <c r="I18" s="73">
        <v>143.3125</v>
      </c>
      <c r="J18" s="53"/>
      <c r="K18" s="53"/>
      <c r="L18" s="53"/>
      <c r="M18" s="53"/>
      <c r="N18" s="7"/>
    </row>
    <row r="19" spans="2:14" ht="13.5" customHeight="1" outlineLevel="1" x14ac:dyDescent="0.25">
      <c r="B19" s="7"/>
      <c r="C19" s="7"/>
      <c r="D19" s="7"/>
      <c r="E19" s="53" t="s">
        <v>59</v>
      </c>
      <c r="F19" s="53"/>
      <c r="G19" s="73">
        <v>60.765625</v>
      </c>
      <c r="H19" s="73"/>
      <c r="J19" s="53"/>
      <c r="K19" s="53"/>
      <c r="L19" s="53"/>
      <c r="M19" s="53"/>
      <c r="N19" s="7"/>
    </row>
    <row r="20" spans="2:14" ht="13.5" customHeight="1" outlineLevel="1" x14ac:dyDescent="0.25">
      <c r="B20" s="7"/>
      <c r="C20" s="7"/>
      <c r="D20" s="7"/>
      <c r="E20" s="53"/>
      <c r="F20" s="53"/>
      <c r="G20" s="70"/>
      <c r="H20" s="68"/>
      <c r="I20" s="68"/>
      <c r="J20" s="53"/>
      <c r="K20" s="53"/>
      <c r="L20" s="53"/>
      <c r="M20" s="53"/>
      <c r="N20" s="7"/>
    </row>
    <row r="21" spans="2:14" ht="13.5" customHeight="1" outlineLevel="1" x14ac:dyDescent="0.25">
      <c r="B21" s="7"/>
      <c r="C21" s="7"/>
      <c r="D21" s="7"/>
      <c r="E21" s="7"/>
      <c r="F21" s="7"/>
      <c r="G21" s="7"/>
      <c r="H21" s="7"/>
      <c r="I21" s="7"/>
      <c r="J21" s="7"/>
      <c r="K21" s="7"/>
      <c r="L21" s="7"/>
      <c r="M21" s="7"/>
      <c r="N21" s="7"/>
    </row>
    <row r="22" spans="2:14" ht="13.5" customHeight="1" outlineLevel="1" x14ac:dyDescent="0.25">
      <c r="B22" s="7"/>
      <c r="C22" s="7"/>
      <c r="D22" s="7"/>
      <c r="E22" s="7"/>
      <c r="F22" s="59"/>
      <c r="G22" s="7"/>
      <c r="H22" s="7"/>
      <c r="I22" s="7"/>
      <c r="J22" s="7"/>
      <c r="K22" s="7"/>
      <c r="L22" s="7"/>
      <c r="M22" s="7"/>
      <c r="N22" s="7"/>
    </row>
    <row r="23" spans="2:14" ht="13.5" customHeight="1" outlineLevel="1" x14ac:dyDescent="0.25">
      <c r="B23" s="7"/>
      <c r="C23" s="7"/>
      <c r="D23" s="7"/>
      <c r="E23" s="7"/>
      <c r="F23" s="7"/>
      <c r="G23" s="7"/>
      <c r="H23" s="7"/>
      <c r="I23" s="7"/>
      <c r="J23" s="7"/>
      <c r="K23" s="7"/>
      <c r="L23" s="7"/>
      <c r="M23" s="7"/>
      <c r="N23" s="7"/>
    </row>
    <row r="24" spans="2:14" ht="13.5" customHeight="1" outlineLevel="1" x14ac:dyDescent="0.35">
      <c r="B24" s="51"/>
      <c r="C24" s="7"/>
      <c r="D24" s="52"/>
      <c r="E24" s="7"/>
      <c r="F24" s="7"/>
      <c r="G24" s="7"/>
      <c r="H24" s="7"/>
      <c r="I24" s="7"/>
      <c r="J24" s="7"/>
      <c r="K24" s="7"/>
      <c r="L24" s="7"/>
      <c r="M24" s="7"/>
      <c r="N24" s="7"/>
    </row>
    <row r="25" spans="2:14" ht="13.5" customHeight="1" outlineLevel="1" x14ac:dyDescent="0.25">
      <c r="B25" s="7"/>
      <c r="C25" s="7"/>
      <c r="D25" s="7"/>
      <c r="E25" s="7"/>
      <c r="F25" s="7"/>
      <c r="G25" s="7"/>
      <c r="H25" s="7"/>
      <c r="I25" s="7"/>
      <c r="J25" s="7"/>
      <c r="K25" s="7"/>
      <c r="L25" s="7"/>
      <c r="M25" s="7"/>
      <c r="N25" s="7"/>
    </row>
    <row r="26" spans="2:14" ht="13.5" customHeight="1" outlineLevel="1" x14ac:dyDescent="0.25">
      <c r="B26" s="7"/>
      <c r="C26" s="7"/>
      <c r="D26" s="7"/>
      <c r="E26" s="7"/>
      <c r="F26" s="7"/>
      <c r="G26" s="7"/>
      <c r="H26" s="7"/>
      <c r="I26" s="7"/>
      <c r="J26" s="7"/>
      <c r="K26" s="7"/>
      <c r="L26" s="7"/>
      <c r="M26" s="7"/>
      <c r="N26" s="7"/>
    </row>
    <row r="27" spans="2:14" ht="13.5" customHeight="1" outlineLevel="1" x14ac:dyDescent="0.25">
      <c r="B27" s="7"/>
      <c r="C27" s="7"/>
      <c r="D27" s="7"/>
      <c r="E27" s="7"/>
      <c r="F27" s="7"/>
      <c r="G27" s="7"/>
      <c r="H27" s="7"/>
      <c r="I27" s="7"/>
      <c r="J27" s="7"/>
      <c r="K27" s="7"/>
      <c r="L27" s="7"/>
      <c r="M27" s="7"/>
      <c r="N27" s="7"/>
    </row>
    <row r="28" spans="2:14" ht="13.5" customHeight="1" outlineLevel="1" x14ac:dyDescent="0.25">
      <c r="B28" s="7"/>
      <c r="C28" s="7"/>
      <c r="D28" s="7"/>
      <c r="E28" s="7"/>
      <c r="F28" s="7"/>
      <c r="G28" s="7"/>
      <c r="H28" s="7"/>
      <c r="I28" s="7"/>
      <c r="J28" s="7"/>
      <c r="K28" s="7"/>
      <c r="L28" s="7"/>
      <c r="M28" s="7"/>
      <c r="N28" s="7"/>
    </row>
    <row r="29" spans="2:14" ht="13.5" customHeight="1" outlineLevel="1" x14ac:dyDescent="0.25">
      <c r="B29" s="7"/>
      <c r="C29" s="7"/>
      <c r="D29" s="7"/>
      <c r="E29" s="7"/>
      <c r="F29" s="7"/>
      <c r="G29" s="7"/>
      <c r="H29" s="7"/>
      <c r="I29" s="7"/>
      <c r="J29" s="7"/>
      <c r="K29" s="7"/>
      <c r="L29" s="7"/>
      <c r="M29" s="7"/>
      <c r="N29" s="7"/>
    </row>
    <row r="30" spans="2:14" ht="13.5" customHeight="1" outlineLevel="1" x14ac:dyDescent="0.25">
      <c r="B30" s="7"/>
      <c r="C30" s="7"/>
      <c r="D30" s="7"/>
      <c r="E30" s="7"/>
      <c r="F30" s="7"/>
      <c r="G30" s="7"/>
      <c r="H30" s="7"/>
      <c r="I30" s="7"/>
      <c r="J30" s="7"/>
      <c r="K30" s="7"/>
      <c r="L30" s="7"/>
      <c r="M30" s="7"/>
      <c r="N30" s="7"/>
    </row>
    <row r="31" spans="2:14" ht="13.5" customHeight="1" outlineLevel="1" x14ac:dyDescent="0.25">
      <c r="B31" s="7"/>
      <c r="C31" s="7"/>
      <c r="D31" s="7"/>
      <c r="E31" s="7"/>
      <c r="F31" s="7"/>
      <c r="G31" s="7"/>
      <c r="H31" s="7"/>
      <c r="I31" s="7"/>
      <c r="J31" s="7"/>
      <c r="K31" s="7"/>
      <c r="L31" s="7"/>
      <c r="M31" s="7"/>
      <c r="N31" s="7"/>
    </row>
    <row r="32" spans="2:14"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88C3E66AB75547B18654CB199B37BE" ma:contentTypeVersion="11" ma:contentTypeDescription="Create a new document." ma:contentTypeScope="" ma:versionID="7f1abdd97311c1744583c626b9c5f5c9">
  <xsd:schema xmlns:xsd="http://www.w3.org/2001/XMLSchema" xmlns:xs="http://www.w3.org/2001/XMLSchema" xmlns:p="http://schemas.microsoft.com/office/2006/metadata/properties" xmlns:ns2="92e85fc9-c59d-4a6e-83f4-fc53e441d8c6" xmlns:ns3="3330e3f4-ca0a-4364-8b24-1b45af06b0ec" targetNamespace="http://schemas.microsoft.com/office/2006/metadata/properties" ma:root="true" ma:fieldsID="588be940771b406d9e0a693962564aa1" ns2:_="" ns3:_="">
    <xsd:import namespace="92e85fc9-c59d-4a6e-83f4-fc53e441d8c6"/>
    <xsd:import namespace="3330e3f4-ca0a-4364-8b24-1b45af06b0e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85fc9-c59d-4a6e-83f4-fc53e441d8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30e3f4-ca0a-4364-8b24-1b45af06b0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f47a410-6c15-4369-b8a8-064dc59b1aa6}" ma:internalName="TaxCatchAll" ma:showField="CatchAllData" ma:web="3330e3f4-ca0a-4364-8b24-1b45af06b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I U E A A B Q S w M E F A A C A A g A k 5 v j V n / z q 9 W m A A A A 9 g A A A B I A H A B D b 2 5 m a W c v U G F j a 2 F n Z S 5 4 b W w g o h g A K K A U A A A A A A A A A A A A A A A A A A A A A A A A A A A A h Y 8 x D o I w G I W v Q r r T F k w M k p 8 y m D h J Y j Q x r k 2 p 0 A j F t M V y N w e P 5 B X E K O r m + L 7 3 D e / d r z f I h 7 Y J L t J Y 1 e k M R Z i i Q G r R l U p X G e r d M U x Q z m D D x Y l X M h h l b d P B l h m q n T u n h H j v s Z / h z l Q k p j Q i h 2 K 9 E 7 V s O f r I 6 r 8 c K m 0 d 1 0 I i B v v X G B b j i C Z 4 k c w x B T J B K J T + C v G 4 9 9 n + Q F j 2 j e u N Z E c T r r Z A p g j k / Y E 9 A F B L A w Q U A A I A C A C T m + 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5 v j V o q j V D Z 9 A Q A A G A M A A B M A H A B G b 3 J t d W x h c y 9 T Z W N 0 a W 9 u M S 5 t I K I Y A C i g F A A A A A A A A A A A A A A A A A A A A A A A A A A A A H 1 S X U / C M B R 9 J + E / N O N l S 8 o C C C R K 9 r B s E H l Q M R s m B g y p 2 3 U 0 6 V r S d i o h / H c 7 G a I O 7 U v b 8 3 H P v W k V J J o K j q L D 3 h 0 1 G 8 2 G W h M J K W p Z E / 8 u i v 1 4 l R J N V s B X g 3 a v 3 + 5 1 e h f I 7 j o W 8 h A D 3 W w g s y J R y A Q M E q h X N x R J k Q P X 9 o Q y c A P B t b k o 2 w q u l n M F U i 0 Z b D P B K a C c S A r L U L x x J k i q l v 8 G u o l 6 t R y 8 C I H R n G q Q n o U t j A L B i p w r r 9 v H a M w T k V K e e c N B p 9 P F 6 L 4 Q G i K 9 Z e C d j u 6 t 4 P D k 4 E P n L W s m R W 6 4 F F 0 D S U 1 7 5 W A x e T b C i q l w + z A k R o s K 9 x m L E s K I V J 6 W x f e S w Z r w z F S M t x s 4 l Y s l 4 e p F y P z Q c k k q + 0 w + 3 u 2 s U O S E c j N c C m Z G b a R I w 7 v e Y 3 T k a r A v g X w a k H 3 T v 3 Q M P + V 6 2 H f L n C 9 B z T V m U L 7 V M e m X p W J r r q m G v M o K Z o F z l q + B j 0 D k H z k l V U f n n N a j H w g r z l S Y M J L V t C W I Q l C J p J v y f / 8 Q 7 J 1 m g / K z T z b 6 A F B L A Q I t A B Q A A g A I A J O b 4 1 Z / 8 6 v V p g A A A P Y A A A A S A A A A A A A A A A A A A A A A A A A A A A B D b 2 5 m a W c v U G F j a 2 F n Z S 5 4 b W x Q S w E C L Q A U A A I A C A C T m + N W D 8 r p q 6 Q A A A D p A A A A E w A A A A A A A A A A A A A A A A D y A A A A W 0 N v b n R l b n R f V H l w Z X N d L n h t b F B L A Q I t A B Q A A g A I A J O b 4 1 a K o 1 Q 2 f Q E A A B g D A A A T A A A A A A A A A A A A A A A A A O M 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g S A A A A A A A A h 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Q U 9 T V E F U X 2 R h d G F f Z W 5 f N S 0 y N C 0 y M D I z 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k F P U 1 R B V F 9 k Y X R h X 2 V u X z V f M j R f M j A y M 1 9 f M S I g L z 4 8 R W 5 0 c n k g V H l w Z T 0 i R m l s b G V k Q 2 9 t c G x l d G V S Z X N 1 b H R U b 1 d v c m t z a G V l d C I g V m F s d W U 9 I m w x I i A v P j x F b n R y e S B U e X B l P S J G a W x s U 3 R h d H V z I i B W Y W x 1 Z T 0 i c 0 N v b X B s Z X R l I i A v P j x F b n R y e S B U e X B l P S J G a W x s Q 2 9 s d W 1 u T m F t Z X M i I F Z h b H V l P S J z W y Z x d W 9 0 O 0 R v b W F p b i B D b 2 R l J n F 1 b 3 Q 7 L C Z x d W 9 0 O 0 R v b W F p b i Z x d W 9 0 O y w m c X V v d D t B c m V h I E N v Z G U g K E 0 0 O S k m c X V v d D s s J n F 1 b 3 Q 7 Q X J l Y S Z x d W 9 0 O y w m c X V v d D t F b G V t Z W 5 0 I E N v Z G U m c X V v d D s s J n F 1 b 3 Q 7 R W x l b W V u d C Z x d W 9 0 O y w m c X V v d D t J d G V t I E N v Z G U g K E N Q Q y k m c X V v d D s s J n F 1 b 3 Q 7 S X R l b S Z x d W 9 0 O y w m c X V v d D t Z Z W F y I E N v Z G U m c X V v d D s s J n F 1 b 3 Q 7 W W V h c i Z x d W 9 0 O y w m c X V v d D t V b m l 0 J n F 1 b 3 Q 7 L C Z x d W 9 0 O 1 Z h b H V l J n F 1 b 3 Q 7 L C Z x d W 9 0 O 0 Z s Y W c m c X V v d D s s J n F 1 b 3 Q 7 R m x h Z y B E Z X N j c m l w d G l v b i Z x d W 9 0 O 1 0 i I C 8 + P E V u d H J 5 I F R 5 c G U 9 I k Z p b G x D b 2 x 1 b W 5 U e X B l c y I g V m F s d W U 9 I n N C Z 1 l E Q m d N R 0 J n W U R B d 1 l E Q m d Z P S I g L z 4 8 R W 5 0 c n k g V H l w Z T 0 i R m l s b E x h c 3 R V c G R h d G V k I i B W Y W x 1 Z T 0 i Z D I w M j M t M D U t M j R U M T Q 6 N T A 6 N T U u M j Q w O D I 1 N V o i I C 8 + P E V u d H J 5 I F R 5 c G U 9 I k Z p b G x F c n J v c k N v d W 5 0 I i B W Y W x 1 Z T 0 i b D A i I C 8 + P E V u d H J 5 I F R 5 c G U 9 I k Z p b G x F c n J v c k N v Z G U i I F Z h b H V l P S J z V W 5 r b m 9 3 b i I g L z 4 8 R W 5 0 c n k g V H l w Z T 0 i R m l s b E N v d W 5 0 I i B W Y W x 1 Z T 0 i b D E 4 N 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R k F P U 1 R B V F 9 k Y X R h X 2 V u X z U t M j Q t M j A y M y A o M S k v Q X V 0 b 1 J l b W 9 2 Z W R D b 2 x 1 b W 5 z M S 5 7 R G 9 t Y W l u I E N v Z G U s M H 0 m c X V v d D s s J n F 1 b 3 Q 7 U 2 V j d G l v b j E v R k F P U 1 R B V F 9 k Y X R h X 2 V u X z U t M j Q t M j A y M y A o M S k v Q X V 0 b 1 J l b W 9 2 Z W R D b 2 x 1 b W 5 z M S 5 7 R G 9 t Y W l u L D F 9 J n F 1 b 3 Q 7 L C Z x d W 9 0 O 1 N l Y 3 R p b 2 4 x L 0 Z B T 1 N U Q V R f Z G F 0 Y V 9 l b l 8 1 L T I 0 L T I w M j M g K D E p L 0 F 1 d G 9 S Z W 1 v d m V k Q 2 9 s d W 1 u c z E u e 0 F y Z W E g Q 2 9 k Z S A o T T Q 5 K S w y f S Z x d W 9 0 O y w m c X V v d D t T Z W N 0 a W 9 u M S 9 G Q U 9 T V E F U X 2 R h d G F f Z W 5 f N S 0 y N C 0 y M D I z I C g x K S 9 B d X R v U m V t b 3 Z l Z E N v b H V t b n M x L n t B c m V h L D N 9 J n F 1 b 3 Q 7 L C Z x d W 9 0 O 1 N l Y 3 R p b 2 4 x L 0 Z B T 1 N U Q V R f Z G F 0 Y V 9 l b l 8 1 L T I 0 L T I w M j M g K D E p L 0 F 1 d G 9 S Z W 1 v d m V k Q 2 9 s d W 1 u c z E u e 0 V s Z W 1 l b n Q g Q 2 9 k Z S w 0 f S Z x d W 9 0 O y w m c X V v d D t T Z W N 0 a W 9 u M S 9 G Q U 9 T V E F U X 2 R h d G F f Z W 5 f N S 0 y N C 0 y M D I z I C g x K S 9 B d X R v U m V t b 3 Z l Z E N v b H V t b n M x L n t F b G V t Z W 5 0 L D V 9 J n F 1 b 3 Q 7 L C Z x d W 9 0 O 1 N l Y 3 R p b 2 4 x L 0 Z B T 1 N U Q V R f Z G F 0 Y V 9 l b l 8 1 L T I 0 L T I w M j M g K D E p L 0 F 1 d G 9 S Z W 1 v d m V k Q 2 9 s d W 1 u c z E u e 0 l 0 Z W 0 g Q 2 9 k Z S A o Q 1 B D K S w 2 f S Z x d W 9 0 O y w m c X V v d D t T Z W N 0 a W 9 u M S 9 G Q U 9 T V E F U X 2 R h d G F f Z W 5 f N S 0 y N C 0 y M D I z I C g x K S 9 B d X R v U m V t b 3 Z l Z E N v b H V t b n M x L n t J d G V t L D d 9 J n F 1 b 3 Q 7 L C Z x d W 9 0 O 1 N l Y 3 R p b 2 4 x L 0 Z B T 1 N U Q V R f Z G F 0 Y V 9 l b l 8 1 L T I 0 L T I w M j M g K D E p L 0 F 1 d G 9 S Z W 1 v d m V k Q 2 9 s d W 1 u c z E u e 1 l l Y X I g Q 2 9 k Z S w 4 f S Z x d W 9 0 O y w m c X V v d D t T Z W N 0 a W 9 u M S 9 G Q U 9 T V E F U X 2 R h d G F f Z W 5 f N S 0 y N C 0 y M D I z I C g x K S 9 B d X R v U m V t b 3 Z l Z E N v b H V t b n M x L n t Z Z W F y L D l 9 J n F 1 b 3 Q 7 L C Z x d W 9 0 O 1 N l Y 3 R p b 2 4 x L 0 Z B T 1 N U Q V R f Z G F 0 Y V 9 l b l 8 1 L T I 0 L T I w M j M g K D E p L 0 F 1 d G 9 S Z W 1 v d m V k Q 2 9 s d W 1 u c z E u e 1 V u a X Q s M T B 9 J n F 1 b 3 Q 7 L C Z x d W 9 0 O 1 N l Y 3 R p b 2 4 x L 0 Z B T 1 N U Q V R f Z G F 0 Y V 9 l b l 8 1 L T I 0 L T I w M j M g K D E p L 0 F 1 d G 9 S Z W 1 v d m V k Q 2 9 s d W 1 u c z E u e 1 Z h b H V l L D E x f S Z x d W 9 0 O y w m c X V v d D t T Z W N 0 a W 9 u M S 9 G Q U 9 T V E F U X 2 R h d G F f Z W 5 f N S 0 y N C 0 y M D I z I C g x K S 9 B d X R v U m V t b 3 Z l Z E N v b H V t b n M x L n t G b G F n L D E y f S Z x d W 9 0 O y w m c X V v d D t T Z W N 0 a W 9 u M S 9 G Q U 9 T V E F U X 2 R h d G F f Z W 5 f N S 0 y N C 0 y M D I z I C g x K S 9 B d X R v U m V t b 3 Z l Z E N v b H V t b n M x L n t G b G F n I E R l c 2 N y a X B 0 a W 9 u L D E z f S Z x d W 9 0 O 1 0 s J n F 1 b 3 Q 7 Q 2 9 s d W 1 u Q 2 9 1 b n Q m c X V v d D s 6 M T Q s J n F 1 b 3 Q 7 S 2 V 5 Q 2 9 s d W 1 u T m F t Z X M m c X V v d D s 6 W 1 0 s J n F 1 b 3 Q 7 Q 2 9 s d W 1 u S W R l b n R p d G l l c y Z x d W 9 0 O z p b J n F 1 b 3 Q 7 U 2 V j d G l v b j E v R k F P U 1 R B V F 9 k Y X R h X 2 V u X z U t M j Q t M j A y M y A o M S k v Q X V 0 b 1 J l b W 9 2 Z W R D b 2 x 1 b W 5 z M S 5 7 R G 9 t Y W l u I E N v Z G U s M H 0 m c X V v d D s s J n F 1 b 3 Q 7 U 2 V j d G l v b j E v R k F P U 1 R B V F 9 k Y X R h X 2 V u X z U t M j Q t M j A y M y A o M S k v Q X V 0 b 1 J l b W 9 2 Z W R D b 2 x 1 b W 5 z M S 5 7 R G 9 t Y W l u L D F 9 J n F 1 b 3 Q 7 L C Z x d W 9 0 O 1 N l Y 3 R p b 2 4 x L 0 Z B T 1 N U Q V R f Z G F 0 Y V 9 l b l 8 1 L T I 0 L T I w M j M g K D E p L 0 F 1 d G 9 S Z W 1 v d m V k Q 2 9 s d W 1 u c z E u e 0 F y Z W E g Q 2 9 k Z S A o T T Q 5 K S w y f S Z x d W 9 0 O y w m c X V v d D t T Z W N 0 a W 9 u M S 9 G Q U 9 T V E F U X 2 R h d G F f Z W 5 f N S 0 y N C 0 y M D I z I C g x K S 9 B d X R v U m V t b 3 Z l Z E N v b H V t b n M x L n t B c m V h L D N 9 J n F 1 b 3 Q 7 L C Z x d W 9 0 O 1 N l Y 3 R p b 2 4 x L 0 Z B T 1 N U Q V R f Z G F 0 Y V 9 l b l 8 1 L T I 0 L T I w M j M g K D E p L 0 F 1 d G 9 S Z W 1 v d m V k Q 2 9 s d W 1 u c z E u e 0 V s Z W 1 l b n Q g Q 2 9 k Z S w 0 f S Z x d W 9 0 O y w m c X V v d D t T Z W N 0 a W 9 u M S 9 G Q U 9 T V E F U X 2 R h d G F f Z W 5 f N S 0 y N C 0 y M D I z I C g x K S 9 B d X R v U m V t b 3 Z l Z E N v b H V t b n M x L n t F b G V t Z W 5 0 L D V 9 J n F 1 b 3 Q 7 L C Z x d W 9 0 O 1 N l Y 3 R p b 2 4 x L 0 Z B T 1 N U Q V R f Z G F 0 Y V 9 l b l 8 1 L T I 0 L T I w M j M g K D E p L 0 F 1 d G 9 S Z W 1 v d m V k Q 2 9 s d W 1 u c z E u e 0 l 0 Z W 0 g Q 2 9 k Z S A o Q 1 B D K S w 2 f S Z x d W 9 0 O y w m c X V v d D t T Z W N 0 a W 9 u M S 9 G Q U 9 T V E F U X 2 R h d G F f Z W 5 f N S 0 y N C 0 y M D I z I C g x K S 9 B d X R v U m V t b 3 Z l Z E N v b H V t b n M x L n t J d G V t L D d 9 J n F 1 b 3 Q 7 L C Z x d W 9 0 O 1 N l Y 3 R p b 2 4 x L 0 Z B T 1 N U Q V R f Z G F 0 Y V 9 l b l 8 1 L T I 0 L T I w M j M g K D E p L 0 F 1 d G 9 S Z W 1 v d m V k Q 2 9 s d W 1 u c z E u e 1 l l Y X I g Q 2 9 k Z S w 4 f S Z x d W 9 0 O y w m c X V v d D t T Z W N 0 a W 9 u M S 9 G Q U 9 T V E F U X 2 R h d G F f Z W 5 f N S 0 y N C 0 y M D I z I C g x K S 9 B d X R v U m V t b 3 Z l Z E N v b H V t b n M x L n t Z Z W F y L D l 9 J n F 1 b 3 Q 7 L C Z x d W 9 0 O 1 N l Y 3 R p b 2 4 x L 0 Z B T 1 N U Q V R f Z G F 0 Y V 9 l b l 8 1 L T I 0 L T I w M j M g K D E p L 0 F 1 d G 9 S Z W 1 v d m V k Q 2 9 s d W 1 u c z E u e 1 V u a X Q s M T B 9 J n F 1 b 3 Q 7 L C Z x d W 9 0 O 1 N l Y 3 R p b 2 4 x L 0 Z B T 1 N U Q V R f Z G F 0 Y V 9 l b l 8 1 L T I 0 L T I w M j M g K D E p L 0 F 1 d G 9 S Z W 1 v d m V k Q 2 9 s d W 1 u c z E u e 1 Z h b H V l L D E x f S Z x d W 9 0 O y w m c X V v d D t T Z W N 0 a W 9 u M S 9 G Q U 9 T V E F U X 2 R h d G F f Z W 5 f N S 0 y N C 0 y M D I z I C g x K S 9 B d X R v U m V t b 3 Z l Z E N v b H V t b n M x L n t G b G F n L D E y f S Z x d W 9 0 O y w m c X V v d D t T Z W N 0 a W 9 u M S 9 G Q U 9 T V E F U X 2 R h d G F f Z W 5 f N S 0 y N C 0 y M D I z I C g x K S 9 B d X R v U m V t b 3 Z l Z E N v b H V t b n M x L n t G b G F n I E R l c 2 N y a X B 0 a W 9 u L D E z f S Z x d W 9 0 O 1 0 s J n F 1 b 3 Q 7 U m V s Y X R p b 2 5 z a G l w S W 5 m b y Z x d W 9 0 O z p b X X 0 i I C 8 + P C 9 T d G F i b G V F b n R y a W V z P j w v S X R l b T 4 8 S X R l b T 4 8 S X R l b U x v Y 2 F 0 a W 9 u P j x J d G V t V H l w Z T 5 G b 3 J t d W x h P C 9 J d G V t V H l w Z T 4 8 S X R l b V B h d G g + U 2 V j d G l v b j E v R k F P U 1 R B V F 9 k Y X R h X 2 V u X z U t M j Q t M j A y M y U y M C g x K S 9 T b 3 V y Y 2 U 8 L 0 l 0 Z W 1 Q Y X R o P j w v S X R l b U x v Y 2 F 0 a W 9 u P j x T d G F i b G V F b n R y a W V z I C 8 + P C 9 J d G V t P j x J d G V t P j x J d G V t T G 9 j Y X R p b 2 4 + P E l 0 Z W 1 U e X B l P k Z v c m 1 1 b G E 8 L 0 l 0 Z W 1 U e X B l P j x J d G V t U G F 0 a D 5 T Z W N 0 a W 9 u M S 9 G Q U 9 T V E F U X 2 R h d G F f Z W 5 f N S 0 y N C 0 y M D I z J T I w K D E p L 1 B y b 2 1 v d G V k J T I w S G V h Z G V y c z w v S X R l b V B h d G g + P C 9 J d G V t T G 9 j Y X R p b 2 4 + P F N 0 Y W J s Z U V u d H J p Z X M g L z 4 8 L 0 l 0 Z W 0 + P E l 0 Z W 0 + P E l 0 Z W 1 M b 2 N h d G l v b j 4 8 S X R l b V R 5 c G U + R m 9 y b X V s Y T w v S X R l b V R 5 c G U + P E l 0 Z W 1 Q Y X R o P l N l Y 3 R p b 2 4 x L 0 Z B T 1 N U Q V R f Z G F 0 Y V 9 l b l 8 1 L T I 0 L T I w M j M l M j A o M S k v Q 2 h h b m d l Z C U y M F R 5 c G U 8 L 0 l 0 Z W 1 Q Y X R o P j w v S X R l b U x v Y 2 F 0 a W 9 u P j x T d G F i b G V F b n R y a W V z I C 8 + P C 9 J d G V t P j w v S X R l b X M + P C 9 M b 2 N h b F B h Y 2 t h Z 2 V N Z X R h Z G F 0 Y U Z p b G U + F g A A A F B L B Q Y A A A A A A A A A A A A A A A A A A A A A A A D a A A A A A Q A A A N C M n d 8 B F d E R j H o A w E / C l + s B A A A A o e n R E Q h V g 0 m 0 4 f m G g o I + K Q A A A A A C A A A A A A A D Z g A A w A A A A B A A A A A / b V L 7 R j 1 T r E 6 J Y 7 b Q W q h L A A A A A A S A A A C g A A A A E A A A A O 9 k A N 5 F z i q H L j z 3 Q b w W 7 w 9 Q A A A A 5 b H W a I / + c T B F u w d R V T w 5 s e 5 h v B Q D J m k S G X / H h l a 2 o l g W S / d z Y Y S Z N v I / u z 3 G a q r K 7 9 F e l j n g 6 / k E 8 f e E 9 / I q p H 5 p S G M R y 8 z f G E a F A U o A i U s U A A A A w w I 8 g w g M o d 9 m e J W d Z 2 r I l Y u d L d A = < / D a t a M a s h u p > 
</file>

<file path=customXml/item4.xml><?xml version="1.0" encoding="utf-8"?>
<p:properties xmlns:p="http://schemas.microsoft.com/office/2006/metadata/properties" xmlns:xsi="http://www.w3.org/2001/XMLSchema-instance">
  <documentManagement>
    <TaxCatchAll xmlns="3330e3f4-ca0a-4364-8b24-1b45af06b0ec" xsi:nil="true"/>
    <lcf76f155ced4ddcb4097134ff3c332f xmlns="92e85fc9-c59d-4a6e-83f4-fc53e441d8c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3C00506-6214-4FDB-97CA-B0E33E8C3A2B}">
  <ds:schemaRefs>
    <ds:schemaRef ds:uri="http://schemas.microsoft.com/sharepoint/v3/contenttype/forms"/>
  </ds:schemaRefs>
</ds:datastoreItem>
</file>

<file path=customXml/itemProps2.xml><?xml version="1.0" encoding="utf-8"?>
<ds:datastoreItem xmlns:ds="http://schemas.openxmlformats.org/officeDocument/2006/customXml" ds:itemID="{D8280166-CAE9-46AF-8870-CE233FA6AF14}"/>
</file>

<file path=customXml/itemProps3.xml><?xml version="1.0" encoding="utf-8"?>
<ds:datastoreItem xmlns:ds="http://schemas.openxmlformats.org/officeDocument/2006/customXml" ds:itemID="{E202006A-58A4-49F3-A938-8FFF25F58D14}">
  <ds:schemaRefs>
    <ds:schemaRef ds:uri="http://schemas.microsoft.com/DataMashup"/>
  </ds:schemaRefs>
</ds:datastoreItem>
</file>

<file path=customXml/itemProps4.xml><?xml version="1.0" encoding="utf-8"?>
<ds:datastoreItem xmlns:ds="http://schemas.openxmlformats.org/officeDocument/2006/customXml" ds:itemID="{AB868C1E-7569-4632-B6B9-2BE0DFA4FAC3}">
  <ds:schemaRefs>
    <ds:schemaRef ds:uri="http://purl.org/dc/terms/"/>
    <ds:schemaRef ds:uri="http://purl.org/dc/elements/1.1/"/>
    <ds:schemaRef ds:uri="3330e3f4-ca0a-4364-8b24-1b45af06b0ec"/>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dcd07e8d-b5f9-4871-be7a-b103cd58b3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Couverture</vt:lpstr>
      <vt:lpstr>ProjectedP205_Consumption</vt:lpstr>
      <vt:lpstr>OCPMarketShares</vt:lpstr>
      <vt:lpstr>OCP_SalesProduct</vt:lpstr>
      <vt:lpstr>OCP_CropsMix </vt:lpstr>
      <vt:lpstr>Potential commercial farms</vt:lpstr>
      <vt:lpstr>Investments &amp; capabilities</vt:lpstr>
      <vt:lpstr>Inputs &gt;</vt:lpstr>
      <vt:lpstr>RAR_OCP</vt:lpstr>
      <vt:lpstr>P2O5Consumption</vt:lpstr>
      <vt:lpstr>HarvestedAreas_TCD_Uganda</vt:lpstr>
      <vt:lpstr>Harvested areas U</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Decombe.Timothee@bcg.com</dc:creator>
  <cp:keywords/>
  <dc:description/>
  <cp:lastModifiedBy>Leygonie, Marie</cp:lastModifiedBy>
  <cp:revision/>
  <dcterms:created xsi:type="dcterms:W3CDTF">2009-10-20T07:07:16Z</dcterms:created>
  <dcterms:modified xsi:type="dcterms:W3CDTF">2023-07-24T21:27:38Z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0x010100D3F270B43B0E1547BA757A34774E8227</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y fmtid="{D5CDD505-2E9C-101B-9397-08002B2CF9AE}" pid="8" name="MSIP_Label_b0d5c4f4-7a29-4385-b7a5-afbe2154ae6f_Enabled">
    <vt:lpwstr>true</vt:lpwstr>
  </property>
  <property fmtid="{D5CDD505-2E9C-101B-9397-08002B2CF9AE}" pid="9" name="MSIP_Label_b0d5c4f4-7a29-4385-b7a5-afbe2154ae6f_SetDate">
    <vt:lpwstr>2023-07-20T20:15:59Z</vt:lpwstr>
  </property>
  <property fmtid="{D5CDD505-2E9C-101B-9397-08002B2CF9AE}" pid="10" name="MSIP_Label_b0d5c4f4-7a29-4385-b7a5-afbe2154ae6f_Method">
    <vt:lpwstr>Standard</vt:lpwstr>
  </property>
  <property fmtid="{D5CDD505-2E9C-101B-9397-08002B2CF9AE}" pid="11" name="MSIP_Label_b0d5c4f4-7a29-4385-b7a5-afbe2154ae6f_Name">
    <vt:lpwstr>Confidential</vt:lpwstr>
  </property>
  <property fmtid="{D5CDD505-2E9C-101B-9397-08002B2CF9AE}" pid="12" name="MSIP_Label_b0d5c4f4-7a29-4385-b7a5-afbe2154ae6f_SiteId">
    <vt:lpwstr>2dfb2f0b-4d21-4268-9559-72926144c918</vt:lpwstr>
  </property>
  <property fmtid="{D5CDD505-2E9C-101B-9397-08002B2CF9AE}" pid="13" name="MSIP_Label_b0d5c4f4-7a29-4385-b7a5-afbe2154ae6f_ActionId">
    <vt:lpwstr>629c1fa7-8e53-4924-822b-7c1fd823fb60</vt:lpwstr>
  </property>
  <property fmtid="{D5CDD505-2E9C-101B-9397-08002B2CF9AE}" pid="14" name="MSIP_Label_b0d5c4f4-7a29-4385-b7a5-afbe2154ae6f_ContentBits">
    <vt:lpwstr>0</vt:lpwstr>
  </property>
  <property fmtid="{D5CDD505-2E9C-101B-9397-08002B2CF9AE}" pid="15" name="bcgClassification">
    <vt:lpwstr>bcgConfidential</vt:lpwstr>
  </property>
</Properties>
</file>